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charts/chart3.xml" ContentType="application/vnd.openxmlformats-officedocument.drawingml.chart+xml"/>
  <Override PartName="/xl/theme/themeOverride2.xml" ContentType="application/vnd.openxmlformats-officedocument.themeOverride+xml"/>
  <Override PartName="/xl/drawings/drawing2.xml" ContentType="application/vnd.openxmlformats-officedocument.drawingml.chartshap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2.xml" ContentType="application/vnd.openxmlformats-officedocument.spreadsheetml.comment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theme/themeOverride3.xml" ContentType="application/vnd.openxmlformats-officedocument.themeOverride+xml"/>
  <Override PartName="/xl/charts/chart6.xml" ContentType="application/vnd.openxmlformats-officedocument.drawingml.chart+xml"/>
  <Override PartName="/xl/theme/themeOverride4.xml" ContentType="application/vnd.openxmlformats-officedocument.themeOverride+xml"/>
  <Override PartName="/xl/drawings/drawing4.xml" ContentType="application/vnd.openxmlformats-officedocument.drawingml.chartshape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3.xml" ContentType="application/vnd.openxmlformats-officedocument.spreadsheetml.comment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theme/themeOverride5.xml" ContentType="application/vnd.openxmlformats-officedocument.themeOverride+xml"/>
  <Override PartName="/xl/charts/chart9.xml" ContentType="application/vnd.openxmlformats-officedocument.drawingml.chart+xml"/>
  <Override PartName="/xl/theme/themeOverride6.xml" ContentType="application/vnd.openxmlformats-officedocument.themeOverride+xml"/>
  <Override PartName="/xl/drawings/drawing6.xml" ContentType="application/vnd.openxmlformats-officedocument.drawingml.chartshapes+xml"/>
  <Override PartName="/xl/drawings/drawing7.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theme/themeOverride7.xml" ContentType="application/vnd.openxmlformats-officedocument.themeOverride+xml"/>
  <Override PartName="/xl/charts/chart12.xml" ContentType="application/vnd.openxmlformats-officedocument.drawingml.chart+xml"/>
  <Override PartName="/xl/theme/themeOverride8.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5.xml" ContentType="application/vnd.openxmlformats-officedocument.spreadsheetml.comments+xml"/>
  <Override PartName="/xl/charts/chart13.xml" ContentType="application/vnd.openxmlformats-officedocument.drawingml.chart+xml"/>
  <Override PartName="/xl/charts/style5.xml" ContentType="application/vnd.ms-office.chartstyle+xml"/>
  <Override PartName="/xl/charts/colors5.xml" ContentType="application/vnd.ms-office.chartcolorstyle+xml"/>
  <Override PartName="/xl/charts/chart14.xml" ContentType="application/vnd.openxmlformats-officedocument.drawingml.chart+xml"/>
  <Override PartName="/xl/theme/themeOverride9.xml" ContentType="application/vnd.openxmlformats-officedocument.themeOverride+xml"/>
  <Override PartName="/xl/charts/chart15.xml" ContentType="application/vnd.openxmlformats-officedocument.drawingml.chart+xml"/>
  <Override PartName="/xl/theme/themeOverride10.xml" ContentType="application/vnd.openxmlformats-officedocument.themeOverride+xml"/>
  <Override PartName="/xl/drawings/drawing10.xml" ContentType="application/vnd.openxmlformats-officedocument.drawingml.chartshapes+xml"/>
  <Override PartName="/xl/drawings/drawing11.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omments6.xml" ContentType="application/vnd.openxmlformats-officedocument.spreadsheetml.comments+xml"/>
  <Override PartName="/xl/charts/chart16.xml" ContentType="application/vnd.openxmlformats-officedocument.drawingml.chart+xml"/>
  <Override PartName="/xl/charts/style6.xml" ContentType="application/vnd.ms-office.chartstyle+xml"/>
  <Override PartName="/xl/charts/colors6.xml" ContentType="application/vnd.ms-office.chartcolorstyle+xml"/>
  <Override PartName="/xl/charts/chart17.xml" ContentType="application/vnd.openxmlformats-officedocument.drawingml.chart+xml"/>
  <Override PartName="/xl/theme/themeOverride11.xml" ContentType="application/vnd.openxmlformats-officedocument.themeOverride+xml"/>
  <Override PartName="/xl/charts/chart18.xml" ContentType="application/vnd.openxmlformats-officedocument.drawingml.chart+xml"/>
  <Override PartName="/xl/theme/themeOverride12.xml" ContentType="application/vnd.openxmlformats-officedocument.themeOverride+xml"/>
  <Override PartName="/xl/drawings/drawing12.xml" ContentType="application/vnd.openxmlformats-officedocument.drawingml.chartshapes+xml"/>
  <Override PartName="/xl/drawings/drawing13.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omments7.xml" ContentType="application/vnd.openxmlformats-officedocument.spreadsheetml.comments+xml"/>
  <Override PartName="/xl/charts/chart19.xml" ContentType="application/vnd.openxmlformats-officedocument.drawingml.chart+xml"/>
  <Override PartName="/xl/charts/style7.xml" ContentType="application/vnd.ms-office.chartstyle+xml"/>
  <Override PartName="/xl/charts/colors7.xml" ContentType="application/vnd.ms-office.chartcolorstyle+xml"/>
  <Override PartName="/xl/charts/chart20.xml" ContentType="application/vnd.openxmlformats-officedocument.drawingml.chart+xml"/>
  <Override PartName="/xl/theme/themeOverride13.xml" ContentType="application/vnd.openxmlformats-officedocument.themeOverride+xml"/>
  <Override PartName="/xl/charts/chart21.xml" ContentType="application/vnd.openxmlformats-officedocument.drawingml.chart+xml"/>
  <Override PartName="/xl/theme/themeOverride14.xml" ContentType="application/vnd.openxmlformats-officedocument.themeOverride+xml"/>
  <Override PartName="/xl/drawings/drawing14.xml" ContentType="application/vnd.openxmlformats-officedocument.drawingml.chartshapes+xml"/>
  <Override PartName="/xl/drawings/drawing15.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omments8.xml" ContentType="application/vnd.openxmlformats-officedocument.spreadsheetml.comments+xml"/>
  <Override PartName="/xl/charts/chart22.xml" ContentType="application/vnd.openxmlformats-officedocument.drawingml.chart+xml"/>
  <Override PartName="/xl/charts/style8.xml" ContentType="application/vnd.ms-office.chartstyle+xml"/>
  <Override PartName="/xl/charts/colors8.xml" ContentType="application/vnd.ms-office.chartcolorstyle+xml"/>
  <Override PartName="/xl/charts/chart23.xml" ContentType="application/vnd.openxmlformats-officedocument.drawingml.chart+xml"/>
  <Override PartName="/xl/theme/themeOverride15.xml" ContentType="application/vnd.openxmlformats-officedocument.themeOverride+xml"/>
  <Override PartName="/xl/charts/chart24.xml" ContentType="application/vnd.openxmlformats-officedocument.drawingml.chart+xml"/>
  <Override PartName="/xl/theme/themeOverride16.xml" ContentType="application/vnd.openxmlformats-officedocument.themeOverride+xml"/>
  <Override PartName="/xl/drawings/drawing16.xml" ContentType="application/vnd.openxmlformats-officedocument.drawingml.chartshapes+xml"/>
  <Override PartName="/xl/drawings/drawing17.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omments9.xml" ContentType="application/vnd.openxmlformats-officedocument.spreadsheetml.comments+xml"/>
  <Override PartName="/xl/charts/chart25.xml" ContentType="application/vnd.openxmlformats-officedocument.drawingml.chart+xml"/>
  <Override PartName="/xl/charts/style9.xml" ContentType="application/vnd.ms-office.chartstyle+xml"/>
  <Override PartName="/xl/charts/colors9.xml" ContentType="application/vnd.ms-office.chartcolorstyle+xml"/>
  <Override PartName="/xl/charts/chart26.xml" ContentType="application/vnd.openxmlformats-officedocument.drawingml.chart+xml"/>
  <Override PartName="/xl/theme/themeOverride17.xml" ContentType="application/vnd.openxmlformats-officedocument.themeOverride+xml"/>
  <Override PartName="/xl/charts/chart27.xml" ContentType="application/vnd.openxmlformats-officedocument.drawingml.chart+xml"/>
  <Override PartName="/xl/theme/themeOverride18.xml" ContentType="application/vnd.openxmlformats-officedocument.themeOverride+xml"/>
  <Override PartName="/xl/drawings/drawing18.xml" ContentType="application/vnd.openxmlformats-officedocument.drawingml.chartshapes+xml"/>
  <Override PartName="/xl/drawings/drawing19.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omments10.xml" ContentType="application/vnd.openxmlformats-officedocument.spreadsheetml.comments+xml"/>
  <Override PartName="/xl/charts/chart28.xml" ContentType="application/vnd.openxmlformats-officedocument.drawingml.chart+xml"/>
  <Override PartName="/xl/charts/style10.xml" ContentType="application/vnd.ms-office.chartstyle+xml"/>
  <Override PartName="/xl/charts/colors10.xml" ContentType="application/vnd.ms-office.chartcolorstyle+xml"/>
  <Override PartName="/xl/charts/chart29.xml" ContentType="application/vnd.openxmlformats-officedocument.drawingml.chart+xml"/>
  <Override PartName="/xl/theme/themeOverride19.xml" ContentType="application/vnd.openxmlformats-officedocument.themeOverride+xml"/>
  <Override PartName="/xl/charts/chart30.xml" ContentType="application/vnd.openxmlformats-officedocument.drawingml.chart+xml"/>
  <Override PartName="/xl/theme/themeOverride20.xml" ContentType="application/vnd.openxmlformats-officedocument.themeOverride+xml"/>
  <Override PartName="/xl/drawings/drawing20.xml" ContentType="application/vnd.openxmlformats-officedocument.drawingml.chartshapes+xml"/>
  <Override PartName="/xl/drawings/drawing21.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omments11.xml" ContentType="application/vnd.openxmlformats-officedocument.spreadsheetml.comments+xml"/>
  <Override PartName="/xl/charts/chart31.xml" ContentType="application/vnd.openxmlformats-officedocument.drawingml.chart+xml"/>
  <Override PartName="/xl/charts/style11.xml" ContentType="application/vnd.ms-office.chartstyle+xml"/>
  <Override PartName="/xl/charts/colors11.xml" ContentType="application/vnd.ms-office.chartcolorstyle+xml"/>
  <Override PartName="/xl/charts/chart32.xml" ContentType="application/vnd.openxmlformats-officedocument.drawingml.chart+xml"/>
  <Override PartName="/xl/theme/themeOverride21.xml" ContentType="application/vnd.openxmlformats-officedocument.themeOverride+xml"/>
  <Override PartName="/xl/charts/chart33.xml" ContentType="application/vnd.openxmlformats-officedocument.drawingml.chart+xml"/>
  <Override PartName="/xl/theme/themeOverride22.xml" ContentType="application/vnd.openxmlformats-officedocument.themeOverride+xml"/>
  <Override PartName="/xl/drawings/drawing22.xml" ContentType="application/vnd.openxmlformats-officedocument.drawingml.chartshapes+xml"/>
  <Override PartName="/xl/drawings/drawing23.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12.xml" ContentType="application/vnd.openxmlformats-officedocument.spreadsheetml.comments+xml"/>
  <Override PartName="/xl/charts/chart34.xml" ContentType="application/vnd.openxmlformats-officedocument.drawingml.chart+xml"/>
  <Override PartName="/xl/charts/style12.xml" ContentType="application/vnd.ms-office.chartstyle+xml"/>
  <Override PartName="/xl/charts/colors12.xml" ContentType="application/vnd.ms-office.chartcolorstyle+xml"/>
  <Override PartName="/xl/charts/chart35.xml" ContentType="application/vnd.openxmlformats-officedocument.drawingml.chart+xml"/>
  <Override PartName="/xl/theme/themeOverride23.xml" ContentType="application/vnd.openxmlformats-officedocument.themeOverride+xml"/>
  <Override PartName="/xl/charts/chart36.xml" ContentType="application/vnd.openxmlformats-officedocument.drawingml.chart+xml"/>
  <Override PartName="/xl/theme/themeOverride24.xml" ContentType="application/vnd.openxmlformats-officedocument.themeOverride+xml"/>
  <Override PartName="/xl/drawings/drawing24.xml" ContentType="application/vnd.openxmlformats-officedocument.drawingml.chartshapes+xml"/>
  <Override PartName="/xl/drawings/drawing2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omments13.xml" ContentType="application/vnd.openxmlformats-officedocument.spreadsheetml.comments+xml"/>
  <Override PartName="/xl/charts/chart37.xml" ContentType="application/vnd.openxmlformats-officedocument.drawingml.chart+xml"/>
  <Override PartName="/xl/charts/style13.xml" ContentType="application/vnd.ms-office.chartstyle+xml"/>
  <Override PartName="/xl/charts/colors13.xml" ContentType="application/vnd.ms-office.chartcolorstyle+xml"/>
  <Override PartName="/xl/charts/chart38.xml" ContentType="application/vnd.openxmlformats-officedocument.drawingml.chart+xml"/>
  <Override PartName="/xl/theme/themeOverride25.xml" ContentType="application/vnd.openxmlformats-officedocument.themeOverride+xml"/>
  <Override PartName="/xl/charts/chart39.xml" ContentType="application/vnd.openxmlformats-officedocument.drawingml.chart+xml"/>
  <Override PartName="/xl/theme/themeOverride26.xml" ContentType="application/vnd.openxmlformats-officedocument.themeOverride+xml"/>
  <Override PartName="/xl/drawings/drawing26.xml" ContentType="application/vnd.openxmlformats-officedocument.drawingml.chartshapes+xml"/>
  <Override PartName="/xl/drawings/drawing27.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omments14.xml" ContentType="application/vnd.openxmlformats-officedocument.spreadsheetml.comments+xml"/>
  <Override PartName="/xl/charts/chart40.xml" ContentType="application/vnd.openxmlformats-officedocument.drawingml.chart+xml"/>
  <Override PartName="/xl/charts/style14.xml" ContentType="application/vnd.ms-office.chartstyle+xml"/>
  <Override PartName="/xl/charts/colors14.xml" ContentType="application/vnd.ms-office.chartcolorstyle+xml"/>
  <Override PartName="/xl/charts/chart41.xml" ContentType="application/vnd.openxmlformats-officedocument.drawingml.chart+xml"/>
  <Override PartName="/xl/theme/themeOverride27.xml" ContentType="application/vnd.openxmlformats-officedocument.themeOverride+xml"/>
  <Override PartName="/xl/charts/chart42.xml" ContentType="application/vnd.openxmlformats-officedocument.drawingml.chart+xml"/>
  <Override PartName="/xl/theme/themeOverride28.xml" ContentType="application/vnd.openxmlformats-officedocument.themeOverride+xml"/>
  <Override PartName="/xl/drawings/drawing28.xml" ContentType="application/vnd.openxmlformats-officedocument.drawingml.chartshapes+xml"/>
  <Override PartName="/xl/drawings/drawing2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omments15.xml" ContentType="application/vnd.openxmlformats-officedocument.spreadsheetml.comments+xml"/>
  <Override PartName="/xl/charts/chart43.xml" ContentType="application/vnd.openxmlformats-officedocument.drawingml.chart+xml"/>
  <Override PartName="/xl/charts/style15.xml" ContentType="application/vnd.ms-office.chartstyle+xml"/>
  <Override PartName="/xl/charts/colors15.xml" ContentType="application/vnd.ms-office.chartcolorstyle+xml"/>
  <Override PartName="/xl/charts/chart44.xml" ContentType="application/vnd.openxmlformats-officedocument.drawingml.chart+xml"/>
  <Override PartName="/xl/theme/themeOverride29.xml" ContentType="application/vnd.openxmlformats-officedocument.themeOverride+xml"/>
  <Override PartName="/xl/charts/chart45.xml" ContentType="application/vnd.openxmlformats-officedocument.drawingml.chart+xml"/>
  <Override PartName="/xl/theme/themeOverride30.xml" ContentType="application/vnd.openxmlformats-officedocument.themeOverride+xml"/>
  <Override PartName="/xl/drawings/drawing30.xml" ContentType="application/vnd.openxmlformats-officedocument.drawingml.chartshapes+xml"/>
  <Override PartName="/xl/drawings/drawing31.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omments16.xml" ContentType="application/vnd.openxmlformats-officedocument.spreadsheetml.comments+xml"/>
  <Override PartName="/xl/charts/chart46.xml" ContentType="application/vnd.openxmlformats-officedocument.drawingml.chart+xml"/>
  <Override PartName="/xl/charts/style16.xml" ContentType="application/vnd.ms-office.chartstyle+xml"/>
  <Override PartName="/xl/charts/colors16.xml" ContentType="application/vnd.ms-office.chartcolorstyle+xml"/>
  <Override PartName="/xl/charts/chart47.xml" ContentType="application/vnd.openxmlformats-officedocument.drawingml.chart+xml"/>
  <Override PartName="/xl/theme/themeOverride31.xml" ContentType="application/vnd.openxmlformats-officedocument.themeOverride+xml"/>
  <Override PartName="/xl/charts/chart48.xml" ContentType="application/vnd.openxmlformats-officedocument.drawingml.chart+xml"/>
  <Override PartName="/xl/theme/themeOverride32.xml" ContentType="application/vnd.openxmlformats-officedocument.themeOverride+xml"/>
  <Override PartName="/xl/drawings/drawing32.xml" ContentType="application/vnd.openxmlformats-officedocument.drawingml.chartshapes+xml"/>
  <Override PartName="/xl/drawings/drawing33.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omments17.xml" ContentType="application/vnd.openxmlformats-officedocument.spreadsheetml.comments+xml"/>
  <Override PartName="/xl/charts/chart49.xml" ContentType="application/vnd.openxmlformats-officedocument.drawingml.chart+xml"/>
  <Override PartName="/xl/charts/style17.xml" ContentType="application/vnd.ms-office.chartstyle+xml"/>
  <Override PartName="/xl/charts/colors17.xml" ContentType="application/vnd.ms-office.chartcolorstyle+xml"/>
  <Override PartName="/xl/charts/chart50.xml" ContentType="application/vnd.openxmlformats-officedocument.drawingml.chart+xml"/>
  <Override PartName="/xl/theme/themeOverride33.xml" ContentType="application/vnd.openxmlformats-officedocument.themeOverride+xml"/>
  <Override PartName="/xl/charts/chart51.xml" ContentType="application/vnd.openxmlformats-officedocument.drawingml.chart+xml"/>
  <Override PartName="/xl/theme/themeOverride34.xml" ContentType="application/vnd.openxmlformats-officedocument.themeOverride+xml"/>
  <Override PartName="/xl/drawings/drawing34.xml" ContentType="application/vnd.openxmlformats-officedocument.drawingml.chartshapes+xml"/>
  <Override PartName="/xl/charts/chart52.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35.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8.xml" ContentType="application/vnd.openxmlformats-officedocument.spreadsheetml.comments+xml"/>
  <Override PartName="/xl/charts/chart53.xml" ContentType="application/vnd.openxmlformats-officedocument.drawingml.chart+xml"/>
  <Override PartName="/xl/charts/style19.xml" ContentType="application/vnd.ms-office.chartstyle+xml"/>
  <Override PartName="/xl/charts/colors19.xml" ContentType="application/vnd.ms-office.chartcolorstyle+xml"/>
  <Override PartName="/xl/charts/chart54.xml" ContentType="application/vnd.openxmlformats-officedocument.drawingml.chart+xml"/>
  <Override PartName="/xl/theme/themeOverride35.xml" ContentType="application/vnd.openxmlformats-officedocument.themeOverride+xml"/>
  <Override PartName="/xl/charts/chart55.xml" ContentType="application/vnd.openxmlformats-officedocument.drawingml.chart+xml"/>
  <Override PartName="/xl/theme/themeOverride36.xml" ContentType="application/vnd.openxmlformats-officedocument.themeOverride+xml"/>
  <Override PartName="/xl/drawings/drawing36.xml" ContentType="application/vnd.openxmlformats-officedocument.drawingml.chartshapes+xml"/>
  <Override PartName="/xl/drawings/drawing37.xml" ContentType="application/vnd.openxmlformats-officedocument.drawing+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omments19.xml" ContentType="application/vnd.openxmlformats-officedocument.spreadsheetml.comments+xml"/>
  <Override PartName="/xl/charts/chart56.xml" ContentType="application/vnd.openxmlformats-officedocument.drawingml.chart+xml"/>
  <Override PartName="/xl/charts/style20.xml" ContentType="application/vnd.ms-office.chartstyle+xml"/>
  <Override PartName="/xl/charts/colors20.xml" ContentType="application/vnd.ms-office.chartcolorstyle+xml"/>
  <Override PartName="/xl/charts/chart57.xml" ContentType="application/vnd.openxmlformats-officedocument.drawingml.chart+xml"/>
  <Override PartName="/xl/theme/themeOverride37.xml" ContentType="application/vnd.openxmlformats-officedocument.themeOverride+xml"/>
  <Override PartName="/xl/charts/chart58.xml" ContentType="application/vnd.openxmlformats-officedocument.drawingml.chart+xml"/>
  <Override PartName="/xl/theme/themeOverride38.xml" ContentType="application/vnd.openxmlformats-officedocument.themeOverride+xml"/>
  <Override PartName="/xl/drawings/drawing38.xml" ContentType="application/vnd.openxmlformats-officedocument.drawingml.chartshapes+xml"/>
  <Override PartName="/xl/charts/chart5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9.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omments20.xml" ContentType="application/vnd.openxmlformats-officedocument.spreadsheetml.comments+xml"/>
  <Override PartName="/xl/charts/chart60.xml" ContentType="application/vnd.openxmlformats-officedocument.drawingml.chart+xml"/>
  <Override PartName="/xl/charts/style22.xml" ContentType="application/vnd.ms-office.chartstyle+xml"/>
  <Override PartName="/xl/charts/colors22.xml" ContentType="application/vnd.ms-office.chartcolorstyle+xml"/>
  <Override PartName="/xl/charts/chart61.xml" ContentType="application/vnd.openxmlformats-officedocument.drawingml.chart+xml"/>
  <Override PartName="/xl/theme/themeOverride39.xml" ContentType="application/vnd.openxmlformats-officedocument.themeOverride+xml"/>
  <Override PartName="/xl/charts/chart62.xml" ContentType="application/vnd.openxmlformats-officedocument.drawingml.chart+xml"/>
  <Override PartName="/xl/theme/themeOverride40.xml" ContentType="application/vnd.openxmlformats-officedocument.themeOverride+xml"/>
  <Override PartName="/xl/drawings/drawing40.xml" ContentType="application/vnd.openxmlformats-officedocument.drawingml.chartshapes+xml"/>
  <Override PartName="/xl/drawings/drawing41.xml" ContentType="application/vnd.openxmlformats-officedocument.drawing+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omments21.xml" ContentType="application/vnd.openxmlformats-officedocument.spreadsheetml.comments+xml"/>
  <Override PartName="/xl/charts/chart63.xml" ContentType="application/vnd.openxmlformats-officedocument.drawingml.chart+xml"/>
  <Override PartName="/xl/charts/style23.xml" ContentType="application/vnd.ms-office.chartstyle+xml"/>
  <Override PartName="/xl/charts/colors23.xml" ContentType="application/vnd.ms-office.chartcolorstyle+xml"/>
  <Override PartName="/xl/charts/chart64.xml" ContentType="application/vnd.openxmlformats-officedocument.drawingml.chart+xml"/>
  <Override PartName="/xl/theme/themeOverride41.xml" ContentType="application/vnd.openxmlformats-officedocument.themeOverride+xml"/>
  <Override PartName="/xl/charts/chart65.xml" ContentType="application/vnd.openxmlformats-officedocument.drawingml.chart+xml"/>
  <Override PartName="/xl/theme/themeOverride42.xml" ContentType="application/vnd.openxmlformats-officedocument.themeOverride+xml"/>
  <Override PartName="/xl/drawings/drawing42.xml" ContentType="application/vnd.openxmlformats-officedocument.drawingml.chartshapes+xml"/>
  <Override PartName="/xl/drawings/drawing43.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omments22.xml" ContentType="application/vnd.openxmlformats-officedocument.spreadsheetml.comments+xml"/>
  <Override PartName="/xl/charts/chart66.xml" ContentType="application/vnd.openxmlformats-officedocument.drawingml.chart+xml"/>
  <Override PartName="/xl/charts/style24.xml" ContentType="application/vnd.ms-office.chartstyle+xml"/>
  <Override PartName="/xl/charts/colors24.xml" ContentType="application/vnd.ms-office.chartcolorstyle+xml"/>
  <Override PartName="/xl/charts/chart67.xml" ContentType="application/vnd.openxmlformats-officedocument.drawingml.chart+xml"/>
  <Override PartName="/xl/theme/themeOverride43.xml" ContentType="application/vnd.openxmlformats-officedocument.themeOverride+xml"/>
  <Override PartName="/xl/charts/chart68.xml" ContentType="application/vnd.openxmlformats-officedocument.drawingml.chart+xml"/>
  <Override PartName="/xl/theme/themeOverride44.xml" ContentType="application/vnd.openxmlformats-officedocument.themeOverride+xml"/>
  <Override PartName="/xl/drawings/drawing44.xml" ContentType="application/vnd.openxmlformats-officedocument.drawingml.chartshapes+xml"/>
  <Override PartName="/xl/charts/chart69.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45.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omments23.xml" ContentType="application/vnd.openxmlformats-officedocument.spreadsheetml.comments+xml"/>
  <Override PartName="/xl/charts/chart70.xml" ContentType="application/vnd.openxmlformats-officedocument.drawingml.chart+xml"/>
  <Override PartName="/xl/charts/style26.xml" ContentType="application/vnd.ms-office.chartstyle+xml"/>
  <Override PartName="/xl/charts/colors26.xml" ContentType="application/vnd.ms-office.chartcolorstyle+xml"/>
  <Override PartName="/xl/charts/chart71.xml" ContentType="application/vnd.openxmlformats-officedocument.drawingml.chart+xml"/>
  <Override PartName="/xl/theme/themeOverride45.xml" ContentType="application/vnd.openxmlformats-officedocument.themeOverride+xml"/>
  <Override PartName="/xl/charts/chart72.xml" ContentType="application/vnd.openxmlformats-officedocument.drawingml.chart+xml"/>
  <Override PartName="/xl/theme/themeOverride46.xml" ContentType="application/vnd.openxmlformats-officedocument.themeOverride+xml"/>
  <Override PartName="/xl/drawings/drawing46.xml" ContentType="application/vnd.openxmlformats-officedocument.drawingml.chartshapes+xml"/>
  <Override PartName="/xl/charts/chart73.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47.xml" ContentType="application/vnd.openxmlformats-officedocument.drawing+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omments24.xml" ContentType="application/vnd.openxmlformats-officedocument.spreadsheetml.comments+xml"/>
  <Override PartName="/xl/charts/chart74.xml" ContentType="application/vnd.openxmlformats-officedocument.drawingml.chart+xml"/>
  <Override PartName="/xl/charts/style28.xml" ContentType="application/vnd.ms-office.chartstyle+xml"/>
  <Override PartName="/xl/charts/colors28.xml" ContentType="application/vnd.ms-office.chartcolorstyle+xml"/>
  <Override PartName="/xl/charts/chart75.xml" ContentType="application/vnd.openxmlformats-officedocument.drawingml.chart+xml"/>
  <Override PartName="/xl/theme/themeOverride47.xml" ContentType="application/vnd.openxmlformats-officedocument.themeOverride+xml"/>
  <Override PartName="/xl/charts/chart76.xml" ContentType="application/vnd.openxmlformats-officedocument.drawingml.chart+xml"/>
  <Override PartName="/xl/theme/themeOverride48.xml" ContentType="application/vnd.openxmlformats-officedocument.themeOverride+xml"/>
  <Override PartName="/xl/drawings/drawing48.xml" ContentType="application/vnd.openxmlformats-officedocument.drawingml.chartshapes+xml"/>
  <Override PartName="/xl/charts/chart77.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9.xml" ContentType="application/vnd.openxmlformats-officedocument.drawing+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omments25.xml" ContentType="application/vnd.openxmlformats-officedocument.spreadsheetml.comments+xml"/>
  <Override PartName="/xl/charts/chart78.xml" ContentType="application/vnd.openxmlformats-officedocument.drawingml.chart+xml"/>
  <Override PartName="/xl/charts/style30.xml" ContentType="application/vnd.ms-office.chartstyle+xml"/>
  <Override PartName="/xl/charts/colors30.xml" ContentType="application/vnd.ms-office.chartcolorstyle+xml"/>
  <Override PartName="/xl/charts/chart79.xml" ContentType="application/vnd.openxmlformats-officedocument.drawingml.chart+xml"/>
  <Override PartName="/xl/theme/themeOverride49.xml" ContentType="application/vnd.openxmlformats-officedocument.themeOverride+xml"/>
  <Override PartName="/xl/charts/chart80.xml" ContentType="application/vnd.openxmlformats-officedocument.drawingml.chart+xml"/>
  <Override PartName="/xl/theme/themeOverride50.xml" ContentType="application/vnd.openxmlformats-officedocument.themeOverride+xml"/>
  <Override PartName="/xl/drawings/drawing50.xml" ContentType="application/vnd.openxmlformats-officedocument.drawingml.chartshapes+xml"/>
  <Override PartName="/xl/charts/chart8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51.xml" ContentType="application/vnd.openxmlformats-officedocument.drawing+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omments26.xml" ContentType="application/vnd.openxmlformats-officedocument.spreadsheetml.comments+xml"/>
  <Override PartName="/xl/charts/chart82.xml" ContentType="application/vnd.openxmlformats-officedocument.drawingml.chart+xml"/>
  <Override PartName="/xl/charts/style32.xml" ContentType="application/vnd.ms-office.chartstyle+xml"/>
  <Override PartName="/xl/charts/colors32.xml" ContentType="application/vnd.ms-office.chartcolorstyle+xml"/>
  <Override PartName="/xl/charts/chart83.xml" ContentType="application/vnd.openxmlformats-officedocument.drawingml.chart+xml"/>
  <Override PartName="/xl/theme/themeOverride51.xml" ContentType="application/vnd.openxmlformats-officedocument.themeOverride+xml"/>
  <Override PartName="/xl/charts/chart84.xml" ContentType="application/vnd.openxmlformats-officedocument.drawingml.chart+xml"/>
  <Override PartName="/xl/theme/themeOverride52.xml" ContentType="application/vnd.openxmlformats-officedocument.themeOverride+xml"/>
  <Override PartName="/xl/drawings/drawing52.xml" ContentType="application/vnd.openxmlformats-officedocument.drawingml.chartshapes+xml"/>
  <Override PartName="/xl/charts/chart85.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53.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omments27.xml" ContentType="application/vnd.openxmlformats-officedocument.spreadsheetml.comments+xml"/>
  <Override PartName="/xl/charts/chart86.xml" ContentType="application/vnd.openxmlformats-officedocument.drawingml.chart+xml"/>
  <Override PartName="/xl/charts/style34.xml" ContentType="application/vnd.ms-office.chartstyle+xml"/>
  <Override PartName="/xl/charts/colors34.xml" ContentType="application/vnd.ms-office.chartcolorstyle+xml"/>
  <Override PartName="/xl/charts/chart87.xml" ContentType="application/vnd.openxmlformats-officedocument.drawingml.chart+xml"/>
  <Override PartName="/xl/theme/themeOverride53.xml" ContentType="application/vnd.openxmlformats-officedocument.themeOverride+xml"/>
  <Override PartName="/xl/charts/chart88.xml" ContentType="application/vnd.openxmlformats-officedocument.drawingml.chart+xml"/>
  <Override PartName="/xl/theme/themeOverride54.xml" ContentType="application/vnd.openxmlformats-officedocument.themeOverride+xml"/>
  <Override PartName="/xl/drawings/drawing54.xml" ContentType="application/vnd.openxmlformats-officedocument.drawingml.chartshapes+xml"/>
  <Override PartName="/xl/charts/chart89.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55.xml" ContentType="application/vnd.openxmlformats-officedocument.drawing+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omments28.xml" ContentType="application/vnd.openxmlformats-officedocument.spreadsheetml.comments+xml"/>
  <Override PartName="/xl/charts/chart90.xml" ContentType="application/vnd.openxmlformats-officedocument.drawingml.chart+xml"/>
  <Override PartName="/xl/charts/style36.xml" ContentType="application/vnd.ms-office.chartstyle+xml"/>
  <Override PartName="/xl/charts/colors36.xml" ContentType="application/vnd.ms-office.chartcolorstyle+xml"/>
  <Override PartName="/xl/charts/chart91.xml" ContentType="application/vnd.openxmlformats-officedocument.drawingml.chart+xml"/>
  <Override PartName="/xl/theme/themeOverride55.xml" ContentType="application/vnd.openxmlformats-officedocument.themeOverride+xml"/>
  <Override PartName="/xl/charts/chart92.xml" ContentType="application/vnd.openxmlformats-officedocument.drawingml.chart+xml"/>
  <Override PartName="/xl/theme/themeOverride56.xml" ContentType="application/vnd.openxmlformats-officedocument.themeOverride+xml"/>
  <Override PartName="/xl/drawings/drawing56.xml" ContentType="application/vnd.openxmlformats-officedocument.drawingml.chartshapes+xml"/>
  <Override PartName="/xl/charts/chart93.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7.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omments29.xml" ContentType="application/vnd.openxmlformats-officedocument.spreadsheetml.comments+xml"/>
  <Override PartName="/xl/charts/chart94.xml" ContentType="application/vnd.openxmlformats-officedocument.drawingml.chart+xml"/>
  <Override PartName="/xl/charts/style38.xml" ContentType="application/vnd.ms-office.chartstyle+xml"/>
  <Override PartName="/xl/charts/colors38.xml" ContentType="application/vnd.ms-office.chartcolorstyle+xml"/>
  <Override PartName="/xl/charts/chart95.xml" ContentType="application/vnd.openxmlformats-officedocument.drawingml.chart+xml"/>
  <Override PartName="/xl/theme/themeOverride57.xml" ContentType="application/vnd.openxmlformats-officedocument.themeOverride+xml"/>
  <Override PartName="/xl/charts/chart96.xml" ContentType="application/vnd.openxmlformats-officedocument.drawingml.chart+xml"/>
  <Override PartName="/xl/theme/themeOverride58.xml" ContentType="application/vnd.openxmlformats-officedocument.themeOverride+xml"/>
  <Override PartName="/xl/drawings/drawing58.xml" ContentType="application/vnd.openxmlformats-officedocument.drawingml.chartshapes+xml"/>
  <Override PartName="/xl/charts/chart97.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9.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omments30.xml" ContentType="application/vnd.openxmlformats-officedocument.spreadsheetml.comments+xml"/>
  <Override PartName="/xl/charts/chart98.xml" ContentType="application/vnd.openxmlformats-officedocument.drawingml.chart+xml"/>
  <Override PartName="/xl/charts/style40.xml" ContentType="application/vnd.ms-office.chartstyle+xml"/>
  <Override PartName="/xl/charts/colors40.xml" ContentType="application/vnd.ms-office.chartcolorstyle+xml"/>
  <Override PartName="/xl/charts/chart99.xml" ContentType="application/vnd.openxmlformats-officedocument.drawingml.chart+xml"/>
  <Override PartName="/xl/theme/themeOverride59.xml" ContentType="application/vnd.openxmlformats-officedocument.themeOverride+xml"/>
  <Override PartName="/xl/charts/chart100.xml" ContentType="application/vnd.openxmlformats-officedocument.drawingml.chart+xml"/>
  <Override PartName="/xl/theme/themeOverride60.xml" ContentType="application/vnd.openxmlformats-officedocument.themeOverride+xml"/>
  <Override PartName="/xl/drawings/drawing60.xml" ContentType="application/vnd.openxmlformats-officedocument.drawingml.chartshapes+xml"/>
  <Override PartName="/xl/charts/chart10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61.xml" ContentType="application/vnd.openxmlformats-officedocument.drawing+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omments31.xml" ContentType="application/vnd.openxmlformats-officedocument.spreadsheetml.comments+xml"/>
  <Override PartName="/xl/charts/chart102.xml" ContentType="application/vnd.openxmlformats-officedocument.drawingml.chart+xml"/>
  <Override PartName="/xl/charts/style42.xml" ContentType="application/vnd.ms-office.chartstyle+xml"/>
  <Override PartName="/xl/charts/colors42.xml" ContentType="application/vnd.ms-office.chartcolorstyle+xml"/>
  <Override PartName="/xl/charts/chart103.xml" ContentType="application/vnd.openxmlformats-officedocument.drawingml.chart+xml"/>
  <Override PartName="/xl/theme/themeOverride61.xml" ContentType="application/vnd.openxmlformats-officedocument.themeOverride+xml"/>
  <Override PartName="/xl/charts/chart104.xml" ContentType="application/vnd.openxmlformats-officedocument.drawingml.chart+xml"/>
  <Override PartName="/xl/theme/themeOverride62.xml" ContentType="application/vnd.openxmlformats-officedocument.themeOverride+xml"/>
  <Override PartName="/xl/drawings/drawing62.xml" ContentType="application/vnd.openxmlformats-officedocument.drawingml.chartshapes+xml"/>
  <Override PartName="/xl/charts/chart105.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63.xml" ContentType="application/vnd.openxmlformats-officedocument.drawing+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omments32.xml" ContentType="application/vnd.openxmlformats-officedocument.spreadsheetml.comments+xml"/>
  <Override PartName="/xl/charts/chart106.xml" ContentType="application/vnd.openxmlformats-officedocument.drawingml.chart+xml"/>
  <Override PartName="/xl/charts/style44.xml" ContentType="application/vnd.ms-office.chartstyle+xml"/>
  <Override PartName="/xl/charts/colors44.xml" ContentType="application/vnd.ms-office.chartcolorstyle+xml"/>
  <Override PartName="/xl/charts/chart107.xml" ContentType="application/vnd.openxmlformats-officedocument.drawingml.chart+xml"/>
  <Override PartName="/xl/theme/themeOverride63.xml" ContentType="application/vnd.openxmlformats-officedocument.themeOverride+xml"/>
  <Override PartName="/xl/charts/chart108.xml" ContentType="application/vnd.openxmlformats-officedocument.drawingml.chart+xml"/>
  <Override PartName="/xl/theme/themeOverride64.xml" ContentType="application/vnd.openxmlformats-officedocument.themeOverride+xml"/>
  <Override PartName="/xl/drawings/drawing64.xml" ContentType="application/vnd.openxmlformats-officedocument.drawingml.chartshapes+xml"/>
  <Override PartName="/xl/charts/chart10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65.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omments33.xml" ContentType="application/vnd.openxmlformats-officedocument.spreadsheetml.comments+xml"/>
  <Override PartName="/xl/charts/chart110.xml" ContentType="application/vnd.openxmlformats-officedocument.drawingml.chart+xml"/>
  <Override PartName="/xl/charts/style46.xml" ContentType="application/vnd.ms-office.chartstyle+xml"/>
  <Override PartName="/xl/charts/colors46.xml" ContentType="application/vnd.ms-office.chartcolorstyle+xml"/>
  <Override PartName="/xl/charts/chart111.xml" ContentType="application/vnd.openxmlformats-officedocument.drawingml.chart+xml"/>
  <Override PartName="/xl/theme/themeOverride65.xml" ContentType="application/vnd.openxmlformats-officedocument.themeOverride+xml"/>
  <Override PartName="/xl/charts/chart112.xml" ContentType="application/vnd.openxmlformats-officedocument.drawingml.chart+xml"/>
  <Override PartName="/xl/theme/themeOverride66.xml" ContentType="application/vnd.openxmlformats-officedocument.themeOverride+xml"/>
  <Override PartName="/xl/drawings/drawing66.xml" ContentType="application/vnd.openxmlformats-officedocument.drawingml.chartshapes+xml"/>
  <Override PartName="/xl/charts/chart113.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67.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omments34.xml" ContentType="application/vnd.openxmlformats-officedocument.spreadsheetml.comments+xml"/>
  <Override PartName="/xl/charts/chart114.xml" ContentType="application/vnd.openxmlformats-officedocument.drawingml.chart+xml"/>
  <Override PartName="/xl/charts/style48.xml" ContentType="application/vnd.ms-office.chartstyle+xml"/>
  <Override PartName="/xl/charts/colors48.xml" ContentType="application/vnd.ms-office.chartcolorstyle+xml"/>
  <Override PartName="/xl/charts/chart115.xml" ContentType="application/vnd.openxmlformats-officedocument.drawingml.chart+xml"/>
  <Override PartName="/xl/theme/themeOverride67.xml" ContentType="application/vnd.openxmlformats-officedocument.themeOverride+xml"/>
  <Override PartName="/xl/charts/chart116.xml" ContentType="application/vnd.openxmlformats-officedocument.drawingml.chart+xml"/>
  <Override PartName="/xl/theme/themeOverride68.xml" ContentType="application/vnd.openxmlformats-officedocument.themeOverride+xml"/>
  <Override PartName="/xl/drawings/drawing68.xml" ContentType="application/vnd.openxmlformats-officedocument.drawingml.chartshapes+xml"/>
  <Override PartName="/xl/charts/chart117.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69.xml" ContentType="application/vnd.openxmlformats-officedocument.drawing+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omments35.xml" ContentType="application/vnd.openxmlformats-officedocument.spreadsheetml.comments+xml"/>
  <Override PartName="/xl/charts/chart118.xml" ContentType="application/vnd.openxmlformats-officedocument.drawingml.chart+xml"/>
  <Override PartName="/xl/charts/style50.xml" ContentType="application/vnd.ms-office.chartstyle+xml"/>
  <Override PartName="/xl/charts/colors50.xml" ContentType="application/vnd.ms-office.chartcolorstyle+xml"/>
  <Override PartName="/xl/charts/chart119.xml" ContentType="application/vnd.openxmlformats-officedocument.drawingml.chart+xml"/>
  <Override PartName="/xl/theme/themeOverride69.xml" ContentType="application/vnd.openxmlformats-officedocument.themeOverride+xml"/>
  <Override PartName="/xl/charts/chart120.xml" ContentType="application/vnd.openxmlformats-officedocument.drawingml.chart+xml"/>
  <Override PartName="/xl/theme/themeOverride70.xml" ContentType="application/vnd.openxmlformats-officedocument.themeOverride+xml"/>
  <Override PartName="/xl/drawings/drawing70.xml" ContentType="application/vnd.openxmlformats-officedocument.drawingml.chartshapes+xml"/>
  <Override PartName="/xl/charts/chart12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71.xml" ContentType="application/vnd.openxmlformats-officedocument.drawing+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omments36.xml" ContentType="application/vnd.openxmlformats-officedocument.spreadsheetml.comments+xml"/>
  <Override PartName="/xl/charts/chart122.xml" ContentType="application/vnd.openxmlformats-officedocument.drawingml.chart+xml"/>
  <Override PartName="/xl/charts/style52.xml" ContentType="application/vnd.ms-office.chartstyle+xml"/>
  <Override PartName="/xl/charts/colors52.xml" ContentType="application/vnd.ms-office.chartcolorstyle+xml"/>
  <Override PartName="/xl/charts/chart123.xml" ContentType="application/vnd.openxmlformats-officedocument.drawingml.chart+xml"/>
  <Override PartName="/xl/theme/themeOverride71.xml" ContentType="application/vnd.openxmlformats-officedocument.themeOverride+xml"/>
  <Override PartName="/xl/charts/chart124.xml" ContentType="application/vnd.openxmlformats-officedocument.drawingml.chart+xml"/>
  <Override PartName="/xl/theme/themeOverride72.xml" ContentType="application/vnd.openxmlformats-officedocument.themeOverride+xml"/>
  <Override PartName="/xl/drawings/drawing72.xml" ContentType="application/vnd.openxmlformats-officedocument.drawingml.chartshapes+xml"/>
  <Override PartName="/xl/charts/chart125.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73.xml" ContentType="application/vnd.openxmlformats-officedocument.drawing+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omments37.xml" ContentType="application/vnd.openxmlformats-officedocument.spreadsheetml.comments+xml"/>
  <Override PartName="/xl/charts/chart126.xml" ContentType="application/vnd.openxmlformats-officedocument.drawingml.chart+xml"/>
  <Override PartName="/xl/charts/style54.xml" ContentType="application/vnd.ms-office.chartstyle+xml"/>
  <Override PartName="/xl/charts/colors54.xml" ContentType="application/vnd.ms-office.chartcolorstyle+xml"/>
  <Override PartName="/xl/charts/chart127.xml" ContentType="application/vnd.openxmlformats-officedocument.drawingml.chart+xml"/>
  <Override PartName="/xl/theme/themeOverride73.xml" ContentType="application/vnd.openxmlformats-officedocument.themeOverride+xml"/>
  <Override PartName="/xl/charts/chart128.xml" ContentType="application/vnd.openxmlformats-officedocument.drawingml.chart+xml"/>
  <Override PartName="/xl/theme/themeOverride74.xml" ContentType="application/vnd.openxmlformats-officedocument.themeOverride+xml"/>
  <Override PartName="/xl/drawings/drawing74.xml" ContentType="application/vnd.openxmlformats-officedocument.drawingml.chartshapes+xml"/>
  <Override PartName="/xl/charts/chart129.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75.xml" ContentType="application/vnd.openxmlformats-officedocument.drawing+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omments38.xml" ContentType="application/vnd.openxmlformats-officedocument.spreadsheetml.comments+xml"/>
  <Override PartName="/xl/charts/chart130.xml" ContentType="application/vnd.openxmlformats-officedocument.drawingml.chart+xml"/>
  <Override PartName="/xl/charts/style56.xml" ContentType="application/vnd.ms-office.chartstyle+xml"/>
  <Override PartName="/xl/charts/colors56.xml" ContentType="application/vnd.ms-office.chartcolorstyle+xml"/>
  <Override PartName="/xl/charts/chart131.xml" ContentType="application/vnd.openxmlformats-officedocument.drawingml.chart+xml"/>
  <Override PartName="/xl/theme/themeOverride75.xml" ContentType="application/vnd.openxmlformats-officedocument.themeOverride+xml"/>
  <Override PartName="/xl/charts/chart132.xml" ContentType="application/vnd.openxmlformats-officedocument.drawingml.chart+xml"/>
  <Override PartName="/xl/theme/themeOverride76.xml" ContentType="application/vnd.openxmlformats-officedocument.themeOverride+xml"/>
  <Override PartName="/xl/drawings/drawing76.xml" ContentType="application/vnd.openxmlformats-officedocument.drawingml.chartshapes+xml"/>
  <Override PartName="/xl/charts/chart133.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77.xml" ContentType="application/vnd.openxmlformats-officedocument.drawing+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omments39.xml" ContentType="application/vnd.openxmlformats-officedocument.spreadsheetml.comments+xml"/>
  <Override PartName="/xl/charts/chart134.xml" ContentType="application/vnd.openxmlformats-officedocument.drawingml.chart+xml"/>
  <Override PartName="/xl/charts/style58.xml" ContentType="application/vnd.ms-office.chartstyle+xml"/>
  <Override PartName="/xl/charts/colors58.xml" ContentType="application/vnd.ms-office.chartcolorstyle+xml"/>
  <Override PartName="/xl/charts/chart135.xml" ContentType="application/vnd.openxmlformats-officedocument.drawingml.chart+xml"/>
  <Override PartName="/xl/theme/themeOverride77.xml" ContentType="application/vnd.openxmlformats-officedocument.themeOverride+xml"/>
  <Override PartName="/xl/charts/chart136.xml" ContentType="application/vnd.openxmlformats-officedocument.drawingml.chart+xml"/>
  <Override PartName="/xl/theme/themeOverride78.xml" ContentType="application/vnd.openxmlformats-officedocument.themeOverride+xml"/>
  <Override PartName="/xl/drawings/drawing78.xml" ContentType="application/vnd.openxmlformats-officedocument.drawingml.chartshapes+xml"/>
  <Override PartName="/xl/charts/chart137.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79.xml" ContentType="application/vnd.openxmlformats-officedocument.drawing+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omments40.xml" ContentType="application/vnd.openxmlformats-officedocument.spreadsheetml.comments+xml"/>
  <Override PartName="/xl/charts/chart138.xml" ContentType="application/vnd.openxmlformats-officedocument.drawingml.chart+xml"/>
  <Override PartName="/xl/charts/style60.xml" ContentType="application/vnd.ms-office.chartstyle+xml"/>
  <Override PartName="/xl/charts/colors60.xml" ContentType="application/vnd.ms-office.chartcolorstyle+xml"/>
  <Override PartName="/xl/charts/chart139.xml" ContentType="application/vnd.openxmlformats-officedocument.drawingml.chart+xml"/>
  <Override PartName="/xl/theme/themeOverride79.xml" ContentType="application/vnd.openxmlformats-officedocument.themeOverride+xml"/>
  <Override PartName="/xl/charts/chart140.xml" ContentType="application/vnd.openxmlformats-officedocument.drawingml.chart+xml"/>
  <Override PartName="/xl/theme/themeOverride80.xml" ContentType="application/vnd.openxmlformats-officedocument.themeOverride+xml"/>
  <Override PartName="/xl/drawings/drawing80.xml" ContentType="application/vnd.openxmlformats-officedocument.drawingml.chartshapes+xml"/>
  <Override PartName="/xl/charts/chart14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81.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omments41.xml" ContentType="application/vnd.openxmlformats-officedocument.spreadsheetml.comments+xml"/>
  <Override PartName="/xl/charts/chart142.xml" ContentType="application/vnd.openxmlformats-officedocument.drawingml.chart+xml"/>
  <Override PartName="/xl/charts/style62.xml" ContentType="application/vnd.ms-office.chartstyle+xml"/>
  <Override PartName="/xl/charts/colors62.xml" ContentType="application/vnd.ms-office.chartcolorstyle+xml"/>
  <Override PartName="/xl/charts/chart143.xml" ContentType="application/vnd.openxmlformats-officedocument.drawingml.chart+xml"/>
  <Override PartName="/xl/theme/themeOverride81.xml" ContentType="application/vnd.openxmlformats-officedocument.themeOverride+xml"/>
  <Override PartName="/xl/charts/chart144.xml" ContentType="application/vnd.openxmlformats-officedocument.drawingml.chart+xml"/>
  <Override PartName="/xl/theme/themeOverride82.xml" ContentType="application/vnd.openxmlformats-officedocument.themeOverride+xml"/>
  <Override PartName="/xl/drawings/drawing82.xml" ContentType="application/vnd.openxmlformats-officedocument.drawingml.chartshapes+xml"/>
  <Override PartName="/xl/charts/chart145.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83.xml" ContentType="application/vnd.openxmlformats-officedocument.drawing+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omments42.xml" ContentType="application/vnd.openxmlformats-officedocument.spreadsheetml.comments+xml"/>
  <Override PartName="/xl/charts/chart146.xml" ContentType="application/vnd.openxmlformats-officedocument.drawingml.chart+xml"/>
  <Override PartName="/xl/charts/style64.xml" ContentType="application/vnd.ms-office.chartstyle+xml"/>
  <Override PartName="/xl/charts/colors64.xml" ContentType="application/vnd.ms-office.chartcolorstyle+xml"/>
  <Override PartName="/xl/charts/chart147.xml" ContentType="application/vnd.openxmlformats-officedocument.drawingml.chart+xml"/>
  <Override PartName="/xl/theme/themeOverride83.xml" ContentType="application/vnd.openxmlformats-officedocument.themeOverride+xml"/>
  <Override PartName="/xl/charts/chart148.xml" ContentType="application/vnd.openxmlformats-officedocument.drawingml.chart+xml"/>
  <Override PartName="/xl/theme/themeOverride84.xml" ContentType="application/vnd.openxmlformats-officedocument.themeOverride+xml"/>
  <Override PartName="/xl/drawings/drawing84.xml" ContentType="application/vnd.openxmlformats-officedocument.drawingml.chartshapes+xml"/>
  <Override PartName="/xl/charts/chart149.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85.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omments43.xml" ContentType="application/vnd.openxmlformats-officedocument.spreadsheetml.comments+xml"/>
  <Override PartName="/xl/charts/chart150.xml" ContentType="application/vnd.openxmlformats-officedocument.drawingml.chart+xml"/>
  <Override PartName="/xl/charts/style66.xml" ContentType="application/vnd.ms-office.chartstyle+xml"/>
  <Override PartName="/xl/charts/colors66.xml" ContentType="application/vnd.ms-office.chartcolorstyle+xml"/>
  <Override PartName="/xl/charts/chart151.xml" ContentType="application/vnd.openxmlformats-officedocument.drawingml.chart+xml"/>
  <Override PartName="/xl/theme/themeOverride85.xml" ContentType="application/vnd.openxmlformats-officedocument.themeOverride+xml"/>
  <Override PartName="/xl/charts/chart152.xml" ContentType="application/vnd.openxmlformats-officedocument.drawingml.chart+xml"/>
  <Override PartName="/xl/theme/themeOverride86.xml" ContentType="application/vnd.openxmlformats-officedocument.themeOverride+xml"/>
  <Override PartName="/xl/drawings/drawing86.xml" ContentType="application/vnd.openxmlformats-officedocument.drawingml.chartshapes+xml"/>
  <Override PartName="/xl/charts/chart153.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87.xml" ContentType="application/vnd.openxmlformats-officedocument.drawing+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omments44.xml" ContentType="application/vnd.openxmlformats-officedocument.spreadsheetml.comments+xml"/>
  <Override PartName="/xl/charts/chart154.xml" ContentType="application/vnd.openxmlformats-officedocument.drawingml.chart+xml"/>
  <Override PartName="/xl/charts/style68.xml" ContentType="application/vnd.ms-office.chartstyle+xml"/>
  <Override PartName="/xl/charts/colors68.xml" ContentType="application/vnd.ms-office.chartcolorstyle+xml"/>
  <Override PartName="/xl/charts/chart155.xml" ContentType="application/vnd.openxmlformats-officedocument.drawingml.chart+xml"/>
  <Override PartName="/xl/theme/themeOverride87.xml" ContentType="application/vnd.openxmlformats-officedocument.themeOverride+xml"/>
  <Override PartName="/xl/charts/chart156.xml" ContentType="application/vnd.openxmlformats-officedocument.drawingml.chart+xml"/>
  <Override PartName="/xl/theme/themeOverride88.xml" ContentType="application/vnd.openxmlformats-officedocument.themeOverride+xml"/>
  <Override PartName="/xl/drawings/drawing88.xml" ContentType="application/vnd.openxmlformats-officedocument.drawingml.chartshapes+xml"/>
  <Override PartName="/xl/charts/chart157.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89.xml" ContentType="application/vnd.openxmlformats-officedocument.drawing+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omments45.xml" ContentType="application/vnd.openxmlformats-officedocument.spreadsheetml.comments+xml"/>
  <Override PartName="/xl/charts/chart158.xml" ContentType="application/vnd.openxmlformats-officedocument.drawingml.chart+xml"/>
  <Override PartName="/xl/charts/style70.xml" ContentType="application/vnd.ms-office.chartstyle+xml"/>
  <Override PartName="/xl/charts/colors70.xml" ContentType="application/vnd.ms-office.chartcolorstyle+xml"/>
  <Override PartName="/xl/charts/chart159.xml" ContentType="application/vnd.openxmlformats-officedocument.drawingml.chart+xml"/>
  <Override PartName="/xl/theme/themeOverride89.xml" ContentType="application/vnd.openxmlformats-officedocument.themeOverride+xml"/>
  <Override PartName="/xl/charts/chart160.xml" ContentType="application/vnd.openxmlformats-officedocument.drawingml.chart+xml"/>
  <Override PartName="/xl/theme/themeOverride90.xml" ContentType="application/vnd.openxmlformats-officedocument.themeOverride+xml"/>
  <Override PartName="/xl/drawings/drawing90.xml" ContentType="application/vnd.openxmlformats-officedocument.drawingml.chartshapes+xml"/>
  <Override PartName="/xl/charts/chart16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91.xml" ContentType="application/vnd.openxmlformats-officedocument.drawing+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omments46.xml" ContentType="application/vnd.openxmlformats-officedocument.spreadsheetml.comments+xml"/>
  <Override PartName="/xl/charts/chart162.xml" ContentType="application/vnd.openxmlformats-officedocument.drawingml.chart+xml"/>
  <Override PartName="/xl/charts/style72.xml" ContentType="application/vnd.ms-office.chartstyle+xml"/>
  <Override PartName="/xl/charts/colors72.xml" ContentType="application/vnd.ms-office.chartcolorstyle+xml"/>
  <Override PartName="/xl/charts/chart163.xml" ContentType="application/vnd.openxmlformats-officedocument.drawingml.chart+xml"/>
  <Override PartName="/xl/theme/themeOverride91.xml" ContentType="application/vnd.openxmlformats-officedocument.themeOverride+xml"/>
  <Override PartName="/xl/charts/chart164.xml" ContentType="application/vnd.openxmlformats-officedocument.drawingml.chart+xml"/>
  <Override PartName="/xl/theme/themeOverride92.xml" ContentType="application/vnd.openxmlformats-officedocument.themeOverride+xml"/>
  <Override PartName="/xl/drawings/drawing92.xml" ContentType="application/vnd.openxmlformats-officedocument.drawingml.chartshapes+xml"/>
  <Override PartName="/xl/charts/chart165.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93.xml" ContentType="application/vnd.openxmlformats-officedocument.drawing+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omments47.xml" ContentType="application/vnd.openxmlformats-officedocument.spreadsheetml.comments+xml"/>
  <Override PartName="/xl/charts/chart166.xml" ContentType="application/vnd.openxmlformats-officedocument.drawingml.chart+xml"/>
  <Override PartName="/xl/charts/style74.xml" ContentType="application/vnd.ms-office.chartstyle+xml"/>
  <Override PartName="/xl/charts/colors74.xml" ContentType="application/vnd.ms-office.chartcolorstyle+xml"/>
  <Override PartName="/xl/charts/chart167.xml" ContentType="application/vnd.openxmlformats-officedocument.drawingml.chart+xml"/>
  <Override PartName="/xl/theme/themeOverride93.xml" ContentType="application/vnd.openxmlformats-officedocument.themeOverride+xml"/>
  <Override PartName="/xl/charts/chart168.xml" ContentType="application/vnd.openxmlformats-officedocument.drawingml.chart+xml"/>
  <Override PartName="/xl/theme/themeOverride94.xml" ContentType="application/vnd.openxmlformats-officedocument.themeOverride+xml"/>
  <Override PartName="/xl/drawings/drawing94.xml" ContentType="application/vnd.openxmlformats-officedocument.drawingml.chartshapes+xml"/>
  <Override PartName="/xl/charts/chart169.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95.xml" ContentType="application/vnd.openxmlformats-officedocument.drawing+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omments48.xml" ContentType="application/vnd.openxmlformats-officedocument.spreadsheetml.comments+xml"/>
  <Override PartName="/xl/charts/chart170.xml" ContentType="application/vnd.openxmlformats-officedocument.drawingml.chart+xml"/>
  <Override PartName="/xl/charts/style76.xml" ContentType="application/vnd.ms-office.chartstyle+xml"/>
  <Override PartName="/xl/charts/colors76.xml" ContentType="application/vnd.ms-office.chartcolorstyle+xml"/>
  <Override PartName="/xl/charts/chart171.xml" ContentType="application/vnd.openxmlformats-officedocument.drawingml.chart+xml"/>
  <Override PartName="/xl/theme/themeOverride95.xml" ContentType="application/vnd.openxmlformats-officedocument.themeOverride+xml"/>
  <Override PartName="/xl/charts/chart172.xml" ContentType="application/vnd.openxmlformats-officedocument.drawingml.chart+xml"/>
  <Override PartName="/xl/theme/themeOverride96.xml" ContentType="application/vnd.openxmlformats-officedocument.themeOverride+xml"/>
  <Override PartName="/xl/drawings/drawing96.xml" ContentType="application/vnd.openxmlformats-officedocument.drawingml.chartshapes+xml"/>
  <Override PartName="/xl/charts/chart173.xml" ContentType="application/vnd.openxmlformats-officedocument.drawingml.chart+xml"/>
  <Override PartName="/xl/charts/style77.xml" ContentType="application/vnd.ms-office.chartstyle+xml"/>
  <Override PartName="/xl/charts/colors77.xml" ContentType="application/vnd.ms-office.chartcolorstyle+xml"/>
  <Override PartName="/xl/drawings/drawing97.xml" ContentType="application/vnd.openxmlformats-officedocument.drawing+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omments49.xml" ContentType="application/vnd.openxmlformats-officedocument.spreadsheetml.comments+xml"/>
  <Override PartName="/xl/charts/chart174.xml" ContentType="application/vnd.openxmlformats-officedocument.drawingml.chart+xml"/>
  <Override PartName="/xl/charts/style78.xml" ContentType="application/vnd.ms-office.chartstyle+xml"/>
  <Override PartName="/xl/charts/colors78.xml" ContentType="application/vnd.ms-office.chartcolorstyle+xml"/>
  <Override PartName="/xl/charts/chart175.xml" ContentType="application/vnd.openxmlformats-officedocument.drawingml.chart+xml"/>
  <Override PartName="/xl/theme/themeOverride97.xml" ContentType="application/vnd.openxmlformats-officedocument.themeOverride+xml"/>
  <Override PartName="/xl/charts/chart176.xml" ContentType="application/vnd.openxmlformats-officedocument.drawingml.chart+xml"/>
  <Override PartName="/xl/theme/themeOverride98.xml" ContentType="application/vnd.openxmlformats-officedocument.themeOverride+xml"/>
  <Override PartName="/xl/drawings/drawing98.xml" ContentType="application/vnd.openxmlformats-officedocument.drawingml.chartshapes+xml"/>
  <Override PartName="/xl/charts/chart177.xml" ContentType="application/vnd.openxmlformats-officedocument.drawingml.chart+xml"/>
  <Override PartName="/xl/charts/style79.xml" ContentType="application/vnd.ms-office.chartstyle+xml"/>
  <Override PartName="/xl/charts/colors79.xml" ContentType="application/vnd.ms-office.chartcolorstyle+xml"/>
  <Override PartName="/xl/drawings/drawing99.xml" ContentType="application/vnd.openxmlformats-officedocument.drawing+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omments50.xml" ContentType="application/vnd.openxmlformats-officedocument.spreadsheetml.comments+xml"/>
  <Override PartName="/xl/charts/chart178.xml" ContentType="application/vnd.openxmlformats-officedocument.drawingml.chart+xml"/>
  <Override PartName="/xl/charts/style80.xml" ContentType="application/vnd.ms-office.chartstyle+xml"/>
  <Override PartName="/xl/charts/colors80.xml" ContentType="application/vnd.ms-office.chartcolorstyle+xml"/>
  <Override PartName="/xl/charts/chart179.xml" ContentType="application/vnd.openxmlformats-officedocument.drawingml.chart+xml"/>
  <Override PartName="/xl/theme/themeOverride99.xml" ContentType="application/vnd.openxmlformats-officedocument.themeOverride+xml"/>
  <Override PartName="/xl/charts/chart180.xml" ContentType="application/vnd.openxmlformats-officedocument.drawingml.chart+xml"/>
  <Override PartName="/xl/theme/themeOverride100.xml" ContentType="application/vnd.openxmlformats-officedocument.themeOverride+xml"/>
  <Override PartName="/xl/drawings/drawing100.xml" ContentType="application/vnd.openxmlformats-officedocument.drawingml.chartshapes+xml"/>
  <Override PartName="/xl/charts/chart181.xml" ContentType="application/vnd.openxmlformats-officedocument.drawingml.chart+xml"/>
  <Override PartName="/xl/charts/style81.xml" ContentType="application/vnd.ms-office.chartstyle+xml"/>
  <Override PartName="/xl/charts/colors81.xml" ContentType="application/vnd.ms-office.chartcolorstyle+xml"/>
  <Override PartName="/xl/drawings/drawing101.xml" ContentType="application/vnd.openxmlformats-officedocument.drawing+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omments51.xml" ContentType="application/vnd.openxmlformats-officedocument.spreadsheetml.comments+xml"/>
  <Override PartName="/xl/charts/chart182.xml" ContentType="application/vnd.openxmlformats-officedocument.drawingml.chart+xml"/>
  <Override PartName="/xl/charts/style82.xml" ContentType="application/vnd.ms-office.chartstyle+xml"/>
  <Override PartName="/xl/charts/colors82.xml" ContentType="application/vnd.ms-office.chartcolorstyle+xml"/>
  <Override PartName="/xl/charts/chart183.xml" ContentType="application/vnd.openxmlformats-officedocument.drawingml.chart+xml"/>
  <Override PartName="/xl/theme/themeOverride101.xml" ContentType="application/vnd.openxmlformats-officedocument.themeOverride+xml"/>
  <Override PartName="/xl/charts/chart184.xml" ContentType="application/vnd.openxmlformats-officedocument.drawingml.chart+xml"/>
  <Override PartName="/xl/theme/themeOverride102.xml" ContentType="application/vnd.openxmlformats-officedocument.themeOverride+xml"/>
  <Override PartName="/xl/drawings/drawing102.xml" ContentType="application/vnd.openxmlformats-officedocument.drawingml.chartshapes+xml"/>
  <Override PartName="/xl/charts/chart185.xml" ContentType="application/vnd.openxmlformats-officedocument.drawingml.chart+xml"/>
  <Override PartName="/xl/charts/style83.xml" ContentType="application/vnd.ms-office.chartstyle+xml"/>
  <Override PartName="/xl/charts/colors83.xml" ContentType="application/vnd.ms-office.chartcolorstyle+xml"/>
  <Override PartName="/xl/drawings/drawing103.xml" ContentType="application/vnd.openxmlformats-officedocument.drawing+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omments52.xml" ContentType="application/vnd.openxmlformats-officedocument.spreadsheetml.comments+xml"/>
  <Override PartName="/xl/charts/chart186.xml" ContentType="application/vnd.openxmlformats-officedocument.drawingml.chart+xml"/>
  <Override PartName="/xl/charts/style84.xml" ContentType="application/vnd.ms-office.chartstyle+xml"/>
  <Override PartName="/xl/charts/colors84.xml" ContentType="application/vnd.ms-office.chartcolorstyle+xml"/>
  <Override PartName="/xl/charts/chart187.xml" ContentType="application/vnd.openxmlformats-officedocument.drawingml.chart+xml"/>
  <Override PartName="/xl/theme/themeOverride103.xml" ContentType="application/vnd.openxmlformats-officedocument.themeOverride+xml"/>
  <Override PartName="/xl/charts/chart188.xml" ContentType="application/vnd.openxmlformats-officedocument.drawingml.chart+xml"/>
  <Override PartName="/xl/theme/themeOverride104.xml" ContentType="application/vnd.openxmlformats-officedocument.themeOverride+xml"/>
  <Override PartName="/xl/drawings/drawing104.xml" ContentType="application/vnd.openxmlformats-officedocument.drawingml.chartshapes+xml"/>
  <Override PartName="/xl/charts/chart189.xml" ContentType="application/vnd.openxmlformats-officedocument.drawingml.chart+xml"/>
  <Override PartName="/xl/charts/style85.xml" ContentType="application/vnd.ms-office.chartstyle+xml"/>
  <Override PartName="/xl/charts/colors85.xml" ContentType="application/vnd.ms-office.chartcolorstyle+xml"/>
  <Override PartName="/xl/drawings/drawing105.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omments53.xml" ContentType="application/vnd.openxmlformats-officedocument.spreadsheetml.comments+xml"/>
  <Override PartName="/xl/charts/chart190.xml" ContentType="application/vnd.openxmlformats-officedocument.drawingml.chart+xml"/>
  <Override PartName="/xl/charts/style86.xml" ContentType="application/vnd.ms-office.chartstyle+xml"/>
  <Override PartName="/xl/charts/colors86.xml" ContentType="application/vnd.ms-office.chartcolorstyle+xml"/>
  <Override PartName="/xl/charts/chart191.xml" ContentType="application/vnd.openxmlformats-officedocument.drawingml.chart+xml"/>
  <Override PartName="/xl/theme/themeOverride105.xml" ContentType="application/vnd.openxmlformats-officedocument.themeOverride+xml"/>
  <Override PartName="/xl/charts/chart192.xml" ContentType="application/vnd.openxmlformats-officedocument.drawingml.chart+xml"/>
  <Override PartName="/xl/theme/themeOverride106.xml" ContentType="application/vnd.openxmlformats-officedocument.themeOverride+xml"/>
  <Override PartName="/xl/drawings/drawing106.xml" ContentType="application/vnd.openxmlformats-officedocument.drawingml.chartshapes+xml"/>
  <Override PartName="/xl/charts/chart193.xml" ContentType="application/vnd.openxmlformats-officedocument.drawingml.chart+xml"/>
  <Override PartName="/xl/charts/style87.xml" ContentType="application/vnd.ms-office.chartstyle+xml"/>
  <Override PartName="/xl/charts/colors87.xml" ContentType="application/vnd.ms-office.chartcolorstyle+xml"/>
  <Override PartName="/xl/drawings/drawing107.xml" ContentType="application/vnd.openxmlformats-officedocument.drawing+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omments54.xml" ContentType="application/vnd.openxmlformats-officedocument.spreadsheetml.comments+xml"/>
  <Override PartName="/xl/charts/chart194.xml" ContentType="application/vnd.openxmlformats-officedocument.drawingml.chart+xml"/>
  <Override PartName="/xl/charts/style88.xml" ContentType="application/vnd.ms-office.chartstyle+xml"/>
  <Override PartName="/xl/charts/colors88.xml" ContentType="application/vnd.ms-office.chartcolorstyle+xml"/>
  <Override PartName="/xl/charts/chart195.xml" ContentType="application/vnd.openxmlformats-officedocument.drawingml.chart+xml"/>
  <Override PartName="/xl/theme/themeOverride107.xml" ContentType="application/vnd.openxmlformats-officedocument.themeOverride+xml"/>
  <Override PartName="/xl/charts/chart196.xml" ContentType="application/vnd.openxmlformats-officedocument.drawingml.chart+xml"/>
  <Override PartName="/xl/theme/themeOverride108.xml" ContentType="application/vnd.openxmlformats-officedocument.themeOverride+xml"/>
  <Override PartName="/xl/drawings/drawing108.xml" ContentType="application/vnd.openxmlformats-officedocument.drawingml.chartshapes+xml"/>
  <Override PartName="/xl/charts/chart197.xml" ContentType="application/vnd.openxmlformats-officedocument.drawingml.chart+xml"/>
  <Override PartName="/xl/charts/style89.xml" ContentType="application/vnd.ms-office.chartstyle+xml"/>
  <Override PartName="/xl/charts/colors89.xml" ContentType="application/vnd.ms-office.chartcolorstyle+xml"/>
  <Override PartName="/xl/drawings/drawing109.xml" ContentType="application/vnd.openxmlformats-officedocument.drawing+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omments55.xml" ContentType="application/vnd.openxmlformats-officedocument.spreadsheetml.comments+xml"/>
  <Override PartName="/xl/charts/chart198.xml" ContentType="application/vnd.openxmlformats-officedocument.drawingml.chart+xml"/>
  <Override PartName="/xl/charts/style90.xml" ContentType="application/vnd.ms-office.chartstyle+xml"/>
  <Override PartName="/xl/charts/colors90.xml" ContentType="application/vnd.ms-office.chartcolorstyle+xml"/>
  <Override PartName="/xl/charts/chart199.xml" ContentType="application/vnd.openxmlformats-officedocument.drawingml.chart+xml"/>
  <Override PartName="/xl/theme/themeOverride109.xml" ContentType="application/vnd.openxmlformats-officedocument.themeOverride+xml"/>
  <Override PartName="/xl/charts/chart200.xml" ContentType="application/vnd.openxmlformats-officedocument.drawingml.chart+xml"/>
  <Override PartName="/xl/theme/themeOverride110.xml" ContentType="application/vnd.openxmlformats-officedocument.themeOverride+xml"/>
  <Override PartName="/xl/drawings/drawing110.xml" ContentType="application/vnd.openxmlformats-officedocument.drawingml.chartshapes+xml"/>
  <Override PartName="/xl/charts/chart201.xml" ContentType="application/vnd.openxmlformats-officedocument.drawingml.chart+xml"/>
  <Override PartName="/xl/charts/style91.xml" ContentType="application/vnd.ms-office.chartstyle+xml"/>
  <Override PartName="/xl/charts/colors91.xml" ContentType="application/vnd.ms-office.chartcolorstyle+xml"/>
  <Override PartName="/xl/drawings/drawing111.xml" ContentType="application/vnd.openxmlformats-officedocument.drawing+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omments56.xml" ContentType="application/vnd.openxmlformats-officedocument.spreadsheetml.comments+xml"/>
  <Override PartName="/xl/charts/chart202.xml" ContentType="application/vnd.openxmlformats-officedocument.drawingml.chart+xml"/>
  <Override PartName="/xl/charts/style92.xml" ContentType="application/vnd.ms-office.chartstyle+xml"/>
  <Override PartName="/xl/charts/colors92.xml" ContentType="application/vnd.ms-office.chartcolorstyle+xml"/>
  <Override PartName="/xl/charts/chart203.xml" ContentType="application/vnd.openxmlformats-officedocument.drawingml.chart+xml"/>
  <Override PartName="/xl/theme/themeOverride111.xml" ContentType="application/vnd.openxmlformats-officedocument.themeOverride+xml"/>
  <Override PartName="/xl/charts/chart204.xml" ContentType="application/vnd.openxmlformats-officedocument.drawingml.chart+xml"/>
  <Override PartName="/xl/theme/themeOverride112.xml" ContentType="application/vnd.openxmlformats-officedocument.themeOverride+xml"/>
  <Override PartName="/xl/drawings/drawing112.xml" ContentType="application/vnd.openxmlformats-officedocument.drawingml.chartshapes+xml"/>
  <Override PartName="/xl/charts/chart205.xml" ContentType="application/vnd.openxmlformats-officedocument.drawingml.chart+xml"/>
  <Override PartName="/xl/charts/style93.xml" ContentType="application/vnd.ms-office.chartstyle+xml"/>
  <Override PartName="/xl/charts/colors93.xml" ContentType="application/vnd.ms-office.chartcolorstyle+xml"/>
  <Override PartName="/xl/drawings/drawing113.xml" ContentType="application/vnd.openxmlformats-officedocument.drawing+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omments57.xml" ContentType="application/vnd.openxmlformats-officedocument.spreadsheetml.comments+xml"/>
  <Override PartName="/xl/charts/chart206.xml" ContentType="application/vnd.openxmlformats-officedocument.drawingml.chart+xml"/>
  <Override PartName="/xl/charts/style94.xml" ContentType="application/vnd.ms-office.chartstyle+xml"/>
  <Override PartName="/xl/charts/colors94.xml" ContentType="application/vnd.ms-office.chartcolorstyle+xml"/>
  <Override PartName="/xl/charts/chart207.xml" ContentType="application/vnd.openxmlformats-officedocument.drawingml.chart+xml"/>
  <Override PartName="/xl/theme/themeOverride113.xml" ContentType="application/vnd.openxmlformats-officedocument.themeOverride+xml"/>
  <Override PartName="/xl/charts/chart208.xml" ContentType="application/vnd.openxmlformats-officedocument.drawingml.chart+xml"/>
  <Override PartName="/xl/theme/themeOverride114.xml" ContentType="application/vnd.openxmlformats-officedocument.themeOverride+xml"/>
  <Override PartName="/xl/drawings/drawing114.xml" ContentType="application/vnd.openxmlformats-officedocument.drawingml.chartshapes+xml"/>
  <Override PartName="/xl/charts/chart209.xml" ContentType="application/vnd.openxmlformats-officedocument.drawingml.chart+xml"/>
  <Override PartName="/xl/charts/style95.xml" ContentType="application/vnd.ms-office.chartstyle+xml"/>
  <Override PartName="/xl/charts/colors9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DCM-04\Dropbox\14. GEODELTA\003 FORMATOS\"/>
    </mc:Choice>
  </mc:AlternateContent>
  <xr:revisionPtr revIDLastSave="0" documentId="13_ncr:1_{F80BF117-F6C7-4493-9777-268866942177}" xr6:coauthVersionLast="47" xr6:coauthVersionMax="47" xr10:uidLastSave="{00000000-0000-0000-0000-000000000000}"/>
  <bookViews>
    <workbookView xWindow="-120" yWindow="-120" windowWidth="29040" windowHeight="15720" tabRatio="748" firstSheet="17" activeTab="17" xr2:uid="{00000000-000D-0000-FFFF-FFFF00000000}"/>
  </bookViews>
  <sheets>
    <sheet name="CAV-AP1-M3 (2)" sheetId="106" state="hidden" r:id="rId1"/>
    <sheet name="Hoja1" sheetId="6" state="hidden" r:id="rId2"/>
    <sheet name="AP1 M2 EL DORADO" sheetId="34" state="hidden" r:id="rId3"/>
    <sheet name="SIN IDE" sheetId="99" state="hidden" r:id="rId4"/>
    <sheet name="CAV-S1-AP1 M2" sheetId="102" state="hidden" r:id="rId5"/>
    <sheet name="CAV-S1-AP2 M3" sheetId="100" state="hidden" r:id="rId6"/>
    <sheet name="CAV-S2 AP3 M2" sheetId="103" state="hidden" r:id="rId7"/>
    <sheet name="CAV-S2-AP4 M3" sheetId="101" state="hidden" r:id="rId8"/>
    <sheet name="Hoja4" sheetId="104" state="hidden" r:id="rId9"/>
    <sheet name="CAV-AP1-M3" sheetId="105" state="hidden" r:id="rId10"/>
    <sheet name="CAV-AP3-M2-" sheetId="110" state="hidden" r:id="rId11"/>
    <sheet name="CAV-AP4-M2-" sheetId="111" state="hidden" r:id="rId12"/>
    <sheet name="CAV-AP5-M3" sheetId="112" state="hidden" r:id="rId13"/>
    <sheet name="PALMASECA AP1 M3" sheetId="113" state="hidden" r:id="rId14"/>
    <sheet name="PALMASECA AP2 M2 " sheetId="117" state="hidden" r:id="rId15"/>
    <sheet name="PALMASECA AP3 M2" sheetId="118" state="hidden" r:id="rId16"/>
    <sheet name="PALMASECA AP4 M4" sheetId="119" state="hidden" r:id="rId17"/>
    <sheet name="FORMATO" sheetId="123" r:id="rId18"/>
    <sheet name="CONTROL DE CAMBIOS" sheetId="215" r:id="rId19"/>
    <sheet name="V. RICA AP1 M2" sheetId="121" state="hidden" r:id="rId20"/>
    <sheet name="V. RICA AP2 M1" sheetId="122" state="hidden" r:id="rId21"/>
    <sheet name="V. RICA AP3 M1" sheetId="124" state="hidden" r:id="rId22"/>
    <sheet name="V.RICA AP4 M4" sheetId="125" state="hidden" r:id="rId23"/>
    <sheet name="V.RICA AP5 M2" sheetId="126" state="hidden" r:id="rId24"/>
    <sheet name="V.RICA AP6 M2" sheetId="127" state="hidden" r:id="rId25"/>
    <sheet name="P,CIAT AP1 M2" sheetId="128" state="hidden" r:id="rId26"/>
    <sheet name="P.CIAT AP2 M1" sheetId="130" state="hidden" r:id="rId27"/>
    <sheet name="P.CIAT AP3 M2" sheetId="131" state="hidden" r:id="rId28"/>
    <sheet name="P.ESTAMBUL AP1 M2" sheetId="132" state="hidden" r:id="rId29"/>
    <sheet name="P.ESTAMBUL AP2 M2 " sheetId="133" state="hidden" r:id="rId30"/>
    <sheet name="P.ESTAMBUL AP3 M2 " sheetId="134" state="hidden" r:id="rId31"/>
    <sheet name="P-MEDIACANOA AP3 M2" sheetId="140" state="hidden" r:id="rId32"/>
    <sheet name="P-MEDIACANOA AP4 M2" sheetId="141" state="hidden" r:id="rId33"/>
    <sheet name="P-MEDIACANOA AP2 M2" sheetId="142" state="hidden" r:id="rId34"/>
    <sheet name="P-MEDIACANOA AP1 M2" sheetId="135" state="hidden" r:id="rId35"/>
    <sheet name="P-LA TORRE AP1 M2 " sheetId="138" state="hidden" r:id="rId36"/>
    <sheet name="P- LA TORRE AP2 M2" sheetId="139" state="hidden" r:id="rId37"/>
    <sheet name="P-LA TORRE AP3 M2" sheetId="145" state="hidden" r:id="rId38"/>
    <sheet name="P-LA TORRE AP4 M2 " sheetId="146" state="hidden" r:id="rId39"/>
    <sheet name="P- CERRITO AP1 M2" sheetId="147" state="hidden" r:id="rId40"/>
    <sheet name="P- CERRITO AP2 M3" sheetId="148" state="hidden" r:id="rId41"/>
    <sheet name="P- CERRITO AP3 M2 " sheetId="149" state="hidden" r:id="rId42"/>
    <sheet name="P- CERRITO AP4 M2" sheetId="150" state="hidden" r:id="rId43"/>
    <sheet name="P-CENCAR AP1 M1" sheetId="151" state="hidden" r:id="rId44"/>
    <sheet name="P-CENCAR AP2 M1" sheetId="152" state="hidden" r:id="rId45"/>
    <sheet name="P-CENCAR AP3 M2" sheetId="153" state="hidden" r:id="rId46"/>
    <sheet name="P-ROZO AP1 M2" sheetId="155" state="hidden" r:id="rId47"/>
    <sheet name="P-ROZO AP2 M1" sheetId="156" state="hidden" r:id="rId48"/>
    <sheet name="LA TORRE VARIANTE ROZO AP2 M2" sheetId="157" state="hidden" r:id="rId49"/>
    <sheet name="LA TORRE VARIANTE ROZO AP3 M4" sheetId="158" state="hidden" r:id="rId50"/>
    <sheet name="LA TORRE VARIANTE ROZO AP4 M2" sheetId="159" state="hidden" r:id="rId51"/>
    <sheet name="TARDES CALEÑAS AP1 M2" sheetId="160" state="hidden" r:id="rId52"/>
    <sheet name="TARDES CALEÑAS AP2 M2" sheetId="161" state="hidden" r:id="rId53"/>
    <sheet name="TARDES CALEÑAS AP3 M2" sheetId="162" state="hidden" r:id="rId54"/>
    <sheet name="TARDES CALEÑAS AP4 M1" sheetId="163" state="hidden" r:id="rId55"/>
    <sheet name="UNI VALLE AP1  (2)" sheetId="164" state="hidden" r:id="rId56"/>
    <sheet name="UNIVALLE AP2 M1" sheetId="165" state="hidden" r:id="rId57"/>
    <sheet name="UNIVALLE AP3 M2" sheetId="166" state="hidden" r:id="rId58"/>
    <sheet name="UNIVALLE AP4 M2" sheetId="167" state="hidden" r:id="rId59"/>
  </sheets>
  <externalReferences>
    <externalReference r:id="rId60"/>
  </externalReferences>
  <definedNames>
    <definedName name="__123Graph_AYO" localSheetId="9" hidden="1">#REF!</definedName>
    <definedName name="__123Graph_AYO" localSheetId="0" hidden="1">#REF!</definedName>
    <definedName name="__123Graph_AYO" localSheetId="10" hidden="1">#REF!</definedName>
    <definedName name="__123Graph_AYO" localSheetId="11" hidden="1">#REF!</definedName>
    <definedName name="__123Graph_AYO" localSheetId="12" hidden="1">#REF!</definedName>
    <definedName name="__123Graph_AYO" localSheetId="4" hidden="1">#REF!</definedName>
    <definedName name="__123Graph_AYO" localSheetId="5" hidden="1">#REF!</definedName>
    <definedName name="__123Graph_AYO" localSheetId="6" hidden="1">#REF!</definedName>
    <definedName name="__123Graph_AYO" localSheetId="7" hidden="1">#REF!</definedName>
    <definedName name="__123Graph_AYO" localSheetId="17" hidden="1">#REF!</definedName>
    <definedName name="__123Graph_AYO" localSheetId="48" hidden="1">#REF!</definedName>
    <definedName name="__123Graph_AYO" localSheetId="49" hidden="1">#REF!</definedName>
    <definedName name="__123Graph_AYO" localSheetId="50" hidden="1">#REF!</definedName>
    <definedName name="__123Graph_AYO" localSheetId="39" hidden="1">#REF!</definedName>
    <definedName name="__123Graph_AYO" localSheetId="40" hidden="1">#REF!</definedName>
    <definedName name="__123Graph_AYO" localSheetId="41" hidden="1">#REF!</definedName>
    <definedName name="__123Graph_AYO" localSheetId="42" hidden="1">#REF!</definedName>
    <definedName name="__123Graph_AYO" localSheetId="36" hidden="1">#REF!</definedName>
    <definedName name="__123Graph_AYO" localSheetId="25" hidden="1">#REF!</definedName>
    <definedName name="__123Graph_AYO" localSheetId="26" hidden="1">#REF!</definedName>
    <definedName name="__123Graph_AYO" localSheetId="27" hidden="1">#REF!</definedName>
    <definedName name="__123Graph_AYO" localSheetId="28" hidden="1">#REF!</definedName>
    <definedName name="__123Graph_AYO" localSheetId="29" hidden="1">#REF!</definedName>
    <definedName name="__123Graph_AYO" localSheetId="30" hidden="1">#REF!</definedName>
    <definedName name="__123Graph_AYO" localSheetId="13" hidden="1">#REF!</definedName>
    <definedName name="__123Graph_AYO" localSheetId="14" hidden="1">#REF!</definedName>
    <definedName name="__123Graph_AYO" localSheetId="15" hidden="1">#REF!</definedName>
    <definedName name="__123Graph_AYO" localSheetId="16" hidden="1">#REF!</definedName>
    <definedName name="__123Graph_AYO" localSheetId="43" hidden="1">#REF!</definedName>
    <definedName name="__123Graph_AYO" localSheetId="44" hidden="1">#REF!</definedName>
    <definedName name="__123Graph_AYO" localSheetId="45" hidden="1">#REF!</definedName>
    <definedName name="__123Graph_AYO" localSheetId="35" hidden="1">#REF!</definedName>
    <definedName name="__123Graph_AYO" localSheetId="37" hidden="1">#REF!</definedName>
    <definedName name="__123Graph_AYO" localSheetId="38" hidden="1">#REF!</definedName>
    <definedName name="__123Graph_AYO" localSheetId="34" hidden="1">#REF!</definedName>
    <definedName name="__123Graph_AYO" localSheetId="33" hidden="1">#REF!</definedName>
    <definedName name="__123Graph_AYO" localSheetId="31" hidden="1">#REF!</definedName>
    <definedName name="__123Graph_AYO" localSheetId="32" hidden="1">#REF!</definedName>
    <definedName name="__123Graph_AYO" localSheetId="46" hidden="1">#REF!</definedName>
    <definedName name="__123Graph_AYO" localSheetId="47" hidden="1">#REF!</definedName>
    <definedName name="__123Graph_AYO" localSheetId="3" hidden="1">#REF!</definedName>
    <definedName name="__123Graph_AYO" localSheetId="51" hidden="1">#REF!</definedName>
    <definedName name="__123Graph_AYO" localSheetId="52" hidden="1">#REF!</definedName>
    <definedName name="__123Graph_AYO" localSheetId="53" hidden="1">#REF!</definedName>
    <definedName name="__123Graph_AYO" localSheetId="54" hidden="1">#REF!</definedName>
    <definedName name="__123Graph_AYO" localSheetId="55" hidden="1">#REF!</definedName>
    <definedName name="__123Graph_AYO" localSheetId="56" hidden="1">#REF!</definedName>
    <definedName name="__123Graph_AYO" localSheetId="57" hidden="1">#REF!</definedName>
    <definedName name="__123Graph_AYO" localSheetId="58" hidden="1">#REF!</definedName>
    <definedName name="__123Graph_AYO" localSheetId="19" hidden="1">#REF!</definedName>
    <definedName name="__123Graph_AYO" localSheetId="20" hidden="1">#REF!</definedName>
    <definedName name="__123Graph_AYO" localSheetId="21" hidden="1">#REF!</definedName>
    <definedName name="__123Graph_AYO" localSheetId="22" hidden="1">#REF!</definedName>
    <definedName name="__123Graph_AYO" localSheetId="23" hidden="1">#REF!</definedName>
    <definedName name="__123Graph_AYO" localSheetId="24" hidden="1">#REF!</definedName>
    <definedName name="__123Graph_AYO" hidden="1">#REF!</definedName>
    <definedName name="__123Graph_XYO" localSheetId="9" hidden="1">#REF!</definedName>
    <definedName name="__123Graph_XYO" localSheetId="0" hidden="1">#REF!</definedName>
    <definedName name="__123Graph_XYO" localSheetId="10" hidden="1">#REF!</definedName>
    <definedName name="__123Graph_XYO" localSheetId="11" hidden="1">#REF!</definedName>
    <definedName name="__123Graph_XYO" localSheetId="12" hidden="1">#REF!</definedName>
    <definedName name="__123Graph_XYO" localSheetId="4" hidden="1">#REF!</definedName>
    <definedName name="__123Graph_XYO" localSheetId="5" hidden="1">#REF!</definedName>
    <definedName name="__123Graph_XYO" localSheetId="6" hidden="1">#REF!</definedName>
    <definedName name="__123Graph_XYO" localSheetId="7" hidden="1">#REF!</definedName>
    <definedName name="__123Graph_XYO" localSheetId="17" hidden="1">#REF!</definedName>
    <definedName name="__123Graph_XYO" localSheetId="48" hidden="1">#REF!</definedName>
    <definedName name="__123Graph_XYO" localSheetId="49" hidden="1">#REF!</definedName>
    <definedName name="__123Graph_XYO" localSheetId="50" hidden="1">#REF!</definedName>
    <definedName name="__123Graph_XYO" localSheetId="39" hidden="1">#REF!</definedName>
    <definedName name="__123Graph_XYO" localSheetId="40" hidden="1">#REF!</definedName>
    <definedName name="__123Graph_XYO" localSheetId="41" hidden="1">#REF!</definedName>
    <definedName name="__123Graph_XYO" localSheetId="42" hidden="1">#REF!</definedName>
    <definedName name="__123Graph_XYO" localSheetId="36" hidden="1">#REF!</definedName>
    <definedName name="__123Graph_XYO" localSheetId="25" hidden="1">#REF!</definedName>
    <definedName name="__123Graph_XYO" localSheetId="26" hidden="1">#REF!</definedName>
    <definedName name="__123Graph_XYO" localSheetId="27" hidden="1">#REF!</definedName>
    <definedName name="__123Graph_XYO" localSheetId="28" hidden="1">#REF!</definedName>
    <definedName name="__123Graph_XYO" localSheetId="29" hidden="1">#REF!</definedName>
    <definedName name="__123Graph_XYO" localSheetId="30" hidden="1">#REF!</definedName>
    <definedName name="__123Graph_XYO" localSheetId="13" hidden="1">#REF!</definedName>
    <definedName name="__123Graph_XYO" localSheetId="14" hidden="1">#REF!</definedName>
    <definedName name="__123Graph_XYO" localSheetId="15" hidden="1">#REF!</definedName>
    <definedName name="__123Graph_XYO" localSheetId="16" hidden="1">#REF!</definedName>
    <definedName name="__123Graph_XYO" localSheetId="43" hidden="1">#REF!</definedName>
    <definedName name="__123Graph_XYO" localSheetId="44" hidden="1">#REF!</definedName>
    <definedName name="__123Graph_XYO" localSheetId="45" hidden="1">#REF!</definedName>
    <definedName name="__123Graph_XYO" localSheetId="35" hidden="1">#REF!</definedName>
    <definedName name="__123Graph_XYO" localSheetId="37" hidden="1">#REF!</definedName>
    <definedName name="__123Graph_XYO" localSheetId="38" hidden="1">#REF!</definedName>
    <definedName name="__123Graph_XYO" localSheetId="34" hidden="1">#REF!</definedName>
    <definedName name="__123Graph_XYO" localSheetId="33" hidden="1">#REF!</definedName>
    <definedName name="__123Graph_XYO" localSheetId="31" hidden="1">#REF!</definedName>
    <definedName name="__123Graph_XYO" localSheetId="32" hidden="1">#REF!</definedName>
    <definedName name="__123Graph_XYO" localSheetId="46" hidden="1">#REF!</definedName>
    <definedName name="__123Graph_XYO" localSheetId="47" hidden="1">#REF!</definedName>
    <definedName name="__123Graph_XYO" localSheetId="3" hidden="1">#REF!</definedName>
    <definedName name="__123Graph_XYO" localSheetId="51" hidden="1">#REF!</definedName>
    <definedName name="__123Graph_XYO" localSheetId="52" hidden="1">#REF!</definedName>
    <definedName name="__123Graph_XYO" localSheetId="53" hidden="1">#REF!</definedName>
    <definedName name="__123Graph_XYO" localSheetId="54" hidden="1">#REF!</definedName>
    <definedName name="__123Graph_XYO" localSheetId="55" hidden="1">#REF!</definedName>
    <definedName name="__123Graph_XYO" localSheetId="56" hidden="1">#REF!</definedName>
    <definedName name="__123Graph_XYO" localSheetId="57" hidden="1">#REF!</definedName>
    <definedName name="__123Graph_XYO" localSheetId="58" hidden="1">#REF!</definedName>
    <definedName name="__123Graph_XYO" localSheetId="19" hidden="1">#REF!</definedName>
    <definedName name="__123Graph_XYO" localSheetId="20" hidden="1">#REF!</definedName>
    <definedName name="__123Graph_XYO" localSheetId="21" hidden="1">#REF!</definedName>
    <definedName name="__123Graph_XYO" localSheetId="22" hidden="1">#REF!</definedName>
    <definedName name="__123Graph_XYO" localSheetId="23" hidden="1">#REF!</definedName>
    <definedName name="__123Graph_XYO" localSheetId="24" hidden="1">#REF!</definedName>
    <definedName name="__123Graph_XYO" hidden="1">#REF!</definedName>
    <definedName name="_Fill" localSheetId="9" hidden="1">#REF!</definedName>
    <definedName name="_Fill" localSheetId="0" hidden="1">#REF!</definedName>
    <definedName name="_Fill" localSheetId="10" hidden="1">#REF!</definedName>
    <definedName name="_Fill" localSheetId="11" hidden="1">#REF!</definedName>
    <definedName name="_Fill" localSheetId="12" hidden="1">#REF!</definedName>
    <definedName name="_Fill" localSheetId="4" hidden="1">#REF!</definedName>
    <definedName name="_Fill" localSheetId="5" hidden="1">#REF!</definedName>
    <definedName name="_Fill" localSheetId="6" hidden="1">#REF!</definedName>
    <definedName name="_Fill" localSheetId="7" hidden="1">#REF!</definedName>
    <definedName name="_Fill" localSheetId="17" hidden="1">#REF!</definedName>
    <definedName name="_Fill" localSheetId="48" hidden="1">#REF!</definedName>
    <definedName name="_Fill" localSheetId="49" hidden="1">#REF!</definedName>
    <definedName name="_Fill" localSheetId="50" hidden="1">#REF!</definedName>
    <definedName name="_Fill" localSheetId="39" hidden="1">#REF!</definedName>
    <definedName name="_Fill" localSheetId="40" hidden="1">#REF!</definedName>
    <definedName name="_Fill" localSheetId="41" hidden="1">#REF!</definedName>
    <definedName name="_Fill" localSheetId="42" hidden="1">#REF!</definedName>
    <definedName name="_Fill" localSheetId="36" hidden="1">#REF!</definedName>
    <definedName name="_Fill" localSheetId="25" hidden="1">#REF!</definedName>
    <definedName name="_Fill" localSheetId="26" hidden="1">#REF!</definedName>
    <definedName name="_Fill" localSheetId="27" hidden="1">#REF!</definedName>
    <definedName name="_Fill" localSheetId="28" hidden="1">#REF!</definedName>
    <definedName name="_Fill" localSheetId="29" hidden="1">#REF!</definedName>
    <definedName name="_Fill" localSheetId="30" hidden="1">#REF!</definedName>
    <definedName name="_Fill" localSheetId="13" hidden="1">#REF!</definedName>
    <definedName name="_Fill" localSheetId="14" hidden="1">#REF!</definedName>
    <definedName name="_Fill" localSheetId="15" hidden="1">#REF!</definedName>
    <definedName name="_Fill" localSheetId="16" hidden="1">#REF!</definedName>
    <definedName name="_Fill" localSheetId="43" hidden="1">#REF!</definedName>
    <definedName name="_Fill" localSheetId="44" hidden="1">#REF!</definedName>
    <definedName name="_Fill" localSheetId="45" hidden="1">#REF!</definedName>
    <definedName name="_Fill" localSheetId="35" hidden="1">#REF!</definedName>
    <definedName name="_Fill" localSheetId="37" hidden="1">#REF!</definedName>
    <definedName name="_Fill" localSheetId="38" hidden="1">#REF!</definedName>
    <definedName name="_Fill" localSheetId="34" hidden="1">#REF!</definedName>
    <definedName name="_Fill" localSheetId="33" hidden="1">#REF!</definedName>
    <definedName name="_Fill" localSheetId="31" hidden="1">#REF!</definedName>
    <definedName name="_Fill" localSheetId="32" hidden="1">#REF!</definedName>
    <definedName name="_Fill" localSheetId="46" hidden="1">#REF!</definedName>
    <definedName name="_Fill" localSheetId="47" hidden="1">#REF!</definedName>
    <definedName name="_Fill" localSheetId="3" hidden="1">#REF!</definedName>
    <definedName name="_Fill" localSheetId="51" hidden="1">#REF!</definedName>
    <definedName name="_Fill" localSheetId="52" hidden="1">#REF!</definedName>
    <definedName name="_Fill" localSheetId="53" hidden="1">#REF!</definedName>
    <definedName name="_Fill" localSheetId="54" hidden="1">#REF!</definedName>
    <definedName name="_Fill" localSheetId="55" hidden="1">#REF!</definedName>
    <definedName name="_Fill" localSheetId="56" hidden="1">#REF!</definedName>
    <definedName name="_Fill" localSheetId="57" hidden="1">#REF!</definedName>
    <definedName name="_Fill" localSheetId="58" hidden="1">#REF!</definedName>
    <definedName name="_Fill" localSheetId="19" hidden="1">#REF!</definedName>
    <definedName name="_Fill" localSheetId="20" hidden="1">#REF!</definedName>
    <definedName name="_Fill" localSheetId="21" hidden="1">#REF!</definedName>
    <definedName name="_Fill" localSheetId="22" hidden="1">#REF!</definedName>
    <definedName name="_Fill" localSheetId="23" hidden="1">#REF!</definedName>
    <definedName name="_Fill" localSheetId="24" hidden="1">#REF!</definedName>
    <definedName name="_Fill" hidden="1">#REF!</definedName>
    <definedName name="_Regression_Out" localSheetId="9" hidden="1">[1]L!#REF!</definedName>
    <definedName name="_Regression_Out" localSheetId="0" hidden="1">[1]L!#REF!</definedName>
    <definedName name="_Regression_Out" localSheetId="10" hidden="1">[1]L!#REF!</definedName>
    <definedName name="_Regression_Out" localSheetId="11" hidden="1">[1]L!#REF!</definedName>
    <definedName name="_Regression_Out" localSheetId="12" hidden="1">[1]L!#REF!</definedName>
    <definedName name="_Regression_Out" localSheetId="4" hidden="1">[1]L!#REF!</definedName>
    <definedName name="_Regression_Out" localSheetId="5" hidden="1">[1]L!#REF!</definedName>
    <definedName name="_Regression_Out" localSheetId="6" hidden="1">[1]L!#REF!</definedName>
    <definedName name="_Regression_Out" localSheetId="7" hidden="1">[1]L!#REF!</definedName>
    <definedName name="_Regression_Out" localSheetId="17" hidden="1">[1]L!#REF!</definedName>
    <definedName name="_Regression_Out" localSheetId="48" hidden="1">[1]L!#REF!</definedName>
    <definedName name="_Regression_Out" localSheetId="49" hidden="1">[1]L!#REF!</definedName>
    <definedName name="_Regression_Out" localSheetId="50" hidden="1">[1]L!#REF!</definedName>
    <definedName name="_Regression_Out" localSheetId="39" hidden="1">[1]L!#REF!</definedName>
    <definedName name="_Regression_Out" localSheetId="40" hidden="1">[1]L!#REF!</definedName>
    <definedName name="_Regression_Out" localSheetId="41" hidden="1">[1]L!#REF!</definedName>
    <definedName name="_Regression_Out" localSheetId="42" hidden="1">[1]L!#REF!</definedName>
    <definedName name="_Regression_Out" localSheetId="36" hidden="1">[1]L!#REF!</definedName>
    <definedName name="_Regression_Out" localSheetId="25" hidden="1">[1]L!#REF!</definedName>
    <definedName name="_Regression_Out" localSheetId="26" hidden="1">[1]L!#REF!</definedName>
    <definedName name="_Regression_Out" localSheetId="27" hidden="1">[1]L!#REF!</definedName>
    <definedName name="_Regression_Out" localSheetId="28" hidden="1">[1]L!#REF!</definedName>
    <definedName name="_Regression_Out" localSheetId="29" hidden="1">[1]L!#REF!</definedName>
    <definedName name="_Regression_Out" localSheetId="30" hidden="1">[1]L!#REF!</definedName>
    <definedName name="_Regression_Out" localSheetId="13" hidden="1">[1]L!#REF!</definedName>
    <definedName name="_Regression_Out" localSheetId="14" hidden="1">[1]L!#REF!</definedName>
    <definedName name="_Regression_Out" localSheetId="15" hidden="1">[1]L!#REF!</definedName>
    <definedName name="_Regression_Out" localSheetId="16" hidden="1">[1]L!#REF!</definedName>
    <definedName name="_Regression_Out" localSheetId="43" hidden="1">[1]L!#REF!</definedName>
    <definedName name="_Regression_Out" localSheetId="44" hidden="1">[1]L!#REF!</definedName>
    <definedName name="_Regression_Out" localSheetId="45" hidden="1">[1]L!#REF!</definedName>
    <definedName name="_Regression_Out" localSheetId="35" hidden="1">[1]L!#REF!</definedName>
    <definedName name="_Regression_Out" localSheetId="37" hidden="1">[1]L!#REF!</definedName>
    <definedName name="_Regression_Out" localSheetId="38" hidden="1">[1]L!#REF!</definedName>
    <definedName name="_Regression_Out" localSheetId="34" hidden="1">[1]L!#REF!</definedName>
    <definedName name="_Regression_Out" localSheetId="33" hidden="1">[1]L!#REF!</definedName>
    <definedName name="_Regression_Out" localSheetId="31" hidden="1">[1]L!#REF!</definedName>
    <definedName name="_Regression_Out" localSheetId="32" hidden="1">[1]L!#REF!</definedName>
    <definedName name="_Regression_Out" localSheetId="46" hidden="1">[1]L!#REF!</definedName>
    <definedName name="_Regression_Out" localSheetId="47" hidden="1">[1]L!#REF!</definedName>
    <definedName name="_Regression_Out" localSheetId="3" hidden="1">[1]L!#REF!</definedName>
    <definedName name="_Regression_Out" localSheetId="51" hidden="1">[1]L!#REF!</definedName>
    <definedName name="_Regression_Out" localSheetId="52" hidden="1">[1]L!#REF!</definedName>
    <definedName name="_Regression_Out" localSheetId="53" hidden="1">[1]L!#REF!</definedName>
    <definedName name="_Regression_Out" localSheetId="54" hidden="1">[1]L!#REF!</definedName>
    <definedName name="_Regression_Out" localSheetId="55" hidden="1">[1]L!#REF!</definedName>
    <definedName name="_Regression_Out" localSheetId="56" hidden="1">[1]L!#REF!</definedName>
    <definedName name="_Regression_Out" localSheetId="57" hidden="1">[1]L!#REF!</definedName>
    <definedName name="_Regression_Out" localSheetId="58" hidden="1">[1]L!#REF!</definedName>
    <definedName name="_Regression_Out" localSheetId="19" hidden="1">[1]L!#REF!</definedName>
    <definedName name="_Regression_Out" localSheetId="20" hidden="1">[1]L!#REF!</definedName>
    <definedName name="_Regression_Out" localSheetId="21" hidden="1">[1]L!#REF!</definedName>
    <definedName name="_Regression_Out" localSheetId="22" hidden="1">[1]L!#REF!</definedName>
    <definedName name="_Regression_Out" localSheetId="23" hidden="1">[1]L!#REF!</definedName>
    <definedName name="_Regression_Out" localSheetId="24" hidden="1">[1]L!#REF!</definedName>
    <definedName name="_Regression_Out" hidden="1">[1]L!#REF!</definedName>
    <definedName name="_Regression_X" localSheetId="9" hidden="1">#REF!</definedName>
    <definedName name="_Regression_X" localSheetId="0" hidden="1">#REF!</definedName>
    <definedName name="_Regression_X" localSheetId="10" hidden="1">#REF!</definedName>
    <definedName name="_Regression_X" localSheetId="11" hidden="1">#REF!</definedName>
    <definedName name="_Regression_X" localSheetId="12" hidden="1">#REF!</definedName>
    <definedName name="_Regression_X" localSheetId="4" hidden="1">#REF!</definedName>
    <definedName name="_Regression_X" localSheetId="5" hidden="1">#REF!</definedName>
    <definedName name="_Regression_X" localSheetId="6" hidden="1">#REF!</definedName>
    <definedName name="_Regression_X" localSheetId="7" hidden="1">#REF!</definedName>
    <definedName name="_Regression_X" localSheetId="17" hidden="1">#REF!</definedName>
    <definedName name="_Regression_X" localSheetId="48" hidden="1">#REF!</definedName>
    <definedName name="_Regression_X" localSheetId="49" hidden="1">#REF!</definedName>
    <definedName name="_Regression_X" localSheetId="50" hidden="1">#REF!</definedName>
    <definedName name="_Regression_X" localSheetId="39" hidden="1">#REF!</definedName>
    <definedName name="_Regression_X" localSheetId="40" hidden="1">#REF!</definedName>
    <definedName name="_Regression_X" localSheetId="41" hidden="1">#REF!</definedName>
    <definedName name="_Regression_X" localSheetId="42" hidden="1">#REF!</definedName>
    <definedName name="_Regression_X" localSheetId="36" hidden="1">#REF!</definedName>
    <definedName name="_Regression_X" localSheetId="25" hidden="1">#REF!</definedName>
    <definedName name="_Regression_X" localSheetId="26" hidden="1">#REF!</definedName>
    <definedName name="_Regression_X" localSheetId="27" hidden="1">#REF!</definedName>
    <definedName name="_Regression_X" localSheetId="28" hidden="1">#REF!</definedName>
    <definedName name="_Regression_X" localSheetId="29" hidden="1">#REF!</definedName>
    <definedName name="_Regression_X" localSheetId="30" hidden="1">#REF!</definedName>
    <definedName name="_Regression_X" localSheetId="13" hidden="1">#REF!</definedName>
    <definedName name="_Regression_X" localSheetId="14" hidden="1">#REF!</definedName>
    <definedName name="_Regression_X" localSheetId="15" hidden="1">#REF!</definedName>
    <definedName name="_Regression_X" localSheetId="16" hidden="1">#REF!</definedName>
    <definedName name="_Regression_X" localSheetId="43" hidden="1">#REF!</definedName>
    <definedName name="_Regression_X" localSheetId="44" hidden="1">#REF!</definedName>
    <definedName name="_Regression_X" localSheetId="45" hidden="1">#REF!</definedName>
    <definedName name="_Regression_X" localSheetId="35" hidden="1">#REF!</definedName>
    <definedName name="_Regression_X" localSheetId="37" hidden="1">#REF!</definedName>
    <definedName name="_Regression_X" localSheetId="38" hidden="1">#REF!</definedName>
    <definedName name="_Regression_X" localSheetId="34" hidden="1">#REF!</definedName>
    <definedName name="_Regression_X" localSheetId="33" hidden="1">#REF!</definedName>
    <definedName name="_Regression_X" localSheetId="31" hidden="1">#REF!</definedName>
    <definedName name="_Regression_X" localSheetId="32" hidden="1">#REF!</definedName>
    <definedName name="_Regression_X" localSheetId="46" hidden="1">#REF!</definedName>
    <definedName name="_Regression_X" localSheetId="47" hidden="1">#REF!</definedName>
    <definedName name="_Regression_X" localSheetId="3" hidden="1">#REF!</definedName>
    <definedName name="_Regression_X" localSheetId="51" hidden="1">#REF!</definedName>
    <definedName name="_Regression_X" localSheetId="52" hidden="1">#REF!</definedName>
    <definedName name="_Regression_X" localSheetId="53" hidden="1">#REF!</definedName>
    <definedName name="_Regression_X" localSheetId="54" hidden="1">#REF!</definedName>
    <definedName name="_Regression_X" localSheetId="55" hidden="1">#REF!</definedName>
    <definedName name="_Regression_X" localSheetId="56" hidden="1">#REF!</definedName>
    <definedName name="_Regression_X" localSheetId="57" hidden="1">#REF!</definedName>
    <definedName name="_Regression_X" localSheetId="58" hidden="1">#REF!</definedName>
    <definedName name="_Regression_X" localSheetId="19" hidden="1">#REF!</definedName>
    <definedName name="_Regression_X" localSheetId="20" hidden="1">#REF!</definedName>
    <definedName name="_Regression_X" localSheetId="21" hidden="1">#REF!</definedName>
    <definedName name="_Regression_X" localSheetId="22" hidden="1">#REF!</definedName>
    <definedName name="_Regression_X" localSheetId="23" hidden="1">#REF!</definedName>
    <definedName name="_Regression_X" localSheetId="24" hidden="1">#REF!</definedName>
    <definedName name="_Regression_X" hidden="1">#REF!</definedName>
    <definedName name="_Regression_Y" localSheetId="9" hidden="1">#REF!</definedName>
    <definedName name="_Regression_Y" localSheetId="0" hidden="1">#REF!</definedName>
    <definedName name="_Regression_Y" localSheetId="10" hidden="1">#REF!</definedName>
    <definedName name="_Regression_Y" localSheetId="11" hidden="1">#REF!</definedName>
    <definedName name="_Regression_Y" localSheetId="12" hidden="1">#REF!</definedName>
    <definedName name="_Regression_Y" localSheetId="4" hidden="1">#REF!</definedName>
    <definedName name="_Regression_Y" localSheetId="5" hidden="1">#REF!</definedName>
    <definedName name="_Regression_Y" localSheetId="6" hidden="1">#REF!</definedName>
    <definedName name="_Regression_Y" localSheetId="7" hidden="1">#REF!</definedName>
    <definedName name="_Regression_Y" localSheetId="17" hidden="1">#REF!</definedName>
    <definedName name="_Regression_Y" localSheetId="48" hidden="1">#REF!</definedName>
    <definedName name="_Regression_Y" localSheetId="49" hidden="1">#REF!</definedName>
    <definedName name="_Regression_Y" localSheetId="50" hidden="1">#REF!</definedName>
    <definedName name="_Regression_Y" localSheetId="39" hidden="1">#REF!</definedName>
    <definedName name="_Regression_Y" localSheetId="40" hidden="1">#REF!</definedName>
    <definedName name="_Regression_Y" localSheetId="41" hidden="1">#REF!</definedName>
    <definedName name="_Regression_Y" localSheetId="42" hidden="1">#REF!</definedName>
    <definedName name="_Regression_Y" localSheetId="36" hidden="1">#REF!</definedName>
    <definedName name="_Regression_Y" localSheetId="25" hidden="1">#REF!</definedName>
    <definedName name="_Regression_Y" localSheetId="26" hidden="1">#REF!</definedName>
    <definedName name="_Regression_Y" localSheetId="27" hidden="1">#REF!</definedName>
    <definedName name="_Regression_Y" localSheetId="28" hidden="1">#REF!</definedName>
    <definedName name="_Regression_Y" localSheetId="29" hidden="1">#REF!</definedName>
    <definedName name="_Regression_Y" localSheetId="30" hidden="1">#REF!</definedName>
    <definedName name="_Regression_Y" localSheetId="13" hidden="1">#REF!</definedName>
    <definedName name="_Regression_Y" localSheetId="14" hidden="1">#REF!</definedName>
    <definedName name="_Regression_Y" localSheetId="15" hidden="1">#REF!</definedName>
    <definedName name="_Regression_Y" localSheetId="16" hidden="1">#REF!</definedName>
    <definedName name="_Regression_Y" localSheetId="43" hidden="1">#REF!</definedName>
    <definedName name="_Regression_Y" localSheetId="44" hidden="1">#REF!</definedName>
    <definedName name="_Regression_Y" localSheetId="45" hidden="1">#REF!</definedName>
    <definedName name="_Regression_Y" localSheetId="35" hidden="1">#REF!</definedName>
    <definedName name="_Regression_Y" localSheetId="37" hidden="1">#REF!</definedName>
    <definedName name="_Regression_Y" localSheetId="38" hidden="1">#REF!</definedName>
    <definedName name="_Regression_Y" localSheetId="34" hidden="1">#REF!</definedName>
    <definedName name="_Regression_Y" localSheetId="33" hidden="1">#REF!</definedName>
    <definedName name="_Regression_Y" localSheetId="31" hidden="1">#REF!</definedName>
    <definedName name="_Regression_Y" localSheetId="32" hidden="1">#REF!</definedName>
    <definedName name="_Regression_Y" localSheetId="46" hidden="1">#REF!</definedName>
    <definedName name="_Regression_Y" localSheetId="47" hidden="1">#REF!</definedName>
    <definedName name="_Regression_Y" localSheetId="3" hidden="1">#REF!</definedName>
    <definedName name="_Regression_Y" localSheetId="51" hidden="1">#REF!</definedName>
    <definedName name="_Regression_Y" localSheetId="52" hidden="1">#REF!</definedName>
    <definedName name="_Regression_Y" localSheetId="53" hidden="1">#REF!</definedName>
    <definedName name="_Regression_Y" localSheetId="54" hidden="1">#REF!</definedName>
    <definedName name="_Regression_Y" localSheetId="55" hidden="1">#REF!</definedName>
    <definedName name="_Regression_Y" localSheetId="56" hidden="1">#REF!</definedName>
    <definedName name="_Regression_Y" localSheetId="57" hidden="1">#REF!</definedName>
    <definedName name="_Regression_Y" localSheetId="58" hidden="1">#REF!</definedName>
    <definedName name="_Regression_Y" localSheetId="19" hidden="1">#REF!</definedName>
    <definedName name="_Regression_Y" localSheetId="20" hidden="1">#REF!</definedName>
    <definedName name="_Regression_Y" localSheetId="21" hidden="1">#REF!</definedName>
    <definedName name="_Regression_Y" localSheetId="22" hidden="1">#REF!</definedName>
    <definedName name="_Regression_Y" localSheetId="23" hidden="1">#REF!</definedName>
    <definedName name="_Regression_Y" localSheetId="24" hidden="1">#REF!</definedName>
    <definedName name="_Regression_Y" hidden="1">#REF!</definedName>
    <definedName name="_xlnm.Print_Area" localSheetId="2">'AP1 M2 EL DORADO'!$A$1:$AH$67</definedName>
    <definedName name="_xlnm.Print_Area" localSheetId="9">'CAV-AP1-M3'!$A$1:$AH$67</definedName>
    <definedName name="_xlnm.Print_Area" localSheetId="0">'CAV-AP1-M3 (2)'!$A$1:$AH$67</definedName>
    <definedName name="_xlnm.Print_Area" localSheetId="10">'CAV-AP3-M2-'!$A$1:$AH$67</definedName>
    <definedName name="_xlnm.Print_Area" localSheetId="11">'CAV-AP4-M2-'!$A$1:$AH$67</definedName>
    <definedName name="_xlnm.Print_Area" localSheetId="12">'CAV-AP5-M3'!$A$1:$AH$67</definedName>
    <definedName name="_xlnm.Print_Area" localSheetId="4">'CAV-S1-AP1 M2'!$A$1:$AH$67</definedName>
    <definedName name="_xlnm.Print_Area" localSheetId="5">'CAV-S1-AP2 M3'!$A$1:$AH$67</definedName>
    <definedName name="_xlnm.Print_Area" localSheetId="6">'CAV-S2 AP3 M2'!$A$1:$AH$67</definedName>
    <definedName name="_xlnm.Print_Area" localSheetId="7">'CAV-S2-AP4 M3'!$A$1:$AH$67</definedName>
    <definedName name="_xlnm.Print_Area" localSheetId="17">FORMATO!$A$1:$AH$67</definedName>
    <definedName name="_xlnm.Print_Area" localSheetId="1">Hoja1!$A$1:$AH$67</definedName>
    <definedName name="_xlnm.Print_Area" localSheetId="48">'LA TORRE VARIANTE ROZO AP2 M2'!$A$1:$AH$67</definedName>
    <definedName name="_xlnm.Print_Area" localSheetId="49">'LA TORRE VARIANTE ROZO AP3 M4'!$A$1:$AH$67</definedName>
    <definedName name="_xlnm.Print_Area" localSheetId="50">'LA TORRE VARIANTE ROZO AP4 M2'!$A$1:$AH$67</definedName>
    <definedName name="_xlnm.Print_Area" localSheetId="39">'P- CERRITO AP1 M2'!$A$1:$AH$67</definedName>
    <definedName name="_xlnm.Print_Area" localSheetId="40">'P- CERRITO AP2 M3'!$A$1:$AH$67</definedName>
    <definedName name="_xlnm.Print_Area" localSheetId="41">'P- CERRITO AP3 M2 '!$A$1:$AH$67</definedName>
    <definedName name="_xlnm.Print_Area" localSheetId="42">'P- CERRITO AP4 M2'!$A$1:$AH$67</definedName>
    <definedName name="_xlnm.Print_Area" localSheetId="36">'P- LA TORRE AP2 M2'!$A$1:$AH$67</definedName>
    <definedName name="_xlnm.Print_Area" localSheetId="25">'P,CIAT AP1 M2'!$A$1:$AH$67</definedName>
    <definedName name="_xlnm.Print_Area" localSheetId="26">'P.CIAT AP2 M1'!$A$1:$AH$67</definedName>
    <definedName name="_xlnm.Print_Area" localSheetId="27">'P.CIAT AP3 M2'!$A$1:$AH$67</definedName>
    <definedName name="_xlnm.Print_Area" localSheetId="28">'P.ESTAMBUL AP1 M2'!$A$1:$AH$67</definedName>
    <definedName name="_xlnm.Print_Area" localSheetId="29">'P.ESTAMBUL AP2 M2 '!$A$1:$AH$67</definedName>
    <definedName name="_xlnm.Print_Area" localSheetId="30">'P.ESTAMBUL AP3 M2 '!$A$1:$AH$67</definedName>
    <definedName name="_xlnm.Print_Area" localSheetId="13">'PALMASECA AP1 M3'!$A$1:$AH$67</definedName>
    <definedName name="_xlnm.Print_Area" localSheetId="14">'PALMASECA AP2 M2 '!$A$1:$AH$67</definedName>
    <definedName name="_xlnm.Print_Area" localSheetId="15">'PALMASECA AP3 M2'!$A$1:$AH$67</definedName>
    <definedName name="_xlnm.Print_Area" localSheetId="16">'PALMASECA AP4 M4'!$A$1:$AH$67</definedName>
    <definedName name="_xlnm.Print_Area" localSheetId="43">'P-CENCAR AP1 M1'!$A$1:$AH$67</definedName>
    <definedName name="_xlnm.Print_Area" localSheetId="44">'P-CENCAR AP2 M1'!$A$1:$AH$67</definedName>
    <definedName name="_xlnm.Print_Area" localSheetId="45">'P-CENCAR AP3 M2'!$A$1:$AH$67</definedName>
    <definedName name="_xlnm.Print_Area" localSheetId="35">'P-LA TORRE AP1 M2 '!$A$1:$AH$67</definedName>
    <definedName name="_xlnm.Print_Area" localSheetId="37">'P-LA TORRE AP3 M2'!$A$1:$AH$67</definedName>
    <definedName name="_xlnm.Print_Area" localSheetId="38">'P-LA TORRE AP4 M2 '!$A$1:$AH$67</definedName>
    <definedName name="_xlnm.Print_Area" localSheetId="34">'P-MEDIACANOA AP1 M2'!$A$1:$AH$67</definedName>
    <definedName name="_xlnm.Print_Area" localSheetId="33">'P-MEDIACANOA AP2 M2'!$A$1:$AH$67</definedName>
    <definedName name="_xlnm.Print_Area" localSheetId="31">'P-MEDIACANOA AP3 M2'!$A$1:$AH$67</definedName>
    <definedName name="_xlnm.Print_Area" localSheetId="32">'P-MEDIACANOA AP4 M2'!$A$1:$AH$67</definedName>
    <definedName name="_xlnm.Print_Area" localSheetId="46">'P-ROZO AP1 M2'!$A$1:$AH$67</definedName>
    <definedName name="_xlnm.Print_Area" localSheetId="47">'P-ROZO AP2 M1'!$A$1:$AH$67</definedName>
    <definedName name="_xlnm.Print_Area" localSheetId="3">'SIN IDE'!$A$1:$AH$67</definedName>
    <definedName name="_xlnm.Print_Area" localSheetId="51">'TARDES CALEÑAS AP1 M2'!$A$1:$AH$67</definedName>
    <definedName name="_xlnm.Print_Area" localSheetId="52">'TARDES CALEÑAS AP2 M2'!$A$1:$AH$67</definedName>
    <definedName name="_xlnm.Print_Area" localSheetId="53">'TARDES CALEÑAS AP3 M2'!$A$1:$AH$67</definedName>
    <definedName name="_xlnm.Print_Area" localSheetId="54">'TARDES CALEÑAS AP4 M1'!$A$1:$AH$67</definedName>
    <definedName name="_xlnm.Print_Area" localSheetId="55">'UNI VALLE AP1  (2)'!$A$1:$AH$67</definedName>
    <definedName name="_xlnm.Print_Area" localSheetId="56">'UNIVALLE AP2 M1'!$A$1:$AH$67</definedName>
    <definedName name="_xlnm.Print_Area" localSheetId="57">'UNIVALLE AP3 M2'!$A$1:$AH$67</definedName>
    <definedName name="_xlnm.Print_Area" localSheetId="58">'UNIVALLE AP4 M2'!$A$1:$AH$67</definedName>
    <definedName name="_xlnm.Print_Area" localSheetId="19">'V. RICA AP1 M2'!$A$1:$AH$67</definedName>
    <definedName name="_xlnm.Print_Area" localSheetId="20">'V. RICA AP2 M1'!$A$1:$AH$67</definedName>
    <definedName name="_xlnm.Print_Area" localSheetId="21">'V. RICA AP3 M1'!$A$1:$AH$67</definedName>
    <definedName name="_xlnm.Print_Area" localSheetId="22">'V.RICA AP4 M4'!$A$1:$AH$67</definedName>
    <definedName name="_xlnm.Print_Area" localSheetId="23">'V.RICA AP5 M2'!$A$1:$AH$67</definedName>
    <definedName name="_xlnm.Print_Area" localSheetId="24">'V.RICA AP6 M2'!$A$1:$AH$67</definedName>
    <definedName name="GFDGSD" localSheetId="9" hidden="1">[1]L!#REF!</definedName>
    <definedName name="GFDGSD" localSheetId="0" hidden="1">[1]L!#REF!</definedName>
    <definedName name="GFDGSD" localSheetId="10" hidden="1">[1]L!#REF!</definedName>
    <definedName name="GFDGSD" localSheetId="11" hidden="1">[1]L!#REF!</definedName>
    <definedName name="GFDGSD" localSheetId="12" hidden="1">[1]L!#REF!</definedName>
    <definedName name="GFDGSD" localSheetId="4" hidden="1">[1]L!#REF!</definedName>
    <definedName name="GFDGSD" localSheetId="5" hidden="1">[1]L!#REF!</definedName>
    <definedName name="GFDGSD" localSheetId="6" hidden="1">[1]L!#REF!</definedName>
    <definedName name="GFDGSD" localSheetId="7" hidden="1">[1]L!#REF!</definedName>
    <definedName name="GFDGSD" localSheetId="17" hidden="1">[1]L!#REF!</definedName>
    <definedName name="GFDGSD" localSheetId="48" hidden="1">[1]L!#REF!</definedName>
    <definedName name="GFDGSD" localSheetId="49" hidden="1">[1]L!#REF!</definedName>
    <definedName name="GFDGSD" localSheetId="50" hidden="1">[1]L!#REF!</definedName>
    <definedName name="GFDGSD" localSheetId="39" hidden="1">[1]L!#REF!</definedName>
    <definedName name="GFDGSD" localSheetId="40" hidden="1">[1]L!#REF!</definedName>
    <definedName name="GFDGSD" localSheetId="41" hidden="1">[1]L!#REF!</definedName>
    <definedName name="GFDGSD" localSheetId="42" hidden="1">[1]L!#REF!</definedName>
    <definedName name="GFDGSD" localSheetId="36" hidden="1">[1]L!#REF!</definedName>
    <definedName name="GFDGSD" localSheetId="25" hidden="1">[1]L!#REF!</definedName>
    <definedName name="GFDGSD" localSheetId="26" hidden="1">[1]L!#REF!</definedName>
    <definedName name="GFDGSD" localSheetId="27" hidden="1">[1]L!#REF!</definedName>
    <definedName name="GFDGSD" localSheetId="28" hidden="1">[1]L!#REF!</definedName>
    <definedName name="GFDGSD" localSheetId="29" hidden="1">[1]L!#REF!</definedName>
    <definedName name="GFDGSD" localSheetId="30" hidden="1">[1]L!#REF!</definedName>
    <definedName name="GFDGSD" localSheetId="13" hidden="1">[1]L!#REF!</definedName>
    <definedName name="GFDGSD" localSheetId="14" hidden="1">[1]L!#REF!</definedName>
    <definedName name="GFDGSD" localSheetId="15" hidden="1">[1]L!#REF!</definedName>
    <definedName name="GFDGSD" localSheetId="16" hidden="1">[1]L!#REF!</definedName>
    <definedName name="GFDGSD" localSheetId="43" hidden="1">[1]L!#REF!</definedName>
    <definedName name="GFDGSD" localSheetId="44" hidden="1">[1]L!#REF!</definedName>
    <definedName name="GFDGSD" localSheetId="45" hidden="1">[1]L!#REF!</definedName>
    <definedName name="GFDGSD" localSheetId="35" hidden="1">[1]L!#REF!</definedName>
    <definedName name="GFDGSD" localSheetId="37" hidden="1">[1]L!#REF!</definedName>
    <definedName name="GFDGSD" localSheetId="38" hidden="1">[1]L!#REF!</definedName>
    <definedName name="GFDGSD" localSheetId="34" hidden="1">[1]L!#REF!</definedName>
    <definedName name="GFDGSD" localSheetId="33" hidden="1">[1]L!#REF!</definedName>
    <definedName name="GFDGSD" localSheetId="31" hidden="1">[1]L!#REF!</definedName>
    <definedName name="GFDGSD" localSheetId="32" hidden="1">[1]L!#REF!</definedName>
    <definedName name="GFDGSD" localSheetId="46" hidden="1">[1]L!#REF!</definedName>
    <definedName name="GFDGSD" localSheetId="47" hidden="1">[1]L!#REF!</definedName>
    <definedName name="GFDGSD" localSheetId="3" hidden="1">[1]L!#REF!</definedName>
    <definedName name="GFDGSD" localSheetId="51" hidden="1">[1]L!#REF!</definedName>
    <definedName name="GFDGSD" localSheetId="52" hidden="1">[1]L!#REF!</definedName>
    <definedName name="GFDGSD" localSheetId="53" hidden="1">[1]L!#REF!</definedName>
    <definedName name="GFDGSD" localSheetId="54" hidden="1">[1]L!#REF!</definedName>
    <definedName name="GFDGSD" localSheetId="55" hidden="1">[1]L!#REF!</definedName>
    <definedName name="GFDGSD" localSheetId="56" hidden="1">[1]L!#REF!</definedName>
    <definedName name="GFDGSD" localSheetId="57" hidden="1">[1]L!#REF!</definedName>
    <definedName name="GFDGSD" localSheetId="58" hidden="1">[1]L!#REF!</definedName>
    <definedName name="GFDGSD" localSheetId="19" hidden="1">[1]L!#REF!</definedName>
    <definedName name="GFDGSD" localSheetId="20" hidden="1">[1]L!#REF!</definedName>
    <definedName name="GFDGSD" localSheetId="21" hidden="1">[1]L!#REF!</definedName>
    <definedName name="GFDGSD" localSheetId="22" hidden="1">[1]L!#REF!</definedName>
    <definedName name="GFDGSD" localSheetId="23" hidden="1">[1]L!#REF!</definedName>
    <definedName name="GFDGSD" localSheetId="24" hidden="1">[1]L!#REF!</definedName>
    <definedName name="GFDGSD" hidden="1">[1]L!#REF!</definedName>
    <definedName name="S1M18" localSheetId="9" hidden="1">#REF!</definedName>
    <definedName name="S1M18" localSheetId="0" hidden="1">#REF!</definedName>
    <definedName name="S1M18" localSheetId="10" hidden="1">#REF!</definedName>
    <definedName name="S1M18" localSheetId="11" hidden="1">#REF!</definedName>
    <definedName name="S1M18" localSheetId="12" hidden="1">#REF!</definedName>
    <definedName name="S1M18" localSheetId="4" hidden="1">#REF!</definedName>
    <definedName name="S1M18" localSheetId="5" hidden="1">#REF!</definedName>
    <definedName name="S1M18" localSheetId="6" hidden="1">#REF!</definedName>
    <definedName name="S1M18" localSheetId="7" hidden="1">#REF!</definedName>
    <definedName name="S1M18" localSheetId="17" hidden="1">#REF!</definedName>
    <definedName name="S1M18" localSheetId="48" hidden="1">#REF!</definedName>
    <definedName name="S1M18" localSheetId="49" hidden="1">#REF!</definedName>
    <definedName name="S1M18" localSheetId="50" hidden="1">#REF!</definedName>
    <definedName name="S1M18" localSheetId="39" hidden="1">#REF!</definedName>
    <definedName name="S1M18" localSheetId="40" hidden="1">#REF!</definedName>
    <definedName name="S1M18" localSheetId="41" hidden="1">#REF!</definedName>
    <definedName name="S1M18" localSheetId="42" hidden="1">#REF!</definedName>
    <definedName name="S1M18" localSheetId="36" hidden="1">#REF!</definedName>
    <definedName name="S1M18" localSheetId="25" hidden="1">#REF!</definedName>
    <definedName name="S1M18" localSheetId="26" hidden="1">#REF!</definedName>
    <definedName name="S1M18" localSheetId="27" hidden="1">#REF!</definedName>
    <definedName name="S1M18" localSheetId="28" hidden="1">#REF!</definedName>
    <definedName name="S1M18" localSheetId="29" hidden="1">#REF!</definedName>
    <definedName name="S1M18" localSheetId="30" hidden="1">#REF!</definedName>
    <definedName name="S1M18" localSheetId="13" hidden="1">#REF!</definedName>
    <definedName name="S1M18" localSheetId="14" hidden="1">#REF!</definedName>
    <definedName name="S1M18" localSheetId="15" hidden="1">#REF!</definedName>
    <definedName name="S1M18" localSheetId="16" hidden="1">#REF!</definedName>
    <definedName name="S1M18" localSheetId="43" hidden="1">#REF!</definedName>
    <definedName name="S1M18" localSheetId="44" hidden="1">#REF!</definedName>
    <definedName name="S1M18" localSheetId="45" hidden="1">#REF!</definedName>
    <definedName name="S1M18" localSheetId="35" hidden="1">#REF!</definedName>
    <definedName name="S1M18" localSheetId="37" hidden="1">#REF!</definedName>
    <definedName name="S1M18" localSheetId="38" hidden="1">#REF!</definedName>
    <definedName name="S1M18" localSheetId="34" hidden="1">#REF!</definedName>
    <definedName name="S1M18" localSheetId="33" hidden="1">#REF!</definedName>
    <definedName name="S1M18" localSheetId="31" hidden="1">#REF!</definedName>
    <definedName name="S1M18" localSheetId="32" hidden="1">#REF!</definedName>
    <definedName name="S1M18" localSheetId="46" hidden="1">#REF!</definedName>
    <definedName name="S1M18" localSheetId="47" hidden="1">#REF!</definedName>
    <definedName name="S1M18" localSheetId="3" hidden="1">#REF!</definedName>
    <definedName name="S1M18" localSheetId="51" hidden="1">#REF!</definedName>
    <definedName name="S1M18" localSheetId="52" hidden="1">#REF!</definedName>
    <definedName name="S1M18" localSheetId="53" hidden="1">#REF!</definedName>
    <definedName name="S1M18" localSheetId="54" hidden="1">#REF!</definedName>
    <definedName name="S1M18" localSheetId="55" hidden="1">#REF!</definedName>
    <definedName name="S1M18" localSheetId="56" hidden="1">#REF!</definedName>
    <definedName name="S1M18" localSheetId="57" hidden="1">#REF!</definedName>
    <definedName name="S1M18" localSheetId="58" hidden="1">#REF!</definedName>
    <definedName name="S1M18" localSheetId="19" hidden="1">#REF!</definedName>
    <definedName name="S1M18" localSheetId="20" hidden="1">#REF!</definedName>
    <definedName name="S1M18" localSheetId="21" hidden="1">#REF!</definedName>
    <definedName name="S1M18" localSheetId="22" hidden="1">#REF!</definedName>
    <definedName name="S1M18" localSheetId="23" hidden="1">#REF!</definedName>
    <definedName name="S1M18" localSheetId="24" hidden="1">#REF!</definedName>
    <definedName name="S1M18"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2" i="123" l="1"/>
  <c r="AE9" i="123"/>
  <c r="AC9" i="123"/>
  <c r="V12" i="123"/>
  <c r="K10" i="123"/>
  <c r="AB10" i="123"/>
  <c r="AB51" i="123"/>
  <c r="M40" i="123"/>
  <c r="M37" i="123"/>
  <c r="M20" i="123"/>
  <c r="M31" i="123" l="1"/>
  <c r="L95" i="123"/>
  <c r="F34" i="123"/>
  <c r="AC23" i="123"/>
  <c r="AC24" i="123"/>
  <c r="Y24" i="123"/>
  <c r="Y37" i="123"/>
  <c r="Y35" i="123"/>
  <c r="Y34" i="123"/>
  <c r="Y33" i="123"/>
  <c r="Y31" i="123"/>
  <c r="Y30" i="123"/>
  <c r="Y28" i="123"/>
  <c r="Y26" i="123"/>
  <c r="Y25" i="123"/>
  <c r="Y23" i="123"/>
  <c r="Q28" i="123"/>
  <c r="Q13" i="123" l="1"/>
  <c r="AF12" i="123"/>
  <c r="AC12" i="123"/>
  <c r="R12" i="123"/>
  <c r="AB9" i="123"/>
  <c r="Q6" i="123"/>
  <c r="AL51" i="163" l="1"/>
  <c r="AL52" i="163"/>
  <c r="AL53" i="163"/>
  <c r="AL54" i="163"/>
  <c r="AL55" i="163"/>
  <c r="AL56" i="163"/>
  <c r="AL57" i="163"/>
  <c r="AL58" i="163"/>
  <c r="AL59" i="163"/>
  <c r="AL60" i="163"/>
  <c r="AL61" i="163"/>
  <c r="AL50" i="163"/>
  <c r="W22" i="149"/>
  <c r="AL51" i="162"/>
  <c r="AL52" i="162"/>
  <c r="AL53" i="162"/>
  <c r="AL54" i="162"/>
  <c r="AI26" i="162" s="1"/>
  <c r="AL55" i="162"/>
  <c r="AL56" i="162"/>
  <c r="AL57" i="162"/>
  <c r="AL58" i="162"/>
  <c r="AL59" i="162"/>
  <c r="AL60" i="162"/>
  <c r="AL61" i="162"/>
  <c r="AL50" i="162"/>
  <c r="AI22" i="162" s="1"/>
  <c r="AI23" i="162"/>
  <c r="AI24" i="162"/>
  <c r="AI25" i="162"/>
  <c r="AI27" i="162"/>
  <c r="AI28" i="162"/>
  <c r="AI29" i="162"/>
  <c r="AI30" i="162"/>
  <c r="AI31" i="162"/>
  <c r="AI32" i="162"/>
  <c r="AI33" i="162"/>
  <c r="AJ22" i="162"/>
  <c r="AK23" i="162"/>
  <c r="AK24" i="162"/>
  <c r="AK25" i="162"/>
  <c r="AK26" i="162"/>
  <c r="AK27" i="162"/>
  <c r="AK28" i="162"/>
  <c r="AK29" i="162"/>
  <c r="AK30" i="162"/>
  <c r="AK31" i="162"/>
  <c r="AK32" i="162"/>
  <c r="AK33" i="162"/>
  <c r="AK22" i="162"/>
  <c r="AE26" i="161"/>
  <c r="AE25" i="161"/>
  <c r="AE24" i="161"/>
  <c r="AE23" i="161"/>
  <c r="AE28" i="161"/>
  <c r="AK23" i="161"/>
  <c r="AK24" i="161"/>
  <c r="AK25" i="161"/>
  <c r="AK26" i="161"/>
  <c r="AK27" i="161"/>
  <c r="AK28" i="161"/>
  <c r="AK29" i="161"/>
  <c r="AK30" i="161"/>
  <c r="AK31" i="161"/>
  <c r="AK32" i="161"/>
  <c r="AK33" i="161"/>
  <c r="AK22" i="161"/>
  <c r="AK23" i="160"/>
  <c r="AK24" i="160"/>
  <c r="AK25" i="160"/>
  <c r="AK26" i="160"/>
  <c r="AK27" i="160"/>
  <c r="AK28" i="160"/>
  <c r="AK29" i="160"/>
  <c r="AK30" i="160"/>
  <c r="AK31" i="160"/>
  <c r="AK32" i="160"/>
  <c r="AK33" i="160"/>
  <c r="AK22" i="160"/>
  <c r="W31" i="160"/>
  <c r="AI23" i="160"/>
  <c r="AI24" i="160"/>
  <c r="AI25" i="160"/>
  <c r="AI26" i="160"/>
  <c r="AI27" i="160"/>
  <c r="AI28" i="160"/>
  <c r="AI29" i="160"/>
  <c r="AI30" i="160"/>
  <c r="AI31" i="160"/>
  <c r="AI32" i="160"/>
  <c r="AI33" i="160"/>
  <c r="AI22" i="160"/>
  <c r="AL51" i="160"/>
  <c r="AL52" i="160"/>
  <c r="AL53" i="160"/>
  <c r="AL54" i="160"/>
  <c r="AL55" i="160"/>
  <c r="AL56" i="160"/>
  <c r="AL57" i="160"/>
  <c r="AL58" i="160"/>
  <c r="AL59" i="160"/>
  <c r="AL60" i="160"/>
  <c r="AL61" i="160"/>
  <c r="AL50" i="160"/>
  <c r="E34" i="160"/>
  <c r="AB8" i="158" l="1"/>
  <c r="AB8" i="159"/>
  <c r="AB8" i="157"/>
  <c r="AA26" i="159"/>
  <c r="AA25" i="159"/>
  <c r="AA24" i="159"/>
  <c r="AA23" i="159"/>
  <c r="AL50" i="159"/>
  <c r="AL51" i="159"/>
  <c r="AL52" i="159"/>
  <c r="AL53" i="159"/>
  <c r="AL54" i="159"/>
  <c r="AL55" i="159"/>
  <c r="AL56" i="159"/>
  <c r="AL57" i="159"/>
  <c r="AL58" i="159"/>
  <c r="AL59" i="159"/>
  <c r="AL60" i="159"/>
  <c r="AL61" i="159"/>
  <c r="AK23" i="159"/>
  <c r="AK24" i="159"/>
  <c r="AK25" i="159"/>
  <c r="AK26" i="159"/>
  <c r="AK27" i="159"/>
  <c r="AK28" i="159"/>
  <c r="AK29" i="159"/>
  <c r="AK30" i="159"/>
  <c r="AK31" i="159"/>
  <c r="AK32" i="159"/>
  <c r="AK33" i="159"/>
  <c r="AK22" i="159"/>
  <c r="AK23" i="158"/>
  <c r="AK24" i="158"/>
  <c r="AK25" i="158"/>
  <c r="AK26" i="158"/>
  <c r="AK27" i="158"/>
  <c r="AK28" i="158"/>
  <c r="AK29" i="158"/>
  <c r="AK30" i="158"/>
  <c r="AK31" i="158"/>
  <c r="AK32" i="158"/>
  <c r="AK33" i="158"/>
  <c r="AK22" i="158"/>
  <c r="AL51" i="158"/>
  <c r="AL52" i="158"/>
  <c r="AL53" i="158"/>
  <c r="AL54" i="158"/>
  <c r="AL55" i="158"/>
  <c r="AL56" i="158"/>
  <c r="AL57" i="158"/>
  <c r="AL58" i="158"/>
  <c r="AL59" i="158"/>
  <c r="AL60" i="158"/>
  <c r="AL61" i="158"/>
  <c r="AL50" i="158"/>
  <c r="AK23" i="157"/>
  <c r="AK24" i="157"/>
  <c r="AK25" i="157"/>
  <c r="AK26" i="157"/>
  <c r="AK27" i="157"/>
  <c r="AK28" i="157"/>
  <c r="AK29" i="157"/>
  <c r="AK30" i="157"/>
  <c r="AK31" i="157"/>
  <c r="AK32" i="157"/>
  <c r="AK33" i="157"/>
  <c r="AK22" i="157"/>
  <c r="AN50" i="157"/>
  <c r="AN51" i="157"/>
  <c r="AN52" i="157"/>
  <c r="AN53" i="157"/>
  <c r="AN54" i="157"/>
  <c r="AN55" i="157"/>
  <c r="AN56" i="157"/>
  <c r="AN57" i="157"/>
  <c r="AN58" i="157"/>
  <c r="AN59" i="157"/>
  <c r="AN60" i="157"/>
  <c r="AN61" i="157"/>
  <c r="AJ22" i="155"/>
  <c r="AK23" i="167"/>
  <c r="AK24" i="167"/>
  <c r="AK25" i="167"/>
  <c r="AK26" i="167"/>
  <c r="AK27" i="167"/>
  <c r="AK28" i="167"/>
  <c r="AK29" i="167"/>
  <c r="AK30" i="167"/>
  <c r="AK31" i="167"/>
  <c r="AK32" i="167"/>
  <c r="AK33" i="167"/>
  <c r="AK22" i="167"/>
  <c r="AJ23" i="167"/>
  <c r="AJ24" i="167"/>
  <c r="AJ25" i="167"/>
  <c r="AJ26" i="167"/>
  <c r="AA26" i="167" s="1"/>
  <c r="AJ27" i="167"/>
  <c r="AJ28" i="167"/>
  <c r="AJ29" i="167"/>
  <c r="AJ30" i="167"/>
  <c r="AA33" i="167" s="1"/>
  <c r="AJ31" i="167"/>
  <c r="AJ32" i="167"/>
  <c r="AJ33" i="167"/>
  <c r="AJ22" i="167"/>
  <c r="AN50" i="167"/>
  <c r="AN51" i="167"/>
  <c r="AN52" i="167"/>
  <c r="AN53" i="167"/>
  <c r="AN54" i="167"/>
  <c r="AN55" i="167"/>
  <c r="AN56" i="167"/>
  <c r="AN57" i="167"/>
  <c r="AN58" i="167"/>
  <c r="AN59" i="167"/>
  <c r="AN60" i="167"/>
  <c r="AN61" i="167"/>
  <c r="H37" i="165"/>
  <c r="F34" i="167"/>
  <c r="H84" i="167" s="1"/>
  <c r="H83" i="167" s="1"/>
  <c r="AI22" i="165"/>
  <c r="AJ22" i="165"/>
  <c r="AK22" i="165" s="1"/>
  <c r="AI23" i="165"/>
  <c r="W23" i="165" s="1"/>
  <c r="AL76" i="165" s="1"/>
  <c r="AM76" i="165" s="1"/>
  <c r="AJ23" i="165"/>
  <c r="AK23" i="165" s="1"/>
  <c r="AI24" i="165"/>
  <c r="AJ24" i="165"/>
  <c r="AK24" i="165" s="1"/>
  <c r="AE24" i="165" s="1"/>
  <c r="AI25" i="165"/>
  <c r="AJ25" i="165"/>
  <c r="AK25" i="165" s="1"/>
  <c r="AE25" i="165" s="1"/>
  <c r="AI26" i="165"/>
  <c r="AJ26" i="165"/>
  <c r="AK26" i="165" s="1"/>
  <c r="AI27" i="165"/>
  <c r="W28" i="165" s="1"/>
  <c r="AL80" i="165" s="1"/>
  <c r="AM80" i="165" s="1"/>
  <c r="AJ27" i="165"/>
  <c r="AK27" i="165"/>
  <c r="AI28" i="165"/>
  <c r="W30" i="165" s="1"/>
  <c r="AJ28" i="165"/>
  <c r="AK28" i="165" s="1"/>
  <c r="AE30" i="165" s="1"/>
  <c r="AI29" i="165"/>
  <c r="AJ29" i="165"/>
  <c r="AK29" i="165" s="1"/>
  <c r="AE31" i="165" s="1"/>
  <c r="AG31" i="165" s="1"/>
  <c r="AI30" i="165"/>
  <c r="AJ30" i="165"/>
  <c r="AK30" i="165"/>
  <c r="AI31" i="165"/>
  <c r="W34" i="165" s="1"/>
  <c r="AL84" i="165" s="1"/>
  <c r="AM84" i="165" s="1"/>
  <c r="AJ31" i="165"/>
  <c r="AK31" i="165" s="1"/>
  <c r="AE34" i="165" s="1"/>
  <c r="AI32" i="165"/>
  <c r="AJ32" i="165"/>
  <c r="AK32" i="165" s="1"/>
  <c r="AE35" i="165" s="1"/>
  <c r="AI33" i="165"/>
  <c r="AJ33" i="165"/>
  <c r="AK33" i="165" s="1"/>
  <c r="AE37" i="165" s="1"/>
  <c r="F34" i="164"/>
  <c r="H84" i="164" s="1"/>
  <c r="H83" i="164" s="1"/>
  <c r="AJ86" i="167"/>
  <c r="AK86" i="167" s="1"/>
  <c r="AJ85" i="167"/>
  <c r="AK85" i="167" s="1"/>
  <c r="L85" i="167"/>
  <c r="AJ84" i="167"/>
  <c r="AK84" i="167" s="1"/>
  <c r="AJ83" i="167"/>
  <c r="AK83" i="167" s="1"/>
  <c r="E83" i="167"/>
  <c r="AJ82" i="167"/>
  <c r="AK82" i="167" s="1"/>
  <c r="AJ81" i="167"/>
  <c r="AK81" i="167" s="1"/>
  <c r="AJ80" i="167"/>
  <c r="AK80" i="167" s="1"/>
  <c r="AJ79" i="167"/>
  <c r="AK79" i="167" s="1"/>
  <c r="AJ78" i="167"/>
  <c r="AK78" i="167" s="1"/>
  <c r="D78" i="167"/>
  <c r="AK77" i="167"/>
  <c r="AJ77" i="167"/>
  <c r="AK76" i="167"/>
  <c r="AJ76" i="167"/>
  <c r="AQ75" i="167"/>
  <c r="AP75" i="167"/>
  <c r="AO75" i="167"/>
  <c r="AN75" i="167"/>
  <c r="AK75" i="167"/>
  <c r="AJ75" i="167"/>
  <c r="AB51" i="167"/>
  <c r="AH47" i="167"/>
  <c r="AH48" i="167" s="1"/>
  <c r="AG47" i="167"/>
  <c r="AG48" i="167" s="1"/>
  <c r="AF47" i="167"/>
  <c r="AF48" i="167" s="1"/>
  <c r="X47" i="167"/>
  <c r="S47" i="167"/>
  <c r="R47" i="167"/>
  <c r="Q47" i="167"/>
  <c r="M42" i="167"/>
  <c r="S92" i="167" s="1"/>
  <c r="S40" i="167"/>
  <c r="R40" i="167"/>
  <c r="Q40" i="167"/>
  <c r="AD39" i="167"/>
  <c r="AA39" i="167"/>
  <c r="W39" i="167"/>
  <c r="AS37" i="167"/>
  <c r="V37" i="167"/>
  <c r="AS36" i="167"/>
  <c r="AS35" i="167"/>
  <c r="W35" i="167"/>
  <c r="Y35" i="167" s="1"/>
  <c r="V35" i="167"/>
  <c r="AS34" i="167"/>
  <c r="W34" i="167"/>
  <c r="AL84" i="167" s="1"/>
  <c r="AM84" i="167" s="1"/>
  <c r="V34" i="167"/>
  <c r="H34" i="167"/>
  <c r="J84" i="167" s="1"/>
  <c r="J83" i="167" s="1"/>
  <c r="G34" i="167"/>
  <c r="I84" i="167" s="1"/>
  <c r="I83" i="167" s="1"/>
  <c r="E34" i="167"/>
  <c r="G84" i="167" s="1"/>
  <c r="G83" i="167" s="1"/>
  <c r="AS33" i="167"/>
  <c r="AA37" i="167"/>
  <c r="AI33" i="167"/>
  <c r="W37" i="167" s="1"/>
  <c r="V33" i="167"/>
  <c r="M33" i="167"/>
  <c r="AS32" i="167"/>
  <c r="AA35" i="167"/>
  <c r="AI32" i="167"/>
  <c r="AS31" i="167"/>
  <c r="AA34" i="167"/>
  <c r="AI31" i="167"/>
  <c r="W31" i="167"/>
  <c r="AL82" i="167" s="1"/>
  <c r="AM82" i="167" s="1"/>
  <c r="V31" i="167"/>
  <c r="AS30" i="167"/>
  <c r="AI30" i="167"/>
  <c r="W33" i="167" s="1"/>
  <c r="V30" i="167"/>
  <c r="AS29" i="167"/>
  <c r="AA31" i="167"/>
  <c r="AI29" i="167"/>
  <c r="AS28" i="167"/>
  <c r="AE30" i="167"/>
  <c r="AI28" i="167"/>
  <c r="W30" i="167" s="1"/>
  <c r="W28" i="167"/>
  <c r="AL80" i="167" s="1"/>
  <c r="AM80" i="167" s="1"/>
  <c r="V28" i="167"/>
  <c r="S28" i="167"/>
  <c r="R28" i="167"/>
  <c r="Q28" i="167"/>
  <c r="M28" i="167"/>
  <c r="AS27" i="167"/>
  <c r="AA28" i="167"/>
  <c r="AI27" i="167"/>
  <c r="S27" i="167"/>
  <c r="R27" i="167"/>
  <c r="Q27" i="167"/>
  <c r="AS26" i="167"/>
  <c r="AI26" i="167"/>
  <c r="W26" i="167"/>
  <c r="AL79" i="167" s="1"/>
  <c r="AM79" i="167" s="1"/>
  <c r="W40" i="167" s="1"/>
  <c r="V26" i="167"/>
  <c r="AS25" i="167"/>
  <c r="AE25" i="167"/>
  <c r="AI25" i="167"/>
  <c r="W25" i="167" s="1"/>
  <c r="V25" i="167"/>
  <c r="E25" i="167"/>
  <c r="E36" i="167" s="1"/>
  <c r="AS24" i="167"/>
  <c r="AE24" i="167"/>
  <c r="AI24" i="167"/>
  <c r="AA24" i="167"/>
  <c r="AN77" i="167" s="1"/>
  <c r="AO77" i="167" s="1"/>
  <c r="W24" i="167"/>
  <c r="AL77" i="167" s="1"/>
  <c r="AM77" i="167" s="1"/>
  <c r="V24" i="167"/>
  <c r="G24" i="167"/>
  <c r="H24" i="167" s="1"/>
  <c r="F24" i="167"/>
  <c r="AS23" i="167"/>
  <c r="AA23" i="167"/>
  <c r="AI23" i="167"/>
  <c r="W23" i="167" s="1"/>
  <c r="V23" i="167"/>
  <c r="F23" i="167"/>
  <c r="F25" i="167" s="1"/>
  <c r="F36" i="167" s="1"/>
  <c r="AS22" i="167"/>
  <c r="AI22" i="167"/>
  <c r="AG22" i="167"/>
  <c r="AC22" i="167"/>
  <c r="W22" i="167"/>
  <c r="Y22" i="167" s="1"/>
  <c r="V22" i="167"/>
  <c r="F21" i="167"/>
  <c r="G21" i="167" s="1"/>
  <c r="H21" i="167" s="1"/>
  <c r="M20" i="167"/>
  <c r="F20" i="167"/>
  <c r="G20" i="167" s="1"/>
  <c r="H20" i="167" s="1"/>
  <c r="AE19" i="167"/>
  <c r="AL90" i="167" s="1"/>
  <c r="AA19" i="167"/>
  <c r="AK90" i="167" s="1"/>
  <c r="W19" i="167"/>
  <c r="AJ90" i="167" s="1"/>
  <c r="Q13" i="167"/>
  <c r="AF12" i="167"/>
  <c r="AB10" i="167"/>
  <c r="W10" i="167"/>
  <c r="Q10" i="167"/>
  <c r="O10" i="167"/>
  <c r="K10" i="167"/>
  <c r="W9" i="167"/>
  <c r="Q9" i="167"/>
  <c r="O9" i="167"/>
  <c r="AV8" i="167"/>
  <c r="AB8" i="167"/>
  <c r="W8" i="167"/>
  <c r="Q8" i="167"/>
  <c r="O8" i="167"/>
  <c r="AB7" i="167"/>
  <c r="W7" i="167"/>
  <c r="Q7" i="167"/>
  <c r="O7" i="167"/>
  <c r="AB6" i="167"/>
  <c r="W6" i="167"/>
  <c r="Q6" i="167"/>
  <c r="O6" i="167"/>
  <c r="R1" i="167"/>
  <c r="AK86" i="166"/>
  <c r="AJ86" i="166"/>
  <c r="AK85" i="166"/>
  <c r="AJ85" i="166"/>
  <c r="L85" i="166"/>
  <c r="AK84" i="166"/>
  <c r="AJ84" i="166"/>
  <c r="AK83" i="166"/>
  <c r="AJ83" i="166"/>
  <c r="AK82" i="166"/>
  <c r="AJ82" i="166"/>
  <c r="AK81" i="166"/>
  <c r="AJ81" i="166"/>
  <c r="AK80" i="166"/>
  <c r="AJ80" i="166"/>
  <c r="AK79" i="166"/>
  <c r="AJ79" i="166"/>
  <c r="AK78" i="166"/>
  <c r="AJ78" i="166"/>
  <c r="D78" i="166"/>
  <c r="AJ77" i="166"/>
  <c r="AK77" i="166" s="1"/>
  <c r="AJ76" i="166"/>
  <c r="AK76" i="166" s="1"/>
  <c r="AQ75" i="166"/>
  <c r="AP75" i="166"/>
  <c r="AN75" i="166"/>
  <c r="AO75" i="166" s="1"/>
  <c r="AJ75" i="166"/>
  <c r="AK75" i="166" s="1"/>
  <c r="AH48" i="166"/>
  <c r="AH47" i="166"/>
  <c r="AG47" i="166"/>
  <c r="AG48" i="166" s="1"/>
  <c r="AF47" i="166"/>
  <c r="AF48" i="166" s="1"/>
  <c r="X47" i="166"/>
  <c r="S47" i="166"/>
  <c r="R47" i="166"/>
  <c r="Q47" i="166"/>
  <c r="M42" i="166"/>
  <c r="S40" i="166"/>
  <c r="R40" i="166"/>
  <c r="Q40" i="166"/>
  <c r="AD39" i="166"/>
  <c r="AA39" i="166"/>
  <c r="W39" i="166"/>
  <c r="AS37" i="166"/>
  <c r="V37" i="166"/>
  <c r="M37" i="166"/>
  <c r="M30" i="166" s="1"/>
  <c r="M41" i="166" s="1"/>
  <c r="AS36" i="166"/>
  <c r="AS35" i="166"/>
  <c r="W35" i="166"/>
  <c r="AL85" i="166" s="1"/>
  <c r="AM85" i="166" s="1"/>
  <c r="V35" i="166"/>
  <c r="AS34" i="166"/>
  <c r="W34" i="166"/>
  <c r="Y34" i="166" s="1"/>
  <c r="V34" i="166"/>
  <c r="H34" i="166"/>
  <c r="J84" i="166" s="1"/>
  <c r="J83" i="166" s="1"/>
  <c r="G34" i="166"/>
  <c r="I84" i="166" s="1"/>
  <c r="I83" i="166" s="1"/>
  <c r="F34" i="166"/>
  <c r="H84" i="166" s="1"/>
  <c r="H83" i="166" s="1"/>
  <c r="E34" i="166"/>
  <c r="G84" i="166" s="1"/>
  <c r="G83" i="166" s="1"/>
  <c r="AS33" i="166"/>
  <c r="AJ33" i="166"/>
  <c r="AA37" i="166" s="1"/>
  <c r="AI33" i="166"/>
  <c r="W37" i="166" s="1"/>
  <c r="AC33" i="166"/>
  <c r="AA33" i="166"/>
  <c r="AN83" i="166" s="1"/>
  <c r="AO83" i="166" s="1"/>
  <c r="AA41" i="166" s="1"/>
  <c r="V33" i="166"/>
  <c r="M33" i="166"/>
  <c r="AS32" i="166"/>
  <c r="AJ32" i="166"/>
  <c r="AA35" i="166" s="1"/>
  <c r="AI32" i="166"/>
  <c r="AS31" i="166"/>
  <c r="AJ31" i="166"/>
  <c r="AA34" i="166" s="1"/>
  <c r="AI31" i="166"/>
  <c r="V31" i="166"/>
  <c r="AS30" i="166"/>
  <c r="AK30" i="166"/>
  <c r="AE33" i="166" s="1"/>
  <c r="AJ30" i="166"/>
  <c r="AI30" i="166"/>
  <c r="W33" i="166" s="1"/>
  <c r="Y30" i="166"/>
  <c r="W30" i="166"/>
  <c r="AL81" i="166" s="1"/>
  <c r="AM81" i="166" s="1"/>
  <c r="V30" i="166"/>
  <c r="AS29" i="166"/>
  <c r="AK29" i="166"/>
  <c r="AE31" i="166" s="1"/>
  <c r="AJ29" i="166"/>
  <c r="AA31" i="166" s="1"/>
  <c r="AI29" i="166"/>
  <c r="W31" i="166" s="1"/>
  <c r="AS28" i="166"/>
  <c r="AK28" i="166"/>
  <c r="AE30" i="166" s="1"/>
  <c r="AJ28" i="166"/>
  <c r="AA30" i="166" s="1"/>
  <c r="AI28" i="166"/>
  <c r="W28" i="166"/>
  <c r="AL80" i="166" s="1"/>
  <c r="AM80" i="166" s="1"/>
  <c r="V28" i="166"/>
  <c r="S28" i="166"/>
  <c r="S30" i="166" s="1"/>
  <c r="R28" i="166"/>
  <c r="Q28" i="166"/>
  <c r="M28" i="166"/>
  <c r="AS27" i="166"/>
  <c r="AJ27" i="166"/>
  <c r="AA28" i="166" s="1"/>
  <c r="AI27" i="166"/>
  <c r="S27" i="166"/>
  <c r="R27" i="166"/>
  <c r="Q27" i="166"/>
  <c r="AS26" i="166"/>
  <c r="AK26" i="166"/>
  <c r="AJ26" i="166"/>
  <c r="AI26" i="166"/>
  <c r="W26" i="166" s="1"/>
  <c r="AG26" i="166"/>
  <c r="AE26" i="166"/>
  <c r="AP79" i="166" s="1"/>
  <c r="AQ79" i="166" s="1"/>
  <c r="AD40" i="166" s="1"/>
  <c r="AA26" i="166"/>
  <c r="AN79" i="166" s="1"/>
  <c r="AO79" i="166" s="1"/>
  <c r="AA40" i="166" s="1"/>
  <c r="AA42" i="166" s="1"/>
  <c r="AK94" i="166" s="1"/>
  <c r="V26" i="166"/>
  <c r="AS25" i="166"/>
  <c r="AK25" i="166"/>
  <c r="AJ25" i="166"/>
  <c r="AA25" i="166" s="1"/>
  <c r="AI25" i="166"/>
  <c r="AG25" i="166"/>
  <c r="AE25" i="166"/>
  <c r="AP78" i="166" s="1"/>
  <c r="AQ78" i="166" s="1"/>
  <c r="Y25" i="166"/>
  <c r="W25" i="166"/>
  <c r="AL78" i="166" s="1"/>
  <c r="AM78" i="166" s="1"/>
  <c r="V25" i="166"/>
  <c r="G25" i="166"/>
  <c r="G36" i="166" s="1"/>
  <c r="F25" i="166"/>
  <c r="E25" i="166"/>
  <c r="E36" i="166" s="1"/>
  <c r="AS24" i="166"/>
  <c r="AK24" i="166"/>
  <c r="AJ24" i="166"/>
  <c r="AA24" i="166" s="1"/>
  <c r="AI24" i="166"/>
  <c r="AE24" i="166"/>
  <c r="AP77" i="166" s="1"/>
  <c r="AQ77" i="166" s="1"/>
  <c r="W24" i="166"/>
  <c r="AL77" i="166" s="1"/>
  <c r="AM77" i="166" s="1"/>
  <c r="V24" i="166"/>
  <c r="F24" i="166"/>
  <c r="G24" i="166" s="1"/>
  <c r="H24" i="166" s="1"/>
  <c r="AS23" i="166"/>
  <c r="AK23" i="166"/>
  <c r="AJ23" i="166"/>
  <c r="AI23" i="166"/>
  <c r="W23" i="166" s="1"/>
  <c r="AG23" i="166"/>
  <c r="AE23" i="166"/>
  <c r="AP76" i="166" s="1"/>
  <c r="AQ76" i="166" s="1"/>
  <c r="AA23" i="166"/>
  <c r="AN76" i="166" s="1"/>
  <c r="AO76" i="166" s="1"/>
  <c r="V23" i="166"/>
  <c r="H23" i="166"/>
  <c r="H25" i="166" s="1"/>
  <c r="G23" i="166"/>
  <c r="F23" i="166"/>
  <c r="AS22" i="166"/>
  <c r="AK22" i="166"/>
  <c r="AJ22" i="166"/>
  <c r="AI22" i="166"/>
  <c r="AG22" i="166"/>
  <c r="AC22" i="166"/>
  <c r="Y22" i="166"/>
  <c r="W22" i="166"/>
  <c r="AL75" i="166" s="1"/>
  <c r="AM75" i="166" s="1"/>
  <c r="V22" i="166"/>
  <c r="H21" i="166"/>
  <c r="G21" i="166"/>
  <c r="F21" i="166"/>
  <c r="M20" i="166"/>
  <c r="H20" i="166"/>
  <c r="G20" i="166"/>
  <c r="F20" i="166"/>
  <c r="AE19" i="166"/>
  <c r="AB53" i="166" s="1"/>
  <c r="AA19" i="166"/>
  <c r="AK90" i="166" s="1"/>
  <c r="W19" i="166"/>
  <c r="AJ90" i="166" s="1"/>
  <c r="Q13" i="166"/>
  <c r="AF12" i="166"/>
  <c r="AC12" i="166"/>
  <c r="V12" i="166"/>
  <c r="R12" i="166"/>
  <c r="AB10" i="166"/>
  <c r="W10" i="166"/>
  <c r="Q10" i="166"/>
  <c r="O10" i="166"/>
  <c r="K10" i="166"/>
  <c r="W9" i="166"/>
  <c r="Q9" i="166"/>
  <c r="O9" i="166"/>
  <c r="AV8" i="166"/>
  <c r="AB8" i="166"/>
  <c r="W8" i="166"/>
  <c r="Q8" i="166"/>
  <c r="O8" i="166"/>
  <c r="AB7" i="166"/>
  <c r="W7" i="166"/>
  <c r="Q7" i="166"/>
  <c r="O7" i="166"/>
  <c r="AB6" i="166"/>
  <c r="W6" i="166"/>
  <c r="Q6" i="166"/>
  <c r="O6" i="166"/>
  <c r="R1" i="166"/>
  <c r="AJ86" i="165"/>
  <c r="AK86" i="165" s="1"/>
  <c r="AJ85" i="165"/>
  <c r="AK85" i="165" s="1"/>
  <c r="L85" i="165"/>
  <c r="AJ84" i="165"/>
  <c r="AK84" i="165" s="1"/>
  <c r="AJ83" i="165"/>
  <c r="AK83" i="165" s="1"/>
  <c r="AJ82" i="165"/>
  <c r="AK82" i="165" s="1"/>
  <c r="AJ81" i="165"/>
  <c r="AK81" i="165" s="1"/>
  <c r="AJ80" i="165"/>
  <c r="AK80" i="165" s="1"/>
  <c r="AJ79" i="165"/>
  <c r="AK79" i="165" s="1"/>
  <c r="AJ78" i="165"/>
  <c r="AK78" i="165" s="1"/>
  <c r="D78" i="165"/>
  <c r="AK77" i="165"/>
  <c r="AJ77" i="165"/>
  <c r="AK76" i="165"/>
  <c r="AJ76" i="165"/>
  <c r="AP75" i="165"/>
  <c r="AQ75" i="165" s="1"/>
  <c r="AN75" i="165"/>
  <c r="AO75" i="165" s="1"/>
  <c r="AK75" i="165"/>
  <c r="AJ75" i="165"/>
  <c r="AH47" i="165"/>
  <c r="AH48" i="165" s="1"/>
  <c r="AG47" i="165"/>
  <c r="AG48" i="165" s="1"/>
  <c r="AF47" i="165"/>
  <c r="AF48" i="165" s="1"/>
  <c r="X47" i="165"/>
  <c r="S47" i="165"/>
  <c r="R47" i="165"/>
  <c r="Q47" i="165"/>
  <c r="M42" i="165"/>
  <c r="M37" i="165" s="1"/>
  <c r="S40" i="165"/>
  <c r="R40" i="165"/>
  <c r="Q40" i="165"/>
  <c r="AD39" i="165"/>
  <c r="AA39" i="165"/>
  <c r="W39" i="165"/>
  <c r="AS37" i="165"/>
  <c r="W37" i="165"/>
  <c r="Y37" i="165" s="1"/>
  <c r="V37" i="165"/>
  <c r="AS36" i="165"/>
  <c r="AS35" i="165"/>
  <c r="W35" i="165"/>
  <c r="AL85" i="165" s="1"/>
  <c r="AM85" i="165" s="1"/>
  <c r="V35" i="165"/>
  <c r="AS34" i="165"/>
  <c r="AA34" i="165"/>
  <c r="AN84" i="165" s="1"/>
  <c r="AO84" i="165" s="1"/>
  <c r="V34" i="165"/>
  <c r="H34" i="165"/>
  <c r="J84" i="165" s="1"/>
  <c r="J83" i="165" s="1"/>
  <c r="G34" i="165"/>
  <c r="I84" i="165" s="1"/>
  <c r="I83" i="165" s="1"/>
  <c r="F34" i="165"/>
  <c r="H84" i="165" s="1"/>
  <c r="H83" i="165" s="1"/>
  <c r="E34" i="165"/>
  <c r="G84" i="165" s="1"/>
  <c r="G83" i="165" s="1"/>
  <c r="AS33" i="165"/>
  <c r="V33" i="165"/>
  <c r="M33" i="165"/>
  <c r="AS32" i="165"/>
  <c r="AS31" i="165"/>
  <c r="W31" i="165"/>
  <c r="Y31" i="165" s="1"/>
  <c r="V31" i="165"/>
  <c r="AS30" i="165"/>
  <c r="AA33" i="165"/>
  <c r="W33" i="165"/>
  <c r="V30" i="165"/>
  <c r="AS29" i="165"/>
  <c r="AA31" i="165"/>
  <c r="AS28" i="165"/>
  <c r="AA28" i="165"/>
  <c r="AC28" i="165" s="1"/>
  <c r="V28" i="165"/>
  <c r="S28" i="165"/>
  <c r="S30" i="165" s="1"/>
  <c r="R28" i="165"/>
  <c r="Q28" i="165"/>
  <c r="M28" i="165"/>
  <c r="AS27" i="165"/>
  <c r="AE28" i="165"/>
  <c r="S27" i="165"/>
  <c r="R27" i="165"/>
  <c r="Q27" i="165"/>
  <c r="AS26" i="165"/>
  <c r="W26" i="165"/>
  <c r="AL79" i="165" s="1"/>
  <c r="AM79" i="165" s="1"/>
  <c r="W40" i="165" s="1"/>
  <c r="V26" i="165"/>
  <c r="AS25" i="165"/>
  <c r="W25" i="165"/>
  <c r="V25" i="165"/>
  <c r="E25" i="165"/>
  <c r="E36" i="165" s="1"/>
  <c r="AS24" i="165"/>
  <c r="W24" i="165"/>
  <c r="AL77" i="165" s="1"/>
  <c r="AM77" i="165" s="1"/>
  <c r="AA24" i="165"/>
  <c r="AN77" i="165" s="1"/>
  <c r="AO77" i="165" s="1"/>
  <c r="V24" i="165"/>
  <c r="G24" i="165"/>
  <c r="H24" i="165" s="1"/>
  <c r="F24" i="165"/>
  <c r="AS23" i="165"/>
  <c r="V23" i="165"/>
  <c r="F23" i="165"/>
  <c r="F25" i="165" s="1"/>
  <c r="F36" i="165" s="1"/>
  <c r="AS22" i="165"/>
  <c r="AG22" i="165"/>
  <c r="AC22" i="165"/>
  <c r="W22" i="165"/>
  <c r="AL75" i="165" s="1"/>
  <c r="AM75" i="165" s="1"/>
  <c r="V22" i="165"/>
  <c r="F21" i="165"/>
  <c r="G21" i="165" s="1"/>
  <c r="H21" i="165" s="1"/>
  <c r="M20" i="165"/>
  <c r="F20" i="165"/>
  <c r="G20" i="165" s="1"/>
  <c r="H20" i="165" s="1"/>
  <c r="AE19" i="165"/>
  <c r="AA19" i="165"/>
  <c r="AK90" i="165" s="1"/>
  <c r="W19" i="165"/>
  <c r="AJ90" i="165" s="1"/>
  <c r="Q13" i="165"/>
  <c r="AF12" i="165"/>
  <c r="AC12" i="165"/>
  <c r="V12" i="165"/>
  <c r="R12" i="165"/>
  <c r="AB10" i="165"/>
  <c r="W10" i="165"/>
  <c r="Q10" i="165"/>
  <c r="O10" i="165"/>
  <c r="K10" i="165"/>
  <c r="W9" i="165"/>
  <c r="Q9" i="165"/>
  <c r="O9" i="165"/>
  <c r="AV8" i="165"/>
  <c r="AB8" i="165"/>
  <c r="W8" i="165"/>
  <c r="Q8" i="165"/>
  <c r="O8" i="165"/>
  <c r="AB7" i="165"/>
  <c r="W7" i="165"/>
  <c r="Q7" i="165"/>
  <c r="O7" i="165"/>
  <c r="AB6" i="165"/>
  <c r="W6" i="165"/>
  <c r="Q6" i="165"/>
  <c r="O6" i="165"/>
  <c r="R1" i="165"/>
  <c r="AJ86" i="164"/>
  <c r="AK86" i="164" s="1"/>
  <c r="AJ85" i="164"/>
  <c r="AK85" i="164" s="1"/>
  <c r="L85" i="164"/>
  <c r="AJ84" i="164"/>
  <c r="AK84" i="164" s="1"/>
  <c r="AJ83" i="164"/>
  <c r="AK83" i="164" s="1"/>
  <c r="AK82" i="164"/>
  <c r="AJ82" i="164"/>
  <c r="AK81" i="164"/>
  <c r="AJ81" i="164"/>
  <c r="AK80" i="164"/>
  <c r="AJ80" i="164"/>
  <c r="AK79" i="164"/>
  <c r="AJ79" i="164"/>
  <c r="AK78" i="164"/>
  <c r="AJ78" i="164"/>
  <c r="D78" i="164"/>
  <c r="AJ77" i="164"/>
  <c r="AK77" i="164" s="1"/>
  <c r="AJ76" i="164"/>
  <c r="AK76" i="164" s="1"/>
  <c r="AP75" i="164"/>
  <c r="AQ75" i="164" s="1"/>
  <c r="AN75" i="164"/>
  <c r="AO75" i="164" s="1"/>
  <c r="AJ75" i="164"/>
  <c r="AK75" i="164" s="1"/>
  <c r="AH48" i="164"/>
  <c r="AF48" i="164"/>
  <c r="AH47" i="164"/>
  <c r="AG47" i="164"/>
  <c r="AG48" i="164" s="1"/>
  <c r="AF47" i="164"/>
  <c r="X47" i="164"/>
  <c r="S47" i="164"/>
  <c r="R47" i="164"/>
  <c r="Q47" i="164"/>
  <c r="M42" i="164"/>
  <c r="S92" i="164" s="1"/>
  <c r="S40" i="164"/>
  <c r="R40" i="164"/>
  <c r="Q40" i="164"/>
  <c r="AD39" i="164"/>
  <c r="AA39" i="164"/>
  <c r="W39" i="164"/>
  <c r="AS37" i="164"/>
  <c r="W37" i="164"/>
  <c r="Y37" i="164" s="1"/>
  <c r="V37" i="164"/>
  <c r="AS36" i="164"/>
  <c r="AS35" i="164"/>
  <c r="V35" i="164"/>
  <c r="AS34" i="164"/>
  <c r="W34" i="164"/>
  <c r="AL84" i="164" s="1"/>
  <c r="AM84" i="164" s="1"/>
  <c r="V34" i="164"/>
  <c r="H34" i="164"/>
  <c r="J84" i="164" s="1"/>
  <c r="J83" i="164" s="1"/>
  <c r="G34" i="164"/>
  <c r="I84" i="164" s="1"/>
  <c r="I83" i="164" s="1"/>
  <c r="E34" i="164"/>
  <c r="G84" i="164" s="1"/>
  <c r="G83" i="164" s="1"/>
  <c r="AS33" i="164"/>
  <c r="AJ33" i="164"/>
  <c r="AA37" i="164" s="1"/>
  <c r="AI33" i="164"/>
  <c r="V33" i="164"/>
  <c r="M33" i="164"/>
  <c r="AS32" i="164"/>
  <c r="AJ32" i="164"/>
  <c r="AK32" i="164" s="1"/>
  <c r="AE35" i="164" s="1"/>
  <c r="AI32" i="164"/>
  <c r="W35" i="164" s="1"/>
  <c r="AS31" i="164"/>
  <c r="AJ31" i="164"/>
  <c r="AA34" i="164" s="1"/>
  <c r="AC34" i="164" s="1"/>
  <c r="AI31" i="164"/>
  <c r="V31" i="164"/>
  <c r="AS30" i="164"/>
  <c r="AJ30" i="164"/>
  <c r="AA33" i="164" s="1"/>
  <c r="AI30" i="164"/>
  <c r="W33" i="164" s="1"/>
  <c r="V30" i="164"/>
  <c r="AS29" i="164"/>
  <c r="AK29" i="164"/>
  <c r="AE31" i="164" s="1"/>
  <c r="AJ29" i="164"/>
  <c r="AA31" i="164" s="1"/>
  <c r="AI29" i="164"/>
  <c r="W31" i="164" s="1"/>
  <c r="AS28" i="164"/>
  <c r="AK28" i="164"/>
  <c r="AE30" i="164" s="1"/>
  <c r="AJ28" i="164"/>
  <c r="AA30" i="164" s="1"/>
  <c r="AI28" i="164"/>
  <c r="W30" i="164" s="1"/>
  <c r="AA28" i="164"/>
  <c r="AC28" i="164" s="1"/>
  <c r="Y28" i="164"/>
  <c r="W28" i="164"/>
  <c r="AL80" i="164" s="1"/>
  <c r="AM80" i="164" s="1"/>
  <c r="V28" i="164"/>
  <c r="S28" i="164"/>
  <c r="R28" i="164"/>
  <c r="Q28" i="164"/>
  <c r="M28" i="164"/>
  <c r="AS27" i="164"/>
  <c r="AK27" i="164"/>
  <c r="AE28" i="164" s="1"/>
  <c r="AJ27" i="164"/>
  <c r="AI27" i="164"/>
  <c r="S27" i="164"/>
  <c r="R27" i="164"/>
  <c r="Q27" i="164"/>
  <c r="AS26" i="164"/>
  <c r="AJ26" i="164"/>
  <c r="AA26" i="164" s="1"/>
  <c r="AI26" i="164"/>
  <c r="W26" i="164"/>
  <c r="AL79" i="164" s="1"/>
  <c r="AM79" i="164" s="1"/>
  <c r="W40" i="164" s="1"/>
  <c r="V26" i="164"/>
  <c r="AS25" i="164"/>
  <c r="AJ25" i="164"/>
  <c r="AK25" i="164" s="1"/>
  <c r="AE25" i="164" s="1"/>
  <c r="AI25" i="164"/>
  <c r="W25" i="164" s="1"/>
  <c r="V25" i="164"/>
  <c r="E25" i="164"/>
  <c r="E36" i="164" s="1"/>
  <c r="AS24" i="164"/>
  <c r="AJ24" i="164"/>
  <c r="AK24" i="164" s="1"/>
  <c r="AE24" i="164" s="1"/>
  <c r="AI24" i="164"/>
  <c r="W24" i="164" s="1"/>
  <c r="AA24" i="164"/>
  <c r="AN77" i="164" s="1"/>
  <c r="AO77" i="164" s="1"/>
  <c r="V24" i="164"/>
  <c r="H24" i="164"/>
  <c r="G24" i="164"/>
  <c r="F24" i="164"/>
  <c r="AS23" i="164"/>
  <c r="AJ23" i="164"/>
  <c r="AA23" i="164" s="1"/>
  <c r="AI23" i="164"/>
  <c r="W23" i="164" s="1"/>
  <c r="Y23" i="164" s="1"/>
  <c r="V23" i="164"/>
  <c r="F23" i="164"/>
  <c r="F25" i="164" s="1"/>
  <c r="F36" i="164" s="1"/>
  <c r="AS22" i="164"/>
  <c r="AJ22" i="164"/>
  <c r="AK22" i="164" s="1"/>
  <c r="AI22" i="164"/>
  <c r="AG22" i="164"/>
  <c r="AC22" i="164"/>
  <c r="W22" i="164"/>
  <c r="Y22" i="164" s="1"/>
  <c r="V22" i="164"/>
  <c r="F21" i="164"/>
  <c r="G21" i="164" s="1"/>
  <c r="H21" i="164" s="1"/>
  <c r="M20" i="164"/>
  <c r="F20" i="164"/>
  <c r="G20" i="164" s="1"/>
  <c r="H20" i="164" s="1"/>
  <c r="AE19" i="164"/>
  <c r="AB53" i="164" s="1"/>
  <c r="AA19" i="164"/>
  <c r="AK90" i="164" s="1"/>
  <c r="W19" i="164"/>
  <c r="AJ90" i="164" s="1"/>
  <c r="Q13" i="164"/>
  <c r="AF12" i="164"/>
  <c r="AC12" i="164"/>
  <c r="V12" i="164"/>
  <c r="R12" i="164"/>
  <c r="AB10" i="164"/>
  <c r="W10" i="164"/>
  <c r="Q10" i="164"/>
  <c r="O10" i="164"/>
  <c r="K10" i="164"/>
  <c r="W9" i="164"/>
  <c r="Q9" i="164"/>
  <c r="O9" i="164"/>
  <c r="AV8" i="164"/>
  <c r="AB8" i="164"/>
  <c r="W8" i="164"/>
  <c r="Q8" i="164"/>
  <c r="O8" i="164"/>
  <c r="AB7" i="164"/>
  <c r="W7" i="164"/>
  <c r="Q7" i="164"/>
  <c r="O7" i="164"/>
  <c r="AB6" i="164"/>
  <c r="W6" i="164"/>
  <c r="Q6" i="164"/>
  <c r="O6" i="164"/>
  <c r="R1" i="164"/>
  <c r="AP77" i="167" l="1"/>
  <c r="AQ77" i="167" s="1"/>
  <c r="AG24" i="167"/>
  <c r="AC28" i="167"/>
  <c r="AN80" i="167"/>
  <c r="AO80" i="167" s="1"/>
  <c r="Y37" i="167"/>
  <c r="AL86" i="167"/>
  <c r="AM86" i="167" s="1"/>
  <c r="AA30" i="167"/>
  <c r="AN81" i="167" s="1"/>
  <c r="AO81" i="167" s="1"/>
  <c r="Y24" i="167"/>
  <c r="AE28" i="167"/>
  <c r="Y28" i="167"/>
  <c r="AE31" i="167"/>
  <c r="AP82" i="167" s="1"/>
  <c r="AQ82" i="167" s="1"/>
  <c r="AE34" i="167"/>
  <c r="AP84" i="167" s="1"/>
  <c r="AQ84" i="167" s="1"/>
  <c r="AE35" i="167"/>
  <c r="AG35" i="167" s="1"/>
  <c r="AL85" i="167"/>
  <c r="AM85" i="167" s="1"/>
  <c r="Y34" i="167"/>
  <c r="AA25" i="167"/>
  <c r="AN78" i="167" s="1"/>
  <c r="AO78" i="167" s="1"/>
  <c r="M37" i="167"/>
  <c r="F37" i="167"/>
  <c r="S30" i="167"/>
  <c r="S31" i="167" s="1"/>
  <c r="AL91" i="167" s="1"/>
  <c r="R30" i="167"/>
  <c r="R31" i="167" s="1"/>
  <c r="AK91" i="167" s="1"/>
  <c r="Q30" i="167"/>
  <c r="Q31" i="167" s="1"/>
  <c r="AJ91" i="167" s="1"/>
  <c r="E37" i="167"/>
  <c r="G37" i="166"/>
  <c r="S31" i="166"/>
  <c r="AL91" i="166" s="1"/>
  <c r="R30" i="166"/>
  <c r="R31" i="166" s="1"/>
  <c r="AK91" i="166" s="1"/>
  <c r="Q30" i="166"/>
  <c r="Q31" i="166" s="1"/>
  <c r="AJ91" i="166" s="1"/>
  <c r="E37" i="166"/>
  <c r="AB51" i="165"/>
  <c r="AA37" i="165"/>
  <c r="AC37" i="165" s="1"/>
  <c r="AB52" i="165"/>
  <c r="AA25" i="165"/>
  <c r="Y24" i="165"/>
  <c r="AP77" i="165"/>
  <c r="AQ77" i="165" s="1"/>
  <c r="AG24" i="165"/>
  <c r="Y28" i="165"/>
  <c r="AA30" i="165"/>
  <c r="AC30" i="165" s="1"/>
  <c r="AA35" i="165"/>
  <c r="AN85" i="165" s="1"/>
  <c r="AO85" i="165" s="1"/>
  <c r="Y34" i="165"/>
  <c r="AL86" i="165"/>
  <c r="AM86" i="165" s="1"/>
  <c r="Y35" i="165"/>
  <c r="AN80" i="165"/>
  <c r="AO80" i="165" s="1"/>
  <c r="M40" i="165"/>
  <c r="M30" i="165"/>
  <c r="M41" i="165" s="1"/>
  <c r="M43" i="165" s="1"/>
  <c r="X46" i="165" s="1"/>
  <c r="E83" i="165"/>
  <c r="S92" i="165"/>
  <c r="S31" i="165"/>
  <c r="AL91" i="165" s="1"/>
  <c r="Q30" i="165"/>
  <c r="Q31" i="165" s="1"/>
  <c r="AJ91" i="165" s="1"/>
  <c r="F37" i="165"/>
  <c r="E37" i="165"/>
  <c r="AP77" i="164"/>
  <c r="AQ77" i="164" s="1"/>
  <c r="AG24" i="164"/>
  <c r="AN81" i="164"/>
  <c r="AO81" i="164" s="1"/>
  <c r="AC30" i="164"/>
  <c r="AP82" i="164"/>
  <c r="AQ82" i="164" s="1"/>
  <c r="AG31" i="164"/>
  <c r="AL85" i="164"/>
  <c r="AM85" i="164" s="1"/>
  <c r="Y35" i="164"/>
  <c r="AA35" i="164"/>
  <c r="AN85" i="164" s="1"/>
  <c r="AO85" i="164" s="1"/>
  <c r="AK31" i="164"/>
  <c r="AE34" i="164" s="1"/>
  <c r="AG34" i="164" s="1"/>
  <c r="AK23" i="164"/>
  <c r="AE23" i="164" s="1"/>
  <c r="AG23" i="164" s="1"/>
  <c r="Y34" i="164"/>
  <c r="AK26" i="164"/>
  <c r="AE26" i="164" s="1"/>
  <c r="AP79" i="164" s="1"/>
  <c r="AQ79" i="164" s="1"/>
  <c r="AD40" i="164" s="1"/>
  <c r="AK33" i="164"/>
  <c r="AE37" i="164" s="1"/>
  <c r="AP86" i="164" s="1"/>
  <c r="AQ86" i="164" s="1"/>
  <c r="M37" i="164"/>
  <c r="E37" i="164"/>
  <c r="F37" i="164"/>
  <c r="S30" i="164"/>
  <c r="S31" i="164" s="1"/>
  <c r="AL91" i="164" s="1"/>
  <c r="R30" i="164"/>
  <c r="R31" i="164" s="1"/>
  <c r="AK91" i="164" s="1"/>
  <c r="Q30" i="164"/>
  <c r="Q31" i="164" s="1"/>
  <c r="AJ91" i="164" s="1"/>
  <c r="AC33" i="167"/>
  <c r="AN83" i="167"/>
  <c r="AO83" i="167" s="1"/>
  <c r="AA41" i="167" s="1"/>
  <c r="AG25" i="167"/>
  <c r="AP78" i="167"/>
  <c r="AQ78" i="167" s="1"/>
  <c r="AG28" i="167"/>
  <c r="AP80" i="167"/>
  <c r="AQ80" i="167" s="1"/>
  <c r="AG30" i="167"/>
  <c r="AP81" i="167"/>
  <c r="AQ81" i="167" s="1"/>
  <c r="AG37" i="167"/>
  <c r="AP86" i="167"/>
  <c r="AQ86" i="167" s="1"/>
  <c r="Y25" i="167"/>
  <c r="AL78" i="167"/>
  <c r="AM78" i="167" s="1"/>
  <c r="AC31" i="167"/>
  <c r="AN82" i="167"/>
  <c r="AO82" i="167" s="1"/>
  <c r="AN86" i="167"/>
  <c r="AO86" i="167" s="1"/>
  <c r="AC37" i="167"/>
  <c r="Y23" i="167"/>
  <c r="AL76" i="167"/>
  <c r="AM76" i="167" s="1"/>
  <c r="AN79" i="167"/>
  <c r="AO79" i="167" s="1"/>
  <c r="AA40" i="167" s="1"/>
  <c r="AC26" i="167"/>
  <c r="AC34" i="167"/>
  <c r="AN84" i="167"/>
  <c r="AO84" i="167" s="1"/>
  <c r="AN85" i="167"/>
  <c r="AO85" i="167" s="1"/>
  <c r="AC35" i="167"/>
  <c r="AN76" i="167"/>
  <c r="AO76" i="167" s="1"/>
  <c r="AC23" i="167"/>
  <c r="Y30" i="167"/>
  <c r="AL81" i="167"/>
  <c r="AM81" i="167" s="1"/>
  <c r="AL83" i="167"/>
  <c r="AM83" i="167" s="1"/>
  <c r="W41" i="167" s="1"/>
  <c r="W42" i="167" s="1"/>
  <c r="AJ94" i="167" s="1"/>
  <c r="Y33" i="167"/>
  <c r="AP85" i="167"/>
  <c r="AQ85" i="167" s="1"/>
  <c r="AE23" i="167"/>
  <c r="AE26" i="167"/>
  <c r="Y31" i="167"/>
  <c r="AB52" i="167"/>
  <c r="AL75" i="167"/>
  <c r="AM75" i="167" s="1"/>
  <c r="G23" i="167"/>
  <c r="AC24" i="167"/>
  <c r="Y26" i="167"/>
  <c r="AE33" i="167"/>
  <c r="AB53" i="167"/>
  <c r="AP81" i="166"/>
  <c r="AQ81" i="166" s="1"/>
  <c r="AG30" i="166"/>
  <c r="AP82" i="166"/>
  <c r="AQ82" i="166" s="1"/>
  <c r="AG31" i="166"/>
  <c r="AP83" i="166"/>
  <c r="AQ83" i="166" s="1"/>
  <c r="AD41" i="166" s="1"/>
  <c r="AD42" i="166" s="1"/>
  <c r="AL94" i="166" s="1"/>
  <c r="AG33" i="166"/>
  <c r="AC34" i="166"/>
  <c r="AN84" i="166"/>
  <c r="AO84" i="166" s="1"/>
  <c r="H36" i="166"/>
  <c r="H37" i="166" s="1"/>
  <c r="Y37" i="166"/>
  <c r="AL86" i="166"/>
  <c r="AM86" i="166" s="1"/>
  <c r="Y23" i="166"/>
  <c r="AL76" i="166"/>
  <c r="AM76" i="166" s="1"/>
  <c r="AL79" i="166"/>
  <c r="AM79" i="166" s="1"/>
  <c r="W40" i="166" s="1"/>
  <c r="Y26" i="166"/>
  <c r="AC28" i="166"/>
  <c r="AN80" i="166"/>
  <c r="AO80" i="166" s="1"/>
  <c r="AL82" i="166"/>
  <c r="AM82" i="166" s="1"/>
  <c r="Y31" i="166"/>
  <c r="AL83" i="166"/>
  <c r="AM83" i="166" s="1"/>
  <c r="W41" i="166" s="1"/>
  <c r="Y33" i="166"/>
  <c r="AN86" i="166"/>
  <c r="AO86" i="166" s="1"/>
  <c r="AC37" i="166"/>
  <c r="AC24" i="166"/>
  <c r="AN77" i="166"/>
  <c r="AO77" i="166" s="1"/>
  <c r="AC25" i="166"/>
  <c r="AN78" i="166"/>
  <c r="AO78" i="166" s="1"/>
  <c r="AC30" i="166"/>
  <c r="AN81" i="166"/>
  <c r="AO81" i="166" s="1"/>
  <c r="AN82" i="166"/>
  <c r="AO82" i="166" s="1"/>
  <c r="AC31" i="166"/>
  <c r="AN85" i="166"/>
  <c r="AO85" i="166" s="1"/>
  <c r="AC35" i="166"/>
  <c r="M43" i="166"/>
  <c r="X46" i="166" s="1"/>
  <c r="F36" i="166"/>
  <c r="F37" i="166" s="1"/>
  <c r="AL84" i="166"/>
  <c r="AM84" i="166" s="1"/>
  <c r="AC23" i="166"/>
  <c r="Y24" i="166"/>
  <c r="AG24" i="166"/>
  <c r="AC26" i="166"/>
  <c r="AK27" i="166"/>
  <c r="AE28" i="166" s="1"/>
  <c r="Y28" i="166"/>
  <c r="AK31" i="166"/>
  <c r="AE34" i="166" s="1"/>
  <c r="AK32" i="166"/>
  <c r="AE35" i="166" s="1"/>
  <c r="AK33" i="166"/>
  <c r="AE37" i="166" s="1"/>
  <c r="Y35" i="166"/>
  <c r="M40" i="166"/>
  <c r="M39" i="166" s="1"/>
  <c r="X45" i="166" s="1"/>
  <c r="AB51" i="166"/>
  <c r="E83" i="166"/>
  <c r="AL90" i="166"/>
  <c r="S92" i="166"/>
  <c r="AB52" i="166"/>
  <c r="AC25" i="165"/>
  <c r="AN78" i="165"/>
  <c r="AO78" i="165" s="1"/>
  <c r="AA26" i="165"/>
  <c r="AE26" i="165"/>
  <c r="Y25" i="165"/>
  <c r="AL78" i="165"/>
  <c r="AM78" i="165" s="1"/>
  <c r="Y30" i="165"/>
  <c r="AL81" i="165"/>
  <c r="AM81" i="165" s="1"/>
  <c r="AL83" i="165"/>
  <c r="AM83" i="165" s="1"/>
  <c r="W41" i="165" s="1"/>
  <c r="W42" i="165" s="1"/>
  <c r="AJ94" i="165" s="1"/>
  <c r="Y33" i="165"/>
  <c r="AP84" i="165"/>
  <c r="AQ84" i="165" s="1"/>
  <c r="AG34" i="165"/>
  <c r="AP85" i="165"/>
  <c r="AQ85" i="165" s="1"/>
  <c r="AG35" i="165"/>
  <c r="AG25" i="165"/>
  <c r="AP78" i="165"/>
  <c r="AQ78" i="165" s="1"/>
  <c r="AC31" i="165"/>
  <c r="AN82" i="165"/>
  <c r="AO82" i="165" s="1"/>
  <c r="AC33" i="165"/>
  <c r="AN83" i="165"/>
  <c r="AO83" i="165" s="1"/>
  <c r="AA41" i="165" s="1"/>
  <c r="AN86" i="165"/>
  <c r="AO86" i="165" s="1"/>
  <c r="AA23" i="165"/>
  <c r="AE23" i="165"/>
  <c r="AB53" i="165"/>
  <c r="AL90" i="165"/>
  <c r="AP80" i="165"/>
  <c r="AQ80" i="165" s="1"/>
  <c r="AG28" i="165"/>
  <c r="R30" i="165"/>
  <c r="R31" i="165" s="1"/>
  <c r="AK91" i="165" s="1"/>
  <c r="AG30" i="165"/>
  <c r="AP81" i="165"/>
  <c r="AQ81" i="165" s="1"/>
  <c r="AP86" i="165"/>
  <c r="AQ86" i="165" s="1"/>
  <c r="AG37" i="165"/>
  <c r="Y22" i="165"/>
  <c r="G23" i="165"/>
  <c r="Y23" i="165"/>
  <c r="AC24" i="165"/>
  <c r="Y26" i="165"/>
  <c r="AE33" i="165"/>
  <c r="AC34" i="165"/>
  <c r="AL82" i="165"/>
  <c r="AM82" i="165" s="1"/>
  <c r="AP82" i="165"/>
  <c r="AQ82" i="165" s="1"/>
  <c r="AP85" i="164"/>
  <c r="AQ85" i="164" s="1"/>
  <c r="AG35" i="164"/>
  <c r="AL77" i="164"/>
  <c r="AM77" i="164" s="1"/>
  <c r="Y24" i="164"/>
  <c r="AC31" i="164"/>
  <c r="AN82" i="164"/>
  <c r="AO82" i="164" s="1"/>
  <c r="AC33" i="164"/>
  <c r="AN83" i="164"/>
  <c r="AO83" i="164" s="1"/>
  <c r="AA41" i="164" s="1"/>
  <c r="AN86" i="164"/>
  <c r="AO86" i="164" s="1"/>
  <c r="AC37" i="164"/>
  <c r="AG25" i="164"/>
  <c r="AP78" i="164"/>
  <c r="AQ78" i="164" s="1"/>
  <c r="AP84" i="164"/>
  <c r="AQ84" i="164" s="1"/>
  <c r="AN79" i="164"/>
  <c r="AO79" i="164" s="1"/>
  <c r="AA40" i="164" s="1"/>
  <c r="AC26" i="164"/>
  <c r="AP80" i="164"/>
  <c r="AQ80" i="164" s="1"/>
  <c r="AG28" i="164"/>
  <c r="AG30" i="164"/>
  <c r="AP81" i="164"/>
  <c r="AQ81" i="164" s="1"/>
  <c r="AG37" i="164"/>
  <c r="Y30" i="164"/>
  <c r="AL81" i="164"/>
  <c r="AM81" i="164" s="1"/>
  <c r="AL82" i="164"/>
  <c r="AM82" i="164" s="1"/>
  <c r="Y31" i="164"/>
  <c r="AL83" i="164"/>
  <c r="AM83" i="164" s="1"/>
  <c r="W41" i="164" s="1"/>
  <c r="Y33" i="164"/>
  <c r="AN76" i="164"/>
  <c r="AO76" i="164" s="1"/>
  <c r="AC23" i="164"/>
  <c r="Y25" i="164"/>
  <c r="AL78" i="164"/>
  <c r="AM78" i="164" s="1"/>
  <c r="W42" i="164"/>
  <c r="AJ94" i="164" s="1"/>
  <c r="AA25" i="164"/>
  <c r="AB51" i="164"/>
  <c r="AN80" i="164"/>
  <c r="AO80" i="164" s="1"/>
  <c r="E83" i="164"/>
  <c r="AL86" i="164"/>
  <c r="AM86" i="164" s="1"/>
  <c r="AL90" i="164"/>
  <c r="AB52" i="164"/>
  <c r="AL75" i="164"/>
  <c r="AM75" i="164" s="1"/>
  <c r="AL76" i="164"/>
  <c r="AM76" i="164" s="1"/>
  <c r="AN84" i="164"/>
  <c r="AO84" i="164" s="1"/>
  <c r="G23" i="164"/>
  <c r="AC24" i="164"/>
  <c r="Y26" i="164"/>
  <c r="AG26" i="164"/>
  <c r="AK30" i="164"/>
  <c r="AE33" i="164" s="1"/>
  <c r="AC35" i="164"/>
  <c r="AC30" i="167" l="1"/>
  <c r="AG31" i="167"/>
  <c r="AC25" i="167"/>
  <c r="AG34" i="167"/>
  <c r="AA42" i="167"/>
  <c r="AK94" i="167" s="1"/>
  <c r="M30" i="167"/>
  <c r="M41" i="167" s="1"/>
  <c r="M40" i="167"/>
  <c r="AN81" i="165"/>
  <c r="AO81" i="165" s="1"/>
  <c r="M39" i="165"/>
  <c r="X45" i="165" s="1"/>
  <c r="AC35" i="165"/>
  <c r="AP76" i="164"/>
  <c r="AQ76" i="164" s="1"/>
  <c r="M30" i="164"/>
  <c r="M41" i="164" s="1"/>
  <c r="M40" i="164"/>
  <c r="AP79" i="167"/>
  <c r="AQ79" i="167" s="1"/>
  <c r="AD40" i="167" s="1"/>
  <c r="AG26" i="167"/>
  <c r="G25" i="167"/>
  <c r="G36" i="167" s="1"/>
  <c r="G37" i="167" s="1"/>
  <c r="H23" i="167"/>
  <c r="H25" i="167" s="1"/>
  <c r="H36" i="167" s="1"/>
  <c r="H37" i="167" s="1"/>
  <c r="AG23" i="167"/>
  <c r="AP76" i="167"/>
  <c r="AQ76" i="167" s="1"/>
  <c r="AP83" i="167"/>
  <c r="AQ83" i="167" s="1"/>
  <c r="AD41" i="167" s="1"/>
  <c r="AG33" i="167"/>
  <c r="AG37" i="166"/>
  <c r="AP86" i="166"/>
  <c r="AQ86" i="166" s="1"/>
  <c r="AP80" i="166"/>
  <c r="AQ80" i="166" s="1"/>
  <c r="AG28" i="166"/>
  <c r="W42" i="166"/>
  <c r="AJ94" i="166" s="1"/>
  <c r="AP85" i="166"/>
  <c r="AQ85" i="166" s="1"/>
  <c r="AG35" i="166"/>
  <c r="AP84" i="166"/>
  <c r="AQ84" i="166" s="1"/>
  <c r="AG34" i="166"/>
  <c r="AP79" i="165"/>
  <c r="AQ79" i="165" s="1"/>
  <c r="AD40" i="165" s="1"/>
  <c r="AG26" i="165"/>
  <c r="AP83" i="165"/>
  <c r="AQ83" i="165" s="1"/>
  <c r="AD41" i="165" s="1"/>
  <c r="AG33" i="165"/>
  <c r="G25" i="165"/>
  <c r="G36" i="165" s="1"/>
  <c r="G37" i="165" s="1"/>
  <c r="H23" i="165"/>
  <c r="H25" i="165" s="1"/>
  <c r="H36" i="165" s="1"/>
  <c r="AP76" i="165"/>
  <c r="AQ76" i="165" s="1"/>
  <c r="AG23" i="165"/>
  <c r="AN79" i="165"/>
  <c r="AO79" i="165" s="1"/>
  <c r="AA40" i="165" s="1"/>
  <c r="AA42" i="165" s="1"/>
  <c r="AK94" i="165" s="1"/>
  <c r="AC26" i="165"/>
  <c r="AN76" i="165"/>
  <c r="AO76" i="165" s="1"/>
  <c r="AC23" i="165"/>
  <c r="AC25" i="164"/>
  <c r="AN78" i="164"/>
  <c r="AO78" i="164" s="1"/>
  <c r="AP83" i="164"/>
  <c r="AQ83" i="164" s="1"/>
  <c r="AD41" i="164" s="1"/>
  <c r="AD42" i="164" s="1"/>
  <c r="AL94" i="164" s="1"/>
  <c r="AG33" i="164"/>
  <c r="G25" i="164"/>
  <c r="G36" i="164" s="1"/>
  <c r="G37" i="164" s="1"/>
  <c r="H23" i="164"/>
  <c r="H25" i="164" s="1"/>
  <c r="H36" i="164" s="1"/>
  <c r="H37" i="164" s="1"/>
  <c r="AA42" i="164"/>
  <c r="AK94" i="164" s="1"/>
  <c r="M43" i="167" l="1"/>
  <c r="X46" i="167" s="1"/>
  <c r="M39" i="167"/>
  <c r="X45" i="167" s="1"/>
  <c r="M43" i="164"/>
  <c r="X46" i="164" s="1"/>
  <c r="M39" i="164"/>
  <c r="X45" i="164" s="1"/>
  <c r="AD42" i="167"/>
  <c r="AL94" i="167" s="1"/>
  <c r="AD42" i="165"/>
  <c r="AL94" i="165" s="1"/>
  <c r="R12" i="160" l="1"/>
  <c r="AJ86" i="163"/>
  <c r="AK86" i="163" s="1"/>
  <c r="AJ85" i="163"/>
  <c r="AK85" i="163" s="1"/>
  <c r="L85" i="163"/>
  <c r="AJ84" i="163"/>
  <c r="AK84" i="163" s="1"/>
  <c r="AJ83" i="163"/>
  <c r="AK83" i="163" s="1"/>
  <c r="AJ82" i="163"/>
  <c r="AK82" i="163" s="1"/>
  <c r="AJ81" i="163"/>
  <c r="AK81" i="163" s="1"/>
  <c r="AJ80" i="163"/>
  <c r="AK80" i="163" s="1"/>
  <c r="AJ79" i="163"/>
  <c r="AK79" i="163" s="1"/>
  <c r="AJ78" i="163"/>
  <c r="AK78" i="163" s="1"/>
  <c r="D78" i="163"/>
  <c r="AK77" i="163"/>
  <c r="AJ77" i="163"/>
  <c r="AK76" i="163"/>
  <c r="AJ76" i="163"/>
  <c r="AQ75" i="163"/>
  <c r="AP75" i="163"/>
  <c r="AO75" i="163"/>
  <c r="AN75" i="163"/>
  <c r="AK75" i="163"/>
  <c r="AJ75" i="163"/>
  <c r="AB51" i="163"/>
  <c r="AH47" i="163"/>
  <c r="AH48" i="163" s="1"/>
  <c r="AG47" i="163"/>
  <c r="AG48" i="163" s="1"/>
  <c r="AF47" i="163"/>
  <c r="AF48" i="163" s="1"/>
  <c r="X47" i="163"/>
  <c r="S47" i="163"/>
  <c r="R47" i="163"/>
  <c r="Q47" i="163"/>
  <c r="M42" i="163"/>
  <c r="S92" i="163" s="1"/>
  <c r="S40" i="163"/>
  <c r="R40" i="163"/>
  <c r="Q40" i="163"/>
  <c r="AD39" i="163"/>
  <c r="AA39" i="163"/>
  <c r="W39" i="163"/>
  <c r="AS37" i="163"/>
  <c r="V37" i="163"/>
  <c r="AS36" i="163"/>
  <c r="AS35" i="163"/>
  <c r="AN85" i="163"/>
  <c r="AO85" i="163" s="1"/>
  <c r="V35" i="163"/>
  <c r="AS34" i="163"/>
  <c r="V34" i="163"/>
  <c r="H34" i="163"/>
  <c r="J84" i="163" s="1"/>
  <c r="J83" i="163" s="1"/>
  <c r="G34" i="163"/>
  <c r="I84" i="163" s="1"/>
  <c r="I83" i="163" s="1"/>
  <c r="F34" i="163"/>
  <c r="H84" i="163" s="1"/>
  <c r="H83" i="163" s="1"/>
  <c r="E34" i="163"/>
  <c r="G84" i="163" s="1"/>
  <c r="G83" i="163" s="1"/>
  <c r="AS33" i="163"/>
  <c r="AJ33" i="163"/>
  <c r="AI33" i="163"/>
  <c r="W37" i="163" s="1"/>
  <c r="V33" i="163"/>
  <c r="M33" i="163"/>
  <c r="AS32" i="163"/>
  <c r="AE35" i="163"/>
  <c r="AJ32" i="163"/>
  <c r="AI32" i="163"/>
  <c r="W35" i="163" s="1"/>
  <c r="AS31" i="163"/>
  <c r="AE34" i="163"/>
  <c r="AJ31" i="163"/>
  <c r="AC34" i="163" s="1"/>
  <c r="AI31" i="163"/>
  <c r="W34" i="163" s="1"/>
  <c r="V31" i="163"/>
  <c r="AS30" i="163"/>
  <c r="AJ30" i="163"/>
  <c r="AA33" i="163" s="1"/>
  <c r="AI30" i="163"/>
  <c r="W33" i="163" s="1"/>
  <c r="V30" i="163"/>
  <c r="AS29" i="163"/>
  <c r="AE31" i="163"/>
  <c r="AP82" i="163" s="1"/>
  <c r="AQ82" i="163" s="1"/>
  <c r="AJ29" i="163"/>
  <c r="AA31" i="163" s="1"/>
  <c r="AI29" i="163"/>
  <c r="W31" i="163" s="1"/>
  <c r="AL82" i="163" s="1"/>
  <c r="AM82" i="163" s="1"/>
  <c r="AS28" i="163"/>
  <c r="AE30" i="163"/>
  <c r="AJ28" i="163"/>
  <c r="AA30" i="163" s="1"/>
  <c r="AC30" i="163" s="1"/>
  <c r="AI28" i="163"/>
  <c r="W30" i="163" s="1"/>
  <c r="V28" i="163"/>
  <c r="S28" i="163"/>
  <c r="S30" i="163" s="1"/>
  <c r="R28" i="163"/>
  <c r="Q28" i="163"/>
  <c r="M28" i="163"/>
  <c r="AS27" i="163"/>
  <c r="AE28" i="163"/>
  <c r="AJ27" i="163"/>
  <c r="AA28" i="163" s="1"/>
  <c r="AI27" i="163"/>
  <c r="W28" i="163" s="1"/>
  <c r="S27" i="163"/>
  <c r="R27" i="163"/>
  <c r="Q27" i="163"/>
  <c r="AS26" i="163"/>
  <c r="AJ26" i="163"/>
  <c r="AI26" i="163"/>
  <c r="W26" i="163" s="1"/>
  <c r="AL79" i="163" s="1"/>
  <c r="AM79" i="163" s="1"/>
  <c r="W40" i="163" s="1"/>
  <c r="V26" i="163"/>
  <c r="AS25" i="163"/>
  <c r="AJ25" i="163"/>
  <c r="AE25" i="163" s="1"/>
  <c r="AI25" i="163"/>
  <c r="W25" i="163" s="1"/>
  <c r="AC25" i="163"/>
  <c r="V25" i="163"/>
  <c r="E25" i="163"/>
  <c r="E36" i="163" s="1"/>
  <c r="AS24" i="163"/>
  <c r="AJ24" i="163"/>
  <c r="AI24" i="163"/>
  <c r="W24" i="163" s="1"/>
  <c r="AE24" i="163"/>
  <c r="AP77" i="163" s="1"/>
  <c r="AQ77" i="163" s="1"/>
  <c r="AN77" i="163"/>
  <c r="AO77" i="163" s="1"/>
  <c r="V24" i="163"/>
  <c r="G24" i="163"/>
  <c r="H24" i="163" s="1"/>
  <c r="F24" i="163"/>
  <c r="AS23" i="163"/>
  <c r="AJ23" i="163"/>
  <c r="AI23" i="163"/>
  <c r="W23" i="163"/>
  <c r="Y23" i="163" s="1"/>
  <c r="V23" i="163"/>
  <c r="F23" i="163"/>
  <c r="F25" i="163" s="1"/>
  <c r="F36" i="163" s="1"/>
  <c r="AS22" i="163"/>
  <c r="AJ22" i="163"/>
  <c r="AI22" i="163"/>
  <c r="AG22" i="163"/>
  <c r="AC22" i="163"/>
  <c r="W22" i="163"/>
  <c r="Y22" i="163" s="1"/>
  <c r="V22" i="163"/>
  <c r="F21" i="163"/>
  <c r="G21" i="163" s="1"/>
  <c r="H21" i="163" s="1"/>
  <c r="M20" i="163"/>
  <c r="F20" i="163"/>
  <c r="G20" i="163" s="1"/>
  <c r="H20" i="163" s="1"/>
  <c r="AE19" i="163"/>
  <c r="AL90" i="163" s="1"/>
  <c r="AA19" i="163"/>
  <c r="AK90" i="163" s="1"/>
  <c r="W19" i="163"/>
  <c r="AJ90" i="163" s="1"/>
  <c r="Q13" i="163"/>
  <c r="AF12" i="163"/>
  <c r="AC12" i="163"/>
  <c r="V12" i="163"/>
  <c r="R12" i="163"/>
  <c r="AB10" i="163"/>
  <c r="W10" i="163"/>
  <c r="Q10" i="163"/>
  <c r="O10" i="163"/>
  <c r="K10" i="163"/>
  <c r="W9" i="163"/>
  <c r="Q9" i="163"/>
  <c r="O9" i="163"/>
  <c r="AV8" i="163"/>
  <c r="AB8" i="163"/>
  <c r="W8" i="163"/>
  <c r="Q8" i="163"/>
  <c r="O8" i="163"/>
  <c r="AB7" i="163"/>
  <c r="W7" i="163"/>
  <c r="Q7" i="163"/>
  <c r="O7" i="163"/>
  <c r="AB6" i="163"/>
  <c r="W6" i="163"/>
  <c r="Q6" i="163"/>
  <c r="O6" i="163"/>
  <c r="R1" i="163"/>
  <c r="AJ86" i="162"/>
  <c r="AK86" i="162" s="1"/>
  <c r="AJ85" i="162"/>
  <c r="AK85" i="162" s="1"/>
  <c r="L85" i="162"/>
  <c r="AJ84" i="162"/>
  <c r="AK84" i="162" s="1"/>
  <c r="AJ83" i="162"/>
  <c r="AK83" i="162" s="1"/>
  <c r="AJ82" i="162"/>
  <c r="AK82" i="162" s="1"/>
  <c r="AJ81" i="162"/>
  <c r="AK81" i="162" s="1"/>
  <c r="AJ80" i="162"/>
  <c r="AK80" i="162" s="1"/>
  <c r="AJ79" i="162"/>
  <c r="AK79" i="162" s="1"/>
  <c r="AJ78" i="162"/>
  <c r="AK78" i="162" s="1"/>
  <c r="D78" i="162"/>
  <c r="AK77" i="162"/>
  <c r="AJ77" i="162"/>
  <c r="AK76" i="162"/>
  <c r="AJ76" i="162"/>
  <c r="AP75" i="162"/>
  <c r="AQ75" i="162" s="1"/>
  <c r="AO75" i="162"/>
  <c r="AN75" i="162"/>
  <c r="AK75" i="162"/>
  <c r="AJ75" i="162"/>
  <c r="AB52" i="162"/>
  <c r="AB51" i="162"/>
  <c r="AF48" i="162"/>
  <c r="AH47" i="162"/>
  <c r="AH48" i="162" s="1"/>
  <c r="AG47" i="162"/>
  <c r="AG48" i="162" s="1"/>
  <c r="AF47" i="162"/>
  <c r="X47" i="162"/>
  <c r="S47" i="162"/>
  <c r="R47" i="162"/>
  <c r="Q47" i="162"/>
  <c r="M42" i="162"/>
  <c r="M37" i="162" s="1"/>
  <c r="S40" i="162"/>
  <c r="R40" i="162"/>
  <c r="Q40" i="162"/>
  <c r="AD39" i="162"/>
  <c r="AA39" i="162"/>
  <c r="W39" i="162"/>
  <c r="AS37" i="162"/>
  <c r="V37" i="162"/>
  <c r="AS36" i="162"/>
  <c r="AS35" i="162"/>
  <c r="V35" i="162"/>
  <c r="AS34" i="162"/>
  <c r="W34" i="162"/>
  <c r="AL84" i="162" s="1"/>
  <c r="AM84" i="162" s="1"/>
  <c r="V34" i="162"/>
  <c r="H34" i="162"/>
  <c r="J84" i="162" s="1"/>
  <c r="J83" i="162" s="1"/>
  <c r="G34" i="162"/>
  <c r="I84" i="162" s="1"/>
  <c r="I83" i="162" s="1"/>
  <c r="F34" i="162"/>
  <c r="H84" i="162" s="1"/>
  <c r="H83" i="162" s="1"/>
  <c r="E34" i="162"/>
  <c r="G84" i="162" s="1"/>
  <c r="G83" i="162" s="1"/>
  <c r="AS33" i="162"/>
  <c r="AJ33" i="162"/>
  <c r="AA37" i="162" s="1"/>
  <c r="W37" i="162"/>
  <c r="V33" i="162"/>
  <c r="M33" i="162"/>
  <c r="AS32" i="162"/>
  <c r="AJ32" i="162"/>
  <c r="AA35" i="162" s="1"/>
  <c r="AN85" i="162" s="1"/>
  <c r="AO85" i="162" s="1"/>
  <c r="W35" i="162"/>
  <c r="AS31" i="162"/>
  <c r="AJ31" i="162"/>
  <c r="AA34" i="162" s="1"/>
  <c r="AC34" i="162" s="1"/>
  <c r="AE31" i="162"/>
  <c r="AG31" i="162" s="1"/>
  <c r="W31" i="162"/>
  <c r="AL82" i="162" s="1"/>
  <c r="AM82" i="162" s="1"/>
  <c r="V31" i="162"/>
  <c r="AS30" i="162"/>
  <c r="AJ30" i="162"/>
  <c r="AA33" i="162" s="1"/>
  <c r="W33" i="162"/>
  <c r="V30" i="162"/>
  <c r="AS29" i="162"/>
  <c r="AJ29" i="162"/>
  <c r="AA31" i="162" s="1"/>
  <c r="AS28" i="162"/>
  <c r="AE30" i="162"/>
  <c r="AJ28" i="162"/>
  <c r="AA30" i="162" s="1"/>
  <c r="AC30" i="162" s="1"/>
  <c r="W30" i="162"/>
  <c r="AC28" i="162"/>
  <c r="V28" i="162"/>
  <c r="S28" i="162"/>
  <c r="R28" i="162"/>
  <c r="Q28" i="162"/>
  <c r="M28" i="162"/>
  <c r="AS27" i="162"/>
  <c r="AE28" i="162"/>
  <c r="AJ27" i="162"/>
  <c r="W28" i="162"/>
  <c r="S27" i="162"/>
  <c r="R27" i="162"/>
  <c r="Q27" i="162"/>
  <c r="AS26" i="162"/>
  <c r="AJ26" i="162"/>
  <c r="W26" i="162"/>
  <c r="AL79" i="162" s="1"/>
  <c r="AM79" i="162" s="1"/>
  <c r="W40" i="162" s="1"/>
  <c r="V26" i="162"/>
  <c r="AS25" i="162"/>
  <c r="AJ25" i="162"/>
  <c r="AE25" i="162" s="1"/>
  <c r="W25" i="162"/>
  <c r="V25" i="162"/>
  <c r="E25" i="162"/>
  <c r="E36" i="162" s="1"/>
  <c r="AS24" i="162"/>
  <c r="AJ24" i="162"/>
  <c r="AE24" i="162" s="1"/>
  <c r="W24" i="162"/>
  <c r="AN77" i="162"/>
  <c r="AO77" i="162" s="1"/>
  <c r="V24" i="162"/>
  <c r="G24" i="162"/>
  <c r="H24" i="162" s="1"/>
  <c r="F24" i="162"/>
  <c r="AS23" i="162"/>
  <c r="AJ23" i="162"/>
  <c r="Y23" i="162"/>
  <c r="V23" i="162"/>
  <c r="F23" i="162"/>
  <c r="F25" i="162" s="1"/>
  <c r="F36" i="162" s="1"/>
  <c r="AS22" i="162"/>
  <c r="AG22" i="162"/>
  <c r="AC22" i="162"/>
  <c r="W22" i="162"/>
  <c r="Y22" i="162" s="1"/>
  <c r="V22" i="162"/>
  <c r="F21" i="162"/>
  <c r="G21" i="162" s="1"/>
  <c r="H21" i="162" s="1"/>
  <c r="M20" i="162"/>
  <c r="F20" i="162"/>
  <c r="G20" i="162" s="1"/>
  <c r="H20" i="162" s="1"/>
  <c r="AE19" i="162"/>
  <c r="AB53" i="162" s="1"/>
  <c r="AA19" i="162"/>
  <c r="AK90" i="162" s="1"/>
  <c r="W19" i="162"/>
  <c r="AJ90" i="162" s="1"/>
  <c r="Q13" i="162"/>
  <c r="AF12" i="162"/>
  <c r="AC12" i="162"/>
  <c r="V12" i="162"/>
  <c r="R12" i="162"/>
  <c r="AB10" i="162"/>
  <c r="W10" i="162"/>
  <c r="Q10" i="162"/>
  <c r="O10" i="162"/>
  <c r="K10" i="162"/>
  <c r="W9" i="162"/>
  <c r="Q9" i="162"/>
  <c r="O9" i="162"/>
  <c r="AV8" i="162"/>
  <c r="AB8" i="162"/>
  <c r="W8" i="162"/>
  <c r="Q8" i="162"/>
  <c r="O8" i="162"/>
  <c r="AB7" i="162"/>
  <c r="W7" i="162"/>
  <c r="Q7" i="162"/>
  <c r="O7" i="162"/>
  <c r="AB6" i="162"/>
  <c r="W6" i="162"/>
  <c r="Q6" i="162"/>
  <c r="O6" i="162"/>
  <c r="R1" i="162"/>
  <c r="AJ86" i="161"/>
  <c r="AK86" i="161" s="1"/>
  <c r="AJ85" i="161"/>
  <c r="AK85" i="161" s="1"/>
  <c r="L85" i="161"/>
  <c r="AJ84" i="161"/>
  <c r="AK84" i="161" s="1"/>
  <c r="AJ83" i="161"/>
  <c r="AK83" i="161" s="1"/>
  <c r="AJ82" i="161"/>
  <c r="AK82" i="161" s="1"/>
  <c r="AJ81" i="161"/>
  <c r="AK81" i="161" s="1"/>
  <c r="AJ80" i="161"/>
  <c r="AK80" i="161" s="1"/>
  <c r="AJ79" i="161"/>
  <c r="AK79" i="161" s="1"/>
  <c r="AJ78" i="161"/>
  <c r="AK78" i="161" s="1"/>
  <c r="D78" i="161"/>
  <c r="AK77" i="161"/>
  <c r="AJ77" i="161"/>
  <c r="AK76" i="161"/>
  <c r="AJ76" i="161"/>
  <c r="AP75" i="161"/>
  <c r="AQ75" i="161" s="1"/>
  <c r="AO75" i="161"/>
  <c r="AN75" i="161"/>
  <c r="AK75" i="161"/>
  <c r="AJ75" i="161"/>
  <c r="AB51" i="161"/>
  <c r="AF48" i="161"/>
  <c r="AH47" i="161"/>
  <c r="AH48" i="161" s="1"/>
  <c r="AG47" i="161"/>
  <c r="AG48" i="161" s="1"/>
  <c r="AF47" i="161"/>
  <c r="X47" i="161"/>
  <c r="S47" i="161"/>
  <c r="R47" i="161"/>
  <c r="Q47" i="161"/>
  <c r="M42" i="161"/>
  <c r="E83" i="161" s="1"/>
  <c r="S40" i="161"/>
  <c r="R40" i="161"/>
  <c r="Q40" i="161"/>
  <c r="AD39" i="161"/>
  <c r="AA39" i="161"/>
  <c r="W39" i="161"/>
  <c r="AS37" i="161"/>
  <c r="V37" i="161"/>
  <c r="AS36" i="161"/>
  <c r="AS35" i="161"/>
  <c r="V35" i="161"/>
  <c r="AS34" i="161"/>
  <c r="V34" i="161"/>
  <c r="H34" i="161"/>
  <c r="J84" i="161" s="1"/>
  <c r="J83" i="161" s="1"/>
  <c r="G34" i="161"/>
  <c r="I84" i="161" s="1"/>
  <c r="I83" i="161" s="1"/>
  <c r="F34" i="161"/>
  <c r="H84" i="161" s="1"/>
  <c r="H83" i="161" s="1"/>
  <c r="E34" i="161"/>
  <c r="G84" i="161" s="1"/>
  <c r="G83" i="161" s="1"/>
  <c r="AS33" i="161"/>
  <c r="AE37" i="161"/>
  <c r="AJ33" i="161"/>
  <c r="AI33" i="161"/>
  <c r="W37" i="161" s="1"/>
  <c r="Y37" i="161" s="1"/>
  <c r="V33" i="161"/>
  <c r="M33" i="161"/>
  <c r="AS32" i="161"/>
  <c r="AJ32" i="161"/>
  <c r="AN85" i="161" s="1"/>
  <c r="AO85" i="161" s="1"/>
  <c r="AI32" i="161"/>
  <c r="W35" i="161" s="1"/>
  <c r="AS31" i="161"/>
  <c r="AJ31" i="161"/>
  <c r="AE34" i="161" s="1"/>
  <c r="AI31" i="161"/>
  <c r="W34" i="161" s="1"/>
  <c r="V31" i="161"/>
  <c r="AS30" i="161"/>
  <c r="AJ30" i="161"/>
  <c r="AI30" i="161"/>
  <c r="W33" i="161" s="1"/>
  <c r="V30" i="161"/>
  <c r="AS29" i="161"/>
  <c r="AJ29" i="161"/>
  <c r="AE31" i="161" s="1"/>
  <c r="AI29" i="161"/>
  <c r="W31" i="161" s="1"/>
  <c r="AS28" i="161"/>
  <c r="AJ28" i="161"/>
  <c r="AE30" i="161" s="1"/>
  <c r="AI28" i="161"/>
  <c r="W30" i="161" s="1"/>
  <c r="V28" i="161"/>
  <c r="S28" i="161"/>
  <c r="R28" i="161"/>
  <c r="Q28" i="161"/>
  <c r="M28" i="161"/>
  <c r="AS27" i="161"/>
  <c r="AJ27" i="161"/>
  <c r="AI27" i="161"/>
  <c r="W28" i="161" s="1"/>
  <c r="AL80" i="161" s="1"/>
  <c r="AM80" i="161" s="1"/>
  <c r="S27" i="161"/>
  <c r="R27" i="161"/>
  <c r="Q27" i="161"/>
  <c r="AS26" i="161"/>
  <c r="AJ26" i="161"/>
  <c r="AI26" i="161"/>
  <c r="W26" i="161"/>
  <c r="AL79" i="161" s="1"/>
  <c r="AM79" i="161" s="1"/>
  <c r="W40" i="161" s="1"/>
  <c r="V26" i="161"/>
  <c r="AS25" i="161"/>
  <c r="AJ25" i="161"/>
  <c r="AI25" i="161"/>
  <c r="W25" i="161" s="1"/>
  <c r="AA25" i="161"/>
  <c r="V25" i="161"/>
  <c r="E25" i="161"/>
  <c r="E36" i="161" s="1"/>
  <c r="AS24" i="161"/>
  <c r="AJ24" i="161"/>
  <c r="AP77" i="161" s="1"/>
  <c r="AQ77" i="161" s="1"/>
  <c r="AI24" i="161"/>
  <c r="W24" i="161" s="1"/>
  <c r="AL77" i="161" s="1"/>
  <c r="AM77" i="161" s="1"/>
  <c r="Y24" i="161"/>
  <c r="V24" i="161"/>
  <c r="G24" i="161"/>
  <c r="H24" i="161" s="1"/>
  <c r="F24" i="161"/>
  <c r="AS23" i="161"/>
  <c r="AJ23" i="161"/>
  <c r="AI23" i="161"/>
  <c r="W23" i="161"/>
  <c r="Y23" i="161" s="1"/>
  <c r="V23" i="161"/>
  <c r="F23" i="161"/>
  <c r="F25" i="161" s="1"/>
  <c r="F36" i="161" s="1"/>
  <c r="AS22" i="161"/>
  <c r="AJ22" i="161"/>
  <c r="AI22" i="161"/>
  <c r="AG22" i="161"/>
  <c r="AC22" i="161"/>
  <c r="W22" i="161"/>
  <c r="Y22" i="161" s="1"/>
  <c r="V22" i="161"/>
  <c r="F21" i="161"/>
  <c r="G21" i="161" s="1"/>
  <c r="H21" i="161" s="1"/>
  <c r="M20" i="161"/>
  <c r="F20" i="161"/>
  <c r="G20" i="161" s="1"/>
  <c r="H20" i="161" s="1"/>
  <c r="AE19" i="161"/>
  <c r="AA19" i="161"/>
  <c r="AK90" i="161" s="1"/>
  <c r="W19" i="161"/>
  <c r="AJ90" i="161" s="1"/>
  <c r="Q13" i="161"/>
  <c r="AF12" i="161"/>
  <c r="AC12" i="161"/>
  <c r="V12" i="161"/>
  <c r="R12" i="161"/>
  <c r="AB10" i="161"/>
  <c r="W10" i="161"/>
  <c r="Q10" i="161"/>
  <c r="O10" i="161"/>
  <c r="K10" i="161"/>
  <c r="W9" i="161"/>
  <c r="Q9" i="161"/>
  <c r="O9" i="161"/>
  <c r="AV8" i="161"/>
  <c r="AB8" i="161"/>
  <c r="W8" i="161"/>
  <c r="Q8" i="161"/>
  <c r="O8" i="161"/>
  <c r="AB7" i="161"/>
  <c r="W7" i="161"/>
  <c r="Q7" i="161"/>
  <c r="O7" i="161"/>
  <c r="AB6" i="161"/>
  <c r="W6" i="161"/>
  <c r="Q6" i="161"/>
  <c r="O6" i="161"/>
  <c r="R1" i="161"/>
  <c r="AJ86" i="160"/>
  <c r="AK86" i="160" s="1"/>
  <c r="AJ85" i="160"/>
  <c r="AK85" i="160" s="1"/>
  <c r="L85" i="160"/>
  <c r="AK84" i="160"/>
  <c r="AJ84" i="160"/>
  <c r="AK83" i="160"/>
  <c r="AJ83" i="160"/>
  <c r="AJ82" i="160"/>
  <c r="AK82" i="160" s="1"/>
  <c r="AJ81" i="160"/>
  <c r="AK81" i="160" s="1"/>
  <c r="AJ80" i="160"/>
  <c r="AK80" i="160" s="1"/>
  <c r="AJ79" i="160"/>
  <c r="AK79" i="160" s="1"/>
  <c r="AJ78" i="160"/>
  <c r="AK78" i="160" s="1"/>
  <c r="D78" i="160"/>
  <c r="AK77" i="160"/>
  <c r="AJ77" i="160"/>
  <c r="AK76" i="160"/>
  <c r="AJ76" i="160"/>
  <c r="AQ75" i="160"/>
  <c r="AP75" i="160"/>
  <c r="AO75" i="160"/>
  <c r="AN75" i="160"/>
  <c r="AK75" i="160"/>
  <c r="AJ75" i="160"/>
  <c r="AG48" i="160"/>
  <c r="AH47" i="160"/>
  <c r="AH48" i="160" s="1"/>
  <c r="AG47" i="160"/>
  <c r="AF47" i="160"/>
  <c r="AF48" i="160" s="1"/>
  <c r="X47" i="160"/>
  <c r="S47" i="160"/>
  <c r="R47" i="160"/>
  <c r="Q47" i="160"/>
  <c r="M42" i="160"/>
  <c r="M37" i="160" s="1"/>
  <c r="S40" i="160"/>
  <c r="R40" i="160"/>
  <c r="Q40" i="160"/>
  <c r="AD39" i="160"/>
  <c r="AA39" i="160"/>
  <c r="W39" i="160"/>
  <c r="AS37" i="160"/>
  <c r="V37" i="160"/>
  <c r="AS36" i="160"/>
  <c r="AS35" i="160"/>
  <c r="V35" i="160"/>
  <c r="AS34" i="160"/>
  <c r="V34" i="160"/>
  <c r="H34" i="160"/>
  <c r="J84" i="160" s="1"/>
  <c r="J83" i="160" s="1"/>
  <c r="G34" i="160"/>
  <c r="I84" i="160" s="1"/>
  <c r="I83" i="160" s="1"/>
  <c r="F34" i="160"/>
  <c r="H84" i="160" s="1"/>
  <c r="H83" i="160" s="1"/>
  <c r="G84" i="160"/>
  <c r="G83" i="160" s="1"/>
  <c r="AS33" i="160"/>
  <c r="AA37" i="160"/>
  <c r="W37" i="160"/>
  <c r="Y37" i="160" s="1"/>
  <c r="V33" i="160"/>
  <c r="M33" i="160"/>
  <c r="AS32" i="160"/>
  <c r="AA35" i="160"/>
  <c r="AN85" i="160" s="1"/>
  <c r="AO85" i="160" s="1"/>
  <c r="W35" i="160"/>
  <c r="AS31" i="160"/>
  <c r="AE34" i="160"/>
  <c r="W34" i="160"/>
  <c r="V31" i="160"/>
  <c r="AS30" i="160"/>
  <c r="AA33" i="160"/>
  <c r="W33" i="160"/>
  <c r="AA30" i="160"/>
  <c r="AN81" i="160" s="1"/>
  <c r="AO81" i="160" s="1"/>
  <c r="V30" i="160"/>
  <c r="AS29" i="160"/>
  <c r="AE31" i="160"/>
  <c r="AS28" i="160"/>
  <c r="AE30" i="160"/>
  <c r="W30" i="160"/>
  <c r="V28" i="160"/>
  <c r="S28" i="160"/>
  <c r="R28" i="160"/>
  <c r="Q28" i="160"/>
  <c r="M28" i="160"/>
  <c r="AS27" i="160"/>
  <c r="AA28" i="160"/>
  <c r="AC28" i="160" s="1"/>
  <c r="W28" i="160"/>
  <c r="S27" i="160"/>
  <c r="R27" i="160"/>
  <c r="Q27" i="160"/>
  <c r="AS26" i="160"/>
  <c r="AA26" i="160"/>
  <c r="AL79" i="160"/>
  <c r="AM79" i="160" s="1"/>
  <c r="W40" i="160" s="1"/>
  <c r="V26" i="160"/>
  <c r="AS25" i="160"/>
  <c r="AE25" i="160"/>
  <c r="Y25" i="160"/>
  <c r="V25" i="160"/>
  <c r="E25" i="160"/>
  <c r="E36" i="160" s="1"/>
  <c r="AS24" i="160"/>
  <c r="AE24" i="160"/>
  <c r="AA24" i="160"/>
  <c r="AN77" i="160" s="1"/>
  <c r="AO77" i="160" s="1"/>
  <c r="V24" i="160"/>
  <c r="H24" i="160"/>
  <c r="G24" i="160"/>
  <c r="F24" i="160"/>
  <c r="AS23" i="160"/>
  <c r="AA23" i="160"/>
  <c r="Y23" i="160"/>
  <c r="V23" i="160"/>
  <c r="F23" i="160"/>
  <c r="F25" i="160" s="1"/>
  <c r="F36" i="160" s="1"/>
  <c r="AS22" i="160"/>
  <c r="AG22" i="160"/>
  <c r="AC22" i="160"/>
  <c r="W22" i="160"/>
  <c r="Y22" i="160" s="1"/>
  <c r="V22" i="160"/>
  <c r="F21" i="160"/>
  <c r="G21" i="160" s="1"/>
  <c r="H21" i="160" s="1"/>
  <c r="M20" i="160"/>
  <c r="F20" i="160"/>
  <c r="G20" i="160" s="1"/>
  <c r="H20" i="160" s="1"/>
  <c r="AE19" i="160"/>
  <c r="AB53" i="160" s="1"/>
  <c r="AA19" i="160"/>
  <c r="AK90" i="160" s="1"/>
  <c r="W19" i="160"/>
  <c r="AJ90" i="160" s="1"/>
  <c r="Q13" i="160"/>
  <c r="AF12" i="160"/>
  <c r="AC12" i="160"/>
  <c r="V12" i="160"/>
  <c r="AB10" i="160"/>
  <c r="W10" i="160"/>
  <c r="Q10" i="160"/>
  <c r="O10" i="160"/>
  <c r="K10" i="160"/>
  <c r="W9" i="160"/>
  <c r="Q9" i="160"/>
  <c r="O9" i="160"/>
  <c r="AV8" i="160"/>
  <c r="AB8" i="160"/>
  <c r="W8" i="160"/>
  <c r="Q8" i="160"/>
  <c r="O8" i="160"/>
  <c r="AB7" i="160"/>
  <c r="W7" i="160"/>
  <c r="Q7" i="160"/>
  <c r="O7" i="160"/>
  <c r="AB6" i="160"/>
  <c r="W6" i="160"/>
  <c r="Q6" i="160"/>
  <c r="O6" i="160"/>
  <c r="R1" i="160"/>
  <c r="H34" i="159"/>
  <c r="S40" i="159"/>
  <c r="AL84" i="163" l="1"/>
  <c r="AM84" i="163" s="1"/>
  <c r="Y34" i="163"/>
  <c r="Y35" i="163"/>
  <c r="AL85" i="163"/>
  <c r="AM85" i="163" s="1"/>
  <c r="AC28" i="163"/>
  <c r="AN80" i="163"/>
  <c r="AO80" i="163" s="1"/>
  <c r="AL80" i="163"/>
  <c r="AM80" i="163" s="1"/>
  <c r="Y28" i="163"/>
  <c r="Y37" i="163"/>
  <c r="AL86" i="163"/>
  <c r="AM86" i="163" s="1"/>
  <c r="AG24" i="163"/>
  <c r="M37" i="163"/>
  <c r="E83" i="163"/>
  <c r="S31" i="163"/>
  <c r="AL91" i="163" s="1"/>
  <c r="R30" i="163"/>
  <c r="R31" i="163" s="1"/>
  <c r="AK91" i="163" s="1"/>
  <c r="Q30" i="163"/>
  <c r="Q31" i="163" s="1"/>
  <c r="AJ91" i="163" s="1"/>
  <c r="F37" i="163"/>
  <c r="E37" i="163"/>
  <c r="AL85" i="162"/>
  <c r="AM85" i="162" s="1"/>
  <c r="Y35" i="162"/>
  <c r="AP77" i="162"/>
  <c r="AQ77" i="162" s="1"/>
  <c r="AG24" i="162"/>
  <c r="Y37" i="162"/>
  <c r="AL86" i="162"/>
  <c r="AM86" i="162" s="1"/>
  <c r="AL80" i="162"/>
  <c r="AM80" i="162" s="1"/>
  <c r="Y28" i="162"/>
  <c r="AC25" i="162"/>
  <c r="AP86" i="162"/>
  <c r="AQ86" i="162" s="1"/>
  <c r="Y34" i="162"/>
  <c r="AN80" i="162"/>
  <c r="AO80" i="162" s="1"/>
  <c r="M40" i="162"/>
  <c r="M30" i="162"/>
  <c r="M41" i="162" s="1"/>
  <c r="M43" i="162" s="1"/>
  <c r="X46" i="162" s="1"/>
  <c r="S92" i="162"/>
  <c r="E83" i="162"/>
  <c r="S30" i="162"/>
  <c r="S31" i="162" s="1"/>
  <c r="AL91" i="162" s="1"/>
  <c r="R30" i="162"/>
  <c r="R31" i="162" s="1"/>
  <c r="AK91" i="162" s="1"/>
  <c r="Q30" i="162"/>
  <c r="Q31" i="162" s="1"/>
  <c r="AJ91" i="162" s="1"/>
  <c r="F37" i="162"/>
  <c r="E37" i="162"/>
  <c r="AP80" i="161"/>
  <c r="AQ80" i="161" s="1"/>
  <c r="AG28" i="161"/>
  <c r="AL84" i="161"/>
  <c r="AM84" i="161" s="1"/>
  <c r="Y34" i="161"/>
  <c r="AL85" i="161"/>
  <c r="AM85" i="161" s="1"/>
  <c r="Y35" i="161"/>
  <c r="AA24" i="161"/>
  <c r="AN77" i="161" s="1"/>
  <c r="AO77" i="161" s="1"/>
  <c r="AA28" i="161"/>
  <c r="AC28" i="161" s="1"/>
  <c r="AC34" i="161"/>
  <c r="AG24" i="161"/>
  <c r="AA30" i="161"/>
  <c r="AC30" i="161" s="1"/>
  <c r="AE35" i="161"/>
  <c r="AP85" i="161" s="1"/>
  <c r="AQ85" i="161" s="1"/>
  <c r="S92" i="161"/>
  <c r="M37" i="161"/>
  <c r="F37" i="161"/>
  <c r="E37" i="161"/>
  <c r="S30" i="161"/>
  <c r="S31" i="161" s="1"/>
  <c r="AL91" i="161" s="1"/>
  <c r="Q30" i="161"/>
  <c r="Q31" i="161" s="1"/>
  <c r="AJ91" i="161" s="1"/>
  <c r="AE23" i="160"/>
  <c r="AG23" i="160" s="1"/>
  <c r="AE28" i="160"/>
  <c r="AG28" i="160" s="1"/>
  <c r="AC30" i="160"/>
  <c r="AA34" i="160"/>
  <c r="AC34" i="160" s="1"/>
  <c r="AE26" i="160"/>
  <c r="AP79" i="160" s="1"/>
  <c r="AQ79" i="160" s="1"/>
  <c r="AD40" i="160" s="1"/>
  <c r="AG37" i="160"/>
  <c r="M30" i="160"/>
  <c r="M41" i="160" s="1"/>
  <c r="M43" i="160" s="1"/>
  <c r="X46" i="160" s="1"/>
  <c r="M40" i="160"/>
  <c r="E83" i="160"/>
  <c r="S92" i="160"/>
  <c r="S30" i="160"/>
  <c r="S31" i="160" s="1"/>
  <c r="AL91" i="160" s="1"/>
  <c r="R30" i="160"/>
  <c r="R31" i="160" s="1"/>
  <c r="AK91" i="160" s="1"/>
  <c r="Q30" i="160"/>
  <c r="Q31" i="160" s="1"/>
  <c r="AJ91" i="160" s="1"/>
  <c r="F37" i="160"/>
  <c r="E37" i="160"/>
  <c r="AG37" i="163"/>
  <c r="AP86" i="163"/>
  <c r="AQ86" i="163" s="1"/>
  <c r="AN79" i="163"/>
  <c r="AO79" i="163" s="1"/>
  <c r="AA40" i="163" s="1"/>
  <c r="AC26" i="163"/>
  <c r="AN76" i="163"/>
  <c r="AO76" i="163" s="1"/>
  <c r="AC23" i="163"/>
  <c r="Y24" i="163"/>
  <c r="AL77" i="163"/>
  <c r="AM77" i="163" s="1"/>
  <c r="AG25" i="163"/>
  <c r="AP78" i="163"/>
  <c r="AQ78" i="163" s="1"/>
  <c r="Y30" i="163"/>
  <c r="AL81" i="163"/>
  <c r="AM81" i="163" s="1"/>
  <c r="AL83" i="163"/>
  <c r="AM83" i="163" s="1"/>
  <c r="W41" i="163" s="1"/>
  <c r="Y33" i="163"/>
  <c r="AP84" i="163"/>
  <c r="AQ84" i="163" s="1"/>
  <c r="AG34" i="163"/>
  <c r="AP85" i="163"/>
  <c r="AQ85" i="163" s="1"/>
  <c r="AG35" i="163"/>
  <c r="AG28" i="163"/>
  <c r="AP80" i="163"/>
  <c r="AQ80" i="163" s="1"/>
  <c r="AG30" i="163"/>
  <c r="AP81" i="163"/>
  <c r="AQ81" i="163" s="1"/>
  <c r="Y25" i="163"/>
  <c r="AL78" i="163"/>
  <c r="AM78" i="163" s="1"/>
  <c r="W42" i="163"/>
  <c r="AJ94" i="163" s="1"/>
  <c r="AC31" i="163"/>
  <c r="AN82" i="163"/>
  <c r="AO82" i="163" s="1"/>
  <c r="AC33" i="163"/>
  <c r="AN83" i="163"/>
  <c r="AO83" i="163" s="1"/>
  <c r="AA41" i="163" s="1"/>
  <c r="AC37" i="163"/>
  <c r="AN86" i="163"/>
  <c r="AO86" i="163" s="1"/>
  <c r="AN78" i="163"/>
  <c r="AO78" i="163" s="1"/>
  <c r="AN81" i="163"/>
  <c r="AO81" i="163" s="1"/>
  <c r="AE23" i="163"/>
  <c r="AE26" i="163"/>
  <c r="Y31" i="163"/>
  <c r="AG31" i="163"/>
  <c r="AB52" i="163"/>
  <c r="AL75" i="163"/>
  <c r="AM75" i="163" s="1"/>
  <c r="AL76" i="163"/>
  <c r="AM76" i="163" s="1"/>
  <c r="AN84" i="163"/>
  <c r="AO84" i="163" s="1"/>
  <c r="G23" i="163"/>
  <c r="AC24" i="163"/>
  <c r="Y26" i="163"/>
  <c r="AE33" i="163"/>
  <c r="AC35" i="163"/>
  <c r="AB53" i="163"/>
  <c r="AN76" i="162"/>
  <c r="AO76" i="162" s="1"/>
  <c r="AC23" i="162"/>
  <c r="Y24" i="162"/>
  <c r="AL77" i="162"/>
  <c r="AM77" i="162" s="1"/>
  <c r="AG25" i="162"/>
  <c r="AP78" i="162"/>
  <c r="AQ78" i="162" s="1"/>
  <c r="AP80" i="162"/>
  <c r="AQ80" i="162" s="1"/>
  <c r="AG28" i="162"/>
  <c r="AG30" i="162"/>
  <c r="AP81" i="162"/>
  <c r="AQ81" i="162" s="1"/>
  <c r="AN79" i="162"/>
  <c r="AO79" i="162" s="1"/>
  <c r="AA40" i="162" s="1"/>
  <c r="AC26" i="162"/>
  <c r="Y30" i="162"/>
  <c r="AL81" i="162"/>
  <c r="AM81" i="162" s="1"/>
  <c r="AL83" i="162"/>
  <c r="AM83" i="162" s="1"/>
  <c r="W41" i="162" s="1"/>
  <c r="Y33" i="162"/>
  <c r="AP84" i="162"/>
  <c r="AQ84" i="162" s="1"/>
  <c r="AG34" i="162"/>
  <c r="AP85" i="162"/>
  <c r="AQ85" i="162" s="1"/>
  <c r="AG35" i="162"/>
  <c r="Y25" i="162"/>
  <c r="AL78" i="162"/>
  <c r="AM78" i="162" s="1"/>
  <c r="W42" i="162"/>
  <c r="AJ94" i="162" s="1"/>
  <c r="AC31" i="162"/>
  <c r="AN82" i="162"/>
  <c r="AO82" i="162" s="1"/>
  <c r="AC33" i="162"/>
  <c r="AN83" i="162"/>
  <c r="AO83" i="162" s="1"/>
  <c r="AA41" i="162" s="1"/>
  <c r="AC37" i="162"/>
  <c r="AN86" i="162"/>
  <c r="AO86" i="162" s="1"/>
  <c r="AL90" i="162"/>
  <c r="Y31" i="162"/>
  <c r="AL75" i="162"/>
  <c r="AM75" i="162" s="1"/>
  <c r="AL76" i="162"/>
  <c r="AM76" i="162" s="1"/>
  <c r="AN84" i="162"/>
  <c r="AO84" i="162" s="1"/>
  <c r="G23" i="162"/>
  <c r="AC24" i="162"/>
  <c r="Y26" i="162"/>
  <c r="AE33" i="162"/>
  <c r="AC35" i="162"/>
  <c r="AP82" i="162"/>
  <c r="AQ82" i="162" s="1"/>
  <c r="AN78" i="162"/>
  <c r="AO78" i="162" s="1"/>
  <c r="AN81" i="162"/>
  <c r="AO81" i="162" s="1"/>
  <c r="AE23" i="162"/>
  <c r="AE26" i="162"/>
  <c r="AP82" i="161"/>
  <c r="AQ82" i="161" s="1"/>
  <c r="AG31" i="161"/>
  <c r="AL83" i="161"/>
  <c r="AM83" i="161" s="1"/>
  <c r="W41" i="161" s="1"/>
  <c r="W42" i="161" s="1"/>
  <c r="AJ94" i="161" s="1"/>
  <c r="Y33" i="161"/>
  <c r="AC25" i="161"/>
  <c r="AN78" i="161"/>
  <c r="AO78" i="161" s="1"/>
  <c r="AA26" i="161"/>
  <c r="AN86" i="161"/>
  <c r="AO86" i="161" s="1"/>
  <c r="AC37" i="161"/>
  <c r="Y25" i="161"/>
  <c r="AL78" i="161"/>
  <c r="AM78" i="161" s="1"/>
  <c r="Y30" i="161"/>
  <c r="AL81" i="161"/>
  <c r="AM81" i="161" s="1"/>
  <c r="AC33" i="161"/>
  <c r="AN83" i="161"/>
  <c r="AO83" i="161" s="1"/>
  <c r="AA41" i="161" s="1"/>
  <c r="AL82" i="161"/>
  <c r="AM82" i="161" s="1"/>
  <c r="Y31" i="161"/>
  <c r="AP84" i="161"/>
  <c r="AQ84" i="161" s="1"/>
  <c r="AG34" i="161"/>
  <c r="AG37" i="161"/>
  <c r="AP86" i="161"/>
  <c r="AQ86" i="161" s="1"/>
  <c r="AB53" i="161"/>
  <c r="AL90" i="161"/>
  <c r="AA23" i="161"/>
  <c r="AG25" i="161"/>
  <c r="AP78" i="161"/>
  <c r="AQ78" i="161" s="1"/>
  <c r="Y28" i="161"/>
  <c r="AG30" i="161"/>
  <c r="AP81" i="161"/>
  <c r="AQ81" i="161" s="1"/>
  <c r="R30" i="161"/>
  <c r="R31" i="161" s="1"/>
  <c r="AK91" i="161" s="1"/>
  <c r="AN81" i="161"/>
  <c r="AO81" i="161" s="1"/>
  <c r="AN80" i="161"/>
  <c r="AO80" i="161" s="1"/>
  <c r="AL86" i="161"/>
  <c r="AM86" i="161" s="1"/>
  <c r="AB52" i="161"/>
  <c r="AL75" i="161"/>
  <c r="AM75" i="161" s="1"/>
  <c r="AL76" i="161"/>
  <c r="AM76" i="161" s="1"/>
  <c r="AN84" i="161"/>
  <c r="AO84" i="161" s="1"/>
  <c r="G23" i="161"/>
  <c r="AC24" i="161"/>
  <c r="Y26" i="161"/>
  <c r="AE33" i="161"/>
  <c r="AA31" i="161"/>
  <c r="AC35" i="161"/>
  <c r="AP77" i="160"/>
  <c r="AQ77" i="160" s="1"/>
  <c r="AG24" i="160"/>
  <c r="AN79" i="160"/>
  <c r="AO79" i="160" s="1"/>
  <c r="AA40" i="160" s="1"/>
  <c r="AC26" i="160"/>
  <c r="Y30" i="160"/>
  <c r="AL81" i="160"/>
  <c r="AM81" i="160" s="1"/>
  <c r="AP82" i="160"/>
  <c r="AQ82" i="160" s="1"/>
  <c r="AG31" i="160"/>
  <c r="AC33" i="160"/>
  <c r="AN83" i="160"/>
  <c r="AO83" i="160" s="1"/>
  <c r="AA41" i="160" s="1"/>
  <c r="W42" i="160"/>
  <c r="AJ94" i="160" s="1"/>
  <c r="AG30" i="160"/>
  <c r="AP81" i="160"/>
  <c r="AQ81" i="160" s="1"/>
  <c r="AP84" i="160"/>
  <c r="AQ84" i="160" s="1"/>
  <c r="AG34" i="160"/>
  <c r="AP85" i="160"/>
  <c r="AQ85" i="160" s="1"/>
  <c r="AG35" i="160"/>
  <c r="AL80" i="160"/>
  <c r="AM80" i="160" s="1"/>
  <c r="Y28" i="160"/>
  <c r="AN86" i="160"/>
  <c r="AO86" i="160" s="1"/>
  <c r="AC37" i="160"/>
  <c r="AG25" i="160"/>
  <c r="AP78" i="160"/>
  <c r="AQ78" i="160" s="1"/>
  <c r="AN76" i="160"/>
  <c r="AO76" i="160" s="1"/>
  <c r="AC23" i="160"/>
  <c r="AL77" i="160"/>
  <c r="AM77" i="160" s="1"/>
  <c r="Y24" i="160"/>
  <c r="AL82" i="160"/>
  <c r="AM82" i="160" s="1"/>
  <c r="Y31" i="160"/>
  <c r="AL83" i="160"/>
  <c r="AM83" i="160" s="1"/>
  <c r="W41" i="160" s="1"/>
  <c r="Y33" i="160"/>
  <c r="AL84" i="160"/>
  <c r="AM84" i="160" s="1"/>
  <c r="Y34" i="160"/>
  <c r="AL85" i="160"/>
  <c r="AM85" i="160" s="1"/>
  <c r="Y35" i="160"/>
  <c r="AA25" i="160"/>
  <c r="AB51" i="160"/>
  <c r="AN80" i="160"/>
  <c r="AO80" i="160" s="1"/>
  <c r="AL86" i="160"/>
  <c r="AM86" i="160" s="1"/>
  <c r="AP86" i="160"/>
  <c r="AQ86" i="160" s="1"/>
  <c r="AL90" i="160"/>
  <c r="AB52" i="160"/>
  <c r="AL75" i="160"/>
  <c r="AM75" i="160" s="1"/>
  <c r="AL76" i="160"/>
  <c r="AM76" i="160" s="1"/>
  <c r="G23" i="160"/>
  <c r="AC24" i="160"/>
  <c r="Y26" i="160"/>
  <c r="AG26" i="160"/>
  <c r="AE33" i="160"/>
  <c r="AA31" i="160"/>
  <c r="AC35" i="160"/>
  <c r="AL78" i="160"/>
  <c r="AM78" i="160" s="1"/>
  <c r="AG37" i="162" l="1"/>
  <c r="AG35" i="161"/>
  <c r="AN84" i="160"/>
  <c r="AO84" i="160" s="1"/>
  <c r="AP76" i="160"/>
  <c r="AQ76" i="160" s="1"/>
  <c r="AP80" i="160"/>
  <c r="AQ80" i="160" s="1"/>
  <c r="M30" i="163"/>
  <c r="M41" i="163" s="1"/>
  <c r="M40" i="163"/>
  <c r="M39" i="162"/>
  <c r="X45" i="162" s="1"/>
  <c r="M40" i="161"/>
  <c r="M30" i="161"/>
  <c r="M41" i="161" s="1"/>
  <c r="M39" i="160"/>
  <c r="X45" i="160" s="1"/>
  <c r="AG23" i="163"/>
  <c r="AP76" i="163"/>
  <c r="AQ76" i="163" s="1"/>
  <c r="AP83" i="163"/>
  <c r="AQ83" i="163" s="1"/>
  <c r="AD41" i="163" s="1"/>
  <c r="AG33" i="163"/>
  <c r="AA42" i="163"/>
  <c r="AK94" i="163" s="1"/>
  <c r="G25" i="163"/>
  <c r="G36" i="163" s="1"/>
  <c r="G37" i="163" s="1"/>
  <c r="H23" i="163"/>
  <c r="H25" i="163" s="1"/>
  <c r="H36" i="163" s="1"/>
  <c r="H37" i="163" s="1"/>
  <c r="AP79" i="163"/>
  <c r="AQ79" i="163" s="1"/>
  <c r="AD40" i="163" s="1"/>
  <c r="AD42" i="163" s="1"/>
  <c r="AL94" i="163" s="1"/>
  <c r="AG26" i="163"/>
  <c r="AP79" i="162"/>
  <c r="AQ79" i="162" s="1"/>
  <c r="AD40" i="162" s="1"/>
  <c r="AG26" i="162"/>
  <c r="AG23" i="162"/>
  <c r="AP76" i="162"/>
  <c r="AQ76" i="162" s="1"/>
  <c r="G25" i="162"/>
  <c r="G36" i="162" s="1"/>
  <c r="G37" i="162" s="1"/>
  <c r="H23" i="162"/>
  <c r="H25" i="162" s="1"/>
  <c r="H36" i="162" s="1"/>
  <c r="H37" i="162" s="1"/>
  <c r="AP83" i="162"/>
  <c r="AQ83" i="162" s="1"/>
  <c r="AD41" i="162" s="1"/>
  <c r="AG33" i="162"/>
  <c r="AA42" i="162"/>
  <c r="AK94" i="162" s="1"/>
  <c r="AN76" i="161"/>
  <c r="AO76" i="161" s="1"/>
  <c r="AC23" i="161"/>
  <c r="AP79" i="161"/>
  <c r="AQ79" i="161" s="1"/>
  <c r="AD40" i="161" s="1"/>
  <c r="AG26" i="161"/>
  <c r="AN79" i="161"/>
  <c r="AO79" i="161" s="1"/>
  <c r="AA40" i="161" s="1"/>
  <c r="AA42" i="161" s="1"/>
  <c r="AK94" i="161" s="1"/>
  <c r="AC26" i="161"/>
  <c r="AC31" i="161"/>
  <c r="AN82" i="161"/>
  <c r="AO82" i="161" s="1"/>
  <c r="G25" i="161"/>
  <c r="G36" i="161" s="1"/>
  <c r="G37" i="161" s="1"/>
  <c r="H23" i="161"/>
  <c r="H25" i="161" s="1"/>
  <c r="H36" i="161" s="1"/>
  <c r="H37" i="161" s="1"/>
  <c r="AP83" i="161"/>
  <c r="AQ83" i="161" s="1"/>
  <c r="AD41" i="161" s="1"/>
  <c r="AG33" i="161"/>
  <c r="AG23" i="161"/>
  <c r="AP76" i="161"/>
  <c r="AQ76" i="161" s="1"/>
  <c r="AC31" i="160"/>
  <c r="AN82" i="160"/>
  <c r="AO82" i="160" s="1"/>
  <c r="AC25" i="160"/>
  <c r="AN78" i="160"/>
  <c r="AO78" i="160" s="1"/>
  <c r="AP83" i="160"/>
  <c r="AQ83" i="160" s="1"/>
  <c r="AD41" i="160" s="1"/>
  <c r="AD42" i="160" s="1"/>
  <c r="AL94" i="160" s="1"/>
  <c r="AG33" i="160"/>
  <c r="G25" i="160"/>
  <c r="G36" i="160" s="1"/>
  <c r="G37" i="160" s="1"/>
  <c r="H23" i="160"/>
  <c r="H25" i="160" s="1"/>
  <c r="H36" i="160" s="1"/>
  <c r="H37" i="160" s="1"/>
  <c r="AA42" i="160"/>
  <c r="AK94" i="160" s="1"/>
  <c r="M43" i="163" l="1"/>
  <c r="X46" i="163" s="1"/>
  <c r="M39" i="163"/>
  <c r="X45" i="163" s="1"/>
  <c r="M39" i="161"/>
  <c r="X45" i="161" s="1"/>
  <c r="M43" i="161"/>
  <c r="X46" i="161" s="1"/>
  <c r="AD42" i="162"/>
  <c r="AL94" i="162" s="1"/>
  <c r="AD42" i="161"/>
  <c r="AL94" i="161" s="1"/>
  <c r="AI22" i="157" l="1"/>
  <c r="M28" i="157"/>
  <c r="AJ86" i="159" l="1"/>
  <c r="AK86" i="159" s="1"/>
  <c r="AJ85" i="159"/>
  <c r="AK85" i="159" s="1"/>
  <c r="L85" i="159"/>
  <c r="AJ84" i="159"/>
  <c r="AK84" i="159" s="1"/>
  <c r="AJ83" i="159"/>
  <c r="AK83" i="159" s="1"/>
  <c r="AJ82" i="159"/>
  <c r="AK82" i="159" s="1"/>
  <c r="AJ81" i="159"/>
  <c r="AK81" i="159" s="1"/>
  <c r="AJ80" i="159"/>
  <c r="AK80" i="159" s="1"/>
  <c r="AJ79" i="159"/>
  <c r="AK79" i="159" s="1"/>
  <c r="AJ78" i="159"/>
  <c r="AK78" i="159" s="1"/>
  <c r="D78" i="159"/>
  <c r="AJ77" i="159"/>
  <c r="AK77" i="159" s="1"/>
  <c r="AJ76" i="159"/>
  <c r="AK76" i="159" s="1"/>
  <c r="AP75" i="159"/>
  <c r="AQ75" i="159" s="1"/>
  <c r="AN75" i="159"/>
  <c r="AO75" i="159" s="1"/>
  <c r="AK75" i="159"/>
  <c r="AJ75" i="159"/>
  <c r="AH47" i="159"/>
  <c r="AH48" i="159" s="1"/>
  <c r="AG47" i="159"/>
  <c r="AG48" i="159" s="1"/>
  <c r="AF47" i="159"/>
  <c r="AF48" i="159" s="1"/>
  <c r="X47" i="159"/>
  <c r="S47" i="159"/>
  <c r="R47" i="159"/>
  <c r="Q47" i="159"/>
  <c r="M42" i="159"/>
  <c r="S92" i="159" s="1"/>
  <c r="R40" i="159"/>
  <c r="Q40" i="159"/>
  <c r="AD39" i="159"/>
  <c r="AA39" i="159"/>
  <c r="W39" i="159"/>
  <c r="AS37" i="159"/>
  <c r="V37" i="159"/>
  <c r="AS36" i="159"/>
  <c r="AS35" i="159"/>
  <c r="V35" i="159"/>
  <c r="AS34" i="159"/>
  <c r="V34" i="159"/>
  <c r="J84" i="159"/>
  <c r="J83" i="159" s="1"/>
  <c r="G34" i="159"/>
  <c r="I84" i="159" s="1"/>
  <c r="I83" i="159" s="1"/>
  <c r="F34" i="159"/>
  <c r="H84" i="159" s="1"/>
  <c r="H83" i="159" s="1"/>
  <c r="E34" i="159"/>
  <c r="G84" i="159" s="1"/>
  <c r="G83" i="159" s="1"/>
  <c r="AS33" i="159"/>
  <c r="AA37" i="159"/>
  <c r="AI33" i="159"/>
  <c r="W37" i="159" s="1"/>
  <c r="V33" i="159"/>
  <c r="M33" i="159"/>
  <c r="AS32" i="159"/>
  <c r="AA35" i="159"/>
  <c r="AN85" i="159" s="1"/>
  <c r="AO85" i="159" s="1"/>
  <c r="AI32" i="159"/>
  <c r="W35" i="159" s="1"/>
  <c r="AS31" i="159"/>
  <c r="AA34" i="159"/>
  <c r="AC34" i="159" s="1"/>
  <c r="AI31" i="159"/>
  <c r="W34" i="159" s="1"/>
  <c r="V31" i="159"/>
  <c r="AS30" i="159"/>
  <c r="AA33" i="159"/>
  <c r="AI30" i="159"/>
  <c r="W33" i="159" s="1"/>
  <c r="AL83" i="159" s="1"/>
  <c r="AM83" i="159" s="1"/>
  <c r="W41" i="159" s="1"/>
  <c r="V30" i="159"/>
  <c r="AS29" i="159"/>
  <c r="AI29" i="159"/>
  <c r="W31" i="159" s="1"/>
  <c r="AS28" i="159"/>
  <c r="AI28" i="159"/>
  <c r="W30" i="159" s="1"/>
  <c r="V28" i="159"/>
  <c r="S28" i="159"/>
  <c r="R28" i="159"/>
  <c r="Q28" i="159"/>
  <c r="M28" i="159"/>
  <c r="AS27" i="159"/>
  <c r="AE28" i="159"/>
  <c r="AC28" i="159"/>
  <c r="AI27" i="159"/>
  <c r="W28" i="159" s="1"/>
  <c r="S27" i="159"/>
  <c r="R27" i="159"/>
  <c r="Q27" i="159"/>
  <c r="AS26" i="159"/>
  <c r="AI26" i="159"/>
  <c r="W26" i="159"/>
  <c r="AL79" i="159" s="1"/>
  <c r="AM79" i="159" s="1"/>
  <c r="W40" i="159" s="1"/>
  <c r="V26" i="159"/>
  <c r="AS25" i="159"/>
  <c r="AI25" i="159"/>
  <c r="W25" i="159"/>
  <c r="AL78" i="159" s="1"/>
  <c r="AM78" i="159" s="1"/>
  <c r="V25" i="159"/>
  <c r="E25" i="159"/>
  <c r="E36" i="159" s="1"/>
  <c r="AS24" i="159"/>
  <c r="AE24" i="159"/>
  <c r="AI24" i="159"/>
  <c r="W24" i="159" s="1"/>
  <c r="V24" i="159"/>
  <c r="G24" i="159"/>
  <c r="H24" i="159" s="1"/>
  <c r="F24" i="159"/>
  <c r="AS23" i="159"/>
  <c r="AI23" i="159"/>
  <c r="W23" i="159" s="1"/>
  <c r="AL76" i="159" s="1"/>
  <c r="AM76" i="159" s="1"/>
  <c r="V23" i="159"/>
  <c r="F23" i="159"/>
  <c r="G23" i="159" s="1"/>
  <c r="AS22" i="159"/>
  <c r="AI22" i="159"/>
  <c r="AG22" i="159"/>
  <c r="AC22" i="159"/>
  <c r="W22" i="159"/>
  <c r="Y22" i="159" s="1"/>
  <c r="V22" i="159"/>
  <c r="F21" i="159"/>
  <c r="G21" i="159" s="1"/>
  <c r="H21" i="159" s="1"/>
  <c r="M20" i="159"/>
  <c r="F20" i="159"/>
  <c r="G20" i="159" s="1"/>
  <c r="H20" i="159" s="1"/>
  <c r="AE19" i="159"/>
  <c r="AB53" i="159" s="1"/>
  <c r="AA19" i="159"/>
  <c r="AK90" i="159" s="1"/>
  <c r="W19" i="159"/>
  <c r="AJ90" i="159" s="1"/>
  <c r="Q13" i="159"/>
  <c r="AF12" i="159"/>
  <c r="AC12" i="159"/>
  <c r="V12" i="159"/>
  <c r="R12" i="159"/>
  <c r="AB10" i="159"/>
  <c r="W10" i="159"/>
  <c r="Q10" i="159"/>
  <c r="O10" i="159"/>
  <c r="K10" i="159"/>
  <c r="W9" i="159"/>
  <c r="Q9" i="159"/>
  <c r="O9" i="159"/>
  <c r="AV8" i="159"/>
  <c r="W8" i="159"/>
  <c r="Q8" i="159"/>
  <c r="O8" i="159"/>
  <c r="AB7" i="159"/>
  <c r="W7" i="159"/>
  <c r="Q7" i="159"/>
  <c r="O7" i="159"/>
  <c r="AB6" i="159"/>
  <c r="W6" i="159"/>
  <c r="Q6" i="159"/>
  <c r="O6" i="159"/>
  <c r="R1" i="159"/>
  <c r="AJ86" i="158"/>
  <c r="AK86" i="158" s="1"/>
  <c r="AJ85" i="158"/>
  <c r="AK85" i="158" s="1"/>
  <c r="L85" i="158"/>
  <c r="AK84" i="158"/>
  <c r="AJ84" i="158"/>
  <c r="AK83" i="158"/>
  <c r="AJ83" i="158"/>
  <c r="AK82" i="158"/>
  <c r="AJ82" i="158"/>
  <c r="AK81" i="158"/>
  <c r="AJ81" i="158"/>
  <c r="AK80" i="158"/>
  <c r="AJ80" i="158"/>
  <c r="AK79" i="158"/>
  <c r="AJ79" i="158"/>
  <c r="AK78" i="158"/>
  <c r="AJ78" i="158"/>
  <c r="D78" i="158"/>
  <c r="AJ77" i="158"/>
  <c r="AK77" i="158" s="1"/>
  <c r="AJ76" i="158"/>
  <c r="AK76" i="158" s="1"/>
  <c r="AQ75" i="158"/>
  <c r="AP75" i="158"/>
  <c r="AN75" i="158"/>
  <c r="AO75" i="158" s="1"/>
  <c r="AJ75" i="158"/>
  <c r="AK75" i="158" s="1"/>
  <c r="AH48" i="158"/>
  <c r="AH47" i="158"/>
  <c r="AG47" i="158"/>
  <c r="AG48" i="158" s="1"/>
  <c r="AF47" i="158"/>
  <c r="AF48" i="158" s="1"/>
  <c r="X47" i="158"/>
  <c r="S47" i="158"/>
  <c r="R47" i="158"/>
  <c r="Q47" i="158"/>
  <c r="M42" i="158"/>
  <c r="S92" i="158" s="1"/>
  <c r="M41" i="158"/>
  <c r="M43" i="158" s="1"/>
  <c r="X46" i="158" s="1"/>
  <c r="S40" i="158"/>
  <c r="R40" i="158"/>
  <c r="Q40" i="158"/>
  <c r="AD39" i="158"/>
  <c r="AA39" i="158"/>
  <c r="W39" i="158"/>
  <c r="AS37" i="158"/>
  <c r="V37" i="158"/>
  <c r="AS36" i="158"/>
  <c r="AS35" i="158"/>
  <c r="V35" i="158"/>
  <c r="AS34" i="158"/>
  <c r="V34" i="158"/>
  <c r="H34" i="158"/>
  <c r="J84" i="158" s="1"/>
  <c r="J83" i="158" s="1"/>
  <c r="G34" i="158"/>
  <c r="I84" i="158" s="1"/>
  <c r="I83" i="158" s="1"/>
  <c r="F34" i="158"/>
  <c r="H84" i="158" s="1"/>
  <c r="H83" i="158" s="1"/>
  <c r="E34" i="158"/>
  <c r="G84" i="158" s="1"/>
  <c r="G83" i="158" s="1"/>
  <c r="AS33" i="158"/>
  <c r="AI33" i="158"/>
  <c r="W37" i="158" s="1"/>
  <c r="Y37" i="158" s="1"/>
  <c r="V33" i="158"/>
  <c r="M33" i="158"/>
  <c r="AS32" i="158"/>
  <c r="AE35" i="158"/>
  <c r="AI32" i="158"/>
  <c r="W35" i="158" s="1"/>
  <c r="AL85" i="158" s="1"/>
  <c r="AM85" i="158" s="1"/>
  <c r="AS31" i="158"/>
  <c r="AE34" i="158"/>
  <c r="AI31" i="158"/>
  <c r="W34" i="158" s="1"/>
  <c r="AL84" i="158" s="1"/>
  <c r="AM84" i="158" s="1"/>
  <c r="V31" i="158"/>
  <c r="M31" i="158"/>
  <c r="AS30" i="158"/>
  <c r="AA33" i="158"/>
  <c r="AI30" i="158"/>
  <c r="W33" i="158" s="1"/>
  <c r="V30" i="158"/>
  <c r="M30" i="158"/>
  <c r="AS29" i="158"/>
  <c r="AA31" i="158"/>
  <c r="AI29" i="158"/>
  <c r="W31" i="158" s="1"/>
  <c r="AS28" i="158"/>
  <c r="AA30" i="158"/>
  <c r="AI28" i="158"/>
  <c r="W30" i="158" s="1"/>
  <c r="AL81" i="158" s="1"/>
  <c r="AM81" i="158" s="1"/>
  <c r="V28" i="158"/>
  <c r="S28" i="158"/>
  <c r="R28" i="158"/>
  <c r="Q28" i="158"/>
  <c r="M28" i="158"/>
  <c r="AS27" i="158"/>
  <c r="AA28" i="158"/>
  <c r="AI27" i="158"/>
  <c r="W28" i="158" s="1"/>
  <c r="S27" i="158"/>
  <c r="R27" i="158"/>
  <c r="Q27" i="158"/>
  <c r="Q30" i="158" s="1"/>
  <c r="AS26" i="158"/>
  <c r="AE26" i="158"/>
  <c r="AI26" i="158"/>
  <c r="W26" i="158" s="1"/>
  <c r="AA26" i="158"/>
  <c r="AC26" i="158" s="1"/>
  <c r="V26" i="158"/>
  <c r="AS25" i="158"/>
  <c r="AE25" i="158"/>
  <c r="AI25" i="158"/>
  <c r="W25" i="158" s="1"/>
  <c r="V25" i="158"/>
  <c r="E25" i="158"/>
  <c r="E36" i="158" s="1"/>
  <c r="AS24" i="158"/>
  <c r="AE24" i="158"/>
  <c r="AG24" i="158" s="1"/>
  <c r="AI24" i="158"/>
  <c r="W24" i="158" s="1"/>
  <c r="Y24" i="158" s="1"/>
  <c r="V24" i="158"/>
  <c r="F24" i="158"/>
  <c r="G24" i="158" s="1"/>
  <c r="H24" i="158" s="1"/>
  <c r="AS23" i="158"/>
  <c r="AE23" i="158"/>
  <c r="AI23" i="158"/>
  <c r="W23" i="158" s="1"/>
  <c r="V23" i="158"/>
  <c r="F23" i="158"/>
  <c r="F25" i="158" s="1"/>
  <c r="F36" i="158" s="1"/>
  <c r="AS22" i="158"/>
  <c r="AI22" i="158"/>
  <c r="AG22" i="158"/>
  <c r="AC22" i="158"/>
  <c r="W22" i="158"/>
  <c r="AL75" i="158" s="1"/>
  <c r="AM75" i="158" s="1"/>
  <c r="V22" i="158"/>
  <c r="F21" i="158"/>
  <c r="G21" i="158" s="1"/>
  <c r="H21" i="158" s="1"/>
  <c r="M20" i="158"/>
  <c r="F20" i="158"/>
  <c r="G20" i="158" s="1"/>
  <c r="H20" i="158" s="1"/>
  <c r="AE19" i="158"/>
  <c r="AB53" i="158" s="1"/>
  <c r="AA19" i="158"/>
  <c r="AK90" i="158" s="1"/>
  <c r="W19" i="158"/>
  <c r="AJ90" i="158" s="1"/>
  <c r="Q13" i="158"/>
  <c r="AF12" i="158"/>
  <c r="AC12" i="158"/>
  <c r="V12" i="158"/>
  <c r="R12" i="158"/>
  <c r="AB10" i="158"/>
  <c r="W10" i="158"/>
  <c r="Q10" i="158"/>
  <c r="O10" i="158"/>
  <c r="K10" i="158"/>
  <c r="W9" i="158"/>
  <c r="Q9" i="158"/>
  <c r="O9" i="158"/>
  <c r="AV8" i="158"/>
  <c r="W8" i="158"/>
  <c r="Q8" i="158"/>
  <c r="O8" i="158"/>
  <c r="AB7" i="158"/>
  <c r="W7" i="158"/>
  <c r="Q7" i="158"/>
  <c r="O7" i="158"/>
  <c r="AB6" i="158"/>
  <c r="W6" i="158"/>
  <c r="Q6" i="158"/>
  <c r="O6" i="158"/>
  <c r="R1" i="158"/>
  <c r="AK86" i="157"/>
  <c r="AJ86" i="157"/>
  <c r="AJ85" i="157"/>
  <c r="AK85" i="157" s="1"/>
  <c r="L85" i="157"/>
  <c r="AK84" i="157"/>
  <c r="AJ84" i="157"/>
  <c r="AK83" i="157"/>
  <c r="AJ83" i="157"/>
  <c r="AK82" i="157"/>
  <c r="AJ82" i="157"/>
  <c r="AK81" i="157"/>
  <c r="AJ81" i="157"/>
  <c r="AK80" i="157"/>
  <c r="AJ80" i="157"/>
  <c r="AK79" i="157"/>
  <c r="AJ79" i="157"/>
  <c r="AK78" i="157"/>
  <c r="AJ78" i="157"/>
  <c r="D78" i="157"/>
  <c r="AK77" i="157"/>
  <c r="AJ77" i="157"/>
  <c r="AK76" i="157"/>
  <c r="AJ76" i="157"/>
  <c r="AQ75" i="157"/>
  <c r="AP75" i="157"/>
  <c r="AO75" i="157"/>
  <c r="AN75" i="157"/>
  <c r="AM75" i="157"/>
  <c r="AL75" i="157"/>
  <c r="AK75" i="157"/>
  <c r="AJ75" i="157"/>
  <c r="AH47" i="157"/>
  <c r="AH48" i="157" s="1"/>
  <c r="AG47" i="157"/>
  <c r="AG48" i="157" s="1"/>
  <c r="AF47" i="157"/>
  <c r="AF48" i="157" s="1"/>
  <c r="X47" i="157"/>
  <c r="S47" i="157"/>
  <c r="R47" i="157"/>
  <c r="Q47" i="157"/>
  <c r="M42" i="157"/>
  <c r="S92" i="157" s="1"/>
  <c r="S40" i="157"/>
  <c r="R40" i="157"/>
  <c r="Q40" i="157"/>
  <c r="AD39" i="157"/>
  <c r="AA39" i="157"/>
  <c r="W39" i="157"/>
  <c r="AS37" i="157"/>
  <c r="V37" i="157"/>
  <c r="AS36" i="157"/>
  <c r="AS35" i="157"/>
  <c r="V35" i="157"/>
  <c r="AS34" i="157"/>
  <c r="V34" i="157"/>
  <c r="H34" i="157"/>
  <c r="J84" i="157" s="1"/>
  <c r="J83" i="157" s="1"/>
  <c r="G34" i="157"/>
  <c r="I84" i="157" s="1"/>
  <c r="I83" i="157" s="1"/>
  <c r="F34" i="157"/>
  <c r="H84" i="157" s="1"/>
  <c r="H83" i="157" s="1"/>
  <c r="E34" i="157"/>
  <c r="G84" i="157" s="1"/>
  <c r="G83" i="157" s="1"/>
  <c r="AS33" i="157"/>
  <c r="AI33" i="157"/>
  <c r="W37" i="157" s="1"/>
  <c r="Y37" i="157" s="1"/>
  <c r="V33" i="157"/>
  <c r="M33" i="157"/>
  <c r="AS32" i="157"/>
  <c r="AE35" i="157"/>
  <c r="AI32" i="157"/>
  <c r="W35" i="157" s="1"/>
  <c r="AS31" i="157"/>
  <c r="AE34" i="157"/>
  <c r="AI31" i="157"/>
  <c r="W34" i="157" s="1"/>
  <c r="V31" i="157"/>
  <c r="M31" i="157"/>
  <c r="AS30" i="157"/>
  <c r="AE33" i="157"/>
  <c r="AN83" i="157"/>
  <c r="AO83" i="157" s="1"/>
  <c r="AA41" i="157" s="1"/>
  <c r="AI30" i="157"/>
  <c r="W33" i="157" s="1"/>
  <c r="V30" i="157"/>
  <c r="M30" i="157"/>
  <c r="AS29" i="157"/>
  <c r="AI29" i="157"/>
  <c r="W31" i="157" s="1"/>
  <c r="AS28" i="157"/>
  <c r="AE30" i="157"/>
  <c r="AI28" i="157"/>
  <c r="W30" i="157" s="1"/>
  <c r="AL81" i="157" s="1"/>
  <c r="AM81" i="157" s="1"/>
  <c r="V28" i="157"/>
  <c r="S28" i="157"/>
  <c r="R28" i="157"/>
  <c r="Q28" i="157"/>
  <c r="AS27" i="157"/>
  <c r="AI27" i="157"/>
  <c r="W28" i="157" s="1"/>
  <c r="S27" i="157"/>
  <c r="R27" i="157"/>
  <c r="Q27" i="157"/>
  <c r="AS26" i="157"/>
  <c r="AE26" i="157"/>
  <c r="AI26" i="157"/>
  <c r="W26" i="157" s="1"/>
  <c r="V26" i="157"/>
  <c r="AS25" i="157"/>
  <c r="AA25" i="157"/>
  <c r="AN78" i="157" s="1"/>
  <c r="AO78" i="157" s="1"/>
  <c r="AI25" i="157"/>
  <c r="W25" i="157" s="1"/>
  <c r="V25" i="157"/>
  <c r="G25" i="157"/>
  <c r="G36" i="157" s="1"/>
  <c r="F25" i="157"/>
  <c r="F36" i="157" s="1"/>
  <c r="E25" i="157"/>
  <c r="E36" i="157" s="1"/>
  <c r="AS24" i="157"/>
  <c r="AA24" i="157"/>
  <c r="AI24" i="157"/>
  <c r="W24" i="157"/>
  <c r="AL77" i="157" s="1"/>
  <c r="AM77" i="157" s="1"/>
  <c r="V24" i="157"/>
  <c r="F24" i="157"/>
  <c r="G24" i="157" s="1"/>
  <c r="H24" i="157" s="1"/>
  <c r="AS23" i="157"/>
  <c r="AE23" i="157"/>
  <c r="AI23" i="157"/>
  <c r="W23" i="157" s="1"/>
  <c r="V23" i="157"/>
  <c r="H23" i="157"/>
  <c r="H25" i="157" s="1"/>
  <c r="H36" i="157" s="1"/>
  <c r="G23" i="157"/>
  <c r="F23" i="157"/>
  <c r="AS22" i="157"/>
  <c r="AG22" i="157"/>
  <c r="AC22" i="157"/>
  <c r="Y22" i="157"/>
  <c r="W22" i="157"/>
  <c r="V22" i="157"/>
  <c r="H21" i="157"/>
  <c r="G21" i="157"/>
  <c r="F21" i="157"/>
  <c r="M20" i="157"/>
  <c r="H20" i="157"/>
  <c r="G20" i="157"/>
  <c r="F20" i="157"/>
  <c r="AE19" i="157"/>
  <c r="AB53" i="157" s="1"/>
  <c r="AA19" i="157"/>
  <c r="AB52" i="157" s="1"/>
  <c r="W19" i="157"/>
  <c r="AJ90" i="157" s="1"/>
  <c r="Q13" i="157"/>
  <c r="AF12" i="157"/>
  <c r="AC12" i="157"/>
  <c r="V12" i="157"/>
  <c r="R12" i="157"/>
  <c r="AB10" i="157"/>
  <c r="W10" i="157"/>
  <c r="Q10" i="157"/>
  <c r="O10" i="157"/>
  <c r="K10" i="157"/>
  <c r="W9" i="157"/>
  <c r="Q9" i="157"/>
  <c r="O9" i="157"/>
  <c r="AV8" i="157"/>
  <c r="W8" i="157"/>
  <c r="Q8" i="157"/>
  <c r="O8" i="157"/>
  <c r="AB7" i="157"/>
  <c r="W7" i="157"/>
  <c r="Q7" i="157"/>
  <c r="O7" i="157"/>
  <c r="AB6" i="157"/>
  <c r="W6" i="157"/>
  <c r="Q6" i="157"/>
  <c r="O6" i="157"/>
  <c r="R1" i="157"/>
  <c r="AB51" i="159" l="1"/>
  <c r="AB52" i="159"/>
  <c r="AL90" i="159"/>
  <c r="Y35" i="159"/>
  <c r="AL85" i="159"/>
  <c r="AM85" i="159" s="1"/>
  <c r="AL84" i="159"/>
  <c r="AM84" i="159" s="1"/>
  <c r="Y34" i="159"/>
  <c r="Y37" i="159"/>
  <c r="AL86" i="159"/>
  <c r="AM86" i="159" s="1"/>
  <c r="AE23" i="159"/>
  <c r="AG23" i="159" s="1"/>
  <c r="AE26" i="159"/>
  <c r="AP79" i="159" s="1"/>
  <c r="AQ79" i="159" s="1"/>
  <c r="AD40" i="159" s="1"/>
  <c r="AP86" i="159"/>
  <c r="AQ86" i="159" s="1"/>
  <c r="AE34" i="159"/>
  <c r="AE35" i="159"/>
  <c r="AG35" i="159" s="1"/>
  <c r="AN77" i="159"/>
  <c r="AO77" i="159" s="1"/>
  <c r="M37" i="159"/>
  <c r="E83" i="159"/>
  <c r="E37" i="159"/>
  <c r="S30" i="159"/>
  <c r="S31" i="159" s="1"/>
  <c r="AL91" i="159" s="1"/>
  <c r="R30" i="159"/>
  <c r="R31" i="159" s="1"/>
  <c r="AK91" i="159" s="1"/>
  <c r="Q30" i="159"/>
  <c r="Q31" i="159" s="1"/>
  <c r="AJ91" i="159" s="1"/>
  <c r="AA24" i="158"/>
  <c r="AN77" i="158" s="1"/>
  <c r="AO77" i="158" s="1"/>
  <c r="AA35" i="158"/>
  <c r="AN85" i="158" s="1"/>
  <c r="AO85" i="158" s="1"/>
  <c r="AE33" i="158"/>
  <c r="AG33" i="158" s="1"/>
  <c r="AA23" i="158"/>
  <c r="AN76" i="158" s="1"/>
  <c r="AO76" i="158" s="1"/>
  <c r="AA34" i="158"/>
  <c r="AC34" i="158" s="1"/>
  <c r="AE28" i="158"/>
  <c r="AG28" i="158" s="1"/>
  <c r="AA25" i="158"/>
  <c r="AN78" i="158" s="1"/>
  <c r="AO78" i="158" s="1"/>
  <c r="M37" i="158"/>
  <c r="Q31" i="158"/>
  <c r="AJ91" i="158" s="1"/>
  <c r="R30" i="158"/>
  <c r="R31" i="158" s="1"/>
  <c r="AK91" i="158" s="1"/>
  <c r="S30" i="158"/>
  <c r="S31" i="158" s="1"/>
  <c r="AL91" i="158" s="1"/>
  <c r="F37" i="158"/>
  <c r="E37" i="158"/>
  <c r="AE25" i="157"/>
  <c r="AP78" i="157" s="1"/>
  <c r="AQ78" i="157" s="1"/>
  <c r="AL78" i="157"/>
  <c r="AM78" i="157" s="1"/>
  <c r="Y25" i="157"/>
  <c r="AL82" i="157"/>
  <c r="AM82" i="157" s="1"/>
  <c r="Y31" i="157"/>
  <c r="AA23" i="157"/>
  <c r="AN76" i="157" s="1"/>
  <c r="AO76" i="157" s="1"/>
  <c r="AG25" i="157"/>
  <c r="AA35" i="157"/>
  <c r="AN85" i="157" s="1"/>
  <c r="AO85" i="157" s="1"/>
  <c r="AE24" i="157"/>
  <c r="AP77" i="157" s="1"/>
  <c r="AQ77" i="157" s="1"/>
  <c r="AN79" i="157"/>
  <c r="AO79" i="157" s="1"/>
  <c r="AA40" i="157" s="1"/>
  <c r="AA42" i="157" s="1"/>
  <c r="AK94" i="157" s="1"/>
  <c r="AA34" i="157"/>
  <c r="AC34" i="157" s="1"/>
  <c r="R30" i="157"/>
  <c r="R31" i="157" s="1"/>
  <c r="AK91" i="157" s="1"/>
  <c r="M41" i="157"/>
  <c r="M39" i="157" s="1"/>
  <c r="X45" i="157" s="1"/>
  <c r="M37" i="157"/>
  <c r="M40" i="157" s="1"/>
  <c r="E83" i="157"/>
  <c r="S30" i="157"/>
  <c r="S31" i="157" s="1"/>
  <c r="AL91" i="157" s="1"/>
  <c r="G37" i="157"/>
  <c r="E37" i="157"/>
  <c r="F37" i="157"/>
  <c r="H37" i="157"/>
  <c r="Q30" i="157"/>
  <c r="Q31" i="157" s="1"/>
  <c r="AJ91" i="157" s="1"/>
  <c r="AG24" i="159"/>
  <c r="AP77" i="159"/>
  <c r="AQ77" i="159" s="1"/>
  <c r="AN81" i="159"/>
  <c r="AO81" i="159" s="1"/>
  <c r="AC30" i="159"/>
  <c r="AP84" i="159"/>
  <c r="AQ84" i="159" s="1"/>
  <c r="AG34" i="159"/>
  <c r="AP85" i="159"/>
  <c r="AQ85" i="159" s="1"/>
  <c r="G25" i="159"/>
  <c r="G36" i="159" s="1"/>
  <c r="G37" i="159" s="1"/>
  <c r="H23" i="159"/>
  <c r="H25" i="159" s="1"/>
  <c r="H36" i="159" s="1"/>
  <c r="H37" i="159" s="1"/>
  <c r="AN78" i="159"/>
  <c r="AO78" i="159" s="1"/>
  <c r="AC25" i="159"/>
  <c r="AL82" i="159"/>
  <c r="AM82" i="159" s="1"/>
  <c r="Y31" i="159"/>
  <c r="AN86" i="159"/>
  <c r="AO86" i="159" s="1"/>
  <c r="AC37" i="159"/>
  <c r="W42" i="159"/>
  <c r="AJ94" i="159" s="1"/>
  <c r="Y28" i="159"/>
  <c r="AL80" i="159"/>
  <c r="AM80" i="159" s="1"/>
  <c r="AC33" i="159"/>
  <c r="AN83" i="159"/>
  <c r="AO83" i="159" s="1"/>
  <c r="AA41" i="159" s="1"/>
  <c r="AN76" i="159"/>
  <c r="AO76" i="159" s="1"/>
  <c r="AC23" i="159"/>
  <c r="Y24" i="159"/>
  <c r="AL77" i="159"/>
  <c r="AM77" i="159" s="1"/>
  <c r="AC26" i="159"/>
  <c r="AN79" i="159"/>
  <c r="AO79" i="159" s="1"/>
  <c r="AA40" i="159" s="1"/>
  <c r="AG28" i="159"/>
  <c r="AP80" i="159"/>
  <c r="AQ80" i="159" s="1"/>
  <c r="AL81" i="159"/>
  <c r="AM81" i="159" s="1"/>
  <c r="Y30" i="159"/>
  <c r="AC31" i="159"/>
  <c r="AN82" i="159"/>
  <c r="AO82" i="159" s="1"/>
  <c r="AG37" i="159"/>
  <c r="AN80" i="159"/>
  <c r="AO80" i="159" s="1"/>
  <c r="Y23" i="159"/>
  <c r="F25" i="159"/>
  <c r="F36" i="159" s="1"/>
  <c r="F37" i="159" s="1"/>
  <c r="Y26" i="159"/>
  <c r="AL75" i="159"/>
  <c r="AM75" i="159" s="1"/>
  <c r="AN84" i="159"/>
  <c r="AO84" i="159" s="1"/>
  <c r="AE25" i="159"/>
  <c r="AE33" i="159"/>
  <c r="Y33" i="159"/>
  <c r="Y25" i="159"/>
  <c r="AE30" i="159"/>
  <c r="AE31" i="159"/>
  <c r="AC35" i="159"/>
  <c r="AP78" i="158"/>
  <c r="AQ78" i="158" s="1"/>
  <c r="AG25" i="158"/>
  <c r="Y28" i="158"/>
  <c r="AL80" i="158"/>
  <c r="AM80" i="158" s="1"/>
  <c r="AL82" i="158"/>
  <c r="AM82" i="158" s="1"/>
  <c r="Y31" i="158"/>
  <c r="AP83" i="158"/>
  <c r="AQ83" i="158" s="1"/>
  <c r="AD41" i="158" s="1"/>
  <c r="AP85" i="158"/>
  <c r="AQ85" i="158" s="1"/>
  <c r="AG35" i="158"/>
  <c r="AL76" i="158"/>
  <c r="AM76" i="158" s="1"/>
  <c r="Y23" i="158"/>
  <c r="AL78" i="158"/>
  <c r="AM78" i="158" s="1"/>
  <c r="Y25" i="158"/>
  <c r="AC28" i="158"/>
  <c r="AN80" i="158"/>
  <c r="AO80" i="158" s="1"/>
  <c r="AC31" i="158"/>
  <c r="AN82" i="158"/>
  <c r="AO82" i="158" s="1"/>
  <c r="AP84" i="158"/>
  <c r="AQ84" i="158" s="1"/>
  <c r="AG34" i="158"/>
  <c r="AN86" i="158"/>
  <c r="AO86" i="158" s="1"/>
  <c r="AC37" i="158"/>
  <c r="AN81" i="158"/>
  <c r="AO81" i="158" s="1"/>
  <c r="AC30" i="158"/>
  <c r="AL83" i="158"/>
  <c r="AM83" i="158" s="1"/>
  <c r="W41" i="158" s="1"/>
  <c r="Y33" i="158"/>
  <c r="AL79" i="158"/>
  <c r="AM79" i="158" s="1"/>
  <c r="W40" i="158" s="1"/>
  <c r="Y26" i="158"/>
  <c r="AP76" i="158"/>
  <c r="AQ76" i="158" s="1"/>
  <c r="AG23" i="158"/>
  <c r="AP79" i="158"/>
  <c r="AQ79" i="158" s="1"/>
  <c r="AD40" i="158" s="1"/>
  <c r="AG26" i="158"/>
  <c r="AC33" i="158"/>
  <c r="AN83" i="158"/>
  <c r="AO83" i="158" s="1"/>
  <c r="AA41" i="158" s="1"/>
  <c r="AC25" i="158"/>
  <c r="Y34" i="158"/>
  <c r="Y35" i="158"/>
  <c r="M39" i="158"/>
  <c r="M40" i="158"/>
  <c r="AB51" i="158"/>
  <c r="AN79" i="158"/>
  <c r="AO79" i="158" s="1"/>
  <c r="AA40" i="158" s="1"/>
  <c r="AA42" i="158" s="1"/>
  <c r="AK94" i="158" s="1"/>
  <c r="E83" i="158"/>
  <c r="AL86" i="158"/>
  <c r="AM86" i="158" s="1"/>
  <c r="AL90" i="158"/>
  <c r="Y22" i="158"/>
  <c r="G23" i="158"/>
  <c r="AB52" i="158"/>
  <c r="AL77" i="158"/>
  <c r="AM77" i="158" s="1"/>
  <c r="AP77" i="158"/>
  <c r="AQ77" i="158" s="1"/>
  <c r="AE30" i="158"/>
  <c r="AE31" i="158"/>
  <c r="Y30" i="158"/>
  <c r="AL76" i="157"/>
  <c r="AM76" i="157" s="1"/>
  <c r="Y23" i="157"/>
  <c r="AC24" i="157"/>
  <c r="AN77" i="157"/>
  <c r="AO77" i="157" s="1"/>
  <c r="AL80" i="157"/>
  <c r="AM80" i="157" s="1"/>
  <c r="Y28" i="157"/>
  <c r="AN82" i="157"/>
  <c r="AO82" i="157" s="1"/>
  <c r="AC31" i="157"/>
  <c r="AL85" i="157"/>
  <c r="AM85" i="157" s="1"/>
  <c r="Y35" i="157"/>
  <c r="AL79" i="157"/>
  <c r="AM79" i="157" s="1"/>
  <c r="W40" i="157" s="1"/>
  <c r="Y26" i="157"/>
  <c r="AG34" i="157"/>
  <c r="AP84" i="157"/>
  <c r="AQ84" i="157" s="1"/>
  <c r="AP76" i="157"/>
  <c r="AQ76" i="157" s="1"/>
  <c r="AG23" i="157"/>
  <c r="AC28" i="157"/>
  <c r="AN80" i="157"/>
  <c r="AO80" i="157" s="1"/>
  <c r="AP81" i="157"/>
  <c r="AQ81" i="157" s="1"/>
  <c r="AG30" i="157"/>
  <c r="AG33" i="157"/>
  <c r="AP83" i="157"/>
  <c r="AQ83" i="157" s="1"/>
  <c r="AD41" i="157" s="1"/>
  <c r="Y34" i="157"/>
  <c r="AL84" i="157"/>
  <c r="AM84" i="157" s="1"/>
  <c r="AP85" i="157"/>
  <c r="AQ85" i="157" s="1"/>
  <c r="AG35" i="157"/>
  <c r="AP79" i="157"/>
  <c r="AQ79" i="157" s="1"/>
  <c r="AD40" i="157" s="1"/>
  <c r="AG26" i="157"/>
  <c r="Y33" i="157"/>
  <c r="AL83" i="157"/>
  <c r="AM83" i="157" s="1"/>
  <c r="W41" i="157" s="1"/>
  <c r="M43" i="157"/>
  <c r="X46" i="157" s="1"/>
  <c r="AG37" i="157"/>
  <c r="AP86" i="157"/>
  <c r="AQ86" i="157" s="1"/>
  <c r="AC23" i="157"/>
  <c r="Y24" i="157"/>
  <c r="AC26" i="157"/>
  <c r="AE28" i="157"/>
  <c r="AC33" i="157"/>
  <c r="AA37" i="157"/>
  <c r="AK90" i="157"/>
  <c r="AC25" i="157"/>
  <c r="AB51" i="157"/>
  <c r="AL86" i="157"/>
  <c r="AM86" i="157" s="1"/>
  <c r="AL90" i="157"/>
  <c r="AE31" i="157"/>
  <c r="Y30" i="157"/>
  <c r="G34" i="147"/>
  <c r="AK23" i="155"/>
  <c r="AK24" i="155"/>
  <c r="AK25" i="155"/>
  <c r="AK26" i="155"/>
  <c r="AK27" i="155"/>
  <c r="AK28" i="155"/>
  <c r="AK29" i="155"/>
  <c r="AK30" i="155"/>
  <c r="AE33" i="155" s="1"/>
  <c r="AK31" i="155"/>
  <c r="AK32" i="155"/>
  <c r="AK33" i="155"/>
  <c r="AK22" i="155"/>
  <c r="AE23" i="155"/>
  <c r="AE24" i="155"/>
  <c r="AE35" i="155"/>
  <c r="AE34" i="155"/>
  <c r="AE31" i="155"/>
  <c r="AA37" i="155"/>
  <c r="AA35" i="155"/>
  <c r="AA34" i="155"/>
  <c r="AA33" i="155"/>
  <c r="AA31" i="155"/>
  <c r="AE37" i="156"/>
  <c r="AE35" i="156"/>
  <c r="AE34" i="156"/>
  <c r="AE33" i="156"/>
  <c r="AE31" i="156"/>
  <c r="AE30" i="156"/>
  <c r="AE28" i="156"/>
  <c r="AE26" i="156"/>
  <c r="AE25" i="156"/>
  <c r="AE23" i="156"/>
  <c r="AE24" i="156"/>
  <c r="AA35" i="156"/>
  <c r="AA34" i="156"/>
  <c r="AA33" i="156"/>
  <c r="AA31" i="156"/>
  <c r="AA30" i="156"/>
  <c r="AA28" i="156"/>
  <c r="AA26" i="156"/>
  <c r="AA25" i="156"/>
  <c r="AA24" i="156"/>
  <c r="AA23" i="156"/>
  <c r="W37" i="156"/>
  <c r="W35" i="156"/>
  <c r="W34" i="156"/>
  <c r="W33" i="156"/>
  <c r="W31" i="156"/>
  <c r="W30" i="156"/>
  <c r="W28" i="156"/>
  <c r="W26" i="156"/>
  <c r="W25" i="156"/>
  <c r="W24" i="156"/>
  <c r="W23" i="156"/>
  <c r="W22" i="156"/>
  <c r="F23" i="156"/>
  <c r="W33" i="133"/>
  <c r="AA35" i="127"/>
  <c r="AC34" i="134"/>
  <c r="AK75" i="156"/>
  <c r="AJ75" i="156"/>
  <c r="AJ76" i="156"/>
  <c r="F24" i="156"/>
  <c r="G24" i="156" s="1"/>
  <c r="H24" i="156" s="1"/>
  <c r="G23" i="156"/>
  <c r="H23" i="156" s="1"/>
  <c r="G21" i="156"/>
  <c r="H21" i="156" s="1"/>
  <c r="F21" i="156"/>
  <c r="F20" i="156"/>
  <c r="G20" i="156" s="1"/>
  <c r="H20" i="156" s="1"/>
  <c r="M40" i="159" l="1"/>
  <c r="M30" i="159"/>
  <c r="M41" i="159" s="1"/>
  <c r="M43" i="159" s="1"/>
  <c r="X46" i="159" s="1"/>
  <c r="AP76" i="159"/>
  <c r="AQ76" i="159" s="1"/>
  <c r="AG26" i="159"/>
  <c r="AC24" i="159"/>
  <c r="M39" i="159"/>
  <c r="X45" i="159" s="1"/>
  <c r="AC35" i="158"/>
  <c r="AN84" i="158"/>
  <c r="AO84" i="158" s="1"/>
  <c r="AC24" i="158"/>
  <c r="AP80" i="158"/>
  <c r="AQ80" i="158" s="1"/>
  <c r="AD42" i="158"/>
  <c r="AL94" i="158" s="1"/>
  <c r="AC23" i="158"/>
  <c r="X45" i="158"/>
  <c r="AN84" i="157"/>
  <c r="AO84" i="157" s="1"/>
  <c r="AC35" i="157"/>
  <c r="AG24" i="157"/>
  <c r="AD42" i="157"/>
  <c r="AL94" i="157" s="1"/>
  <c r="W42" i="157"/>
  <c r="AJ94" i="157" s="1"/>
  <c r="AP83" i="159"/>
  <c r="AQ83" i="159" s="1"/>
  <c r="AD41" i="159" s="1"/>
  <c r="AD42" i="159" s="1"/>
  <c r="AL94" i="159" s="1"/>
  <c r="AG33" i="159"/>
  <c r="AP81" i="159"/>
  <c r="AQ81" i="159" s="1"/>
  <c r="AG30" i="159"/>
  <c r="AP78" i="159"/>
  <c r="AQ78" i="159" s="1"/>
  <c r="AG25" i="159"/>
  <c r="AP82" i="159"/>
  <c r="AQ82" i="159" s="1"/>
  <c r="AG31" i="159"/>
  <c r="AA42" i="159"/>
  <c r="AK94" i="159" s="1"/>
  <c r="AP81" i="158"/>
  <c r="AQ81" i="158" s="1"/>
  <c r="AG30" i="158"/>
  <c r="W42" i="158"/>
  <c r="AJ94" i="158" s="1"/>
  <c r="AG37" i="158"/>
  <c r="AP86" i="158"/>
  <c r="AQ86" i="158" s="1"/>
  <c r="G25" i="158"/>
  <c r="G36" i="158" s="1"/>
  <c r="G37" i="158" s="1"/>
  <c r="H23" i="158"/>
  <c r="H25" i="158" s="1"/>
  <c r="H36" i="158" s="1"/>
  <c r="H37" i="158" s="1"/>
  <c r="AP82" i="158"/>
  <c r="AQ82" i="158" s="1"/>
  <c r="AG31" i="158"/>
  <c r="AN81" i="157"/>
  <c r="AO81" i="157" s="1"/>
  <c r="AC30" i="157"/>
  <c r="AP80" i="157"/>
  <c r="AQ80" i="157" s="1"/>
  <c r="AG28" i="157"/>
  <c r="AN86" i="157"/>
  <c r="AO86" i="157" s="1"/>
  <c r="AC37" i="157"/>
  <c r="AP82" i="157"/>
  <c r="AQ82" i="157" s="1"/>
  <c r="AG31" i="157"/>
  <c r="AP86" i="156"/>
  <c r="AQ86" i="156" s="1"/>
  <c r="AK86" i="156"/>
  <c r="AJ86" i="156"/>
  <c r="AP85" i="156"/>
  <c r="AQ85" i="156" s="1"/>
  <c r="AN85" i="156"/>
  <c r="AO85" i="156" s="1"/>
  <c r="AK85" i="156"/>
  <c r="AJ85" i="156"/>
  <c r="L85" i="156"/>
  <c r="AP84" i="156"/>
  <c r="AQ84" i="156" s="1"/>
  <c r="AN84" i="156"/>
  <c r="AO84" i="156" s="1"/>
  <c r="AJ84" i="156"/>
  <c r="AK84" i="156" s="1"/>
  <c r="AJ83" i="156"/>
  <c r="AK83" i="156" s="1"/>
  <c r="AJ82" i="156"/>
  <c r="AK82" i="156" s="1"/>
  <c r="AJ81" i="156"/>
  <c r="AK81" i="156" s="1"/>
  <c r="AJ80" i="156"/>
  <c r="AK80" i="156" s="1"/>
  <c r="AJ79" i="156"/>
  <c r="AK79" i="156" s="1"/>
  <c r="AJ78" i="156"/>
  <c r="AK78" i="156" s="1"/>
  <c r="D78" i="156"/>
  <c r="AP77" i="156"/>
  <c r="AQ77" i="156" s="1"/>
  <c r="AK77" i="156"/>
  <c r="AJ77" i="156"/>
  <c r="AP76" i="156"/>
  <c r="AQ76" i="156" s="1"/>
  <c r="AK76" i="156"/>
  <c r="AP75" i="156"/>
  <c r="AQ75" i="156" s="1"/>
  <c r="AO75" i="156"/>
  <c r="AN75" i="156"/>
  <c r="AL75" i="156"/>
  <c r="AM75" i="156" s="1"/>
  <c r="AB52" i="156"/>
  <c r="AB51" i="156"/>
  <c r="AH47" i="156"/>
  <c r="AH48" i="156" s="1"/>
  <c r="AG47" i="156"/>
  <c r="AG48" i="156" s="1"/>
  <c r="AF47" i="156"/>
  <c r="AF48" i="156" s="1"/>
  <c r="X47" i="156"/>
  <c r="S47" i="156"/>
  <c r="R47" i="156"/>
  <c r="Q47" i="156"/>
  <c r="M42" i="156"/>
  <c r="M37" i="156" s="1"/>
  <c r="S40" i="156"/>
  <c r="R40" i="156"/>
  <c r="Q40" i="156"/>
  <c r="AD39" i="156"/>
  <c r="AA39" i="156"/>
  <c r="W39" i="156"/>
  <c r="AS37" i="156"/>
  <c r="AG37" i="156"/>
  <c r="V37" i="156"/>
  <c r="AS36" i="156"/>
  <c r="AS35" i="156"/>
  <c r="AG35" i="156"/>
  <c r="AC35" i="156"/>
  <c r="V35" i="156"/>
  <c r="AS34" i="156"/>
  <c r="AG34" i="156"/>
  <c r="AC34" i="156"/>
  <c r="V34" i="156"/>
  <c r="H34" i="156"/>
  <c r="J84" i="156" s="1"/>
  <c r="J83" i="156" s="1"/>
  <c r="G34" i="156"/>
  <c r="I84" i="156" s="1"/>
  <c r="I83" i="156" s="1"/>
  <c r="F34" i="156"/>
  <c r="H84" i="156" s="1"/>
  <c r="H83" i="156" s="1"/>
  <c r="E34" i="156"/>
  <c r="G84" i="156" s="1"/>
  <c r="G83" i="156" s="1"/>
  <c r="AS33" i="156"/>
  <c r="AJ33" i="156"/>
  <c r="AK33" i="156" s="1"/>
  <c r="AI33" i="156"/>
  <c r="V33" i="156"/>
  <c r="M33" i="156"/>
  <c r="AS32" i="156"/>
  <c r="AJ32" i="156"/>
  <c r="AK32" i="156" s="1"/>
  <c r="AI32" i="156"/>
  <c r="AS31" i="156"/>
  <c r="AJ31" i="156"/>
  <c r="AK31" i="156" s="1"/>
  <c r="AI31" i="156"/>
  <c r="V31" i="156"/>
  <c r="M31" i="156"/>
  <c r="AS30" i="156"/>
  <c r="AJ30" i="156"/>
  <c r="AN83" i="156" s="1"/>
  <c r="AO83" i="156" s="1"/>
  <c r="AA41" i="156" s="1"/>
  <c r="AI30" i="156"/>
  <c r="V30" i="156"/>
  <c r="AS29" i="156"/>
  <c r="AJ29" i="156"/>
  <c r="AI29" i="156"/>
  <c r="AS28" i="156"/>
  <c r="AJ28" i="156"/>
  <c r="AI28" i="156"/>
  <c r="V28" i="156"/>
  <c r="S28" i="156"/>
  <c r="S30" i="156" s="1"/>
  <c r="R28" i="156"/>
  <c r="Q28" i="156"/>
  <c r="M28" i="156"/>
  <c r="AS27" i="156"/>
  <c r="AJ27" i="156"/>
  <c r="AI27" i="156"/>
  <c r="S27" i="156"/>
  <c r="R27" i="156"/>
  <c r="Q27" i="156"/>
  <c r="AS26" i="156"/>
  <c r="AJ26" i="156"/>
  <c r="AN79" i="156" s="1"/>
  <c r="AI26" i="156"/>
  <c r="AL79" i="156"/>
  <c r="AM79" i="156" s="1"/>
  <c r="W40" i="156" s="1"/>
  <c r="V26" i="156"/>
  <c r="AS25" i="156"/>
  <c r="AJ25" i="156"/>
  <c r="AK25" i="156" s="1"/>
  <c r="AI25" i="156"/>
  <c r="V25" i="156"/>
  <c r="H25" i="156"/>
  <c r="G25" i="156"/>
  <c r="F25" i="156"/>
  <c r="F36" i="156" s="1"/>
  <c r="E25" i="156"/>
  <c r="E36" i="156" s="1"/>
  <c r="AS24" i="156"/>
  <c r="AJ24" i="156"/>
  <c r="AI24" i="156"/>
  <c r="AG24" i="156"/>
  <c r="V24" i="156"/>
  <c r="AS23" i="156"/>
  <c r="AJ23" i="156"/>
  <c r="AK23" i="156" s="1"/>
  <c r="AI23" i="156"/>
  <c r="AG23" i="156"/>
  <c r="Y23" i="156"/>
  <c r="V23" i="156"/>
  <c r="AS22" i="156"/>
  <c r="AJ22" i="156"/>
  <c r="AK22" i="156" s="1"/>
  <c r="AI22" i="156"/>
  <c r="AG22" i="156"/>
  <c r="AC22" i="156"/>
  <c r="Y22" i="156"/>
  <c r="V22" i="156"/>
  <c r="M20" i="156"/>
  <c r="AE19" i="156"/>
  <c r="AA19" i="156"/>
  <c r="AK90" i="156" s="1"/>
  <c r="W19" i="156"/>
  <c r="AJ90" i="156" s="1"/>
  <c r="Q13" i="156"/>
  <c r="AF12" i="156"/>
  <c r="AC12" i="156"/>
  <c r="V12" i="156"/>
  <c r="R12" i="156"/>
  <c r="AB10" i="156"/>
  <c r="W10" i="156"/>
  <c r="Q10" i="156"/>
  <c r="O10" i="156"/>
  <c r="K10" i="156"/>
  <c r="W9" i="156"/>
  <c r="Q9" i="156"/>
  <c r="O9" i="156"/>
  <c r="AV8" i="156"/>
  <c r="AB8" i="156"/>
  <c r="W8" i="156"/>
  <c r="Q8" i="156"/>
  <c r="O8" i="156"/>
  <c r="AB7" i="156"/>
  <c r="W7" i="156"/>
  <c r="Q7" i="156"/>
  <c r="O7" i="156"/>
  <c r="AB6" i="156"/>
  <c r="W6" i="156"/>
  <c r="Q6" i="156"/>
  <c r="O6" i="156"/>
  <c r="R1" i="156"/>
  <c r="AL90" i="155"/>
  <c r="AP86" i="155"/>
  <c r="AQ86" i="155" s="1"/>
  <c r="AJ86" i="155"/>
  <c r="AK86" i="155" s="1"/>
  <c r="AP85" i="155"/>
  <c r="AQ85" i="155" s="1"/>
  <c r="AN85" i="155"/>
  <c r="AO85" i="155" s="1"/>
  <c r="AJ85" i="155"/>
  <c r="AK85" i="155" s="1"/>
  <c r="L85" i="155"/>
  <c r="AP84" i="155"/>
  <c r="AQ84" i="155" s="1"/>
  <c r="AJ84" i="155"/>
  <c r="AK84" i="155" s="1"/>
  <c r="AJ83" i="155"/>
  <c r="AK83" i="155" s="1"/>
  <c r="AJ82" i="155"/>
  <c r="AK82" i="155" s="1"/>
  <c r="AJ81" i="155"/>
  <c r="AK81" i="155" s="1"/>
  <c r="AJ80" i="155"/>
  <c r="AK80" i="155" s="1"/>
  <c r="AJ79" i="155"/>
  <c r="AK79" i="155" s="1"/>
  <c r="AJ78" i="155"/>
  <c r="AK78" i="155" s="1"/>
  <c r="D78" i="155"/>
  <c r="AP77" i="155"/>
  <c r="AQ77" i="155" s="1"/>
  <c r="AK77" i="155"/>
  <c r="AJ77" i="155"/>
  <c r="AP76" i="155"/>
  <c r="AQ76" i="155" s="1"/>
  <c r="AL76" i="155"/>
  <c r="AM76" i="155" s="1"/>
  <c r="AK76" i="155"/>
  <c r="AJ76" i="155"/>
  <c r="AP75" i="155"/>
  <c r="AQ75" i="155" s="1"/>
  <c r="AO75" i="155"/>
  <c r="AN75" i="155"/>
  <c r="AK75" i="155"/>
  <c r="AJ75" i="155"/>
  <c r="AB52" i="155"/>
  <c r="AH47" i="155"/>
  <c r="AH48" i="155" s="1"/>
  <c r="AG47" i="155"/>
  <c r="AG48" i="155" s="1"/>
  <c r="AF47" i="155"/>
  <c r="AF48" i="155" s="1"/>
  <c r="X47" i="155"/>
  <c r="S47" i="155"/>
  <c r="R47" i="155"/>
  <c r="Q47" i="155"/>
  <c r="M42" i="155"/>
  <c r="S92" i="155" s="1"/>
  <c r="S40" i="155"/>
  <c r="R40" i="155"/>
  <c r="Q40" i="155"/>
  <c r="AD39" i="155"/>
  <c r="AA39" i="155"/>
  <c r="W39" i="155"/>
  <c r="AS37" i="155"/>
  <c r="AG37" i="155"/>
  <c r="V37" i="155"/>
  <c r="AS36" i="155"/>
  <c r="AS35" i="155"/>
  <c r="AG35" i="155"/>
  <c r="AC35" i="155"/>
  <c r="W35" i="155"/>
  <c r="Y35" i="155" s="1"/>
  <c r="V35" i="155"/>
  <c r="AS34" i="155"/>
  <c r="AG34" i="155"/>
  <c r="V34" i="155"/>
  <c r="H34" i="155"/>
  <c r="J84" i="155" s="1"/>
  <c r="J83" i="155" s="1"/>
  <c r="G34" i="155"/>
  <c r="I84" i="155" s="1"/>
  <c r="I83" i="155" s="1"/>
  <c r="F34" i="155"/>
  <c r="H84" i="155" s="1"/>
  <c r="H83" i="155" s="1"/>
  <c r="E34" i="155"/>
  <c r="G84" i="155" s="1"/>
  <c r="G83" i="155" s="1"/>
  <c r="AS33" i="155"/>
  <c r="AJ33" i="155"/>
  <c r="AN86" i="155" s="1"/>
  <c r="AO86" i="155" s="1"/>
  <c r="AI33" i="155"/>
  <c r="W37" i="155" s="1"/>
  <c r="V33" i="155"/>
  <c r="M33" i="155"/>
  <c r="AS32" i="155"/>
  <c r="AJ32" i="155"/>
  <c r="AI32" i="155"/>
  <c r="AS31" i="155"/>
  <c r="AJ31" i="155"/>
  <c r="AI31" i="155"/>
  <c r="W34" i="155" s="1"/>
  <c r="V31" i="155"/>
  <c r="M31" i="155"/>
  <c r="AS30" i="155"/>
  <c r="AJ30" i="155"/>
  <c r="AI30" i="155"/>
  <c r="W33" i="155" s="1"/>
  <c r="V30" i="155"/>
  <c r="AS29" i="155"/>
  <c r="AJ29" i="155"/>
  <c r="AI29" i="155"/>
  <c r="AS28" i="155"/>
  <c r="AJ28" i="155"/>
  <c r="AE30" i="155" s="1"/>
  <c r="AI28" i="155"/>
  <c r="Y28" i="155"/>
  <c r="V28" i="155"/>
  <c r="S28" i="155"/>
  <c r="S30" i="155" s="1"/>
  <c r="R28" i="155"/>
  <c r="Q28" i="155"/>
  <c r="Q30" i="155" s="1"/>
  <c r="M28" i="155"/>
  <c r="AS27" i="155"/>
  <c r="AJ27" i="155"/>
  <c r="AP80" i="155" s="1"/>
  <c r="AQ80" i="155" s="1"/>
  <c r="AI27" i="155"/>
  <c r="AL80" i="155" s="1"/>
  <c r="AM80" i="155" s="1"/>
  <c r="S27" i="155"/>
  <c r="R27" i="155"/>
  <c r="Q27" i="155"/>
  <c r="AS26" i="155"/>
  <c r="AJ26" i="155"/>
  <c r="AC26" i="155" s="1"/>
  <c r="AI26" i="155"/>
  <c r="V26" i="155"/>
  <c r="AS25" i="155"/>
  <c r="AJ25" i="155"/>
  <c r="AI25" i="155"/>
  <c r="AN78" i="155"/>
  <c r="AO78" i="155" s="1"/>
  <c r="V25" i="155"/>
  <c r="H25" i="155"/>
  <c r="G25" i="155"/>
  <c r="F25" i="155"/>
  <c r="F36" i="155" s="1"/>
  <c r="E25" i="155"/>
  <c r="E36" i="155" s="1"/>
  <c r="AS24" i="155"/>
  <c r="AJ24" i="155"/>
  <c r="AI24" i="155"/>
  <c r="AG24" i="155"/>
  <c r="Y24" i="155"/>
  <c r="V24" i="155"/>
  <c r="AS23" i="155"/>
  <c r="AJ23" i="155"/>
  <c r="AI23" i="155"/>
  <c r="W23" i="155" s="1"/>
  <c r="AG23" i="155"/>
  <c r="Y23" i="155"/>
  <c r="V23" i="155"/>
  <c r="AS22" i="155"/>
  <c r="AI22" i="155"/>
  <c r="AG22" i="155"/>
  <c r="AC22" i="155"/>
  <c r="W22" i="155"/>
  <c r="Y22" i="155" s="1"/>
  <c r="V22" i="155"/>
  <c r="M20" i="155"/>
  <c r="AE19" i="155"/>
  <c r="AB53" i="155" s="1"/>
  <c r="AA19" i="155"/>
  <c r="AK90" i="155" s="1"/>
  <c r="W19" i="155"/>
  <c r="AJ90" i="155" s="1"/>
  <c r="Q13" i="155"/>
  <c r="AF12" i="155"/>
  <c r="AC12" i="155"/>
  <c r="V12" i="155"/>
  <c r="R12" i="155"/>
  <c r="AB10" i="155"/>
  <c r="W10" i="155"/>
  <c r="Q10" i="155"/>
  <c r="O10" i="155"/>
  <c r="K10" i="155"/>
  <c r="W9" i="155"/>
  <c r="Q9" i="155"/>
  <c r="O9" i="155"/>
  <c r="AV8" i="155"/>
  <c r="AB8" i="155"/>
  <c r="W8" i="155"/>
  <c r="Q8" i="155"/>
  <c r="O8" i="155"/>
  <c r="AB7" i="155"/>
  <c r="W7" i="155"/>
  <c r="Q7" i="155"/>
  <c r="O7" i="155"/>
  <c r="AB6" i="155"/>
  <c r="W6" i="155"/>
  <c r="Q6" i="155"/>
  <c r="O6" i="155"/>
  <c r="R1" i="155"/>
  <c r="Y37" i="155" l="1"/>
  <c r="AL86" i="155"/>
  <c r="AM86" i="155" s="1"/>
  <c r="AL79" i="155"/>
  <c r="AM79" i="155" s="1"/>
  <c r="W40" i="155" s="1"/>
  <c r="Y26" i="155"/>
  <c r="AL84" i="155"/>
  <c r="AM84" i="155" s="1"/>
  <c r="Y34" i="155"/>
  <c r="AA23" i="155"/>
  <c r="AC25" i="155"/>
  <c r="AL85" i="155"/>
  <c r="AM85" i="155" s="1"/>
  <c r="AC33" i="155"/>
  <c r="AP83" i="155"/>
  <c r="AQ83" i="155" s="1"/>
  <c r="AD41" i="155" s="1"/>
  <c r="AN79" i="155"/>
  <c r="AO79" i="155" s="1"/>
  <c r="AA40" i="155" s="1"/>
  <c r="AL80" i="156"/>
  <c r="AM80" i="156" s="1"/>
  <c r="Y28" i="156"/>
  <c r="AN77" i="156"/>
  <c r="AO77" i="156" s="1"/>
  <c r="AC24" i="156"/>
  <c r="AC28" i="156"/>
  <c r="AN80" i="156"/>
  <c r="AO80" i="156" s="1"/>
  <c r="AN82" i="156"/>
  <c r="AO82" i="156" s="1"/>
  <c r="AC31" i="156"/>
  <c r="AK24" i="156"/>
  <c r="AK27" i="156"/>
  <c r="AP80" i="156" s="1"/>
  <c r="AQ80" i="156" s="1"/>
  <c r="AK28" i="156"/>
  <c r="AP81" i="156" s="1"/>
  <c r="AQ81" i="156" s="1"/>
  <c r="AK29" i="156"/>
  <c r="AP82" i="156" s="1"/>
  <c r="AQ82" i="156" s="1"/>
  <c r="AL76" i="156"/>
  <c r="AM76" i="156" s="1"/>
  <c r="M30" i="156"/>
  <c r="M40" i="156"/>
  <c r="S92" i="156"/>
  <c r="E83" i="156"/>
  <c r="M41" i="156"/>
  <c r="M43" i="156" s="1"/>
  <c r="X46" i="156" s="1"/>
  <c r="E37" i="156"/>
  <c r="E83" i="155"/>
  <c r="M37" i="155"/>
  <c r="S31" i="155"/>
  <c r="AL91" i="155" s="1"/>
  <c r="Q31" i="155"/>
  <c r="AJ91" i="155" s="1"/>
  <c r="S31" i="156"/>
  <c r="AL91" i="156" s="1"/>
  <c r="Q30" i="156"/>
  <c r="Q31" i="156" s="1"/>
  <c r="AJ91" i="156" s="1"/>
  <c r="E37" i="155"/>
  <c r="F37" i="155"/>
  <c r="R30" i="156"/>
  <c r="R31" i="156" s="1"/>
  <c r="AK91" i="156" s="1"/>
  <c r="AL84" i="156"/>
  <c r="AM84" i="156" s="1"/>
  <c r="Y34" i="156"/>
  <c r="F37" i="156"/>
  <c r="AC25" i="156"/>
  <c r="AN78" i="156"/>
  <c r="AO78" i="156" s="1"/>
  <c r="AK26" i="156"/>
  <c r="AG30" i="156"/>
  <c r="AA37" i="156"/>
  <c r="Y37" i="156"/>
  <c r="AL86" i="156"/>
  <c r="AM86" i="156" s="1"/>
  <c r="G36" i="156"/>
  <c r="G37" i="156" s="1"/>
  <c r="Y25" i="156"/>
  <c r="AL78" i="156"/>
  <c r="AM78" i="156" s="1"/>
  <c r="AG28" i="156"/>
  <c r="AC30" i="156"/>
  <c r="AN81" i="156"/>
  <c r="AO81" i="156" s="1"/>
  <c r="Y35" i="156"/>
  <c r="AL85" i="156"/>
  <c r="AM85" i="156" s="1"/>
  <c r="AB53" i="156"/>
  <c r="AL90" i="156"/>
  <c r="Y24" i="156"/>
  <c r="AL77" i="156"/>
  <c r="AM77" i="156" s="1"/>
  <c r="H36" i="156"/>
  <c r="H37" i="156" s="1"/>
  <c r="AG25" i="156"/>
  <c r="AP78" i="156"/>
  <c r="AQ78" i="156" s="1"/>
  <c r="Y30" i="156"/>
  <c r="AL81" i="156"/>
  <c r="AM81" i="156" s="1"/>
  <c r="AL82" i="156"/>
  <c r="AM82" i="156" s="1"/>
  <c r="Y31" i="156"/>
  <c r="AL83" i="156"/>
  <c r="AM83" i="156" s="1"/>
  <c r="W41" i="156" s="1"/>
  <c r="W42" i="156" s="1"/>
  <c r="AJ94" i="156" s="1"/>
  <c r="Y33" i="156"/>
  <c r="AC33" i="156"/>
  <c r="Y26" i="156"/>
  <c r="AK30" i="156"/>
  <c r="AG25" i="155"/>
  <c r="AP78" i="155"/>
  <c r="AQ78" i="155" s="1"/>
  <c r="AL83" i="155"/>
  <c r="AM83" i="155" s="1"/>
  <c r="W41" i="155" s="1"/>
  <c r="Y33" i="155"/>
  <c r="G36" i="155"/>
  <c r="G37" i="155" s="1"/>
  <c r="H36" i="155"/>
  <c r="H37" i="155" s="1"/>
  <c r="Y30" i="155"/>
  <c r="AL81" i="155"/>
  <c r="AM81" i="155" s="1"/>
  <c r="AG30" i="155"/>
  <c r="AP81" i="155"/>
  <c r="AQ81" i="155" s="1"/>
  <c r="AN77" i="155"/>
  <c r="AO77" i="155" s="1"/>
  <c r="AC24" i="155"/>
  <c r="R30" i="155"/>
  <c r="R31" i="155" s="1"/>
  <c r="AK91" i="155" s="1"/>
  <c r="Y25" i="155"/>
  <c r="AL78" i="155"/>
  <c r="AM78" i="155" s="1"/>
  <c r="AL82" i="155"/>
  <c r="AM82" i="155" s="1"/>
  <c r="Y31" i="155"/>
  <c r="AC37" i="155"/>
  <c r="AL77" i="155"/>
  <c r="AM77" i="155" s="1"/>
  <c r="AG28" i="155"/>
  <c r="AB51" i="155"/>
  <c r="AL75" i="155"/>
  <c r="AM75" i="155" s="1"/>
  <c r="W42" i="155" l="1"/>
  <c r="AJ94" i="155" s="1"/>
  <c r="AG33" i="155"/>
  <c r="AN83" i="155"/>
  <c r="AO83" i="155" s="1"/>
  <c r="AA41" i="155" s="1"/>
  <c r="AA42" i="155" s="1"/>
  <c r="AK94" i="155" s="1"/>
  <c r="AN84" i="155"/>
  <c r="AO84" i="155" s="1"/>
  <c r="AC34" i="155"/>
  <c r="AN76" i="155"/>
  <c r="AO76" i="155" s="1"/>
  <c r="AC23" i="155"/>
  <c r="AC28" i="155"/>
  <c r="AN80" i="155"/>
  <c r="AO80" i="155" s="1"/>
  <c r="AG31" i="156"/>
  <c r="M39" i="156"/>
  <c r="X45" i="156" s="1"/>
  <c r="M40" i="155"/>
  <c r="M30" i="155"/>
  <c r="M41" i="155" s="1"/>
  <c r="AO79" i="156"/>
  <c r="AA40" i="156" s="1"/>
  <c r="AA42" i="156" s="1"/>
  <c r="AK94" i="156" s="1"/>
  <c r="AC26" i="156"/>
  <c r="AN76" i="156"/>
  <c r="AO76" i="156" s="1"/>
  <c r="AC23" i="156"/>
  <c r="AN86" i="156"/>
  <c r="AO86" i="156" s="1"/>
  <c r="AC37" i="156"/>
  <c r="AP83" i="156"/>
  <c r="AQ83" i="156" s="1"/>
  <c r="AD41" i="156" s="1"/>
  <c r="AG33" i="156"/>
  <c r="AP79" i="156"/>
  <c r="AQ79" i="156" s="1"/>
  <c r="AD40" i="156" s="1"/>
  <c r="AG26" i="156"/>
  <c r="AP79" i="155"/>
  <c r="AQ79" i="155" s="1"/>
  <c r="AD40" i="155" s="1"/>
  <c r="AD42" i="155" s="1"/>
  <c r="AL94" i="155" s="1"/>
  <c r="AG26" i="155"/>
  <c r="AC31" i="155"/>
  <c r="AN82" i="155"/>
  <c r="AO82" i="155" s="1"/>
  <c r="AP82" i="155"/>
  <c r="AQ82" i="155" s="1"/>
  <c r="AG31" i="155"/>
  <c r="AN81" i="155"/>
  <c r="AO81" i="155" s="1"/>
  <c r="AC30" i="155"/>
  <c r="M43" i="155" l="1"/>
  <c r="X46" i="155" s="1"/>
  <c r="M39" i="155"/>
  <c r="X45" i="155" s="1"/>
  <c r="AD42" i="156"/>
  <c r="AL94" i="156" s="1"/>
  <c r="W26" i="150" l="1"/>
  <c r="W28" i="150"/>
  <c r="W30" i="150"/>
  <c r="W31" i="150"/>
  <c r="W33" i="150"/>
  <c r="AM51" i="150"/>
  <c r="AM52" i="150"/>
  <c r="AM53" i="150"/>
  <c r="AM54" i="150"/>
  <c r="AM55" i="150"/>
  <c r="AM56" i="150"/>
  <c r="AM57" i="150"/>
  <c r="AM58" i="150"/>
  <c r="AM59" i="150"/>
  <c r="AM60" i="150"/>
  <c r="AM61" i="150"/>
  <c r="AM50" i="150"/>
  <c r="AE31" i="153"/>
  <c r="AP82" i="153" s="1"/>
  <c r="AQ82" i="153" s="1"/>
  <c r="AA37" i="153"/>
  <c r="AL51" i="153"/>
  <c r="AL52" i="153"/>
  <c r="AL53" i="153"/>
  <c r="AL54" i="153"/>
  <c r="AL55" i="153"/>
  <c r="AL56" i="153"/>
  <c r="AL57" i="153"/>
  <c r="AL58" i="153"/>
  <c r="AL59" i="153"/>
  <c r="AL60" i="153"/>
  <c r="AL61" i="153"/>
  <c r="AL50" i="153"/>
  <c r="AN51" i="152"/>
  <c r="AN52" i="152"/>
  <c r="AN53" i="152"/>
  <c r="AN54" i="152"/>
  <c r="AN55" i="152"/>
  <c r="AN56" i="152"/>
  <c r="AN57" i="152"/>
  <c r="AN58" i="152"/>
  <c r="AN59" i="152"/>
  <c r="AN60" i="152"/>
  <c r="AN61" i="152"/>
  <c r="AN50" i="152"/>
  <c r="AN50" i="151"/>
  <c r="AA23" i="152"/>
  <c r="AL51" i="152"/>
  <c r="AL52" i="152"/>
  <c r="AL53" i="152"/>
  <c r="AL54" i="152"/>
  <c r="AL55" i="152"/>
  <c r="AL56" i="152"/>
  <c r="AL57" i="152"/>
  <c r="AL58" i="152"/>
  <c r="AL59" i="152"/>
  <c r="AL60" i="152"/>
  <c r="AL61" i="152"/>
  <c r="AL50" i="152"/>
  <c r="AN51" i="151"/>
  <c r="AN52" i="151"/>
  <c r="AN53" i="151"/>
  <c r="AN54" i="151"/>
  <c r="AN55" i="151"/>
  <c r="AN56" i="151"/>
  <c r="AN57" i="151"/>
  <c r="AN58" i="151"/>
  <c r="AN59" i="151"/>
  <c r="AN60" i="151"/>
  <c r="AN61" i="151"/>
  <c r="AA25" i="151"/>
  <c r="AA31" i="151"/>
  <c r="AC31" i="151" s="1"/>
  <c r="AA33" i="151"/>
  <c r="AA37" i="151"/>
  <c r="AL51" i="151"/>
  <c r="AL52" i="151"/>
  <c r="AL53" i="151"/>
  <c r="AL54" i="151"/>
  <c r="AL55" i="151"/>
  <c r="AL56" i="151"/>
  <c r="AL57" i="151"/>
  <c r="AL58" i="151"/>
  <c r="AL59" i="151"/>
  <c r="AL60" i="151"/>
  <c r="AL61" i="151"/>
  <c r="AL50" i="151"/>
  <c r="W26" i="151"/>
  <c r="AL79" i="151" s="1"/>
  <c r="AM79" i="151" s="1"/>
  <c r="W40" i="151" s="1"/>
  <c r="AL50" i="149"/>
  <c r="AL51" i="149"/>
  <c r="AL52" i="149"/>
  <c r="AL53" i="149"/>
  <c r="AL54" i="149"/>
  <c r="AL55" i="149"/>
  <c r="AL56" i="149"/>
  <c r="AL57" i="149"/>
  <c r="AL58" i="149"/>
  <c r="AL59" i="149"/>
  <c r="AL60" i="149"/>
  <c r="AL61" i="149"/>
  <c r="AI22" i="153"/>
  <c r="AA25" i="152"/>
  <c r="AN78" i="152" s="1"/>
  <c r="AO78" i="152" s="1"/>
  <c r="W23" i="152"/>
  <c r="AL76" i="152" s="1"/>
  <c r="AM76" i="152" s="1"/>
  <c r="AA37" i="147"/>
  <c r="AA35" i="147"/>
  <c r="AA33" i="147"/>
  <c r="AA31" i="147"/>
  <c r="AA30" i="147"/>
  <c r="AA28" i="147"/>
  <c r="AA26" i="147"/>
  <c r="AA25" i="147"/>
  <c r="AA24" i="147"/>
  <c r="AA23" i="147"/>
  <c r="AJ22" i="147"/>
  <c r="AK22" i="147" s="1"/>
  <c r="AJ23" i="147"/>
  <c r="AK23" i="147"/>
  <c r="AJ24" i="147"/>
  <c r="AK24" i="147"/>
  <c r="AJ25" i="147"/>
  <c r="AK25" i="147"/>
  <c r="AJ26" i="147"/>
  <c r="AK26" i="147"/>
  <c r="AJ27" i="147"/>
  <c r="AK27" i="147"/>
  <c r="AJ28" i="147"/>
  <c r="AK28" i="147"/>
  <c r="AJ29" i="147"/>
  <c r="AK29" i="147"/>
  <c r="AJ30" i="147"/>
  <c r="AK30" i="147"/>
  <c r="AJ31" i="147"/>
  <c r="AK31" i="147"/>
  <c r="AJ32" i="147"/>
  <c r="AK32" i="147"/>
  <c r="AJ33" i="147"/>
  <c r="AK33" i="147"/>
  <c r="AG47" i="151"/>
  <c r="AL90" i="153"/>
  <c r="AJ86" i="153"/>
  <c r="AK86" i="153" s="1"/>
  <c r="AJ85" i="153"/>
  <c r="AK85" i="153" s="1"/>
  <c r="L85" i="153"/>
  <c r="AK84" i="153"/>
  <c r="AJ84" i="153"/>
  <c r="AK83" i="153"/>
  <c r="AJ83" i="153"/>
  <c r="AJ82" i="153"/>
  <c r="AK82" i="153" s="1"/>
  <c r="AJ81" i="153"/>
  <c r="AK81" i="153" s="1"/>
  <c r="AJ80" i="153"/>
  <c r="AK80" i="153" s="1"/>
  <c r="AJ79" i="153"/>
  <c r="AK79" i="153" s="1"/>
  <c r="AJ78" i="153"/>
  <c r="AK78" i="153" s="1"/>
  <c r="D78" i="153"/>
  <c r="AK77" i="153"/>
  <c r="AJ77" i="153"/>
  <c r="AK76" i="153"/>
  <c r="AJ76" i="153"/>
  <c r="AK75" i="153"/>
  <c r="AJ75" i="153"/>
  <c r="AB53" i="153"/>
  <c r="AB51" i="153"/>
  <c r="AH47" i="153"/>
  <c r="AH48" i="153" s="1"/>
  <c r="AG47" i="153"/>
  <c r="AG48" i="153" s="1"/>
  <c r="AF47" i="153"/>
  <c r="AF48" i="153" s="1"/>
  <c r="X47" i="153"/>
  <c r="S47" i="153"/>
  <c r="R47" i="153"/>
  <c r="Q47" i="153"/>
  <c r="M42" i="153"/>
  <c r="S92" i="153" s="1"/>
  <c r="S40" i="153"/>
  <c r="R40" i="153"/>
  <c r="Q40" i="153"/>
  <c r="AD39" i="153"/>
  <c r="AA39" i="153"/>
  <c r="W39" i="153"/>
  <c r="AS37" i="153"/>
  <c r="V37" i="153"/>
  <c r="M37" i="153"/>
  <c r="M40" i="153" s="1"/>
  <c r="AS36" i="153"/>
  <c r="AS35" i="153"/>
  <c r="V35" i="153"/>
  <c r="AS34" i="153"/>
  <c r="V34" i="153"/>
  <c r="H34" i="153"/>
  <c r="J84" i="153" s="1"/>
  <c r="J83" i="153" s="1"/>
  <c r="G34" i="153"/>
  <c r="I84" i="153" s="1"/>
  <c r="I83" i="153" s="1"/>
  <c r="F34" i="153"/>
  <c r="H84" i="153" s="1"/>
  <c r="H83" i="153" s="1"/>
  <c r="E34" i="153"/>
  <c r="G84" i="153" s="1"/>
  <c r="G83" i="153" s="1"/>
  <c r="AS33" i="153"/>
  <c r="AI33" i="153"/>
  <c r="W37" i="153" s="1"/>
  <c r="V33" i="153"/>
  <c r="M33" i="153"/>
  <c r="AS32" i="153"/>
  <c r="AE35" i="153"/>
  <c r="AA35" i="153"/>
  <c r="AI32" i="153"/>
  <c r="W35" i="153" s="1"/>
  <c r="AS31" i="153"/>
  <c r="AE34" i="153"/>
  <c r="AI31" i="153"/>
  <c r="W34" i="153" s="1"/>
  <c r="V31" i="153"/>
  <c r="M31" i="153"/>
  <c r="AS30" i="153"/>
  <c r="V30" i="153"/>
  <c r="AS29" i="153"/>
  <c r="AI29" i="153"/>
  <c r="W31" i="153" s="1"/>
  <c r="AS28" i="153"/>
  <c r="AN81" i="153"/>
  <c r="AO81" i="153" s="1"/>
  <c r="AI28" i="153"/>
  <c r="W30" i="153" s="1"/>
  <c r="V28" i="153"/>
  <c r="S28" i="153"/>
  <c r="R28" i="153"/>
  <c r="R30" i="153" s="1"/>
  <c r="Q28" i="153"/>
  <c r="M28" i="153"/>
  <c r="AS27" i="153"/>
  <c r="AE28" i="153"/>
  <c r="AI27" i="153"/>
  <c r="W28" i="153" s="1"/>
  <c r="S27" i="153"/>
  <c r="R27" i="153"/>
  <c r="Q27" i="153"/>
  <c r="AS26" i="153"/>
  <c r="AI26" i="153"/>
  <c r="W26" i="153" s="1"/>
  <c r="V26" i="153"/>
  <c r="AS25" i="153"/>
  <c r="AI25" i="153"/>
  <c r="W25" i="153"/>
  <c r="AL78" i="153" s="1"/>
  <c r="AM78" i="153" s="1"/>
  <c r="V25" i="153"/>
  <c r="E25" i="153"/>
  <c r="E36" i="153" s="1"/>
  <c r="E37" i="153" s="1"/>
  <c r="AS24" i="153"/>
  <c r="AI24" i="153"/>
  <c r="W24" i="153" s="1"/>
  <c r="V24" i="153"/>
  <c r="F24" i="153"/>
  <c r="G24" i="153" s="1"/>
  <c r="H24" i="153" s="1"/>
  <c r="AS23" i="153"/>
  <c r="AE23" i="153"/>
  <c r="AI23" i="153"/>
  <c r="W23" i="153" s="1"/>
  <c r="V23" i="153"/>
  <c r="F23" i="153"/>
  <c r="AS22" i="153"/>
  <c r="W22" i="153"/>
  <c r="Y22" i="153" s="1"/>
  <c r="V22" i="153"/>
  <c r="F21" i="153"/>
  <c r="G21" i="153" s="1"/>
  <c r="H21" i="153" s="1"/>
  <c r="M20" i="153"/>
  <c r="H20" i="153"/>
  <c r="F20" i="153"/>
  <c r="G20" i="153" s="1"/>
  <c r="AE19" i="153"/>
  <c r="AA19" i="153"/>
  <c r="W19" i="153"/>
  <c r="AJ90" i="153" s="1"/>
  <c r="Q13" i="153"/>
  <c r="AF12" i="153"/>
  <c r="AC12" i="153"/>
  <c r="V12" i="153"/>
  <c r="R12" i="153"/>
  <c r="AB10" i="153"/>
  <c r="W10" i="153"/>
  <c r="Q10" i="153"/>
  <c r="O10" i="153"/>
  <c r="K10" i="153"/>
  <c r="W9" i="153"/>
  <c r="Q9" i="153"/>
  <c r="O9" i="153"/>
  <c r="AV8" i="153"/>
  <c r="AB8" i="153"/>
  <c r="W8" i="153"/>
  <c r="Q8" i="153"/>
  <c r="O8" i="153"/>
  <c r="AB7" i="153"/>
  <c r="W7" i="153"/>
  <c r="Q7" i="153"/>
  <c r="O7" i="153"/>
  <c r="AB6" i="153"/>
  <c r="W6" i="153"/>
  <c r="Q6" i="153"/>
  <c r="O6" i="153"/>
  <c r="R1" i="153"/>
  <c r="AJ86" i="152"/>
  <c r="AK86" i="152" s="1"/>
  <c r="AJ85" i="152"/>
  <c r="AK85" i="152" s="1"/>
  <c r="L85" i="152"/>
  <c r="AJ84" i="152"/>
  <c r="AK84" i="152" s="1"/>
  <c r="AJ83" i="152"/>
  <c r="AK83" i="152" s="1"/>
  <c r="AK82" i="152"/>
  <c r="AJ82" i="152"/>
  <c r="AK81" i="152"/>
  <c r="AJ81" i="152"/>
  <c r="AK80" i="152"/>
  <c r="AJ80" i="152"/>
  <c r="AK79" i="152"/>
  <c r="AJ79" i="152"/>
  <c r="AK78" i="152"/>
  <c r="AJ78" i="152"/>
  <c r="D78" i="152"/>
  <c r="AK77" i="152"/>
  <c r="AJ77" i="152"/>
  <c r="AK76" i="152"/>
  <c r="AJ76" i="152"/>
  <c r="AL75" i="152"/>
  <c r="AM75" i="152" s="1"/>
  <c r="AK75" i="152"/>
  <c r="AJ75" i="152"/>
  <c r="AH47" i="152"/>
  <c r="AH48" i="152" s="1"/>
  <c r="AG47" i="152"/>
  <c r="AG48" i="152" s="1"/>
  <c r="AF47" i="152"/>
  <c r="AF48" i="152" s="1"/>
  <c r="X47" i="152"/>
  <c r="S47" i="152"/>
  <c r="R47" i="152"/>
  <c r="Q47" i="152"/>
  <c r="M42" i="152"/>
  <c r="S92" i="152" s="1"/>
  <c r="S40" i="152"/>
  <c r="R40" i="152"/>
  <c r="Q40" i="152"/>
  <c r="AD39" i="152"/>
  <c r="AA39" i="152"/>
  <c r="W39" i="152"/>
  <c r="AS37" i="152"/>
  <c r="V37" i="152"/>
  <c r="AS36" i="152"/>
  <c r="AS35" i="152"/>
  <c r="V35" i="152"/>
  <c r="AS34" i="152"/>
  <c r="V34" i="152"/>
  <c r="H34" i="152"/>
  <c r="J84" i="152" s="1"/>
  <c r="J83" i="152" s="1"/>
  <c r="G34" i="152"/>
  <c r="I84" i="152" s="1"/>
  <c r="I83" i="152" s="1"/>
  <c r="F34" i="152"/>
  <c r="H84" i="152" s="1"/>
  <c r="H83" i="152" s="1"/>
  <c r="E34" i="152"/>
  <c r="G84" i="152" s="1"/>
  <c r="G83" i="152" s="1"/>
  <c r="AS33" i="152"/>
  <c r="V33" i="152"/>
  <c r="M33" i="152"/>
  <c r="AS32" i="152"/>
  <c r="AE35" i="152"/>
  <c r="W35" i="152"/>
  <c r="AL85" i="152" s="1"/>
  <c r="AM85" i="152" s="1"/>
  <c r="AS31" i="152"/>
  <c r="AE34" i="152"/>
  <c r="AP84" i="152" s="1"/>
  <c r="AQ84" i="152" s="1"/>
  <c r="W34" i="152"/>
  <c r="AL84" i="152" s="1"/>
  <c r="AM84" i="152" s="1"/>
  <c r="V31" i="152"/>
  <c r="M31" i="152"/>
  <c r="AS30" i="152"/>
  <c r="V30" i="152"/>
  <c r="AS29" i="152"/>
  <c r="AS28" i="152"/>
  <c r="W30" i="152"/>
  <c r="V28" i="152"/>
  <c r="S28" i="152"/>
  <c r="S30" i="152" s="1"/>
  <c r="R28" i="152"/>
  <c r="R30" i="152" s="1"/>
  <c r="Q28" i="152"/>
  <c r="M28" i="152"/>
  <c r="AS27" i="152"/>
  <c r="AE28" i="152"/>
  <c r="W28" i="152"/>
  <c r="S27" i="152"/>
  <c r="R27" i="152"/>
  <c r="Q27" i="152"/>
  <c r="AS26" i="152"/>
  <c r="V26" i="152"/>
  <c r="AS25" i="152"/>
  <c r="V25" i="152"/>
  <c r="F25" i="152"/>
  <c r="F36" i="152" s="1"/>
  <c r="E25" i="152"/>
  <c r="E36" i="152" s="1"/>
  <c r="AS24" i="152"/>
  <c r="AE24" i="152"/>
  <c r="W24" i="152"/>
  <c r="V24" i="152"/>
  <c r="H24" i="152"/>
  <c r="F24" i="152"/>
  <c r="G24" i="152" s="1"/>
  <c r="AS23" i="152"/>
  <c r="AN76" i="152"/>
  <c r="AO76" i="152" s="1"/>
  <c r="V23" i="152"/>
  <c r="G23" i="152"/>
  <c r="F23" i="152"/>
  <c r="AS22" i="152"/>
  <c r="W22" i="152"/>
  <c r="Y22" i="152" s="1"/>
  <c r="V22" i="152"/>
  <c r="F21" i="152"/>
  <c r="G21" i="152" s="1"/>
  <c r="H21" i="152" s="1"/>
  <c r="M20" i="152"/>
  <c r="H20" i="152"/>
  <c r="F20" i="152"/>
  <c r="G20" i="152" s="1"/>
  <c r="AE19" i="152"/>
  <c r="AA19" i="152"/>
  <c r="W19" i="152"/>
  <c r="AJ90" i="152" s="1"/>
  <c r="Q13" i="152"/>
  <c r="AF12" i="152"/>
  <c r="AC12" i="152"/>
  <c r="V12" i="152"/>
  <c r="R12" i="152"/>
  <c r="AB10" i="152"/>
  <c r="W10" i="152"/>
  <c r="Q10" i="152"/>
  <c r="O10" i="152"/>
  <c r="K10" i="152"/>
  <c r="W9" i="152"/>
  <c r="Q9" i="152"/>
  <c r="O9" i="152"/>
  <c r="AV8" i="152"/>
  <c r="AB8" i="152"/>
  <c r="W8" i="152"/>
  <c r="Q8" i="152"/>
  <c r="O8" i="152"/>
  <c r="AB7" i="152"/>
  <c r="W7" i="152"/>
  <c r="Q7" i="152"/>
  <c r="O7" i="152"/>
  <c r="AB6" i="152"/>
  <c r="W6" i="152"/>
  <c r="Q6" i="152"/>
  <c r="O6" i="152"/>
  <c r="R1" i="152"/>
  <c r="AJ86" i="151"/>
  <c r="AK86" i="151" s="1"/>
  <c r="AJ85" i="151"/>
  <c r="AK85" i="151" s="1"/>
  <c r="L85" i="151"/>
  <c r="AK84" i="151"/>
  <c r="AJ84" i="151"/>
  <c r="AK83" i="151"/>
  <c r="AJ83" i="151"/>
  <c r="AK82" i="151"/>
  <c r="AJ82" i="151"/>
  <c r="AK81" i="151"/>
  <c r="AJ81" i="151"/>
  <c r="AK80" i="151"/>
  <c r="AJ80" i="151"/>
  <c r="AK79" i="151"/>
  <c r="AJ79" i="151"/>
  <c r="AK78" i="151"/>
  <c r="AJ78" i="151"/>
  <c r="D78" i="151"/>
  <c r="AJ77" i="151"/>
  <c r="AK77" i="151" s="1"/>
  <c r="AJ76" i="151"/>
  <c r="AK76" i="151" s="1"/>
  <c r="AJ75" i="151"/>
  <c r="AK75" i="151" s="1"/>
  <c r="AH47" i="151"/>
  <c r="AH48" i="151" s="1"/>
  <c r="AG48" i="151"/>
  <c r="AF47" i="151"/>
  <c r="AF48" i="151" s="1"/>
  <c r="X47" i="151"/>
  <c r="S47" i="151"/>
  <c r="R47" i="151"/>
  <c r="Q47" i="151"/>
  <c r="M42" i="151"/>
  <c r="S92" i="151" s="1"/>
  <c r="S40" i="151"/>
  <c r="R40" i="151"/>
  <c r="Q40" i="151"/>
  <c r="AD39" i="151"/>
  <c r="AA39" i="151"/>
  <c r="W39" i="151"/>
  <c r="AS37" i="151"/>
  <c r="V37" i="151"/>
  <c r="AS36" i="151"/>
  <c r="AS35" i="151"/>
  <c r="V35" i="151"/>
  <c r="AS34" i="151"/>
  <c r="V34" i="151"/>
  <c r="H34" i="151"/>
  <c r="J84" i="151" s="1"/>
  <c r="J83" i="151" s="1"/>
  <c r="G34" i="151"/>
  <c r="I84" i="151" s="1"/>
  <c r="I83" i="151" s="1"/>
  <c r="F34" i="151"/>
  <c r="H84" i="151" s="1"/>
  <c r="H83" i="151" s="1"/>
  <c r="E34" i="151"/>
  <c r="G84" i="151" s="1"/>
  <c r="G83" i="151" s="1"/>
  <c r="AS33" i="151"/>
  <c r="W37" i="151"/>
  <c r="V33" i="151"/>
  <c r="M33" i="151"/>
  <c r="AS32" i="151"/>
  <c r="AE35" i="151"/>
  <c r="AA35" i="151"/>
  <c r="AC35" i="151" s="1"/>
  <c r="W35" i="151"/>
  <c r="AS31" i="151"/>
  <c r="AE34" i="151"/>
  <c r="AN84" i="151"/>
  <c r="AO84" i="151" s="1"/>
  <c r="W34" i="151"/>
  <c r="V31" i="151"/>
  <c r="M31" i="151"/>
  <c r="AS30" i="151"/>
  <c r="V30" i="151"/>
  <c r="AS29" i="151"/>
  <c r="W31" i="151"/>
  <c r="AS28" i="151"/>
  <c r="AA30" i="151"/>
  <c r="W30" i="151"/>
  <c r="V28" i="151"/>
  <c r="S28" i="151"/>
  <c r="S30" i="151" s="1"/>
  <c r="R28" i="151"/>
  <c r="R30" i="151" s="1"/>
  <c r="Q28" i="151"/>
  <c r="M28" i="151"/>
  <c r="AS27" i="151"/>
  <c r="AE28" i="151"/>
  <c r="W28" i="151"/>
  <c r="Y28" i="151" s="1"/>
  <c r="S27" i="151"/>
  <c r="R27" i="151"/>
  <c r="Q27" i="151"/>
  <c r="AS26" i="151"/>
  <c r="AE26" i="151"/>
  <c r="AP79" i="151" s="1"/>
  <c r="AQ79" i="151" s="1"/>
  <c r="AD40" i="151" s="1"/>
  <c r="V26" i="151"/>
  <c r="AS25" i="151"/>
  <c r="W25" i="151"/>
  <c r="V25" i="151"/>
  <c r="E25" i="151"/>
  <c r="E36" i="151" s="1"/>
  <c r="AS24" i="151"/>
  <c r="AE24" i="151"/>
  <c r="AG24" i="151" s="1"/>
  <c r="W24" i="151"/>
  <c r="AA24" i="151"/>
  <c r="AN77" i="151" s="1"/>
  <c r="AO77" i="151" s="1"/>
  <c r="V24" i="151"/>
  <c r="F24" i="151"/>
  <c r="G24" i="151" s="1"/>
  <c r="H24" i="151" s="1"/>
  <c r="AS23" i="151"/>
  <c r="AE23" i="151"/>
  <c r="AP76" i="151" s="1"/>
  <c r="AQ76" i="151" s="1"/>
  <c r="W23" i="151"/>
  <c r="AL76" i="151" s="1"/>
  <c r="AM76" i="151" s="1"/>
  <c r="V23" i="151"/>
  <c r="F23" i="151"/>
  <c r="F25" i="151" s="1"/>
  <c r="F36" i="151" s="1"/>
  <c r="AS22" i="151"/>
  <c r="W22" i="151"/>
  <c r="Y22" i="151" s="1"/>
  <c r="V22" i="151"/>
  <c r="F21" i="151"/>
  <c r="G21" i="151" s="1"/>
  <c r="H21" i="151" s="1"/>
  <c r="M20" i="151"/>
  <c r="F20" i="151"/>
  <c r="G20" i="151" s="1"/>
  <c r="H20" i="151" s="1"/>
  <c r="AE19" i="151"/>
  <c r="AB53" i="151" s="1"/>
  <c r="AA19" i="151"/>
  <c r="AK90" i="151" s="1"/>
  <c r="W19" i="151"/>
  <c r="AJ90" i="151" s="1"/>
  <c r="Q13" i="151"/>
  <c r="AF12" i="151"/>
  <c r="AC12" i="151"/>
  <c r="V12" i="151"/>
  <c r="R12" i="151"/>
  <c r="AB10" i="151"/>
  <c r="W10" i="151"/>
  <c r="Q10" i="151"/>
  <c r="O10" i="151"/>
  <c r="K10" i="151"/>
  <c r="W9" i="151"/>
  <c r="Q9" i="151"/>
  <c r="O9" i="151"/>
  <c r="AV8" i="151"/>
  <c r="AB8" i="151"/>
  <c r="W8" i="151"/>
  <c r="Q8" i="151"/>
  <c r="O8" i="151"/>
  <c r="AB7" i="151"/>
  <c r="W7" i="151"/>
  <c r="Q7" i="151"/>
  <c r="O7" i="151"/>
  <c r="AB6" i="151"/>
  <c r="W6" i="151"/>
  <c r="Q6" i="151"/>
  <c r="O6" i="151"/>
  <c r="R1" i="151"/>
  <c r="AE30" i="151" l="1"/>
  <c r="AE31" i="151"/>
  <c r="AP82" i="151" s="1"/>
  <c r="AQ82" i="151" s="1"/>
  <c r="AN85" i="151"/>
  <c r="AO85" i="151" s="1"/>
  <c r="AA26" i="151"/>
  <c r="AC26" i="151" s="1"/>
  <c r="W33" i="151"/>
  <c r="AL83" i="151" s="1"/>
  <c r="AM83" i="151" s="1"/>
  <c r="W41" i="151" s="1"/>
  <c r="W42" i="151" s="1"/>
  <c r="AJ94" i="151" s="1"/>
  <c r="AE37" i="151"/>
  <c r="AG37" i="151" s="1"/>
  <c r="AC34" i="151"/>
  <c r="AA23" i="151"/>
  <c r="AN76" i="151" s="1"/>
  <c r="AO76" i="151" s="1"/>
  <c r="AA28" i="151"/>
  <c r="AC28" i="151" s="1"/>
  <c r="AC31" i="153"/>
  <c r="AE24" i="153"/>
  <c r="AG24" i="153" s="1"/>
  <c r="AE30" i="153"/>
  <c r="AG30" i="153" s="1"/>
  <c r="AN84" i="153"/>
  <c r="AO84" i="153" s="1"/>
  <c r="AC34" i="153"/>
  <c r="AN85" i="153"/>
  <c r="AO85" i="153" s="1"/>
  <c r="AC35" i="153"/>
  <c r="AC26" i="153"/>
  <c r="AE26" i="153"/>
  <c r="AP79" i="153" s="1"/>
  <c r="AQ79" i="153" s="1"/>
  <c r="AD40" i="153" s="1"/>
  <c r="Y28" i="153"/>
  <c r="AL80" i="153"/>
  <c r="AM80" i="153" s="1"/>
  <c r="AC28" i="153"/>
  <c r="Y25" i="153"/>
  <c r="AN76" i="153"/>
  <c r="AO76" i="153" s="1"/>
  <c r="AI30" i="153"/>
  <c r="W33" i="153" s="1"/>
  <c r="AL83" i="153" s="1"/>
  <c r="AM83" i="153" s="1"/>
  <c r="W41" i="153" s="1"/>
  <c r="AE37" i="153"/>
  <c r="AG37" i="153" s="1"/>
  <c r="AA28" i="152"/>
  <c r="AN80" i="152" s="1"/>
  <c r="AO80" i="152" s="1"/>
  <c r="AC34" i="152"/>
  <c r="AA35" i="152"/>
  <c r="AN85" i="152" s="1"/>
  <c r="AO85" i="152" s="1"/>
  <c r="AA26" i="152"/>
  <c r="AC26" i="152" s="1"/>
  <c r="AE26" i="152"/>
  <c r="AA33" i="152"/>
  <c r="AN83" i="152" s="1"/>
  <c r="AO83" i="152" s="1"/>
  <c r="AA41" i="152" s="1"/>
  <c r="AE33" i="152"/>
  <c r="AP83" i="152" s="1"/>
  <c r="AQ83" i="152" s="1"/>
  <c r="AD41" i="152" s="1"/>
  <c r="AP85" i="152"/>
  <c r="AQ85" i="152" s="1"/>
  <c r="AG35" i="152"/>
  <c r="AA37" i="152"/>
  <c r="AE37" i="152"/>
  <c r="AG37" i="152" s="1"/>
  <c r="W37" i="152"/>
  <c r="Y37" i="152" s="1"/>
  <c r="AE23" i="152"/>
  <c r="AP76" i="152" s="1"/>
  <c r="AQ76" i="152" s="1"/>
  <c r="W31" i="152"/>
  <c r="AL82" i="152" s="1"/>
  <c r="AM82" i="152" s="1"/>
  <c r="AA24" i="152"/>
  <c r="AN77" i="152" s="1"/>
  <c r="AO77" i="152" s="1"/>
  <c r="W25" i="152"/>
  <c r="Y25" i="152" s="1"/>
  <c r="W26" i="152"/>
  <c r="AL79" i="152" s="1"/>
  <c r="AM79" i="152" s="1"/>
  <c r="W40" i="152" s="1"/>
  <c r="W33" i="152"/>
  <c r="Y33" i="152" s="1"/>
  <c r="M30" i="153"/>
  <c r="M41" i="153" s="1"/>
  <c r="E83" i="153"/>
  <c r="E83" i="152"/>
  <c r="M37" i="152"/>
  <c r="R31" i="152"/>
  <c r="AK91" i="152" s="1"/>
  <c r="Q30" i="152"/>
  <c r="Q31" i="152" s="1"/>
  <c r="AJ91" i="152" s="1"/>
  <c r="M37" i="151"/>
  <c r="F37" i="151"/>
  <c r="R31" i="151"/>
  <c r="AK91" i="151" s="1"/>
  <c r="Q30" i="153"/>
  <c r="Q31" i="153" s="1"/>
  <c r="AJ91" i="153" s="1"/>
  <c r="R31" i="153"/>
  <c r="AK91" i="153" s="1"/>
  <c r="E37" i="152"/>
  <c r="F37" i="152"/>
  <c r="S31" i="152"/>
  <c r="AL91" i="152" s="1"/>
  <c r="E37" i="151"/>
  <c r="S31" i="151"/>
  <c r="AL91" i="151" s="1"/>
  <c r="Q30" i="151"/>
  <c r="Q31" i="151" s="1"/>
  <c r="AJ91" i="151" s="1"/>
  <c r="F25" i="153"/>
  <c r="F36" i="153" s="1"/>
  <c r="F37" i="153" s="1"/>
  <c r="G23" i="153"/>
  <c r="AP76" i="153"/>
  <c r="AQ76" i="153" s="1"/>
  <c r="AG23" i="153"/>
  <c r="AN77" i="153"/>
  <c r="AO77" i="153" s="1"/>
  <c r="AC24" i="153"/>
  <c r="AE25" i="153"/>
  <c r="AK90" i="153"/>
  <c r="AB52" i="153"/>
  <c r="AP81" i="153"/>
  <c r="AQ81" i="153" s="1"/>
  <c r="AL76" i="153"/>
  <c r="AM76" i="153" s="1"/>
  <c r="Y23" i="153"/>
  <c r="Y24" i="153"/>
  <c r="AL77" i="153"/>
  <c r="AM77" i="153" s="1"/>
  <c r="AG28" i="153"/>
  <c r="AP80" i="153"/>
  <c r="AQ80" i="153" s="1"/>
  <c r="AC30" i="153"/>
  <c r="Y37" i="153"/>
  <c r="AL86" i="153"/>
  <c r="AM86" i="153" s="1"/>
  <c r="AE33" i="153"/>
  <c r="AP84" i="153"/>
  <c r="AQ84" i="153" s="1"/>
  <c r="AG34" i="153"/>
  <c r="AP85" i="153"/>
  <c r="AQ85" i="153" s="1"/>
  <c r="AG35" i="153"/>
  <c r="AL79" i="153"/>
  <c r="AM79" i="153" s="1"/>
  <c r="W40" i="153" s="1"/>
  <c r="W42" i="153" s="1"/>
  <c r="AJ94" i="153" s="1"/>
  <c r="Y26" i="153"/>
  <c r="S30" i="153"/>
  <c r="S31" i="153" s="1"/>
  <c r="AL91" i="153" s="1"/>
  <c r="Y30" i="153"/>
  <c r="AL81" i="153"/>
  <c r="AM81" i="153" s="1"/>
  <c r="AL82" i="153"/>
  <c r="AM82" i="153" s="1"/>
  <c r="Y31" i="153"/>
  <c r="AL84" i="153"/>
  <c r="AM84" i="153" s="1"/>
  <c r="Y34" i="153"/>
  <c r="AL85" i="153"/>
  <c r="AM85" i="153" s="1"/>
  <c r="Y35" i="153"/>
  <c r="AN86" i="153"/>
  <c r="AO86" i="153" s="1"/>
  <c r="AC37" i="153"/>
  <c r="AG31" i="153"/>
  <c r="Y33" i="153"/>
  <c r="AL75" i="153"/>
  <c r="AM75" i="153" s="1"/>
  <c r="AP77" i="153"/>
  <c r="AQ77" i="153" s="1"/>
  <c r="AC23" i="153"/>
  <c r="AB53" i="152"/>
  <c r="AL90" i="152"/>
  <c r="AL78" i="152"/>
  <c r="AM78" i="152" s="1"/>
  <c r="Y28" i="152"/>
  <c r="AL80" i="152"/>
  <c r="AM80" i="152" s="1"/>
  <c r="AL81" i="152"/>
  <c r="AM81" i="152" s="1"/>
  <c r="Y30" i="152"/>
  <c r="Y23" i="152"/>
  <c r="AC25" i="152"/>
  <c r="AE25" i="152"/>
  <c r="AG28" i="152"/>
  <c r="AP80" i="152"/>
  <c r="AQ80" i="152" s="1"/>
  <c r="AC28" i="152"/>
  <c r="Y34" i="152"/>
  <c r="AK90" i="152"/>
  <c r="AB52" i="152"/>
  <c r="G25" i="152"/>
  <c r="G36" i="152" s="1"/>
  <c r="G37" i="152" s="1"/>
  <c r="H23" i="152"/>
  <c r="H25" i="152" s="1"/>
  <c r="H36" i="152" s="1"/>
  <c r="H37" i="152" s="1"/>
  <c r="Y24" i="152"/>
  <c r="AL77" i="152"/>
  <c r="AM77" i="152" s="1"/>
  <c r="AA31" i="152"/>
  <c r="AE31" i="152"/>
  <c r="AL83" i="152"/>
  <c r="AM83" i="152" s="1"/>
  <c r="W41" i="152" s="1"/>
  <c r="W42" i="152" s="1"/>
  <c r="AJ94" i="152" s="1"/>
  <c r="Y35" i="152"/>
  <c r="AG24" i="152"/>
  <c r="AP77" i="152"/>
  <c r="AQ77" i="152" s="1"/>
  <c r="AA30" i="152"/>
  <c r="AE30" i="152"/>
  <c r="AC33" i="152"/>
  <c r="AG34" i="152"/>
  <c r="AB51" i="152"/>
  <c r="AN84" i="152"/>
  <c r="AO84" i="152" s="1"/>
  <c r="AC35" i="152"/>
  <c r="AC23" i="152"/>
  <c r="Y24" i="151"/>
  <c r="AL77" i="151"/>
  <c r="AM77" i="151" s="1"/>
  <c r="AP81" i="151"/>
  <c r="AQ81" i="151" s="1"/>
  <c r="AG30" i="151"/>
  <c r="AL84" i="151"/>
  <c r="AM84" i="151" s="1"/>
  <c r="Y34" i="151"/>
  <c r="AL85" i="151"/>
  <c r="AM85" i="151" s="1"/>
  <c r="Y35" i="151"/>
  <c r="AN86" i="151"/>
  <c r="AO86" i="151" s="1"/>
  <c r="AC37" i="151"/>
  <c r="AL78" i="151"/>
  <c r="AM78" i="151" s="1"/>
  <c r="Y25" i="151"/>
  <c r="AL81" i="151"/>
  <c r="AM81" i="151" s="1"/>
  <c r="Y30" i="151"/>
  <c r="AL82" i="151"/>
  <c r="AM82" i="151" s="1"/>
  <c r="Y31" i="151"/>
  <c r="AC33" i="151"/>
  <c r="AN83" i="151"/>
  <c r="AO83" i="151" s="1"/>
  <c r="AA41" i="151" s="1"/>
  <c r="AP84" i="151"/>
  <c r="AQ84" i="151" s="1"/>
  <c r="AG34" i="151"/>
  <c r="AP85" i="151"/>
  <c r="AQ85" i="151" s="1"/>
  <c r="AG35" i="151"/>
  <c r="AN78" i="151"/>
  <c r="AO78" i="151" s="1"/>
  <c r="AC25" i="151"/>
  <c r="AN81" i="151"/>
  <c r="AO81" i="151" s="1"/>
  <c r="AC30" i="151"/>
  <c r="Y37" i="151"/>
  <c r="AL86" i="151"/>
  <c r="AM86" i="151" s="1"/>
  <c r="AG28" i="151"/>
  <c r="AP80" i="151"/>
  <c r="AQ80" i="151" s="1"/>
  <c r="AB51" i="151"/>
  <c r="AN80" i="151"/>
  <c r="AO80" i="151" s="1"/>
  <c r="AN82" i="151"/>
  <c r="AO82" i="151" s="1"/>
  <c r="E83" i="151"/>
  <c r="AL90" i="151"/>
  <c r="G23" i="151"/>
  <c r="Y23" i="151"/>
  <c r="AG23" i="151"/>
  <c r="AC24" i="151"/>
  <c r="AE25" i="151"/>
  <c r="Y26" i="151"/>
  <c r="AG26" i="151"/>
  <c r="AE33" i="151"/>
  <c r="Y33" i="151"/>
  <c r="AB52" i="151"/>
  <c r="AL75" i="151"/>
  <c r="AM75" i="151" s="1"/>
  <c r="AP77" i="151"/>
  <c r="AQ77" i="151" s="1"/>
  <c r="AL80" i="151"/>
  <c r="AM80" i="151" s="1"/>
  <c r="M43" i="153" l="1"/>
  <c r="X46" i="153" s="1"/>
  <c r="M39" i="153"/>
  <c r="X45" i="153" s="1"/>
  <c r="AN82" i="153"/>
  <c r="AO82" i="153" s="1"/>
  <c r="AG26" i="153"/>
  <c r="AG23" i="152"/>
  <c r="AN79" i="151"/>
  <c r="AO79" i="151" s="1"/>
  <c r="AP86" i="151"/>
  <c r="AQ86" i="151" s="1"/>
  <c r="AG31" i="151"/>
  <c r="AA40" i="151"/>
  <c r="AA42" i="151" s="1"/>
  <c r="AK94" i="151" s="1"/>
  <c r="AC23" i="151"/>
  <c r="AN79" i="153"/>
  <c r="AO79" i="153" s="1"/>
  <c r="AA40" i="153" s="1"/>
  <c r="AN80" i="153"/>
  <c r="AO80" i="153" s="1"/>
  <c r="AP86" i="153"/>
  <c r="AQ86" i="153" s="1"/>
  <c r="AN79" i="152"/>
  <c r="AO79" i="152" s="1"/>
  <c r="AA40" i="152" s="1"/>
  <c r="AA42" i="152" s="1"/>
  <c r="AK94" i="152" s="1"/>
  <c r="AC24" i="152"/>
  <c r="AP86" i="152"/>
  <c r="AQ86" i="152" s="1"/>
  <c r="Y31" i="152"/>
  <c r="AG33" i="152"/>
  <c r="AN86" i="152"/>
  <c r="AO86" i="152" s="1"/>
  <c r="AC37" i="152"/>
  <c r="AP79" i="152"/>
  <c r="AQ79" i="152" s="1"/>
  <c r="AD40" i="152" s="1"/>
  <c r="AD42" i="152" s="1"/>
  <c r="AL94" i="152" s="1"/>
  <c r="AG26" i="152"/>
  <c r="AL86" i="152"/>
  <c r="AM86" i="152" s="1"/>
  <c r="Y26" i="152"/>
  <c r="M40" i="152"/>
  <c r="M30" i="152"/>
  <c r="M41" i="152" s="1"/>
  <c r="M40" i="151"/>
  <c r="M30" i="151"/>
  <c r="M41" i="151" s="1"/>
  <c r="M43" i="151" s="1"/>
  <c r="X46" i="151" s="1"/>
  <c r="AP83" i="153"/>
  <c r="AQ83" i="153" s="1"/>
  <c r="AD41" i="153" s="1"/>
  <c r="AD42" i="153" s="1"/>
  <c r="AL94" i="153" s="1"/>
  <c r="AG33" i="153"/>
  <c r="AC33" i="153"/>
  <c r="AN83" i="153"/>
  <c r="AO83" i="153" s="1"/>
  <c r="AA41" i="153" s="1"/>
  <c r="AP78" i="153"/>
  <c r="AQ78" i="153" s="1"/>
  <c r="AG25" i="153"/>
  <c r="G25" i="153"/>
  <c r="G36" i="153" s="1"/>
  <c r="G37" i="153" s="1"/>
  <c r="H23" i="153"/>
  <c r="H25" i="153" s="1"/>
  <c r="H36" i="153" s="1"/>
  <c r="H37" i="153" s="1"/>
  <c r="AN78" i="153"/>
  <c r="AO78" i="153" s="1"/>
  <c r="AC25" i="153"/>
  <c r="AC31" i="152"/>
  <c r="AN82" i="152"/>
  <c r="AO82" i="152" s="1"/>
  <c r="AP78" i="152"/>
  <c r="AQ78" i="152" s="1"/>
  <c r="AG25" i="152"/>
  <c r="AN81" i="152"/>
  <c r="AO81" i="152" s="1"/>
  <c r="AC30" i="152"/>
  <c r="AP81" i="152"/>
  <c r="AQ81" i="152" s="1"/>
  <c r="AG30" i="152"/>
  <c r="AP82" i="152"/>
  <c r="AQ82" i="152" s="1"/>
  <c r="AG31" i="152"/>
  <c r="AP83" i="151"/>
  <c r="AQ83" i="151" s="1"/>
  <c r="AD41" i="151" s="1"/>
  <c r="AD42" i="151" s="1"/>
  <c r="AL94" i="151" s="1"/>
  <c r="AG33" i="151"/>
  <c r="AP78" i="151"/>
  <c r="AQ78" i="151" s="1"/>
  <c r="AG25" i="151"/>
  <c r="G25" i="151"/>
  <c r="G36" i="151" s="1"/>
  <c r="G37" i="151" s="1"/>
  <c r="H23" i="151"/>
  <c r="H25" i="151" s="1"/>
  <c r="H36" i="151" s="1"/>
  <c r="H37" i="151" s="1"/>
  <c r="M43" i="152" l="1"/>
  <c r="X46" i="152" s="1"/>
  <c r="M39" i="152"/>
  <c r="X45" i="152" s="1"/>
  <c r="AA42" i="153"/>
  <c r="AK94" i="153" s="1"/>
  <c r="AN75" i="151"/>
  <c r="AO75" i="151" s="1"/>
  <c r="AC22" i="151"/>
  <c r="AG22" i="151"/>
  <c r="AP75" i="151"/>
  <c r="AQ75" i="151" s="1"/>
  <c r="AN75" i="153"/>
  <c r="AO75" i="153" s="1"/>
  <c r="AC22" i="153"/>
  <c r="AG22" i="153"/>
  <c r="AP75" i="153"/>
  <c r="AQ75" i="153" s="1"/>
  <c r="AN75" i="152"/>
  <c r="AO75" i="152" s="1"/>
  <c r="AC22" i="152"/>
  <c r="AG22" i="152"/>
  <c r="AP75" i="152"/>
  <c r="AQ75" i="152" s="1"/>
  <c r="M39" i="151"/>
  <c r="X45" i="151" s="1"/>
  <c r="G84" i="149" l="1"/>
  <c r="H84" i="149"/>
  <c r="H83" i="149" s="1"/>
  <c r="I84" i="149"/>
  <c r="I83" i="149" s="1"/>
  <c r="J84" i="149"/>
  <c r="J83" i="149" s="1"/>
  <c r="G83" i="149"/>
  <c r="AA37" i="150"/>
  <c r="AC37" i="150" s="1"/>
  <c r="AE37" i="147"/>
  <c r="AE35" i="147"/>
  <c r="AE34" i="147"/>
  <c r="AE33" i="147"/>
  <c r="AE31" i="147"/>
  <c r="AE30" i="147"/>
  <c r="AE28" i="147"/>
  <c r="AE26" i="147"/>
  <c r="AE25" i="147"/>
  <c r="AE24" i="147"/>
  <c r="AG23" i="149"/>
  <c r="AE23" i="147"/>
  <c r="AA35" i="148"/>
  <c r="AN85" i="148" s="1"/>
  <c r="AO85" i="148" s="1"/>
  <c r="AN84" i="148"/>
  <c r="AO84" i="148" s="1"/>
  <c r="AA31" i="148"/>
  <c r="AA30" i="148"/>
  <c r="AA30" i="150"/>
  <c r="AC30" i="150" s="1"/>
  <c r="AA28" i="148"/>
  <c r="AA28" i="149"/>
  <c r="AA28" i="150"/>
  <c r="AA26" i="148"/>
  <c r="AC26" i="148" s="1"/>
  <c r="AA26" i="149"/>
  <c r="AN79" i="149" s="1"/>
  <c r="AO79" i="149" s="1"/>
  <c r="AA40" i="149" s="1"/>
  <c r="AA25" i="148"/>
  <c r="AN78" i="148" s="1"/>
  <c r="AO78" i="148" s="1"/>
  <c r="AA25" i="149"/>
  <c r="AC25" i="149" s="1"/>
  <c r="AA25" i="150"/>
  <c r="AC25" i="150" s="1"/>
  <c r="AA24" i="149"/>
  <c r="AN76" i="148"/>
  <c r="AO76" i="148" s="1"/>
  <c r="AA23" i="149"/>
  <c r="AN76" i="149" s="1"/>
  <c r="AO76" i="149" s="1"/>
  <c r="AA23" i="150"/>
  <c r="AC23" i="150" s="1"/>
  <c r="AN75" i="148"/>
  <c r="AO75" i="148" s="1"/>
  <c r="AC22" i="149"/>
  <c r="AA22" i="150"/>
  <c r="AC22" i="150" s="1"/>
  <c r="W37" i="148"/>
  <c r="AL86" i="148" s="1"/>
  <c r="AM86" i="148" s="1"/>
  <c r="W37" i="149"/>
  <c r="W34" i="150"/>
  <c r="W33" i="149"/>
  <c r="AL80" i="150"/>
  <c r="AM80" i="150" s="1"/>
  <c r="W24" i="147"/>
  <c r="W23" i="147"/>
  <c r="W22" i="148"/>
  <c r="W22" i="150"/>
  <c r="W22" i="147"/>
  <c r="F24" i="150"/>
  <c r="G24" i="150" s="1"/>
  <c r="H24" i="150" s="1"/>
  <c r="F23" i="150"/>
  <c r="G23" i="150" s="1"/>
  <c r="H23" i="150" s="1"/>
  <c r="H21" i="150"/>
  <c r="G21" i="150"/>
  <c r="F21" i="150"/>
  <c r="G20" i="150"/>
  <c r="H20" i="150" s="1"/>
  <c r="F20" i="150"/>
  <c r="F24" i="149"/>
  <c r="G24" i="149" s="1"/>
  <c r="H24" i="149" s="1"/>
  <c r="F23" i="149"/>
  <c r="G23" i="149" s="1"/>
  <c r="H23" i="149" s="1"/>
  <c r="G21" i="149"/>
  <c r="H21" i="149" s="1"/>
  <c r="F21" i="149"/>
  <c r="F20" i="149"/>
  <c r="G20" i="149" s="1"/>
  <c r="H20" i="149" s="1"/>
  <c r="F24" i="148"/>
  <c r="G24" i="148" s="1"/>
  <c r="H24" i="148" s="1"/>
  <c r="F23" i="148"/>
  <c r="G23" i="148" s="1"/>
  <c r="H23" i="148" s="1"/>
  <c r="G21" i="148"/>
  <c r="H21" i="148" s="1"/>
  <c r="F21" i="148"/>
  <c r="F20" i="148"/>
  <c r="G20" i="148" s="1"/>
  <c r="H20" i="148" s="1"/>
  <c r="F24" i="147"/>
  <c r="G24" i="147" s="1"/>
  <c r="H24" i="147" s="1"/>
  <c r="F23" i="147"/>
  <c r="G23" i="147" s="1"/>
  <c r="H23" i="147" s="1"/>
  <c r="F21" i="147"/>
  <c r="G21" i="147" s="1"/>
  <c r="H21" i="147" s="1"/>
  <c r="F20" i="147"/>
  <c r="G20" i="147" s="1"/>
  <c r="H20" i="147" s="1"/>
  <c r="AL90" i="150"/>
  <c r="AJ86" i="150"/>
  <c r="AK86" i="150" s="1"/>
  <c r="AJ85" i="150"/>
  <c r="AK85" i="150" s="1"/>
  <c r="L85" i="150"/>
  <c r="AK84" i="150"/>
  <c r="AJ84" i="150"/>
  <c r="AK83" i="150"/>
  <c r="AJ83" i="150"/>
  <c r="AJ82" i="150"/>
  <c r="AK82" i="150" s="1"/>
  <c r="AJ81" i="150"/>
  <c r="AK81" i="150" s="1"/>
  <c r="AJ80" i="150"/>
  <c r="AK80" i="150" s="1"/>
  <c r="AJ79" i="150"/>
  <c r="AK79" i="150" s="1"/>
  <c r="AJ78" i="150"/>
  <c r="AK78" i="150" s="1"/>
  <c r="D78" i="150"/>
  <c r="AK77" i="150"/>
  <c r="AJ77" i="150"/>
  <c r="AK76" i="150"/>
  <c r="AJ76" i="150"/>
  <c r="AN75" i="150"/>
  <c r="AO75" i="150" s="1"/>
  <c r="AK75" i="150"/>
  <c r="AJ75" i="150"/>
  <c r="AB51" i="150"/>
  <c r="AH47" i="150"/>
  <c r="AH48" i="150" s="1"/>
  <c r="AG47" i="150"/>
  <c r="AG48" i="150" s="1"/>
  <c r="AF47" i="150"/>
  <c r="AF48" i="150" s="1"/>
  <c r="X47" i="150"/>
  <c r="S47" i="150"/>
  <c r="R47" i="150"/>
  <c r="Q47" i="150"/>
  <c r="M42" i="150"/>
  <c r="E83" i="150" s="1"/>
  <c r="S40" i="150"/>
  <c r="R40" i="150"/>
  <c r="Q40" i="150"/>
  <c r="AD39" i="150"/>
  <c r="AA39" i="150"/>
  <c r="W39" i="150"/>
  <c r="AS37" i="150"/>
  <c r="V37" i="150"/>
  <c r="AS36" i="150"/>
  <c r="AS35" i="150"/>
  <c r="V35" i="150"/>
  <c r="AS34" i="150"/>
  <c r="V34" i="150"/>
  <c r="H34" i="150"/>
  <c r="J84" i="150" s="1"/>
  <c r="J83" i="150" s="1"/>
  <c r="G34" i="150"/>
  <c r="I84" i="150" s="1"/>
  <c r="I83" i="150" s="1"/>
  <c r="F34" i="150"/>
  <c r="H84" i="150" s="1"/>
  <c r="H83" i="150" s="1"/>
  <c r="E34" i="150"/>
  <c r="G84" i="150" s="1"/>
  <c r="G83" i="150" s="1"/>
  <c r="AS33" i="150"/>
  <c r="W37" i="150"/>
  <c r="Y37" i="150" s="1"/>
  <c r="V33" i="150"/>
  <c r="M33" i="150"/>
  <c r="AS32" i="150"/>
  <c r="AA35" i="150"/>
  <c r="W35" i="150"/>
  <c r="AS31" i="150"/>
  <c r="V31" i="150"/>
  <c r="M31" i="150"/>
  <c r="AS30" i="150"/>
  <c r="AA33" i="150"/>
  <c r="AN83" i="150" s="1"/>
  <c r="AO83" i="150" s="1"/>
  <c r="AA41" i="150" s="1"/>
  <c r="V30" i="150"/>
  <c r="AS29" i="150"/>
  <c r="AE31" i="150"/>
  <c r="AA31" i="150"/>
  <c r="AC31" i="150" s="1"/>
  <c r="AS28" i="150"/>
  <c r="AE30" i="150"/>
  <c r="V28" i="150"/>
  <c r="S28" i="150"/>
  <c r="S30" i="150" s="1"/>
  <c r="R28" i="150"/>
  <c r="R30" i="150" s="1"/>
  <c r="Q28" i="150"/>
  <c r="M28" i="150"/>
  <c r="AS27" i="150"/>
  <c r="S27" i="150"/>
  <c r="R27" i="150"/>
  <c r="Q27" i="150"/>
  <c r="AS26" i="150"/>
  <c r="AE26" i="150"/>
  <c r="V26" i="150"/>
  <c r="AS25" i="150"/>
  <c r="AE25" i="150"/>
  <c r="V25" i="150"/>
  <c r="E25" i="150"/>
  <c r="E36" i="150" s="1"/>
  <c r="AS24" i="150"/>
  <c r="AE24" i="150"/>
  <c r="AP77" i="150" s="1"/>
  <c r="AQ77" i="150" s="1"/>
  <c r="AL77" i="150"/>
  <c r="AM77" i="150" s="1"/>
  <c r="V24" i="150"/>
  <c r="AS23" i="150"/>
  <c r="AE23" i="150"/>
  <c r="V23" i="150"/>
  <c r="F25" i="150"/>
  <c r="AS22" i="150"/>
  <c r="AE22" i="150"/>
  <c r="AL75" i="150"/>
  <c r="AM75" i="150" s="1"/>
  <c r="V22" i="150"/>
  <c r="M20" i="150"/>
  <c r="AE19" i="150"/>
  <c r="AB53" i="150" s="1"/>
  <c r="AA19" i="150"/>
  <c r="AK90" i="150" s="1"/>
  <c r="W19" i="150"/>
  <c r="AJ90" i="150" s="1"/>
  <c r="Q13" i="150"/>
  <c r="AF12" i="150"/>
  <c r="AC12" i="150"/>
  <c r="V12" i="150"/>
  <c r="R12" i="150"/>
  <c r="AB10" i="150"/>
  <c r="W10" i="150"/>
  <c r="Q10" i="150"/>
  <c r="O10" i="150"/>
  <c r="K10" i="150"/>
  <c r="W9" i="150"/>
  <c r="Q9" i="150"/>
  <c r="O9" i="150"/>
  <c r="AV8" i="150"/>
  <c r="AB8" i="150"/>
  <c r="W8" i="150"/>
  <c r="Q8" i="150"/>
  <c r="O8" i="150"/>
  <c r="AB7" i="150"/>
  <c r="W7" i="150"/>
  <c r="Q7" i="150"/>
  <c r="O7" i="150"/>
  <c r="AB6" i="150"/>
  <c r="W6" i="150"/>
  <c r="Q6" i="150"/>
  <c r="O6" i="150"/>
  <c r="R1" i="150"/>
  <c r="AL90" i="149"/>
  <c r="AJ86" i="149"/>
  <c r="AK86" i="149" s="1"/>
  <c r="AJ85" i="149"/>
  <c r="AK85" i="149" s="1"/>
  <c r="L85" i="149"/>
  <c r="AK84" i="149"/>
  <c r="AJ84" i="149"/>
  <c r="AK83" i="149"/>
  <c r="AJ83" i="149"/>
  <c r="AJ82" i="149"/>
  <c r="AK82" i="149" s="1"/>
  <c r="AJ81" i="149"/>
  <c r="AK81" i="149" s="1"/>
  <c r="AJ80" i="149"/>
  <c r="AK80" i="149" s="1"/>
  <c r="AJ79" i="149"/>
  <c r="AK79" i="149" s="1"/>
  <c r="AJ78" i="149"/>
  <c r="AK78" i="149" s="1"/>
  <c r="D78" i="149"/>
  <c r="AK77" i="149"/>
  <c r="AJ77" i="149"/>
  <c r="AP76" i="149"/>
  <c r="AQ76" i="149" s="1"/>
  <c r="AK76" i="149"/>
  <c r="AJ76" i="149"/>
  <c r="AK75" i="149"/>
  <c r="AJ75" i="149"/>
  <c r="AB51" i="149"/>
  <c r="AH47" i="149"/>
  <c r="AH48" i="149" s="1"/>
  <c r="AG47" i="149"/>
  <c r="AG48" i="149" s="1"/>
  <c r="AF47" i="149"/>
  <c r="AF48" i="149" s="1"/>
  <c r="X47" i="149"/>
  <c r="S47" i="149"/>
  <c r="R47" i="149"/>
  <c r="Q47" i="149"/>
  <c r="M42" i="149"/>
  <c r="S92" i="149" s="1"/>
  <c r="S40" i="149"/>
  <c r="R40" i="149"/>
  <c r="Q40" i="149"/>
  <c r="AD39" i="149"/>
  <c r="AA39" i="149"/>
  <c r="W39" i="149"/>
  <c r="AS37" i="149"/>
  <c r="V37" i="149"/>
  <c r="AS36" i="149"/>
  <c r="AS35" i="149"/>
  <c r="V35" i="149"/>
  <c r="AS34" i="149"/>
  <c r="V34" i="149"/>
  <c r="H34" i="149"/>
  <c r="G34" i="149"/>
  <c r="F34" i="149"/>
  <c r="E34" i="149"/>
  <c r="AS33" i="149"/>
  <c r="AJ33" i="149"/>
  <c r="AK33" i="149" s="1"/>
  <c r="AI33" i="149"/>
  <c r="V33" i="149"/>
  <c r="M33" i="149"/>
  <c r="AS32" i="149"/>
  <c r="AJ32" i="149"/>
  <c r="AA35" i="149" s="1"/>
  <c r="AI32" i="149"/>
  <c r="W35" i="149" s="1"/>
  <c r="AS31" i="149"/>
  <c r="AJ31" i="149"/>
  <c r="AI31" i="149"/>
  <c r="W34" i="149" s="1"/>
  <c r="V31" i="149"/>
  <c r="M31" i="149"/>
  <c r="AS30" i="149"/>
  <c r="AJ30" i="149"/>
  <c r="AA33" i="149" s="1"/>
  <c r="AN83" i="149" s="1"/>
  <c r="AO83" i="149" s="1"/>
  <c r="AA41" i="149" s="1"/>
  <c r="AI30" i="149"/>
  <c r="V30" i="149"/>
  <c r="AS29" i="149"/>
  <c r="AJ29" i="149"/>
  <c r="AK29" i="149" s="1"/>
  <c r="AE31" i="149" s="1"/>
  <c r="AI29" i="149"/>
  <c r="W31" i="149" s="1"/>
  <c r="AS28" i="149"/>
  <c r="AJ28" i="149"/>
  <c r="AA30" i="149" s="1"/>
  <c r="AI28" i="149"/>
  <c r="W30" i="149" s="1"/>
  <c r="V28" i="149"/>
  <c r="S28" i="149"/>
  <c r="S30" i="149" s="1"/>
  <c r="R28" i="149"/>
  <c r="R30" i="149" s="1"/>
  <c r="Q28" i="149"/>
  <c r="M28" i="149"/>
  <c r="AS27" i="149"/>
  <c r="AJ27" i="149"/>
  <c r="AI27" i="149"/>
  <c r="W28" i="149" s="1"/>
  <c r="AL80" i="149" s="1"/>
  <c r="AM80" i="149" s="1"/>
  <c r="S27" i="149"/>
  <c r="R27" i="149"/>
  <c r="Q27" i="149"/>
  <c r="AS26" i="149"/>
  <c r="AJ26" i="149"/>
  <c r="AK26" i="149" s="1"/>
  <c r="AE26" i="149" s="1"/>
  <c r="AI26" i="149"/>
  <c r="W26" i="149" s="1"/>
  <c r="V26" i="149"/>
  <c r="AS25" i="149"/>
  <c r="AK25" i="149"/>
  <c r="AJ25" i="149"/>
  <c r="AI25" i="149"/>
  <c r="W25" i="149" s="1"/>
  <c r="V25" i="149"/>
  <c r="E25" i="149"/>
  <c r="E36" i="149" s="1"/>
  <c r="E37" i="149" s="1"/>
  <c r="AS24" i="149"/>
  <c r="AK24" i="149"/>
  <c r="AJ24" i="149"/>
  <c r="AI24" i="149"/>
  <c r="AL77" i="149" s="1"/>
  <c r="AM77" i="149" s="1"/>
  <c r="V24" i="149"/>
  <c r="AS23" i="149"/>
  <c r="AJ23" i="149"/>
  <c r="AK23" i="149" s="1"/>
  <c r="AI23" i="149"/>
  <c r="V23" i="149"/>
  <c r="F25" i="149"/>
  <c r="F36" i="149" s="1"/>
  <c r="AS22" i="149"/>
  <c r="AJ22" i="149"/>
  <c r="AK22" i="149" s="1"/>
  <c r="AI22" i="149"/>
  <c r="AL75" i="149"/>
  <c r="AM75" i="149" s="1"/>
  <c r="V22" i="149"/>
  <c r="M20" i="149"/>
  <c r="AE19" i="149"/>
  <c r="AB53" i="149" s="1"/>
  <c r="AA19" i="149"/>
  <c r="AK90" i="149" s="1"/>
  <c r="W19" i="149"/>
  <c r="AJ90" i="149" s="1"/>
  <c r="Q13" i="149"/>
  <c r="AF12" i="149"/>
  <c r="AC12" i="149"/>
  <c r="V12" i="149"/>
  <c r="R12" i="149"/>
  <c r="AB10" i="149"/>
  <c r="W10" i="149"/>
  <c r="Q10" i="149"/>
  <c r="O10" i="149"/>
  <c r="K10" i="149"/>
  <c r="W9" i="149"/>
  <c r="Q9" i="149"/>
  <c r="O9" i="149"/>
  <c r="AV8" i="149"/>
  <c r="AB8" i="149"/>
  <c r="W8" i="149"/>
  <c r="Q8" i="149"/>
  <c r="O8" i="149"/>
  <c r="AB7" i="149"/>
  <c r="W7" i="149"/>
  <c r="Q7" i="149"/>
  <c r="O7" i="149"/>
  <c r="AB6" i="149"/>
  <c r="W6" i="149"/>
  <c r="Q6" i="149"/>
  <c r="O6" i="149"/>
  <c r="R1" i="149"/>
  <c r="AJ86" i="148"/>
  <c r="AK86" i="148" s="1"/>
  <c r="AJ85" i="148"/>
  <c r="AK85" i="148" s="1"/>
  <c r="L85" i="148"/>
  <c r="AJ84" i="148"/>
  <c r="AK84" i="148" s="1"/>
  <c r="AJ83" i="148"/>
  <c r="AK83" i="148" s="1"/>
  <c r="AJ82" i="148"/>
  <c r="AK82" i="148" s="1"/>
  <c r="AJ81" i="148"/>
  <c r="AK81" i="148" s="1"/>
  <c r="AJ80" i="148"/>
  <c r="AK80" i="148" s="1"/>
  <c r="AJ79" i="148"/>
  <c r="AK79" i="148" s="1"/>
  <c r="AJ78" i="148"/>
  <c r="AK78" i="148" s="1"/>
  <c r="D78" i="148"/>
  <c r="AJ77" i="148"/>
  <c r="AK77" i="148" s="1"/>
  <c r="AJ76" i="148"/>
  <c r="AK76" i="148" s="1"/>
  <c r="AJ75" i="148"/>
  <c r="AK75" i="148" s="1"/>
  <c r="AH47" i="148"/>
  <c r="AH48" i="148" s="1"/>
  <c r="AG47" i="148"/>
  <c r="AG48" i="148" s="1"/>
  <c r="AF47" i="148"/>
  <c r="AF48" i="148" s="1"/>
  <c r="X47" i="148"/>
  <c r="S47" i="148"/>
  <c r="R47" i="148"/>
  <c r="Q47" i="148"/>
  <c r="M42" i="148"/>
  <c r="S40" i="148"/>
  <c r="R40" i="148"/>
  <c r="Q40" i="148"/>
  <c r="AD39" i="148"/>
  <c r="AA39" i="148"/>
  <c r="W39" i="148"/>
  <c r="AS37" i="148"/>
  <c r="V37" i="148"/>
  <c r="AS36" i="148"/>
  <c r="AS35" i="148"/>
  <c r="V35" i="148"/>
  <c r="AS34" i="148"/>
  <c r="V34" i="148"/>
  <c r="H34" i="148"/>
  <c r="J84" i="148" s="1"/>
  <c r="J83" i="148" s="1"/>
  <c r="G34" i="148"/>
  <c r="I84" i="148" s="1"/>
  <c r="I83" i="148" s="1"/>
  <c r="F34" i="148"/>
  <c r="H84" i="148" s="1"/>
  <c r="H83" i="148" s="1"/>
  <c r="E34" i="148"/>
  <c r="G84" i="148" s="1"/>
  <c r="G83" i="148" s="1"/>
  <c r="AS33" i="148"/>
  <c r="AJ33" i="148"/>
  <c r="AK33" i="148" s="1"/>
  <c r="AI33" i="148"/>
  <c r="V33" i="148"/>
  <c r="M33" i="148"/>
  <c r="AS32" i="148"/>
  <c r="AJ32" i="148"/>
  <c r="AK32" i="148" s="1"/>
  <c r="AI32" i="148"/>
  <c r="W35" i="148" s="1"/>
  <c r="AS31" i="148"/>
  <c r="AJ31" i="148"/>
  <c r="AK31" i="148" s="1"/>
  <c r="AE34" i="148" s="1"/>
  <c r="AI31" i="148"/>
  <c r="W34" i="148" s="1"/>
  <c r="V31" i="148"/>
  <c r="M31" i="148"/>
  <c r="AS30" i="148"/>
  <c r="AJ30" i="148"/>
  <c r="AN83" i="148" s="1"/>
  <c r="AO83" i="148" s="1"/>
  <c r="AA41" i="148" s="1"/>
  <c r="AI30" i="148"/>
  <c r="W33" i="148" s="1"/>
  <c r="V30" i="148"/>
  <c r="AS29" i="148"/>
  <c r="AJ29" i="148"/>
  <c r="AI29" i="148"/>
  <c r="W31" i="148" s="1"/>
  <c r="AS28" i="148"/>
  <c r="AJ28" i="148"/>
  <c r="AI28" i="148"/>
  <c r="W30" i="148" s="1"/>
  <c r="AL81" i="148" s="1"/>
  <c r="AM81" i="148" s="1"/>
  <c r="V28" i="148"/>
  <c r="S28" i="148"/>
  <c r="S30" i="148" s="1"/>
  <c r="R28" i="148"/>
  <c r="R30" i="148" s="1"/>
  <c r="Q28" i="148"/>
  <c r="M28" i="148"/>
  <c r="AS27" i="148"/>
  <c r="AJ27" i="148"/>
  <c r="AI27" i="148"/>
  <c r="W28" i="148" s="1"/>
  <c r="S27" i="148"/>
  <c r="R27" i="148"/>
  <c r="Q27" i="148"/>
  <c r="AS26" i="148"/>
  <c r="AJ26" i="148"/>
  <c r="AK26" i="148" s="1"/>
  <c r="AE26" i="148" s="1"/>
  <c r="AI26" i="148"/>
  <c r="W26" i="148" s="1"/>
  <c r="V26" i="148"/>
  <c r="AS25" i="148"/>
  <c r="AK25" i="148"/>
  <c r="AE25" i="148" s="1"/>
  <c r="AP78" i="148" s="1"/>
  <c r="AQ78" i="148" s="1"/>
  <c r="AJ25" i="148"/>
  <c r="AI25" i="148"/>
  <c r="W25" i="148" s="1"/>
  <c r="AL78" i="148" s="1"/>
  <c r="AM78" i="148" s="1"/>
  <c r="AC25" i="148"/>
  <c r="V25" i="148"/>
  <c r="F25" i="148"/>
  <c r="F36" i="148" s="1"/>
  <c r="E25" i="148"/>
  <c r="E36" i="148" s="1"/>
  <c r="AS24" i="148"/>
  <c r="AJ24" i="148"/>
  <c r="AI24" i="148"/>
  <c r="W24" i="148" s="1"/>
  <c r="AL77" i="148" s="1"/>
  <c r="AM77" i="148" s="1"/>
  <c r="V24" i="148"/>
  <c r="AS23" i="148"/>
  <c r="AJ23" i="148"/>
  <c r="AK23" i="148" s="1"/>
  <c r="AE23" i="148" s="1"/>
  <c r="AI23" i="148"/>
  <c r="W23" i="148" s="1"/>
  <c r="AL76" i="148" s="1"/>
  <c r="AM76" i="148" s="1"/>
  <c r="V23" i="148"/>
  <c r="AS22" i="148"/>
  <c r="AJ22" i="148"/>
  <c r="AK22" i="148" s="1"/>
  <c r="AI22" i="148"/>
  <c r="AL75" i="148"/>
  <c r="AM75" i="148" s="1"/>
  <c r="V22" i="148"/>
  <c r="M20" i="148"/>
  <c r="AE19" i="148"/>
  <c r="AB53" i="148" s="1"/>
  <c r="AA19" i="148"/>
  <c r="AK90" i="148" s="1"/>
  <c r="W19" i="148"/>
  <c r="AJ90" i="148" s="1"/>
  <c r="Q13" i="148"/>
  <c r="AF12" i="148"/>
  <c r="AC12" i="148"/>
  <c r="V12" i="148"/>
  <c r="R12" i="148"/>
  <c r="AB10" i="148"/>
  <c r="W10" i="148"/>
  <c r="Q10" i="148"/>
  <c r="O10" i="148"/>
  <c r="K10" i="148"/>
  <c r="W9" i="148"/>
  <c r="Q9" i="148"/>
  <c r="O9" i="148"/>
  <c r="AV8" i="148"/>
  <c r="AB8" i="148"/>
  <c r="W8" i="148"/>
  <c r="Q8" i="148"/>
  <c r="O8" i="148"/>
  <c r="AB7" i="148"/>
  <c r="W7" i="148"/>
  <c r="Q7" i="148"/>
  <c r="O7" i="148"/>
  <c r="AB6" i="148"/>
  <c r="W6" i="148"/>
  <c r="Q6" i="148"/>
  <c r="O6" i="148"/>
  <c r="R1" i="148"/>
  <c r="AB7" i="147"/>
  <c r="AN78" i="150" l="1"/>
  <c r="AO78" i="150" s="1"/>
  <c r="AN81" i="150"/>
  <c r="AO81" i="150" s="1"/>
  <c r="S92" i="150"/>
  <c r="M37" i="150"/>
  <c r="S31" i="150"/>
  <c r="AL91" i="150" s="1"/>
  <c r="M37" i="149"/>
  <c r="M30" i="149" s="1"/>
  <c r="M41" i="149" s="1"/>
  <c r="M43" i="149" s="1"/>
  <c r="X46" i="149" s="1"/>
  <c r="E83" i="149"/>
  <c r="F37" i="149"/>
  <c r="R31" i="149"/>
  <c r="AK91" i="149" s="1"/>
  <c r="S31" i="149"/>
  <c r="AL91" i="149" s="1"/>
  <c r="Q30" i="149"/>
  <c r="E37" i="148"/>
  <c r="F37" i="148"/>
  <c r="R31" i="148"/>
  <c r="AK91" i="148" s="1"/>
  <c r="Q30" i="148"/>
  <c r="Q31" i="148" s="1"/>
  <c r="AJ91" i="148" s="1"/>
  <c r="AN76" i="150"/>
  <c r="AO76" i="150" s="1"/>
  <c r="AG23" i="150"/>
  <c r="AP76" i="150"/>
  <c r="AQ76" i="150" s="1"/>
  <c r="AP75" i="150"/>
  <c r="AQ75" i="150" s="1"/>
  <c r="AG22" i="150"/>
  <c r="AP86" i="150"/>
  <c r="AQ86" i="150" s="1"/>
  <c r="AG37" i="150"/>
  <c r="AA24" i="150"/>
  <c r="AN77" i="150" s="1"/>
  <c r="AO77" i="150" s="1"/>
  <c r="AA26" i="150"/>
  <c r="AN79" i="150" s="1"/>
  <c r="AO79" i="150" s="1"/>
  <c r="AA40" i="150" s="1"/>
  <c r="AA42" i="150" s="1"/>
  <c r="AK94" i="150" s="1"/>
  <c r="AE33" i="150"/>
  <c r="AP83" i="150" s="1"/>
  <c r="AQ83" i="150" s="1"/>
  <c r="AD41" i="150" s="1"/>
  <c r="AN86" i="150"/>
  <c r="AO86" i="150" s="1"/>
  <c r="AL81" i="149"/>
  <c r="AM81" i="149" s="1"/>
  <c r="Y30" i="149"/>
  <c r="AA42" i="149"/>
  <c r="AK94" i="149" s="1"/>
  <c r="AN81" i="149"/>
  <c r="AO81" i="149" s="1"/>
  <c r="AC30" i="149"/>
  <c r="AG37" i="149"/>
  <c r="AP86" i="149"/>
  <c r="AQ86" i="149" s="1"/>
  <c r="AG22" i="149"/>
  <c r="AP75" i="149"/>
  <c r="AQ75" i="149" s="1"/>
  <c r="AP78" i="149"/>
  <c r="AQ78" i="149" s="1"/>
  <c r="AG25" i="149"/>
  <c r="AA31" i="149"/>
  <c r="AN82" i="149" s="1"/>
  <c r="AO82" i="149" s="1"/>
  <c r="AK28" i="149"/>
  <c r="AE30" i="149" s="1"/>
  <c r="AK30" i="149"/>
  <c r="AE33" i="149" s="1"/>
  <c r="AC23" i="149"/>
  <c r="AN75" i="149"/>
  <c r="AO75" i="149" s="1"/>
  <c r="AN78" i="149"/>
  <c r="AO78" i="149" s="1"/>
  <c r="AA37" i="149"/>
  <c r="AP75" i="148"/>
  <c r="AQ75" i="148" s="1"/>
  <c r="AG22" i="148"/>
  <c r="AP76" i="148"/>
  <c r="AQ76" i="148" s="1"/>
  <c r="AG23" i="148"/>
  <c r="AP86" i="148"/>
  <c r="AQ86" i="148" s="1"/>
  <c r="AG37" i="148"/>
  <c r="AK30" i="148"/>
  <c r="AE33" i="148" s="1"/>
  <c r="AP83" i="148" s="1"/>
  <c r="AQ83" i="148" s="1"/>
  <c r="AD41" i="148" s="1"/>
  <c r="AC23" i="148"/>
  <c r="AC22" i="148"/>
  <c r="R31" i="150"/>
  <c r="AK91" i="150" s="1"/>
  <c r="Q30" i="150"/>
  <c r="Q31" i="150" s="1"/>
  <c r="AJ91" i="150" s="1"/>
  <c r="E37" i="150"/>
  <c r="F36" i="150"/>
  <c r="F37" i="150" s="1"/>
  <c r="Q31" i="149"/>
  <c r="AJ91" i="149" s="1"/>
  <c r="S31" i="148"/>
  <c r="AL91" i="148" s="1"/>
  <c r="AL78" i="150"/>
  <c r="AM78" i="150" s="1"/>
  <c r="Y25" i="150"/>
  <c r="AC28" i="150"/>
  <c r="AN80" i="150"/>
  <c r="AO80" i="150" s="1"/>
  <c r="AL81" i="150"/>
  <c r="AM81" i="150" s="1"/>
  <c r="Y30" i="150"/>
  <c r="Y31" i="150"/>
  <c r="AL82" i="150"/>
  <c r="AM82" i="150" s="1"/>
  <c r="AL83" i="150"/>
  <c r="AM83" i="150" s="1"/>
  <c r="W41" i="150" s="1"/>
  <c r="Y33" i="150"/>
  <c r="AL84" i="150"/>
  <c r="AM84" i="150" s="1"/>
  <c r="Y34" i="150"/>
  <c r="AN85" i="150"/>
  <c r="AO85" i="150" s="1"/>
  <c r="AC35" i="150"/>
  <c r="AG26" i="150"/>
  <c r="AP79" i="150"/>
  <c r="AQ79" i="150" s="1"/>
  <c r="AD40" i="150" s="1"/>
  <c r="AP81" i="150"/>
  <c r="AQ81" i="150" s="1"/>
  <c r="AG30" i="150"/>
  <c r="AG31" i="150"/>
  <c r="AP82" i="150"/>
  <c r="AQ82" i="150" s="1"/>
  <c r="AG33" i="150"/>
  <c r="Y35" i="150"/>
  <c r="AL85" i="150"/>
  <c r="AM85" i="150" s="1"/>
  <c r="AL76" i="150"/>
  <c r="AM76" i="150" s="1"/>
  <c r="Y23" i="150"/>
  <c r="AP78" i="150"/>
  <c r="AQ78" i="150" s="1"/>
  <c r="AG25" i="150"/>
  <c r="Y26" i="150"/>
  <c r="AL79" i="150"/>
  <c r="AM79" i="150" s="1"/>
  <c r="W40" i="150" s="1"/>
  <c r="W42" i="150" s="1"/>
  <c r="AJ94" i="150" s="1"/>
  <c r="AN84" i="150"/>
  <c r="AO84" i="150" s="1"/>
  <c r="AC34" i="150"/>
  <c r="AL86" i="150"/>
  <c r="AM86" i="150" s="1"/>
  <c r="AN82" i="150"/>
  <c r="AO82" i="150" s="1"/>
  <c r="Y22" i="150"/>
  <c r="Y24" i="150"/>
  <c r="AG24" i="150"/>
  <c r="AC26" i="150"/>
  <c r="AE28" i="150"/>
  <c r="Y28" i="150"/>
  <c r="AC33" i="150"/>
  <c r="AB52" i="150"/>
  <c r="AE34" i="150"/>
  <c r="AC28" i="149"/>
  <c r="AN80" i="149"/>
  <c r="AO80" i="149" s="1"/>
  <c r="Y31" i="149"/>
  <c r="AL82" i="149"/>
  <c r="AM82" i="149" s="1"/>
  <c r="Y26" i="149"/>
  <c r="AL79" i="149"/>
  <c r="AM79" i="149" s="1"/>
  <c r="W40" i="149" s="1"/>
  <c r="Y35" i="149"/>
  <c r="AL85" i="149"/>
  <c r="AM85" i="149" s="1"/>
  <c r="AP83" i="149"/>
  <c r="AQ83" i="149" s="1"/>
  <c r="AD41" i="149" s="1"/>
  <c r="AG33" i="149"/>
  <c r="AG26" i="149"/>
  <c r="AP79" i="149"/>
  <c r="AQ79" i="149" s="1"/>
  <c r="AD40" i="149" s="1"/>
  <c r="AD42" i="149" s="1"/>
  <c r="AL94" i="149" s="1"/>
  <c r="AG30" i="149"/>
  <c r="AP81" i="149"/>
  <c r="AQ81" i="149" s="1"/>
  <c r="AG31" i="149"/>
  <c r="AP82" i="149"/>
  <c r="AQ82" i="149" s="1"/>
  <c r="AL83" i="149"/>
  <c r="AM83" i="149" s="1"/>
  <c r="W41" i="149" s="1"/>
  <c r="Y33" i="149"/>
  <c r="AL84" i="149"/>
  <c r="AM84" i="149" s="1"/>
  <c r="Y34" i="149"/>
  <c r="AC35" i="149"/>
  <c r="AN85" i="149"/>
  <c r="AO85" i="149" s="1"/>
  <c r="AL76" i="149"/>
  <c r="AM76" i="149" s="1"/>
  <c r="Y23" i="149"/>
  <c r="AP77" i="149"/>
  <c r="AQ77" i="149" s="1"/>
  <c r="AG24" i="149"/>
  <c r="AN77" i="149"/>
  <c r="AO77" i="149" s="1"/>
  <c r="AC24" i="149"/>
  <c r="AL78" i="149"/>
  <c r="AM78" i="149" s="1"/>
  <c r="Y25" i="149"/>
  <c r="AN84" i="149"/>
  <c r="AO84" i="149" s="1"/>
  <c r="AC34" i="149"/>
  <c r="AL86" i="149"/>
  <c r="AM86" i="149" s="1"/>
  <c r="Y37" i="149"/>
  <c r="Y22" i="149"/>
  <c r="Y24" i="149"/>
  <c r="AC26" i="149"/>
  <c r="AK27" i="149"/>
  <c r="AE28" i="149" s="1"/>
  <c r="Y28" i="149"/>
  <c r="AC33" i="149"/>
  <c r="AB52" i="149"/>
  <c r="AK31" i="149"/>
  <c r="AE34" i="149" s="1"/>
  <c r="AK32" i="149"/>
  <c r="Y26" i="148"/>
  <c r="AL79" i="148"/>
  <c r="AM79" i="148" s="1"/>
  <c r="W40" i="148" s="1"/>
  <c r="AL84" i="148"/>
  <c r="AM84" i="148" s="1"/>
  <c r="Y34" i="148"/>
  <c r="AG35" i="148"/>
  <c r="AP85" i="148"/>
  <c r="AQ85" i="148" s="1"/>
  <c r="H25" i="148"/>
  <c r="H36" i="148" s="1"/>
  <c r="H37" i="148" s="1"/>
  <c r="G25" i="148"/>
  <c r="G36" i="148" s="1"/>
  <c r="G37" i="148" s="1"/>
  <c r="AN77" i="148"/>
  <c r="AO77" i="148" s="1"/>
  <c r="AC24" i="148"/>
  <c r="AL80" i="148"/>
  <c r="AM80" i="148" s="1"/>
  <c r="Y28" i="148"/>
  <c r="AC31" i="148"/>
  <c r="AN82" i="148"/>
  <c r="AO82" i="148" s="1"/>
  <c r="AC28" i="148"/>
  <c r="AN80" i="148"/>
  <c r="AO80" i="148" s="1"/>
  <c r="AC30" i="148"/>
  <c r="AN81" i="148"/>
  <c r="AO81" i="148" s="1"/>
  <c r="AG33" i="148"/>
  <c r="Y35" i="148"/>
  <c r="AL85" i="148"/>
  <c r="AM85" i="148" s="1"/>
  <c r="AG26" i="148"/>
  <c r="AP79" i="148"/>
  <c r="AQ79" i="148" s="1"/>
  <c r="AD40" i="148" s="1"/>
  <c r="Y31" i="148"/>
  <c r="AL82" i="148"/>
  <c r="AM82" i="148" s="1"/>
  <c r="AL83" i="148"/>
  <c r="AM83" i="148" s="1"/>
  <c r="W41" i="148" s="1"/>
  <c r="Y33" i="148"/>
  <c r="AP84" i="148"/>
  <c r="AQ84" i="148" s="1"/>
  <c r="AG34" i="148"/>
  <c r="AK24" i="148"/>
  <c r="AE24" i="148" s="1"/>
  <c r="Y25" i="148"/>
  <c r="AG25" i="148"/>
  <c r="AK28" i="148"/>
  <c r="AE30" i="148" s="1"/>
  <c r="AK29" i="148"/>
  <c r="AE31" i="148" s="1"/>
  <c r="Y30" i="148"/>
  <c r="AC34" i="148"/>
  <c r="AC35" i="148"/>
  <c r="Y37" i="148"/>
  <c r="AB51" i="148"/>
  <c r="AN79" i="148"/>
  <c r="AO79" i="148" s="1"/>
  <c r="AA40" i="148" s="1"/>
  <c r="AA42" i="148" s="1"/>
  <c r="AK94" i="148" s="1"/>
  <c r="E83" i="148"/>
  <c r="AL90" i="148"/>
  <c r="S92" i="148"/>
  <c r="Y22" i="148"/>
  <c r="Y23" i="148"/>
  <c r="Y24" i="148"/>
  <c r="AK27" i="148"/>
  <c r="AE28" i="148" s="1"/>
  <c r="AC33" i="148"/>
  <c r="M37" i="148"/>
  <c r="AB52" i="148"/>
  <c r="AC24" i="150" l="1"/>
  <c r="M30" i="150"/>
  <c r="M41" i="150" s="1"/>
  <c r="M40" i="150"/>
  <c r="M39" i="149"/>
  <c r="X45" i="149" s="1"/>
  <c r="M40" i="149"/>
  <c r="AN86" i="149"/>
  <c r="AO86" i="149" s="1"/>
  <c r="AC37" i="149"/>
  <c r="AC31" i="149"/>
  <c r="AC37" i="148"/>
  <c r="AN86" i="148"/>
  <c r="AO86" i="148" s="1"/>
  <c r="AG35" i="150"/>
  <c r="AP85" i="150"/>
  <c r="AQ85" i="150" s="1"/>
  <c r="AP84" i="150"/>
  <c r="AQ84" i="150" s="1"/>
  <c r="AG34" i="150"/>
  <c r="H25" i="150"/>
  <c r="H36" i="150" s="1"/>
  <c r="H37" i="150" s="1"/>
  <c r="G25" i="150"/>
  <c r="G36" i="150" s="1"/>
  <c r="G37" i="150" s="1"/>
  <c r="AD42" i="150"/>
  <c r="AL94" i="150" s="1"/>
  <c r="AP80" i="150"/>
  <c r="AQ80" i="150" s="1"/>
  <c r="AG28" i="150"/>
  <c r="AG35" i="149"/>
  <c r="AP85" i="149"/>
  <c r="AQ85" i="149" s="1"/>
  <c r="AP84" i="149"/>
  <c r="AQ84" i="149" s="1"/>
  <c r="AG34" i="149"/>
  <c r="H25" i="149"/>
  <c r="H36" i="149" s="1"/>
  <c r="H37" i="149" s="1"/>
  <c r="G25" i="149"/>
  <c r="G36" i="149" s="1"/>
  <c r="G37" i="149" s="1"/>
  <c r="W42" i="149"/>
  <c r="AJ94" i="149" s="1"/>
  <c r="AP80" i="149"/>
  <c r="AQ80" i="149" s="1"/>
  <c r="AG28" i="149"/>
  <c r="AG31" i="148"/>
  <c r="AP82" i="148"/>
  <c r="AQ82" i="148" s="1"/>
  <c r="AP77" i="148"/>
  <c r="AQ77" i="148" s="1"/>
  <c r="AG24" i="148"/>
  <c r="M30" i="148"/>
  <c r="M41" i="148" s="1"/>
  <c r="M40" i="148"/>
  <c r="AP81" i="148"/>
  <c r="AQ81" i="148" s="1"/>
  <c r="AG30" i="148"/>
  <c r="W42" i="148"/>
  <c r="AJ94" i="148" s="1"/>
  <c r="AP80" i="148"/>
  <c r="AQ80" i="148" s="1"/>
  <c r="AG28" i="148"/>
  <c r="AD42" i="148"/>
  <c r="AL94" i="148" s="1"/>
  <c r="M43" i="150" l="1"/>
  <c r="X46" i="150" s="1"/>
  <c r="M39" i="150"/>
  <c r="X45" i="150" s="1"/>
  <c r="M43" i="148"/>
  <c r="X46" i="148" s="1"/>
  <c r="M39" i="148"/>
  <c r="X45" i="148" s="1"/>
  <c r="AP86" i="147" l="1"/>
  <c r="AQ86" i="147" s="1"/>
  <c r="AN86" i="147"/>
  <c r="AO86" i="147" s="1"/>
  <c r="AJ86" i="147"/>
  <c r="AK86" i="147" s="1"/>
  <c r="AJ85" i="147"/>
  <c r="AK85" i="147" s="1"/>
  <c r="L85" i="147"/>
  <c r="AJ84" i="147"/>
  <c r="AK84" i="147" s="1"/>
  <c r="AJ83" i="147"/>
  <c r="AK83" i="147" s="1"/>
  <c r="AJ82" i="147"/>
  <c r="AK82" i="147" s="1"/>
  <c r="AJ81" i="147"/>
  <c r="AK81" i="147" s="1"/>
  <c r="AJ80" i="147"/>
  <c r="AK80" i="147" s="1"/>
  <c r="AJ79" i="147"/>
  <c r="AK79" i="147" s="1"/>
  <c r="AJ78" i="147"/>
  <c r="AK78" i="147" s="1"/>
  <c r="D78" i="147"/>
  <c r="AJ77" i="147"/>
  <c r="AK77" i="147" s="1"/>
  <c r="AP76" i="147"/>
  <c r="AQ76" i="147" s="1"/>
  <c r="AN76" i="147"/>
  <c r="AO76" i="147" s="1"/>
  <c r="AJ76" i="147"/>
  <c r="AK76" i="147" s="1"/>
  <c r="AP75" i="147"/>
  <c r="AQ75" i="147" s="1"/>
  <c r="AN75" i="147"/>
  <c r="AO75" i="147" s="1"/>
  <c r="AJ75" i="147"/>
  <c r="AK75" i="147" s="1"/>
  <c r="AH47" i="147"/>
  <c r="AH48" i="147" s="1"/>
  <c r="AG47" i="147"/>
  <c r="AG48" i="147" s="1"/>
  <c r="AF47" i="147"/>
  <c r="AF48" i="147" s="1"/>
  <c r="X47" i="147"/>
  <c r="S47" i="147"/>
  <c r="R47" i="147"/>
  <c r="Q47" i="147"/>
  <c r="M42" i="147"/>
  <c r="S92" i="147" s="1"/>
  <c r="S40" i="147"/>
  <c r="R40" i="147"/>
  <c r="Q40" i="147"/>
  <c r="AD39" i="147"/>
  <c r="AA39" i="147"/>
  <c r="W39" i="147"/>
  <c r="AS37" i="147"/>
  <c r="AG37" i="147"/>
  <c r="AC37" i="147"/>
  <c r="V37" i="147"/>
  <c r="AS36" i="147"/>
  <c r="AS35" i="147"/>
  <c r="V35" i="147"/>
  <c r="AS34" i="147"/>
  <c r="V34" i="147"/>
  <c r="H34" i="147"/>
  <c r="J84" i="147" s="1"/>
  <c r="J83" i="147" s="1"/>
  <c r="I84" i="147"/>
  <c r="I83" i="147" s="1"/>
  <c r="F34" i="147"/>
  <c r="H84" i="147" s="1"/>
  <c r="H83" i="147" s="1"/>
  <c r="E34" i="147"/>
  <c r="G84" i="147" s="1"/>
  <c r="G83" i="147" s="1"/>
  <c r="AS33" i="147"/>
  <c r="AI33" i="147"/>
  <c r="AL86" i="147" s="1"/>
  <c r="AM86" i="147" s="1"/>
  <c r="V33" i="147"/>
  <c r="M33" i="147"/>
  <c r="AS32" i="147"/>
  <c r="AI32" i="147"/>
  <c r="Y35" i="147" s="1"/>
  <c r="AS31" i="147"/>
  <c r="AI31" i="147"/>
  <c r="AL84" i="147" s="1"/>
  <c r="AM84" i="147" s="1"/>
  <c r="V31" i="147"/>
  <c r="M31" i="147"/>
  <c r="AS30" i="147"/>
  <c r="AN83" i="147"/>
  <c r="AO83" i="147" s="1"/>
  <c r="AA41" i="147" s="1"/>
  <c r="AI30" i="147"/>
  <c r="V30" i="147"/>
  <c r="AS29" i="147"/>
  <c r="AI29" i="147"/>
  <c r="AS28" i="147"/>
  <c r="AI28" i="147"/>
  <c r="V28" i="147"/>
  <c r="S28" i="147"/>
  <c r="R28" i="147"/>
  <c r="Q28" i="147"/>
  <c r="M28" i="147"/>
  <c r="AS27" i="147"/>
  <c r="AI27" i="147"/>
  <c r="S27" i="147"/>
  <c r="R27" i="147"/>
  <c r="Q27" i="147"/>
  <c r="AS26" i="147"/>
  <c r="AI26" i="147"/>
  <c r="V26" i="147"/>
  <c r="AS25" i="147"/>
  <c r="AI25" i="147"/>
  <c r="V25" i="147"/>
  <c r="E25" i="147"/>
  <c r="E36" i="147" s="1"/>
  <c r="AS24" i="147"/>
  <c r="AI24" i="147"/>
  <c r="AL77" i="147" s="1"/>
  <c r="AM77" i="147" s="1"/>
  <c r="V24" i="147"/>
  <c r="AS23" i="147"/>
  <c r="AI23" i="147"/>
  <c r="AL76" i="147" s="1"/>
  <c r="AM76" i="147" s="1"/>
  <c r="AG23" i="147"/>
  <c r="AC23" i="147"/>
  <c r="V23" i="147"/>
  <c r="H25" i="147"/>
  <c r="F25" i="147"/>
  <c r="F36" i="147" s="1"/>
  <c r="AS22" i="147"/>
  <c r="AI22" i="147"/>
  <c r="AG22" i="147"/>
  <c r="AC22" i="147"/>
  <c r="Y22" i="147"/>
  <c r="AL75" i="147"/>
  <c r="AM75" i="147" s="1"/>
  <c r="V22" i="147"/>
  <c r="M20" i="147"/>
  <c r="AE19" i="147"/>
  <c r="AB53" i="147" s="1"/>
  <c r="AA19" i="147"/>
  <c r="AK90" i="147" s="1"/>
  <c r="W19" i="147"/>
  <c r="AJ90" i="147" s="1"/>
  <c r="Q13" i="147"/>
  <c r="AF12" i="147"/>
  <c r="AC12" i="147"/>
  <c r="V12" i="147"/>
  <c r="R12" i="147"/>
  <c r="AB10" i="147"/>
  <c r="W10" i="147"/>
  <c r="Q10" i="147"/>
  <c r="O10" i="147"/>
  <c r="K10" i="147"/>
  <c r="W9" i="147"/>
  <c r="Q9" i="147"/>
  <c r="O9" i="147"/>
  <c r="AV8" i="147"/>
  <c r="AB8" i="147"/>
  <c r="W8" i="147"/>
  <c r="Q8" i="147"/>
  <c r="O8" i="147"/>
  <c r="W7" i="147"/>
  <c r="Q7" i="147"/>
  <c r="O7" i="147"/>
  <c r="AB6" i="147"/>
  <c r="W6" i="147"/>
  <c r="Q6" i="147"/>
  <c r="O6" i="147"/>
  <c r="R1" i="147"/>
  <c r="AK33" i="139"/>
  <c r="AK23" i="146"/>
  <c r="AK24" i="146"/>
  <c r="AK25" i="146"/>
  <c r="AK26" i="146"/>
  <c r="AK27" i="146"/>
  <c r="AK28" i="146"/>
  <c r="AK29" i="146"/>
  <c r="AK30" i="146"/>
  <c r="AK31" i="146"/>
  <c r="AK32" i="146"/>
  <c r="AK33" i="146"/>
  <c r="AK22" i="146"/>
  <c r="AJ23" i="146"/>
  <c r="AJ24" i="146"/>
  <c r="AJ25" i="146"/>
  <c r="AJ26" i="146"/>
  <c r="AJ27" i="146"/>
  <c r="AJ28" i="146"/>
  <c r="AJ29" i="146"/>
  <c r="AJ30" i="146"/>
  <c r="AJ31" i="146"/>
  <c r="AJ32" i="146"/>
  <c r="AJ33" i="146"/>
  <c r="AJ22" i="146"/>
  <c r="AE33" i="145"/>
  <c r="AK23" i="145"/>
  <c r="AK24" i="145"/>
  <c r="AK25" i="145"/>
  <c r="AK26" i="145"/>
  <c r="AK27" i="145"/>
  <c r="AK28" i="145"/>
  <c r="AK29" i="145"/>
  <c r="AK30" i="145"/>
  <c r="AK31" i="145"/>
  <c r="AK32" i="145"/>
  <c r="AK33" i="145"/>
  <c r="AK22" i="145"/>
  <c r="AK23" i="138"/>
  <c r="AK24" i="138"/>
  <c r="AK25" i="138"/>
  <c r="AK26" i="138"/>
  <c r="AK27" i="138"/>
  <c r="AK28" i="138"/>
  <c r="AK29" i="138"/>
  <c r="AK30" i="138"/>
  <c r="AK31" i="138"/>
  <c r="AK32" i="138"/>
  <c r="AK33" i="138"/>
  <c r="AK22" i="138"/>
  <c r="AJ23" i="138"/>
  <c r="AJ24" i="138"/>
  <c r="AJ25" i="138"/>
  <c r="AJ26" i="138"/>
  <c r="AJ27" i="138"/>
  <c r="AJ28" i="138"/>
  <c r="AJ29" i="138"/>
  <c r="AJ30" i="138"/>
  <c r="AJ31" i="138"/>
  <c r="AJ32" i="138"/>
  <c r="AJ33" i="138"/>
  <c r="AJ22" i="138"/>
  <c r="AA33" i="135"/>
  <c r="AA31" i="135"/>
  <c r="AK23" i="135"/>
  <c r="AK24" i="135"/>
  <c r="AK25" i="135"/>
  <c r="AK26" i="135"/>
  <c r="AK27" i="135"/>
  <c r="AK28" i="135"/>
  <c r="AK29" i="135"/>
  <c r="AK30" i="135"/>
  <c r="AK31" i="135"/>
  <c r="AK32" i="135"/>
  <c r="AK33" i="135"/>
  <c r="AK22" i="135"/>
  <c r="AJ22" i="135"/>
  <c r="AC33" i="142"/>
  <c r="AC23" i="142"/>
  <c r="AK23" i="142"/>
  <c r="AK24" i="142"/>
  <c r="AK25" i="142"/>
  <c r="AK26" i="142"/>
  <c r="AK27" i="142"/>
  <c r="AK28" i="142"/>
  <c r="AK29" i="142"/>
  <c r="AK30" i="142"/>
  <c r="AK31" i="142"/>
  <c r="AK32" i="142"/>
  <c r="AK33" i="142"/>
  <c r="AK22" i="142"/>
  <c r="AJ23" i="142"/>
  <c r="AJ24" i="142"/>
  <c r="AJ25" i="142"/>
  <c r="AJ26" i="142"/>
  <c r="AJ27" i="142"/>
  <c r="AJ28" i="142"/>
  <c r="AJ29" i="142"/>
  <c r="AJ30" i="142"/>
  <c r="AJ31" i="142"/>
  <c r="AJ32" i="142"/>
  <c r="AJ33" i="142"/>
  <c r="AJ22" i="142"/>
  <c r="AK23" i="141"/>
  <c r="AK24" i="141"/>
  <c r="AK25" i="141"/>
  <c r="AK26" i="141"/>
  <c r="AK27" i="141"/>
  <c r="AK28" i="141"/>
  <c r="AK29" i="141"/>
  <c r="AK30" i="141"/>
  <c r="AK31" i="141"/>
  <c r="AK32" i="141"/>
  <c r="AK33" i="141"/>
  <c r="AJ23" i="141"/>
  <c r="AJ24" i="141"/>
  <c r="AJ25" i="141"/>
  <c r="AJ26" i="141"/>
  <c r="AJ27" i="141"/>
  <c r="AJ28" i="141"/>
  <c r="AJ29" i="141"/>
  <c r="AJ30" i="141"/>
  <c r="AJ31" i="141"/>
  <c r="AJ32" i="141"/>
  <c r="AJ33" i="141"/>
  <c r="AJ22" i="141"/>
  <c r="AK22" i="141" s="1"/>
  <c r="AI22" i="141"/>
  <c r="AE24" i="140"/>
  <c r="AB7" i="146"/>
  <c r="E34" i="146"/>
  <c r="F34" i="146"/>
  <c r="G34" i="146"/>
  <c r="H34" i="146"/>
  <c r="F24" i="146"/>
  <c r="G24" i="146" s="1"/>
  <c r="H24" i="146" s="1"/>
  <c r="F23" i="146"/>
  <c r="G23" i="146" s="1"/>
  <c r="H23" i="146" s="1"/>
  <c r="G21" i="146"/>
  <c r="H21" i="146" s="1"/>
  <c r="F21" i="146"/>
  <c r="F20" i="146"/>
  <c r="G20" i="146" s="1"/>
  <c r="H20" i="146" s="1"/>
  <c r="G24" i="145"/>
  <c r="H24" i="145" s="1"/>
  <c r="F24" i="145"/>
  <c r="F23" i="145"/>
  <c r="G23" i="145" s="1"/>
  <c r="H23" i="145" s="1"/>
  <c r="H21" i="145"/>
  <c r="G21" i="145"/>
  <c r="F21" i="145"/>
  <c r="F20" i="145"/>
  <c r="G20" i="145" s="1"/>
  <c r="H20" i="145" s="1"/>
  <c r="AN77" i="147" l="1"/>
  <c r="AO77" i="147" s="1"/>
  <c r="AP83" i="147"/>
  <c r="AQ83" i="147" s="1"/>
  <c r="AD41" i="147" s="1"/>
  <c r="AL80" i="147"/>
  <c r="AM80" i="147" s="1"/>
  <c r="Y28" i="147"/>
  <c r="AN82" i="147"/>
  <c r="AO82" i="147" s="1"/>
  <c r="AC31" i="147"/>
  <c r="AP77" i="147"/>
  <c r="AQ77" i="147" s="1"/>
  <c r="AG24" i="147"/>
  <c r="AC30" i="147"/>
  <c r="AG28" i="147"/>
  <c r="AP82" i="147"/>
  <c r="AQ82" i="147" s="1"/>
  <c r="AL81" i="147"/>
  <c r="AM81" i="147" s="1"/>
  <c r="Y30" i="147"/>
  <c r="Y23" i="147"/>
  <c r="Y24" i="147"/>
  <c r="AC33" i="147"/>
  <c r="AC25" i="147"/>
  <c r="S30" i="147"/>
  <c r="M37" i="147"/>
  <c r="M30" i="147" s="1"/>
  <c r="M41" i="147" s="1"/>
  <c r="M43" i="147" s="1"/>
  <c r="X46" i="147" s="1"/>
  <c r="E37" i="147"/>
  <c r="F37" i="147"/>
  <c r="S31" i="147"/>
  <c r="AL91" i="147" s="1"/>
  <c r="R30" i="147"/>
  <c r="R31" i="147" s="1"/>
  <c r="AK91" i="147" s="1"/>
  <c r="Q30" i="147"/>
  <c r="Q31" i="147" s="1"/>
  <c r="AJ91" i="147" s="1"/>
  <c r="AN84" i="147"/>
  <c r="AO84" i="147" s="1"/>
  <c r="AC34" i="147"/>
  <c r="H36" i="147"/>
  <c r="H37" i="147" s="1"/>
  <c r="AL78" i="147"/>
  <c r="AM78" i="147" s="1"/>
  <c r="Y25" i="147"/>
  <c r="Y26" i="147"/>
  <c r="AL79" i="147"/>
  <c r="AM79" i="147" s="1"/>
  <c r="W40" i="147" s="1"/>
  <c r="AP80" i="147"/>
  <c r="AQ80" i="147" s="1"/>
  <c r="AL83" i="147"/>
  <c r="AM83" i="147" s="1"/>
  <c r="W41" i="147" s="1"/>
  <c r="Y33" i="147"/>
  <c r="AN85" i="147"/>
  <c r="AO85" i="147" s="1"/>
  <c r="AC35" i="147"/>
  <c r="AC28" i="147"/>
  <c r="AN80" i="147"/>
  <c r="AO80" i="147" s="1"/>
  <c r="AP81" i="147"/>
  <c r="AQ81" i="147" s="1"/>
  <c r="AG30" i="147"/>
  <c r="AP78" i="147"/>
  <c r="AQ78" i="147" s="1"/>
  <c r="AG25" i="147"/>
  <c r="AG26" i="147"/>
  <c r="AP79" i="147"/>
  <c r="AQ79" i="147" s="1"/>
  <c r="AD40" i="147" s="1"/>
  <c r="Y31" i="147"/>
  <c r="AL82" i="147"/>
  <c r="AM82" i="147" s="1"/>
  <c r="G25" i="147"/>
  <c r="G36" i="147" s="1"/>
  <c r="G37" i="147" s="1"/>
  <c r="Y37" i="147"/>
  <c r="AB51" i="147"/>
  <c r="E83" i="147"/>
  <c r="AL85" i="147"/>
  <c r="AM85" i="147" s="1"/>
  <c r="AL90" i="147"/>
  <c r="AB52" i="147"/>
  <c r="Y34" i="147"/>
  <c r="AC24" i="147"/>
  <c r="AJ90" i="146"/>
  <c r="AJ86" i="146"/>
  <c r="AK86" i="146" s="1"/>
  <c r="AJ85" i="146"/>
  <c r="AK85" i="146" s="1"/>
  <c r="L85" i="146"/>
  <c r="AJ84" i="146"/>
  <c r="AK84" i="146" s="1"/>
  <c r="AJ83" i="146"/>
  <c r="AK83" i="146" s="1"/>
  <c r="AK82" i="146"/>
  <c r="AJ82" i="146"/>
  <c r="AK81" i="146"/>
  <c r="AJ81" i="146"/>
  <c r="AK80" i="146"/>
  <c r="AJ80" i="146"/>
  <c r="AK79" i="146"/>
  <c r="AJ79" i="146"/>
  <c r="AK78" i="146"/>
  <c r="AJ78" i="146"/>
  <c r="D78" i="146"/>
  <c r="AK77" i="146"/>
  <c r="AJ77" i="146"/>
  <c r="AK76" i="146"/>
  <c r="AJ76" i="146"/>
  <c r="AP75" i="146"/>
  <c r="AQ75" i="146" s="1"/>
  <c r="AO75" i="146"/>
  <c r="AN75" i="146"/>
  <c r="AL75" i="146"/>
  <c r="AM75" i="146" s="1"/>
  <c r="AK75" i="146"/>
  <c r="AJ75" i="146"/>
  <c r="AB51" i="146"/>
  <c r="AH47" i="146"/>
  <c r="AH48" i="146" s="1"/>
  <c r="AG47" i="146"/>
  <c r="AG48" i="146" s="1"/>
  <c r="AF47" i="146"/>
  <c r="AF48" i="146" s="1"/>
  <c r="X47" i="146"/>
  <c r="S47" i="146"/>
  <c r="R47" i="146"/>
  <c r="Q47" i="146"/>
  <c r="M42" i="146"/>
  <c r="E83" i="146" s="1"/>
  <c r="S40" i="146"/>
  <c r="R40" i="146"/>
  <c r="Q40" i="146"/>
  <c r="AD39" i="146"/>
  <c r="AA39" i="146"/>
  <c r="W39" i="146"/>
  <c r="AS37" i="146"/>
  <c r="V37" i="146"/>
  <c r="M37" i="146"/>
  <c r="M30" i="146" s="1"/>
  <c r="AS36" i="146"/>
  <c r="AS35" i="146"/>
  <c r="V35" i="146"/>
  <c r="AS34" i="146"/>
  <c r="V34" i="146"/>
  <c r="J84" i="146"/>
  <c r="J83" i="146" s="1"/>
  <c r="I84" i="146"/>
  <c r="I83" i="146" s="1"/>
  <c r="H84" i="146"/>
  <c r="H83" i="146" s="1"/>
  <c r="G84" i="146"/>
  <c r="G83" i="146" s="1"/>
  <c r="AS33" i="146"/>
  <c r="AN86" i="146"/>
  <c r="AO86" i="146" s="1"/>
  <c r="AI33" i="146"/>
  <c r="W37" i="146" s="1"/>
  <c r="Y37" i="146" s="1"/>
  <c r="W33" i="146"/>
  <c r="AL83" i="146" s="1"/>
  <c r="AM83" i="146" s="1"/>
  <c r="W41" i="146" s="1"/>
  <c r="V33" i="146"/>
  <c r="M33" i="146"/>
  <c r="AS32" i="146"/>
  <c r="AE35" i="146"/>
  <c r="AG35" i="146" s="1"/>
  <c r="AA35" i="146"/>
  <c r="AI32" i="146"/>
  <c r="W35" i="146" s="1"/>
  <c r="AL85" i="146" s="1"/>
  <c r="AM85" i="146" s="1"/>
  <c r="AS31" i="146"/>
  <c r="AE34" i="146"/>
  <c r="AP84" i="146" s="1"/>
  <c r="AQ84" i="146" s="1"/>
  <c r="AC34" i="146"/>
  <c r="AI31" i="146"/>
  <c r="W34" i="146" s="1"/>
  <c r="AL84" i="146" s="1"/>
  <c r="AM84" i="146" s="1"/>
  <c r="V31" i="146"/>
  <c r="M31" i="146"/>
  <c r="AS30" i="146"/>
  <c r="AA33" i="146"/>
  <c r="AC33" i="146" s="1"/>
  <c r="AI30" i="146"/>
  <c r="V30" i="146"/>
  <c r="AS29" i="146"/>
  <c r="AI29" i="146"/>
  <c r="W31" i="146" s="1"/>
  <c r="AS28" i="146"/>
  <c r="AI28" i="146"/>
  <c r="W30" i="146" s="1"/>
  <c r="V28" i="146"/>
  <c r="S28" i="146"/>
  <c r="R28" i="146"/>
  <c r="R30" i="146" s="1"/>
  <c r="Q28" i="146"/>
  <c r="M28" i="146"/>
  <c r="AS27" i="146"/>
  <c r="AE28" i="146"/>
  <c r="AI27" i="146"/>
  <c r="W28" i="146" s="1"/>
  <c r="S27" i="146"/>
  <c r="R27" i="146"/>
  <c r="Q27" i="146"/>
  <c r="AS26" i="146"/>
  <c r="AE26" i="146"/>
  <c r="AP79" i="146" s="1"/>
  <c r="AQ79" i="146" s="1"/>
  <c r="AD40" i="146" s="1"/>
  <c r="AI26" i="146"/>
  <c r="AA26" i="146"/>
  <c r="AC26" i="146" s="1"/>
  <c r="W26" i="146"/>
  <c r="AL79" i="146" s="1"/>
  <c r="AM79" i="146" s="1"/>
  <c r="W40" i="146" s="1"/>
  <c r="W42" i="146" s="1"/>
  <c r="AJ94" i="146" s="1"/>
  <c r="V26" i="146"/>
  <c r="AS25" i="146"/>
  <c r="AA25" i="146"/>
  <c r="AN78" i="146" s="1"/>
  <c r="AO78" i="146" s="1"/>
  <c r="AI25" i="146"/>
  <c r="W25" i="146"/>
  <c r="V25" i="146"/>
  <c r="H25" i="146"/>
  <c r="H36" i="146" s="1"/>
  <c r="H37" i="146" s="1"/>
  <c r="G25" i="146"/>
  <c r="F25" i="146"/>
  <c r="F36" i="146" s="1"/>
  <c r="E25" i="146"/>
  <c r="E36" i="146" s="1"/>
  <c r="AS24" i="146"/>
  <c r="AE24" i="146"/>
  <c r="AG24" i="146" s="1"/>
  <c r="AI24" i="146"/>
  <c r="W24" i="146" s="1"/>
  <c r="Y24" i="146" s="1"/>
  <c r="V24" i="146"/>
  <c r="AS23" i="146"/>
  <c r="AP76" i="146"/>
  <c r="AQ76" i="146" s="1"/>
  <c r="AI23" i="146"/>
  <c r="Y23" i="146"/>
  <c r="W23" i="146"/>
  <c r="AL76" i="146" s="1"/>
  <c r="AM76" i="146" s="1"/>
  <c r="V23" i="146"/>
  <c r="AS22" i="146"/>
  <c r="AI22" i="146"/>
  <c r="AG22" i="146"/>
  <c r="AC22" i="146"/>
  <c r="Y22" i="146"/>
  <c r="W22" i="146"/>
  <c r="V22" i="146"/>
  <c r="M20" i="146"/>
  <c r="AE19" i="146"/>
  <c r="AB53" i="146" s="1"/>
  <c r="AA19" i="146"/>
  <c r="AK90" i="146" s="1"/>
  <c r="W19" i="146"/>
  <c r="Q13" i="146"/>
  <c r="AF12" i="146"/>
  <c r="AC12" i="146"/>
  <c r="V12" i="146"/>
  <c r="R12" i="146"/>
  <c r="AB10" i="146"/>
  <c r="W10" i="146"/>
  <c r="Q10" i="146"/>
  <c r="O10" i="146"/>
  <c r="K10" i="146"/>
  <c r="W9" i="146"/>
  <c r="Q9" i="146"/>
  <c r="O9" i="146"/>
  <c r="AV8" i="146"/>
  <c r="AB8" i="146"/>
  <c r="W8" i="146"/>
  <c r="Q8" i="146"/>
  <c r="O8" i="146"/>
  <c r="W7" i="146"/>
  <c r="Q7" i="146"/>
  <c r="O7" i="146"/>
  <c r="AB6" i="146"/>
  <c r="W6" i="146"/>
  <c r="Q6" i="146"/>
  <c r="O6" i="146"/>
  <c r="R1" i="146"/>
  <c r="AJ86" i="145"/>
  <c r="AK86" i="145" s="1"/>
  <c r="AJ85" i="145"/>
  <c r="AK85" i="145" s="1"/>
  <c r="L85" i="145"/>
  <c r="AK84" i="145"/>
  <c r="AJ84" i="145"/>
  <c r="AK83" i="145"/>
  <c r="AJ83" i="145"/>
  <c r="AJ82" i="145"/>
  <c r="AK82" i="145" s="1"/>
  <c r="AJ81" i="145"/>
  <c r="AK81" i="145" s="1"/>
  <c r="AJ80" i="145"/>
  <c r="AK80" i="145" s="1"/>
  <c r="AJ79" i="145"/>
  <c r="AK79" i="145" s="1"/>
  <c r="AJ78" i="145"/>
  <c r="AK78" i="145" s="1"/>
  <c r="D78" i="145"/>
  <c r="AK77" i="145"/>
  <c r="AJ77" i="145"/>
  <c r="AK76" i="145"/>
  <c r="AJ76" i="145"/>
  <c r="AQ75" i="145"/>
  <c r="AP75" i="145"/>
  <c r="AO75" i="145"/>
  <c r="AN75" i="145"/>
  <c r="AK75" i="145"/>
  <c r="AJ75" i="145"/>
  <c r="AH47" i="145"/>
  <c r="AH48" i="145" s="1"/>
  <c r="AG47" i="145"/>
  <c r="AG48" i="145" s="1"/>
  <c r="AF47" i="145"/>
  <c r="AF48" i="145" s="1"/>
  <c r="X47" i="145"/>
  <c r="S47" i="145"/>
  <c r="R47" i="145"/>
  <c r="Q47" i="145"/>
  <c r="M42" i="145"/>
  <c r="S92" i="145" s="1"/>
  <c r="S40" i="145"/>
  <c r="R40" i="145"/>
  <c r="Q40" i="145"/>
  <c r="AD39" i="145"/>
  <c r="AA39" i="145"/>
  <c r="W39" i="145"/>
  <c r="AS37" i="145"/>
  <c r="V37" i="145"/>
  <c r="AS36" i="145"/>
  <c r="AS35" i="145"/>
  <c r="W35" i="145"/>
  <c r="AL85" i="145" s="1"/>
  <c r="AM85" i="145" s="1"/>
  <c r="V35" i="145"/>
  <c r="AS34" i="145"/>
  <c r="V34" i="145"/>
  <c r="H34" i="145"/>
  <c r="J84" i="145" s="1"/>
  <c r="J83" i="145" s="1"/>
  <c r="G34" i="145"/>
  <c r="I84" i="145" s="1"/>
  <c r="I83" i="145" s="1"/>
  <c r="F34" i="145"/>
  <c r="H84" i="145" s="1"/>
  <c r="H83" i="145" s="1"/>
  <c r="E34" i="145"/>
  <c r="G84" i="145" s="1"/>
  <c r="G83" i="145" s="1"/>
  <c r="AS33" i="145"/>
  <c r="AG37" i="145"/>
  <c r="AJ33" i="145"/>
  <c r="AA37" i="145" s="1"/>
  <c r="AI33" i="145"/>
  <c r="W37" i="145" s="1"/>
  <c r="Y37" i="145" s="1"/>
  <c r="V33" i="145"/>
  <c r="M33" i="145"/>
  <c r="AS32" i="145"/>
  <c r="AJ32" i="145"/>
  <c r="AA35" i="145" s="1"/>
  <c r="AN85" i="145" s="1"/>
  <c r="AO85" i="145" s="1"/>
  <c r="AI32" i="145"/>
  <c r="AS31" i="145"/>
  <c r="AE34" i="145"/>
  <c r="AJ31" i="145"/>
  <c r="AC34" i="145" s="1"/>
  <c r="AI31" i="145"/>
  <c r="W34" i="145" s="1"/>
  <c r="V31" i="145"/>
  <c r="M31" i="145"/>
  <c r="AS30" i="145"/>
  <c r="AJ30" i="145"/>
  <c r="AA33" i="145" s="1"/>
  <c r="AI30" i="145"/>
  <c r="W33" i="145" s="1"/>
  <c r="V30" i="145"/>
  <c r="AS29" i="145"/>
  <c r="AJ29" i="145"/>
  <c r="AA31" i="145" s="1"/>
  <c r="AI29" i="145"/>
  <c r="W31" i="145" s="1"/>
  <c r="AS28" i="145"/>
  <c r="AJ28" i="145"/>
  <c r="AA30" i="145" s="1"/>
  <c r="AI28" i="145"/>
  <c r="W30" i="145" s="1"/>
  <c r="AL81" i="145" s="1"/>
  <c r="AM81" i="145" s="1"/>
  <c r="V28" i="145"/>
  <c r="S28" i="145"/>
  <c r="R28" i="145"/>
  <c r="Q28" i="145"/>
  <c r="M28" i="145"/>
  <c r="AS27" i="145"/>
  <c r="AJ27" i="145"/>
  <c r="AA28" i="145" s="1"/>
  <c r="AI27" i="145"/>
  <c r="W28" i="145" s="1"/>
  <c r="S27" i="145"/>
  <c r="R27" i="145"/>
  <c r="Q27" i="145"/>
  <c r="AS26" i="145"/>
  <c r="AJ26" i="145"/>
  <c r="AA26" i="145" s="1"/>
  <c r="AI26" i="145"/>
  <c r="AE26" i="145"/>
  <c r="AP79" i="145" s="1"/>
  <c r="AQ79" i="145" s="1"/>
  <c r="AD40" i="145" s="1"/>
  <c r="W26" i="145"/>
  <c r="AL79" i="145" s="1"/>
  <c r="AM79" i="145" s="1"/>
  <c r="W40" i="145" s="1"/>
  <c r="V26" i="145"/>
  <c r="AS25" i="145"/>
  <c r="AJ25" i="145"/>
  <c r="AA25" i="145" s="1"/>
  <c r="AI25" i="145"/>
  <c r="W25" i="145"/>
  <c r="AL78" i="145" s="1"/>
  <c r="AM78" i="145" s="1"/>
  <c r="V25" i="145"/>
  <c r="H25" i="145"/>
  <c r="H36" i="145" s="1"/>
  <c r="G25" i="145"/>
  <c r="G36" i="145" s="1"/>
  <c r="F25" i="145"/>
  <c r="F36" i="145" s="1"/>
  <c r="E25" i="145"/>
  <c r="E36" i="145" s="1"/>
  <c r="AS24" i="145"/>
  <c r="AJ24" i="145"/>
  <c r="AI24" i="145"/>
  <c r="W24" i="145" s="1"/>
  <c r="V24" i="145"/>
  <c r="AS23" i="145"/>
  <c r="AJ23" i="145"/>
  <c r="AI23" i="145"/>
  <c r="Y23" i="145"/>
  <c r="AL76" i="145"/>
  <c r="AM76" i="145" s="1"/>
  <c r="V23" i="145"/>
  <c r="AS22" i="145"/>
  <c r="AJ22" i="145"/>
  <c r="AI22" i="145"/>
  <c r="AG22" i="145"/>
  <c r="AC22" i="145"/>
  <c r="Y22" i="145"/>
  <c r="W22" i="145"/>
  <c r="AL75" i="145" s="1"/>
  <c r="AM75" i="145" s="1"/>
  <c r="V22" i="145"/>
  <c r="M20" i="145"/>
  <c r="AE19" i="145"/>
  <c r="AB53" i="145" s="1"/>
  <c r="AA19" i="145"/>
  <c r="AK90" i="145" s="1"/>
  <c r="W19" i="145"/>
  <c r="AJ90" i="145" s="1"/>
  <c r="Q13" i="145"/>
  <c r="V12" i="145"/>
  <c r="R12" i="145"/>
  <c r="AB10" i="145"/>
  <c r="W10" i="145"/>
  <c r="Q10" i="145"/>
  <c r="O10" i="145"/>
  <c r="K10" i="145"/>
  <c r="W9" i="145"/>
  <c r="Q9" i="145"/>
  <c r="O9" i="145"/>
  <c r="AV8" i="145"/>
  <c r="AB8" i="145"/>
  <c r="W8" i="145"/>
  <c r="Q8" i="145"/>
  <c r="O8" i="145"/>
  <c r="AB7" i="145"/>
  <c r="W7" i="145"/>
  <c r="Q7" i="145"/>
  <c r="O7" i="145"/>
  <c r="AB6" i="145"/>
  <c r="W6" i="145"/>
  <c r="Q6" i="145"/>
  <c r="O6" i="145"/>
  <c r="R1" i="145"/>
  <c r="AG47" i="142"/>
  <c r="H24" i="142"/>
  <c r="G24" i="142"/>
  <c r="F24" i="142"/>
  <c r="H23" i="142"/>
  <c r="G23" i="142"/>
  <c r="F23" i="142"/>
  <c r="H21" i="142"/>
  <c r="G21" i="142"/>
  <c r="F21" i="142"/>
  <c r="F20" i="142"/>
  <c r="G20" i="142" s="1"/>
  <c r="H20" i="142" s="1"/>
  <c r="R12" i="142"/>
  <c r="M41" i="146" l="1"/>
  <c r="M43" i="146" s="1"/>
  <c r="X46" i="146" s="1"/>
  <c r="AG33" i="147"/>
  <c r="AD42" i="147"/>
  <c r="AL94" i="147" s="1"/>
  <c r="AG31" i="147"/>
  <c r="AN81" i="147"/>
  <c r="AO81" i="147" s="1"/>
  <c r="AN78" i="147"/>
  <c r="AO78" i="147" s="1"/>
  <c r="M40" i="147"/>
  <c r="M39" i="147"/>
  <c r="X45" i="147" s="1"/>
  <c r="AG35" i="147"/>
  <c r="AP85" i="147"/>
  <c r="AQ85" i="147" s="1"/>
  <c r="AC26" i="147"/>
  <c r="AN79" i="147"/>
  <c r="AO79" i="147" s="1"/>
  <c r="AA40" i="147" s="1"/>
  <c r="AA42" i="147" s="1"/>
  <c r="AK94" i="147" s="1"/>
  <c r="W42" i="147"/>
  <c r="AJ94" i="147" s="1"/>
  <c r="AP84" i="147"/>
  <c r="AQ84" i="147" s="1"/>
  <c r="AG34" i="147"/>
  <c r="AN79" i="146"/>
  <c r="AO79" i="146" s="1"/>
  <c r="AA40" i="146" s="1"/>
  <c r="M40" i="146"/>
  <c r="M39" i="146"/>
  <c r="X45" i="146" s="1"/>
  <c r="S92" i="146"/>
  <c r="E37" i="146"/>
  <c r="F37" i="146"/>
  <c r="R31" i="146"/>
  <c r="AK91" i="146" s="1"/>
  <c r="Q30" i="146"/>
  <c r="Q31" i="146" s="1"/>
  <c r="AJ91" i="146" s="1"/>
  <c r="M37" i="145"/>
  <c r="E83" i="145"/>
  <c r="G37" i="145"/>
  <c r="Q30" i="145"/>
  <c r="Q31" i="145" s="1"/>
  <c r="AJ91" i="145" s="1"/>
  <c r="E37" i="145"/>
  <c r="H37" i="145"/>
  <c r="F37" i="145"/>
  <c r="R30" i="145"/>
  <c r="R31" i="145" s="1"/>
  <c r="AK91" i="145" s="1"/>
  <c r="S30" i="145"/>
  <c r="S31" i="145" s="1"/>
  <c r="AL91" i="145" s="1"/>
  <c r="AN76" i="146"/>
  <c r="AO76" i="146" s="1"/>
  <c r="AE25" i="146"/>
  <c r="AG25" i="146" s="1"/>
  <c r="Y26" i="146"/>
  <c r="AE33" i="146"/>
  <c r="AP83" i="146" s="1"/>
  <c r="AQ83" i="146" s="1"/>
  <c r="AD41" i="146" s="1"/>
  <c r="AD42" i="146" s="1"/>
  <c r="AL94" i="146" s="1"/>
  <c r="AC25" i="146"/>
  <c r="AN83" i="146"/>
  <c r="AO83" i="146" s="1"/>
  <c r="AA41" i="146" s="1"/>
  <c r="AA42" i="146" s="1"/>
  <c r="AK94" i="146" s="1"/>
  <c r="AA28" i="146"/>
  <c r="AP86" i="146"/>
  <c r="AQ86" i="146" s="1"/>
  <c r="AL82" i="146"/>
  <c r="AM82" i="146" s="1"/>
  <c r="Y31" i="146"/>
  <c r="AL81" i="146"/>
  <c r="AM81" i="146" s="1"/>
  <c r="Y30" i="146"/>
  <c r="AG33" i="146"/>
  <c r="AG28" i="146"/>
  <c r="AP80" i="146"/>
  <c r="AQ80" i="146" s="1"/>
  <c r="AG23" i="146"/>
  <c r="AA24" i="146"/>
  <c r="S30" i="146"/>
  <c r="S31" i="146" s="1"/>
  <c r="AL91" i="146" s="1"/>
  <c r="AA31" i="146"/>
  <c r="AE31" i="146"/>
  <c r="Y33" i="146"/>
  <c r="Y34" i="146"/>
  <c r="AB52" i="146"/>
  <c r="AP77" i="146"/>
  <c r="AQ77" i="146" s="1"/>
  <c r="AP85" i="146"/>
  <c r="AQ85" i="146" s="1"/>
  <c r="AA30" i="146"/>
  <c r="AE30" i="146"/>
  <c r="Y35" i="146"/>
  <c r="G36" i="146"/>
  <c r="G37" i="146" s="1"/>
  <c r="AC37" i="146"/>
  <c r="AL86" i="146"/>
  <c r="AM86" i="146" s="1"/>
  <c r="AL90" i="146"/>
  <c r="AL78" i="146"/>
  <c r="AM78" i="146" s="1"/>
  <c r="Y25" i="146"/>
  <c r="AG26" i="146"/>
  <c r="Y28" i="146"/>
  <c r="AL80" i="146"/>
  <c r="AM80" i="146" s="1"/>
  <c r="AG34" i="146"/>
  <c r="AC35" i="146"/>
  <c r="AN85" i="146"/>
  <c r="AO85" i="146" s="1"/>
  <c r="AL77" i="146"/>
  <c r="AM77" i="146" s="1"/>
  <c r="AN84" i="146"/>
  <c r="AO84" i="146" s="1"/>
  <c r="AC23" i="146"/>
  <c r="AN80" i="145"/>
  <c r="AO80" i="145" s="1"/>
  <c r="AC28" i="145"/>
  <c r="AL83" i="145"/>
  <c r="AM83" i="145" s="1"/>
  <c r="W41" i="145" s="1"/>
  <c r="W42" i="145" s="1"/>
  <c r="AJ94" i="145" s="1"/>
  <c r="Y33" i="145"/>
  <c r="AL84" i="145"/>
  <c r="AM84" i="145" s="1"/>
  <c r="Y34" i="145"/>
  <c r="AE25" i="145"/>
  <c r="AP78" i="145" s="1"/>
  <c r="AQ78" i="145" s="1"/>
  <c r="Y26" i="145"/>
  <c r="AE28" i="145"/>
  <c r="AP80" i="145" s="1"/>
  <c r="AQ80" i="145" s="1"/>
  <c r="Y35" i="145"/>
  <c r="AG26" i="145"/>
  <c r="AN78" i="145"/>
  <c r="AO78" i="145" s="1"/>
  <c r="AC25" i="145"/>
  <c r="AP84" i="145"/>
  <c r="AQ84" i="145" s="1"/>
  <c r="AG34" i="145"/>
  <c r="AP85" i="145"/>
  <c r="AQ85" i="145" s="1"/>
  <c r="AG35" i="145"/>
  <c r="Y24" i="145"/>
  <c r="AL77" i="145"/>
  <c r="AM77" i="145" s="1"/>
  <c r="AC26" i="145"/>
  <c r="AN79" i="145"/>
  <c r="AO79" i="145" s="1"/>
  <c r="AA40" i="145" s="1"/>
  <c r="AG28" i="145"/>
  <c r="AL82" i="145"/>
  <c r="AM82" i="145" s="1"/>
  <c r="Y31" i="145"/>
  <c r="AC33" i="145"/>
  <c r="AN83" i="145"/>
  <c r="AO83" i="145" s="1"/>
  <c r="AA41" i="145" s="1"/>
  <c r="AN76" i="145"/>
  <c r="AO76" i="145" s="1"/>
  <c r="AC23" i="145"/>
  <c r="AG24" i="145"/>
  <c r="AP77" i="145"/>
  <c r="AQ77" i="145" s="1"/>
  <c r="AC31" i="145"/>
  <c r="AN82" i="145"/>
  <c r="AO82" i="145" s="1"/>
  <c r="AP83" i="145"/>
  <c r="AQ83" i="145" s="1"/>
  <c r="AD41" i="145" s="1"/>
  <c r="AD42" i="145" s="1"/>
  <c r="AL94" i="145" s="1"/>
  <c r="AG33" i="145"/>
  <c r="Y28" i="145"/>
  <c r="AL80" i="145"/>
  <c r="AM80" i="145" s="1"/>
  <c r="AN81" i="145"/>
  <c r="AO81" i="145" s="1"/>
  <c r="AC30" i="145"/>
  <c r="AN86" i="145"/>
  <c r="AO86" i="145" s="1"/>
  <c r="AC37" i="145"/>
  <c r="AA24" i="145"/>
  <c r="AB51" i="145"/>
  <c r="AL86" i="145"/>
  <c r="AM86" i="145" s="1"/>
  <c r="AP86" i="145"/>
  <c r="AQ86" i="145" s="1"/>
  <c r="AL90" i="145"/>
  <c r="AB52" i="145"/>
  <c r="AN84" i="145"/>
  <c r="AO84" i="145" s="1"/>
  <c r="Y25" i="145"/>
  <c r="AE30" i="145"/>
  <c r="AE31" i="145"/>
  <c r="Y30" i="145"/>
  <c r="AC35" i="145"/>
  <c r="AG37" i="146" l="1"/>
  <c r="AP78" i="146"/>
  <c r="AQ78" i="146" s="1"/>
  <c r="AG25" i="145"/>
  <c r="M30" i="145"/>
  <c r="M41" i="145" s="1"/>
  <c r="M40" i="145"/>
  <c r="AN80" i="146"/>
  <c r="AO80" i="146" s="1"/>
  <c r="AC28" i="146"/>
  <c r="AN81" i="146"/>
  <c r="AO81" i="146" s="1"/>
  <c r="AC30" i="146"/>
  <c r="AC31" i="146"/>
  <c r="AN82" i="146"/>
  <c r="AO82" i="146" s="1"/>
  <c r="AN77" i="146"/>
  <c r="AO77" i="146" s="1"/>
  <c r="AC24" i="146"/>
  <c r="AP81" i="146"/>
  <c r="AQ81" i="146" s="1"/>
  <c r="AG30" i="146"/>
  <c r="AP82" i="146"/>
  <c r="AQ82" i="146" s="1"/>
  <c r="AG31" i="146"/>
  <c r="AP76" i="145"/>
  <c r="AQ76" i="145" s="1"/>
  <c r="AG23" i="145"/>
  <c r="AN77" i="145"/>
  <c r="AO77" i="145" s="1"/>
  <c r="AC24" i="145"/>
  <c r="AP82" i="145"/>
  <c r="AQ82" i="145" s="1"/>
  <c r="AG31" i="145"/>
  <c r="AA42" i="145"/>
  <c r="AK94" i="145" s="1"/>
  <c r="AP81" i="145"/>
  <c r="AQ81" i="145" s="1"/>
  <c r="AG30" i="145"/>
  <c r="M43" i="145" l="1"/>
  <c r="X46" i="145" s="1"/>
  <c r="M39" i="145"/>
  <c r="X45" i="145" s="1"/>
  <c r="AJ90" i="142"/>
  <c r="AJ86" i="142"/>
  <c r="AK86" i="142" s="1"/>
  <c r="AJ85" i="142"/>
  <c r="AK85" i="142" s="1"/>
  <c r="L85" i="142"/>
  <c r="AK84" i="142"/>
  <c r="AJ84" i="142"/>
  <c r="AJ83" i="142"/>
  <c r="AK83" i="142" s="1"/>
  <c r="AK82" i="142"/>
  <c r="AJ82" i="142"/>
  <c r="AN81" i="142"/>
  <c r="AO81" i="142" s="1"/>
  <c r="AJ81" i="142"/>
  <c r="AK81" i="142" s="1"/>
  <c r="AK80" i="142"/>
  <c r="AJ80" i="142"/>
  <c r="AJ79" i="142"/>
  <c r="AK79" i="142" s="1"/>
  <c r="AK78" i="142"/>
  <c r="AJ78" i="142"/>
  <c r="D78" i="142"/>
  <c r="AK77" i="142"/>
  <c r="AJ77" i="142"/>
  <c r="AK76" i="142"/>
  <c r="AJ76" i="142"/>
  <c r="AP75" i="142"/>
  <c r="AQ75" i="142" s="1"/>
  <c r="AO75" i="142"/>
  <c r="AN75" i="142"/>
  <c r="AL75" i="142"/>
  <c r="AM75" i="142" s="1"/>
  <c r="AK75" i="142"/>
  <c r="AJ75" i="142"/>
  <c r="AB51" i="142"/>
  <c r="AG48" i="142"/>
  <c r="AH47" i="142"/>
  <c r="AH48" i="142" s="1"/>
  <c r="AF47" i="142"/>
  <c r="AF48" i="142" s="1"/>
  <c r="X47" i="142"/>
  <c r="S47" i="142"/>
  <c r="R47" i="142"/>
  <c r="Q47" i="142"/>
  <c r="S92" i="142"/>
  <c r="S40" i="142"/>
  <c r="R40" i="142"/>
  <c r="Q40" i="142"/>
  <c r="AD39" i="142"/>
  <c r="AA39" i="142"/>
  <c r="W39" i="142"/>
  <c r="AS37" i="142"/>
  <c r="V37" i="142"/>
  <c r="M37" i="142"/>
  <c r="M30" i="142" s="1"/>
  <c r="AS36" i="142"/>
  <c r="AS35" i="142"/>
  <c r="V35" i="142"/>
  <c r="AS34" i="142"/>
  <c r="V34" i="142"/>
  <c r="H34" i="142"/>
  <c r="J84" i="142" s="1"/>
  <c r="J83" i="142" s="1"/>
  <c r="G34" i="142"/>
  <c r="I84" i="142" s="1"/>
  <c r="I83" i="142" s="1"/>
  <c r="F34" i="142"/>
  <c r="H84" i="142" s="1"/>
  <c r="H83" i="142" s="1"/>
  <c r="E34" i="142"/>
  <c r="G84" i="142" s="1"/>
  <c r="G83" i="142" s="1"/>
  <c r="AS33" i="142"/>
  <c r="AP86" i="142"/>
  <c r="AQ86" i="142" s="1"/>
  <c r="AA37" i="142"/>
  <c r="AN86" i="142" s="1"/>
  <c r="AO86" i="142" s="1"/>
  <c r="AI33" i="142"/>
  <c r="W37" i="142" s="1"/>
  <c r="V33" i="142"/>
  <c r="M33" i="142"/>
  <c r="AS32" i="142"/>
  <c r="AE35" i="142"/>
  <c r="AG35" i="142" s="1"/>
  <c r="AA35" i="142"/>
  <c r="AN85" i="142" s="1"/>
  <c r="AO85" i="142" s="1"/>
  <c r="AI32" i="142"/>
  <c r="W35" i="142" s="1"/>
  <c r="AL85" i="142" s="1"/>
  <c r="AM85" i="142" s="1"/>
  <c r="AS31" i="142"/>
  <c r="AE34" i="142"/>
  <c r="AP84" i="142" s="1"/>
  <c r="AQ84" i="142" s="1"/>
  <c r="AC34" i="142"/>
  <c r="AI31" i="142"/>
  <c r="W34" i="142" s="1"/>
  <c r="AL84" i="142" s="1"/>
  <c r="AM84" i="142" s="1"/>
  <c r="V31" i="142"/>
  <c r="M31" i="142"/>
  <c r="AS30" i="142"/>
  <c r="AI30" i="142"/>
  <c r="W33" i="142" s="1"/>
  <c r="V30" i="142"/>
  <c r="AS29" i="142"/>
  <c r="AE31" i="142"/>
  <c r="AA31" i="142"/>
  <c r="AI29" i="142"/>
  <c r="W31" i="142" s="1"/>
  <c r="AL82" i="142" s="1"/>
  <c r="AM82" i="142" s="1"/>
  <c r="AS28" i="142"/>
  <c r="AE30" i="142"/>
  <c r="AA30" i="142"/>
  <c r="AC30" i="142" s="1"/>
  <c r="AI28" i="142"/>
  <c r="W30" i="142" s="1"/>
  <c r="V28" i="142"/>
  <c r="S28" i="142"/>
  <c r="R28" i="142"/>
  <c r="R30" i="142" s="1"/>
  <c r="R31" i="142" s="1"/>
  <c r="AK91" i="142" s="1"/>
  <c r="Q28" i="142"/>
  <c r="M28" i="142"/>
  <c r="M41" i="142" s="1"/>
  <c r="M43" i="142" s="1"/>
  <c r="AS27" i="142"/>
  <c r="AE28" i="142"/>
  <c r="AI27" i="142"/>
  <c r="W28" i="142" s="1"/>
  <c r="S27" i="142"/>
  <c r="R27" i="142"/>
  <c r="Q27" i="142"/>
  <c r="AS26" i="142"/>
  <c r="AE26" i="142"/>
  <c r="AI26" i="142"/>
  <c r="W26" i="142" s="1"/>
  <c r="AA26" i="142"/>
  <c r="V26" i="142"/>
  <c r="AS25" i="142"/>
  <c r="AA25" i="142"/>
  <c r="AN78" i="142" s="1"/>
  <c r="AO78" i="142" s="1"/>
  <c r="AI25" i="142"/>
  <c r="AC25" i="142"/>
  <c r="W25" i="142"/>
  <c r="V25" i="142"/>
  <c r="H25" i="142"/>
  <c r="H36" i="142" s="1"/>
  <c r="H37" i="142" s="1"/>
  <c r="G25" i="142"/>
  <c r="F25" i="142"/>
  <c r="E25" i="142"/>
  <c r="E36" i="142" s="1"/>
  <c r="AS24" i="142"/>
  <c r="AI24" i="142"/>
  <c r="W24" i="142"/>
  <c r="Y24" i="142" s="1"/>
  <c r="V24" i="142"/>
  <c r="AS23" i="142"/>
  <c r="AI23" i="142"/>
  <c r="W23" i="142" s="1"/>
  <c r="AL76" i="142" s="1"/>
  <c r="AM76" i="142" s="1"/>
  <c r="AP76" i="142"/>
  <c r="AQ76" i="142" s="1"/>
  <c r="Y23" i="142"/>
  <c r="V23" i="142"/>
  <c r="AS22" i="142"/>
  <c r="AI22" i="142"/>
  <c r="AG22" i="142"/>
  <c r="AC22" i="142"/>
  <c r="Y22" i="142"/>
  <c r="W22" i="142"/>
  <c r="V22" i="142"/>
  <c r="M20" i="142"/>
  <c r="AE19" i="142"/>
  <c r="AB53" i="142" s="1"/>
  <c r="AA19" i="142"/>
  <c r="W19" i="142"/>
  <c r="Q13" i="142"/>
  <c r="AF12" i="142"/>
  <c r="AC12" i="142"/>
  <c r="V12" i="142"/>
  <c r="AB10" i="142"/>
  <c r="W10" i="142"/>
  <c r="Q10" i="142"/>
  <c r="O10" i="142"/>
  <c r="K10" i="142"/>
  <c r="W9" i="142"/>
  <c r="Q9" i="142"/>
  <c r="O9" i="142"/>
  <c r="AV8" i="142"/>
  <c r="AB8" i="142"/>
  <c r="W8" i="142"/>
  <c r="Q8" i="142"/>
  <c r="O8" i="142"/>
  <c r="AB7" i="142"/>
  <c r="W7" i="142"/>
  <c r="Q7" i="142"/>
  <c r="O7" i="142"/>
  <c r="AB6" i="142"/>
  <c r="W6" i="142"/>
  <c r="Q6" i="142"/>
  <c r="O6" i="142"/>
  <c r="R1" i="142"/>
  <c r="AJ86" i="141"/>
  <c r="AK86" i="141" s="1"/>
  <c r="AJ85" i="141"/>
  <c r="AK85" i="141" s="1"/>
  <c r="L85" i="141"/>
  <c r="AJ84" i="141"/>
  <c r="AK84" i="141" s="1"/>
  <c r="AJ83" i="141"/>
  <c r="AK83" i="141" s="1"/>
  <c r="AJ82" i="141"/>
  <c r="AK82" i="141" s="1"/>
  <c r="AJ81" i="141"/>
  <c r="AK81" i="141" s="1"/>
  <c r="AJ80" i="141"/>
  <c r="AK80" i="141" s="1"/>
  <c r="AJ79" i="141"/>
  <c r="AK79" i="141" s="1"/>
  <c r="AK78" i="141"/>
  <c r="AJ78" i="141"/>
  <c r="D78" i="141"/>
  <c r="AJ77" i="141"/>
  <c r="AK77" i="141" s="1"/>
  <c r="AJ76" i="141"/>
  <c r="AK76" i="141" s="1"/>
  <c r="AP75" i="141"/>
  <c r="AQ75" i="141" s="1"/>
  <c r="AO75" i="141"/>
  <c r="AN75" i="141"/>
  <c r="AK75" i="141"/>
  <c r="AJ75" i="141"/>
  <c r="AH47" i="141"/>
  <c r="AH48" i="141" s="1"/>
  <c r="AG47" i="141"/>
  <c r="AG48" i="141" s="1"/>
  <c r="AF47" i="141"/>
  <c r="AF48" i="141" s="1"/>
  <c r="X47" i="141"/>
  <c r="S47" i="141"/>
  <c r="R47" i="141"/>
  <c r="Q47" i="141"/>
  <c r="M42" i="141"/>
  <c r="E83" i="141" s="1"/>
  <c r="S40" i="141"/>
  <c r="R40" i="141"/>
  <c r="Q40" i="141"/>
  <c r="AD39" i="141"/>
  <c r="AA39" i="141"/>
  <c r="W39" i="141"/>
  <c r="AS37" i="141"/>
  <c r="V37" i="141"/>
  <c r="AS36" i="141"/>
  <c r="AS35" i="141"/>
  <c r="V35" i="141"/>
  <c r="AS34" i="141"/>
  <c r="V34" i="141"/>
  <c r="H34" i="141"/>
  <c r="J84" i="141" s="1"/>
  <c r="J83" i="141" s="1"/>
  <c r="G34" i="141"/>
  <c r="I84" i="141" s="1"/>
  <c r="I83" i="141" s="1"/>
  <c r="F34" i="141"/>
  <c r="H84" i="141" s="1"/>
  <c r="H83" i="141" s="1"/>
  <c r="E34" i="141"/>
  <c r="G84" i="141" s="1"/>
  <c r="G83" i="141" s="1"/>
  <c r="AS33" i="141"/>
  <c r="AA37" i="141"/>
  <c r="AC37" i="141" s="1"/>
  <c r="AI33" i="141"/>
  <c r="W37" i="141" s="1"/>
  <c r="Y37" i="141" s="1"/>
  <c r="V33" i="141"/>
  <c r="M33" i="141"/>
  <c r="AS32" i="141"/>
  <c r="AE35" i="141"/>
  <c r="AI32" i="141"/>
  <c r="W35" i="141" s="1"/>
  <c r="Y35" i="141" s="1"/>
  <c r="AS31" i="141"/>
  <c r="AE34" i="141"/>
  <c r="AI31" i="141"/>
  <c r="W34" i="141" s="1"/>
  <c r="AL84" i="141" s="1"/>
  <c r="AM84" i="141" s="1"/>
  <c r="V31" i="141"/>
  <c r="M31" i="141"/>
  <c r="AS30" i="141"/>
  <c r="AI30" i="141"/>
  <c r="W33" i="141" s="1"/>
  <c r="V30" i="141"/>
  <c r="AS29" i="141"/>
  <c r="AE31" i="141"/>
  <c r="AP82" i="141" s="1"/>
  <c r="AQ82" i="141" s="1"/>
  <c r="AI29" i="141"/>
  <c r="W31" i="141" s="1"/>
  <c r="AS28" i="141"/>
  <c r="AA30" i="141"/>
  <c r="AN81" i="141" s="1"/>
  <c r="AO81" i="141" s="1"/>
  <c r="AI28" i="141"/>
  <c r="W30" i="141" s="1"/>
  <c r="V28" i="141"/>
  <c r="S28" i="141"/>
  <c r="R28" i="141"/>
  <c r="Q28" i="141"/>
  <c r="M28" i="141"/>
  <c r="AS27" i="141"/>
  <c r="AA28" i="141"/>
  <c r="AN80" i="141" s="1"/>
  <c r="AO80" i="141" s="1"/>
  <c r="AI27" i="141"/>
  <c r="W28" i="141" s="1"/>
  <c r="AL80" i="141" s="1"/>
  <c r="AM80" i="141" s="1"/>
  <c r="S27" i="141"/>
  <c r="R27" i="141"/>
  <c r="Q27" i="141"/>
  <c r="AS26" i="141"/>
  <c r="AI26" i="141"/>
  <c r="W26" i="141" s="1"/>
  <c r="AL79" i="141" s="1"/>
  <c r="AM79" i="141" s="1"/>
  <c r="W40" i="141" s="1"/>
  <c r="V26" i="141"/>
  <c r="AS25" i="141"/>
  <c r="AE25" i="141"/>
  <c r="AG25" i="141" s="1"/>
  <c r="AI25" i="141"/>
  <c r="W25" i="141" s="1"/>
  <c r="V25" i="141"/>
  <c r="H25" i="141"/>
  <c r="G25" i="141"/>
  <c r="F25" i="141"/>
  <c r="E25" i="141"/>
  <c r="E36" i="141" s="1"/>
  <c r="AS24" i="141"/>
  <c r="AE24" i="141"/>
  <c r="AI24" i="141"/>
  <c r="W24" i="141" s="1"/>
  <c r="AL77" i="141" s="1"/>
  <c r="AM77" i="141" s="1"/>
  <c r="V24" i="141"/>
  <c r="G24" i="141"/>
  <c r="F24" i="141"/>
  <c r="AS23" i="141"/>
  <c r="AI23" i="141"/>
  <c r="AL76" i="141" s="1"/>
  <c r="AM76" i="141" s="1"/>
  <c r="V23" i="141"/>
  <c r="AS22" i="141"/>
  <c r="AG22" i="141"/>
  <c r="AC22" i="141"/>
  <c r="W22" i="141"/>
  <c r="V22" i="141"/>
  <c r="M20" i="141"/>
  <c r="AE19" i="141"/>
  <c r="AB53" i="141" s="1"/>
  <c r="AA19" i="141"/>
  <c r="AK90" i="141" s="1"/>
  <c r="W19" i="141"/>
  <c r="Q13" i="141"/>
  <c r="AF12" i="141"/>
  <c r="AC12" i="141"/>
  <c r="V12" i="141"/>
  <c r="R12" i="141"/>
  <c r="AB10" i="141"/>
  <c r="W10" i="141"/>
  <c r="Q10" i="141"/>
  <c r="O10" i="141"/>
  <c r="K10" i="141"/>
  <c r="W9" i="141"/>
  <c r="Q9" i="141"/>
  <c r="O9" i="141"/>
  <c r="AV8" i="141"/>
  <c r="AB8" i="141"/>
  <c r="W8" i="141"/>
  <c r="Q8" i="141"/>
  <c r="O8" i="141"/>
  <c r="AB7" i="141"/>
  <c r="W7" i="141"/>
  <c r="Q7" i="141"/>
  <c r="O7" i="141"/>
  <c r="AB6" i="141"/>
  <c r="W6" i="141"/>
  <c r="Q6" i="141"/>
  <c r="O6" i="141"/>
  <c r="R1" i="141"/>
  <c r="AK86" i="140"/>
  <c r="AJ86" i="140"/>
  <c r="AK85" i="140"/>
  <c r="AJ85" i="140"/>
  <c r="L85" i="140"/>
  <c r="AJ84" i="140"/>
  <c r="AK84" i="140" s="1"/>
  <c r="AJ83" i="140"/>
  <c r="AK83" i="140" s="1"/>
  <c r="AJ82" i="140"/>
  <c r="AK82" i="140" s="1"/>
  <c r="AJ81" i="140"/>
  <c r="AK81" i="140" s="1"/>
  <c r="AJ80" i="140"/>
  <c r="AK80" i="140" s="1"/>
  <c r="AJ79" i="140"/>
  <c r="AK79" i="140" s="1"/>
  <c r="AJ78" i="140"/>
  <c r="AK78" i="140" s="1"/>
  <c r="D78" i="140"/>
  <c r="AJ77" i="140"/>
  <c r="AK77" i="140" s="1"/>
  <c r="AJ76" i="140"/>
  <c r="AK76" i="140" s="1"/>
  <c r="AP75" i="140"/>
  <c r="AQ75" i="140" s="1"/>
  <c r="AN75" i="140"/>
  <c r="AO75" i="140" s="1"/>
  <c r="AJ75" i="140"/>
  <c r="AK75" i="140" s="1"/>
  <c r="AH48" i="140"/>
  <c r="AH47" i="140"/>
  <c r="AG47" i="140"/>
  <c r="AG48" i="140" s="1"/>
  <c r="AF47" i="140"/>
  <c r="AF48" i="140" s="1"/>
  <c r="X47" i="140"/>
  <c r="S47" i="140"/>
  <c r="R47" i="140"/>
  <c r="Q47" i="140"/>
  <c r="S92" i="140"/>
  <c r="S40" i="140"/>
  <c r="R40" i="140"/>
  <c r="Q40" i="140"/>
  <c r="AD39" i="140"/>
  <c r="AA39" i="140"/>
  <c r="W39" i="140"/>
  <c r="AS37" i="140"/>
  <c r="V37" i="140"/>
  <c r="AS36" i="140"/>
  <c r="G36" i="140"/>
  <c r="AS35" i="140"/>
  <c r="AN85" i="140"/>
  <c r="AO85" i="140" s="1"/>
  <c r="V35" i="140"/>
  <c r="AS34" i="140"/>
  <c r="AC34" i="140"/>
  <c r="V34" i="140"/>
  <c r="H34" i="140"/>
  <c r="J84" i="140" s="1"/>
  <c r="J83" i="140" s="1"/>
  <c r="G34" i="140"/>
  <c r="I84" i="140" s="1"/>
  <c r="I83" i="140" s="1"/>
  <c r="F34" i="140"/>
  <c r="H84" i="140" s="1"/>
  <c r="H83" i="140" s="1"/>
  <c r="E34" i="140"/>
  <c r="G84" i="140" s="1"/>
  <c r="G83" i="140" s="1"/>
  <c r="AS33" i="140"/>
  <c r="AJ33" i="140"/>
  <c r="AA37" i="140" s="1"/>
  <c r="AI33" i="140"/>
  <c r="W37" i="140" s="1"/>
  <c r="Y37" i="140" s="1"/>
  <c r="W33" i="140"/>
  <c r="AL83" i="140" s="1"/>
  <c r="AM83" i="140" s="1"/>
  <c r="W41" i="140" s="1"/>
  <c r="V33" i="140"/>
  <c r="M33" i="140"/>
  <c r="AS32" i="140"/>
  <c r="AK32" i="140"/>
  <c r="AJ32" i="140"/>
  <c r="AI32" i="140"/>
  <c r="W35" i="140" s="1"/>
  <c r="AS31" i="140"/>
  <c r="AK31" i="140"/>
  <c r="AE34" i="140" s="1"/>
  <c r="AJ31" i="140"/>
  <c r="AI31" i="140"/>
  <c r="W34" i="140" s="1"/>
  <c r="V31" i="140"/>
  <c r="M31" i="140"/>
  <c r="AS30" i="140"/>
  <c r="AJ30" i="140"/>
  <c r="AI30" i="140"/>
  <c r="V30" i="140"/>
  <c r="AS29" i="140"/>
  <c r="AJ29" i="140"/>
  <c r="AI29" i="140"/>
  <c r="W31" i="140" s="1"/>
  <c r="AS28" i="140"/>
  <c r="AJ28" i="140"/>
  <c r="AA30" i="140" s="1"/>
  <c r="AI28" i="140"/>
  <c r="W30" i="140" s="1"/>
  <c r="V28" i="140"/>
  <c r="S28" i="140"/>
  <c r="R28" i="140"/>
  <c r="Q28" i="140"/>
  <c r="M28" i="140"/>
  <c r="AS27" i="140"/>
  <c r="AJ27" i="140"/>
  <c r="AK27" i="140" s="1"/>
  <c r="AE28" i="140" s="1"/>
  <c r="AI27" i="140"/>
  <c r="W28" i="140" s="1"/>
  <c r="S27" i="140"/>
  <c r="R27" i="140"/>
  <c r="Q27" i="140"/>
  <c r="AS26" i="140"/>
  <c r="AJ26" i="140"/>
  <c r="AA26" i="140" s="1"/>
  <c r="AI26" i="140"/>
  <c r="W26" i="140" s="1"/>
  <c r="AL79" i="140" s="1"/>
  <c r="AM79" i="140" s="1"/>
  <c r="W40" i="140" s="1"/>
  <c r="W42" i="140" s="1"/>
  <c r="AJ94" i="140" s="1"/>
  <c r="V26" i="140"/>
  <c r="AS25" i="140"/>
  <c r="AJ25" i="140"/>
  <c r="AA25" i="140" s="1"/>
  <c r="AI25" i="140"/>
  <c r="W25" i="140"/>
  <c r="AL78" i="140" s="1"/>
  <c r="AM78" i="140" s="1"/>
  <c r="V25" i="140"/>
  <c r="H25" i="140"/>
  <c r="H36" i="140" s="1"/>
  <c r="H37" i="140" s="1"/>
  <c r="G25" i="140"/>
  <c r="F25" i="140"/>
  <c r="F36" i="140" s="1"/>
  <c r="E25" i="140"/>
  <c r="E36" i="140" s="1"/>
  <c r="AS24" i="140"/>
  <c r="AJ24" i="140"/>
  <c r="AK24" i="140" s="1"/>
  <c r="AI24" i="140"/>
  <c r="W24" i="140" s="1"/>
  <c r="AA24" i="140"/>
  <c r="AN77" i="140" s="1"/>
  <c r="AO77" i="140" s="1"/>
  <c r="V24" i="140"/>
  <c r="AS23" i="140"/>
  <c r="AJ23" i="140"/>
  <c r="AI23" i="140"/>
  <c r="W23" i="140" s="1"/>
  <c r="Y23" i="140" s="1"/>
  <c r="V23" i="140"/>
  <c r="AS22" i="140"/>
  <c r="AJ22" i="140"/>
  <c r="AK22" i="140" s="1"/>
  <c r="AI22" i="140"/>
  <c r="AG22" i="140"/>
  <c r="AC22" i="140"/>
  <c r="Y22" i="140"/>
  <c r="W22" i="140"/>
  <c r="AL75" i="140" s="1"/>
  <c r="AM75" i="140" s="1"/>
  <c r="V22" i="140"/>
  <c r="M20" i="140"/>
  <c r="AE19" i="140"/>
  <c r="AB53" i="140" s="1"/>
  <c r="AA19" i="140"/>
  <c r="AK90" i="140" s="1"/>
  <c r="W19" i="140"/>
  <c r="AJ90" i="140" s="1"/>
  <c r="Q13" i="140"/>
  <c r="AF12" i="140"/>
  <c r="AC12" i="140"/>
  <c r="V12" i="140"/>
  <c r="R12" i="140"/>
  <c r="AB10" i="140"/>
  <c r="W10" i="140"/>
  <c r="Q10" i="140"/>
  <c r="O10" i="140"/>
  <c r="K10" i="140"/>
  <c r="W9" i="140"/>
  <c r="Q9" i="140"/>
  <c r="O9" i="140"/>
  <c r="AV8" i="140"/>
  <c r="AB8" i="140"/>
  <c r="W8" i="140"/>
  <c r="Q8" i="140"/>
  <c r="O8" i="140"/>
  <c r="AB7" i="140"/>
  <c r="W7" i="140"/>
  <c r="Q7" i="140"/>
  <c r="O7" i="140"/>
  <c r="AB6" i="140"/>
  <c r="W6" i="140"/>
  <c r="Q6" i="140"/>
  <c r="O6" i="140"/>
  <c r="R1" i="140"/>
  <c r="AH47" i="138"/>
  <c r="AH48" i="138" s="1"/>
  <c r="M42" i="138"/>
  <c r="E83" i="138" s="1"/>
  <c r="AG47" i="139"/>
  <c r="AA37" i="139"/>
  <c r="AN86" i="139" s="1"/>
  <c r="AO86" i="139" s="1"/>
  <c r="AN86" i="138"/>
  <c r="AO86" i="138" s="1"/>
  <c r="W28" i="139"/>
  <c r="AL80" i="139" s="1"/>
  <c r="AM80" i="139" s="1"/>
  <c r="W23" i="139"/>
  <c r="AL76" i="139" s="1"/>
  <c r="AM76" i="139" s="1"/>
  <c r="W22" i="139"/>
  <c r="AL75" i="139" s="1"/>
  <c r="AM75" i="139" s="1"/>
  <c r="W24" i="138"/>
  <c r="AL77" i="138" s="1"/>
  <c r="AM77" i="138" s="1"/>
  <c r="W22" i="138"/>
  <c r="AL75" i="138" s="1"/>
  <c r="AM75" i="138" s="1"/>
  <c r="AE23" i="139"/>
  <c r="AP76" i="139" s="1"/>
  <c r="AQ76" i="139" s="1"/>
  <c r="AG35" i="135"/>
  <c r="AE33" i="135"/>
  <c r="AE31" i="135"/>
  <c r="AE30" i="135"/>
  <c r="AE28" i="135"/>
  <c r="AE26" i="135"/>
  <c r="AE25" i="135"/>
  <c r="AG23" i="135"/>
  <c r="AA37" i="135"/>
  <c r="AN84" i="135"/>
  <c r="AO84" i="135" s="1"/>
  <c r="AA30" i="135"/>
  <c r="AA28" i="135"/>
  <c r="AA26" i="135"/>
  <c r="AA25" i="135"/>
  <c r="AA24" i="135"/>
  <c r="AA23" i="135"/>
  <c r="AA34" i="131"/>
  <c r="AA31" i="131"/>
  <c r="AA23" i="131"/>
  <c r="W35" i="135"/>
  <c r="W37" i="135"/>
  <c r="W34" i="135"/>
  <c r="W33" i="135"/>
  <c r="W31" i="135"/>
  <c r="W30" i="135"/>
  <c r="W28" i="135"/>
  <c r="Y28" i="135" s="1"/>
  <c r="W26" i="135"/>
  <c r="W25" i="135"/>
  <c r="W24" i="135"/>
  <c r="W23" i="135"/>
  <c r="Y23" i="135" s="1"/>
  <c r="W22" i="135"/>
  <c r="Y22" i="135" s="1"/>
  <c r="W34" i="131"/>
  <c r="W31" i="131"/>
  <c r="W28" i="131"/>
  <c r="W25" i="131"/>
  <c r="AJ23" i="135"/>
  <c r="AJ24" i="135"/>
  <c r="AJ25" i="135"/>
  <c r="AJ26" i="135"/>
  <c r="AJ27" i="135"/>
  <c r="AJ28" i="135"/>
  <c r="AJ29" i="135"/>
  <c r="AJ30" i="135"/>
  <c r="AJ31" i="135"/>
  <c r="AJ32" i="135"/>
  <c r="AJ33" i="135"/>
  <c r="AI23" i="135"/>
  <c r="AI24" i="135"/>
  <c r="AI25" i="135"/>
  <c r="AI26" i="135"/>
  <c r="AL79" i="135" s="1"/>
  <c r="AM79" i="135" s="1"/>
  <c r="W40" i="135" s="1"/>
  <c r="AI27" i="135"/>
  <c r="AI28" i="135"/>
  <c r="AI29" i="135"/>
  <c r="AI30" i="135"/>
  <c r="AI31" i="135"/>
  <c r="AI32" i="135"/>
  <c r="AI33" i="135"/>
  <c r="AI22" i="135"/>
  <c r="AL90" i="139"/>
  <c r="AJ86" i="139"/>
  <c r="AK86" i="139" s="1"/>
  <c r="AJ85" i="139"/>
  <c r="AK85" i="139" s="1"/>
  <c r="L85" i="139"/>
  <c r="AK84" i="139"/>
  <c r="AJ84" i="139"/>
  <c r="AK83" i="139"/>
  <c r="AJ83" i="139"/>
  <c r="AJ82" i="139"/>
  <c r="AK82" i="139" s="1"/>
  <c r="AJ81" i="139"/>
  <c r="AK81" i="139" s="1"/>
  <c r="AJ80" i="139"/>
  <c r="AK80" i="139" s="1"/>
  <c r="AJ79" i="139"/>
  <c r="AK79" i="139" s="1"/>
  <c r="AJ78" i="139"/>
  <c r="AK78" i="139" s="1"/>
  <c r="D78" i="139"/>
  <c r="AK77" i="139"/>
  <c r="AJ77" i="139"/>
  <c r="AK76" i="139"/>
  <c r="AJ76" i="139"/>
  <c r="AQ75" i="139"/>
  <c r="AP75" i="139"/>
  <c r="AO75" i="139"/>
  <c r="AN75" i="139"/>
  <c r="AK75" i="139"/>
  <c r="AJ75" i="139"/>
  <c r="AB51" i="139"/>
  <c r="AH47" i="139"/>
  <c r="AH48" i="139" s="1"/>
  <c r="AG48" i="139"/>
  <c r="AF47" i="139"/>
  <c r="AF48" i="139" s="1"/>
  <c r="X47" i="139"/>
  <c r="S47" i="139"/>
  <c r="R47" i="139"/>
  <c r="Q47" i="139"/>
  <c r="M42" i="139"/>
  <c r="S92" i="139" s="1"/>
  <c r="M41" i="139"/>
  <c r="M43" i="139" s="1"/>
  <c r="X46" i="139" s="1"/>
  <c r="S40" i="139"/>
  <c r="R40" i="139"/>
  <c r="Q40" i="139"/>
  <c r="M40" i="139"/>
  <c r="AD39" i="139"/>
  <c r="AA39" i="139"/>
  <c r="W39" i="139"/>
  <c r="AS37" i="139"/>
  <c r="V37" i="139"/>
  <c r="M37" i="139"/>
  <c r="M30" i="139" s="1"/>
  <c r="AS36" i="139"/>
  <c r="AS35" i="139"/>
  <c r="V35" i="139"/>
  <c r="AS34" i="139"/>
  <c r="V34" i="139"/>
  <c r="H34" i="139"/>
  <c r="J84" i="139" s="1"/>
  <c r="J83" i="139" s="1"/>
  <c r="G34" i="139"/>
  <c r="I84" i="139" s="1"/>
  <c r="I83" i="139" s="1"/>
  <c r="F34" i="139"/>
  <c r="H84" i="139" s="1"/>
  <c r="H83" i="139" s="1"/>
  <c r="E34" i="139"/>
  <c r="G84" i="139" s="1"/>
  <c r="G83" i="139" s="1"/>
  <c r="AS33" i="139"/>
  <c r="AJ33" i="139"/>
  <c r="AI33" i="139"/>
  <c r="W37" i="139" s="1"/>
  <c r="V33" i="139"/>
  <c r="M33" i="139"/>
  <c r="AS32" i="139"/>
  <c r="AJ32" i="139"/>
  <c r="AK32" i="139" s="1"/>
  <c r="AI32" i="139"/>
  <c r="W35" i="139" s="1"/>
  <c r="AS31" i="139"/>
  <c r="AJ31" i="139"/>
  <c r="AK31" i="139" s="1"/>
  <c r="AI31" i="139"/>
  <c r="W34" i="139" s="1"/>
  <c r="V31" i="139"/>
  <c r="M31" i="139"/>
  <c r="AS30" i="139"/>
  <c r="AK30" i="139"/>
  <c r="AE33" i="139" s="1"/>
  <c r="AJ30" i="139"/>
  <c r="AC33" i="139" s="1"/>
  <c r="AI30" i="139"/>
  <c r="W33" i="139" s="1"/>
  <c r="V30" i="139"/>
  <c r="AS29" i="139"/>
  <c r="AJ29" i="139"/>
  <c r="AI29" i="139"/>
  <c r="W31" i="139" s="1"/>
  <c r="AS28" i="139"/>
  <c r="AJ28" i="139"/>
  <c r="AI28" i="139"/>
  <c r="W30" i="139" s="1"/>
  <c r="AL81" i="139" s="1"/>
  <c r="AM81" i="139" s="1"/>
  <c r="V28" i="139"/>
  <c r="S28" i="139"/>
  <c r="S30" i="139" s="1"/>
  <c r="R28" i="139"/>
  <c r="Q28" i="139"/>
  <c r="Q30" i="139" s="1"/>
  <c r="M28" i="139"/>
  <c r="AS27" i="139"/>
  <c r="AJ27" i="139"/>
  <c r="AI27" i="139"/>
  <c r="S27" i="139"/>
  <c r="R27" i="139"/>
  <c r="Q27" i="139"/>
  <c r="AS26" i="139"/>
  <c r="AJ26" i="139"/>
  <c r="AN79" i="139" s="1"/>
  <c r="AO79" i="139" s="1"/>
  <c r="AA40" i="139" s="1"/>
  <c r="AI26" i="139"/>
  <c r="W26" i="139" s="1"/>
  <c r="AL79" i="139" s="1"/>
  <c r="AM79" i="139" s="1"/>
  <c r="W40" i="139" s="1"/>
  <c r="V26" i="139"/>
  <c r="AS25" i="139"/>
  <c r="AJ25" i="139"/>
  <c r="AI25" i="139"/>
  <c r="W25" i="139" s="1"/>
  <c r="V25" i="139"/>
  <c r="H25" i="139"/>
  <c r="H36" i="139" s="1"/>
  <c r="G25" i="139"/>
  <c r="G36" i="139" s="1"/>
  <c r="F25" i="139"/>
  <c r="F36" i="139" s="1"/>
  <c r="E25" i="139"/>
  <c r="E36" i="139" s="1"/>
  <c r="AS24" i="139"/>
  <c r="AJ24" i="139"/>
  <c r="AK24" i="139" s="1"/>
  <c r="AE24" i="139" s="1"/>
  <c r="AI24" i="139"/>
  <c r="W24" i="139" s="1"/>
  <c r="V24" i="139"/>
  <c r="G24" i="139"/>
  <c r="H24" i="139" s="1"/>
  <c r="F24" i="139"/>
  <c r="AS23" i="139"/>
  <c r="AJ23" i="139"/>
  <c r="AK23" i="139" s="1"/>
  <c r="AI23" i="139"/>
  <c r="V23" i="139"/>
  <c r="AS22" i="139"/>
  <c r="AJ22" i="139"/>
  <c r="AK22" i="139" s="1"/>
  <c r="AI22" i="139"/>
  <c r="AG22" i="139"/>
  <c r="AC22" i="139"/>
  <c r="V22" i="139"/>
  <c r="M20" i="139"/>
  <c r="F20" i="139"/>
  <c r="G20" i="139" s="1"/>
  <c r="H20" i="139" s="1"/>
  <c r="AE19" i="139"/>
  <c r="AB53" i="139" s="1"/>
  <c r="AA19" i="139"/>
  <c r="AK90" i="139" s="1"/>
  <c r="W19" i="139"/>
  <c r="AJ90" i="139" s="1"/>
  <c r="Q13" i="139"/>
  <c r="AF12" i="139"/>
  <c r="AC12" i="139"/>
  <c r="V12" i="139"/>
  <c r="R12" i="139"/>
  <c r="AB10" i="139"/>
  <c r="W10" i="139"/>
  <c r="Q10" i="139"/>
  <c r="O10" i="139"/>
  <c r="K10" i="139"/>
  <c r="W9" i="139"/>
  <c r="Q9" i="139"/>
  <c r="O9" i="139"/>
  <c r="AV8" i="139"/>
  <c r="AB8" i="139"/>
  <c r="W8" i="139"/>
  <c r="Q8" i="139"/>
  <c r="O8" i="139"/>
  <c r="AB7" i="139"/>
  <c r="W7" i="139"/>
  <c r="Q7" i="139"/>
  <c r="O7" i="139"/>
  <c r="AB6" i="139"/>
  <c r="W6" i="139"/>
  <c r="Q6" i="139"/>
  <c r="O6" i="139"/>
  <c r="R1" i="139"/>
  <c r="AL90" i="138"/>
  <c r="AJ86" i="138"/>
  <c r="AK86" i="138" s="1"/>
  <c r="AJ85" i="138"/>
  <c r="AK85" i="138" s="1"/>
  <c r="L85" i="138"/>
  <c r="AJ84" i="138"/>
  <c r="AK84" i="138" s="1"/>
  <c r="AJ83" i="138"/>
  <c r="AK83" i="138" s="1"/>
  <c r="AJ82" i="138"/>
  <c r="AK82" i="138" s="1"/>
  <c r="AJ81" i="138"/>
  <c r="AK81" i="138" s="1"/>
  <c r="AJ80" i="138"/>
  <c r="AK80" i="138" s="1"/>
  <c r="AJ79" i="138"/>
  <c r="AK79" i="138" s="1"/>
  <c r="AJ78" i="138"/>
  <c r="AK78" i="138" s="1"/>
  <c r="D78" i="138"/>
  <c r="AK77" i="138"/>
  <c r="AJ77" i="138"/>
  <c r="AK76" i="138"/>
  <c r="AJ76" i="138"/>
  <c r="AP75" i="138"/>
  <c r="AQ75" i="138" s="1"/>
  <c r="AN75" i="138"/>
  <c r="AO75" i="138" s="1"/>
  <c r="AK75" i="138"/>
  <c r="AJ75" i="138"/>
  <c r="AB52" i="138"/>
  <c r="AB51" i="138"/>
  <c r="AG47" i="138"/>
  <c r="AG48" i="138" s="1"/>
  <c r="AF47" i="138"/>
  <c r="AF48" i="138" s="1"/>
  <c r="X47" i="138"/>
  <c r="S47" i="138"/>
  <c r="R47" i="138"/>
  <c r="Q47" i="138"/>
  <c r="S40" i="138"/>
  <c r="R40" i="138"/>
  <c r="Q40" i="138"/>
  <c r="AD39" i="138"/>
  <c r="AA39" i="138"/>
  <c r="W39" i="138"/>
  <c r="AS37" i="138"/>
  <c r="V37" i="138"/>
  <c r="AS36" i="138"/>
  <c r="AS35" i="138"/>
  <c r="V35" i="138"/>
  <c r="AS34" i="138"/>
  <c r="V34" i="138"/>
  <c r="H34" i="138"/>
  <c r="J84" i="138" s="1"/>
  <c r="J83" i="138" s="1"/>
  <c r="G34" i="138"/>
  <c r="I84" i="138" s="1"/>
  <c r="I83" i="138" s="1"/>
  <c r="F34" i="138"/>
  <c r="H84" i="138" s="1"/>
  <c r="H83" i="138" s="1"/>
  <c r="E34" i="138"/>
  <c r="G84" i="138" s="1"/>
  <c r="G83" i="138" s="1"/>
  <c r="AS33" i="138"/>
  <c r="AI33" i="138"/>
  <c r="W37" i="138" s="1"/>
  <c r="V33" i="138"/>
  <c r="M33" i="138"/>
  <c r="AS32" i="138"/>
  <c r="AE35" i="138"/>
  <c r="AI32" i="138"/>
  <c r="W35" i="138" s="1"/>
  <c r="AS31" i="138"/>
  <c r="AE34" i="138"/>
  <c r="AI31" i="138"/>
  <c r="W34" i="138" s="1"/>
  <c r="V31" i="138"/>
  <c r="M31" i="138"/>
  <c r="AS30" i="138"/>
  <c r="AC33" i="138"/>
  <c r="AI30" i="138"/>
  <c r="W33" i="138" s="1"/>
  <c r="V30" i="138"/>
  <c r="AS29" i="138"/>
  <c r="AI29" i="138"/>
  <c r="W31" i="138" s="1"/>
  <c r="AS28" i="138"/>
  <c r="AA30" i="138"/>
  <c r="AI28" i="138"/>
  <c r="W30" i="138" s="1"/>
  <c r="V28" i="138"/>
  <c r="S28" i="138"/>
  <c r="R28" i="138"/>
  <c r="Q28" i="138"/>
  <c r="M28" i="138"/>
  <c r="AS27" i="138"/>
  <c r="AI27" i="138"/>
  <c r="W28" i="138" s="1"/>
  <c r="S27" i="138"/>
  <c r="R27" i="138"/>
  <c r="Q27" i="138"/>
  <c r="AS26" i="138"/>
  <c r="AE26" i="138"/>
  <c r="AA26" i="138"/>
  <c r="AC26" i="138" s="1"/>
  <c r="AI26" i="138"/>
  <c r="W26" i="138" s="1"/>
  <c r="V26" i="138"/>
  <c r="AS25" i="138"/>
  <c r="AA25" i="138"/>
  <c r="AI25" i="138"/>
  <c r="W25" i="138" s="1"/>
  <c r="V25" i="138"/>
  <c r="H25" i="138"/>
  <c r="G25" i="138"/>
  <c r="G36" i="138" s="1"/>
  <c r="F25" i="138"/>
  <c r="E25" i="138"/>
  <c r="E36" i="138" s="1"/>
  <c r="AS24" i="138"/>
  <c r="AE24" i="138"/>
  <c r="AI24" i="138"/>
  <c r="Y24" i="138"/>
  <c r="V24" i="138"/>
  <c r="F24" i="138"/>
  <c r="G24" i="138" s="1"/>
  <c r="H24" i="138" s="1"/>
  <c r="AS23" i="138"/>
  <c r="AI23" i="138"/>
  <c r="V23" i="138"/>
  <c r="AS22" i="138"/>
  <c r="AI22" i="138"/>
  <c r="AG22" i="138"/>
  <c r="AC22" i="138"/>
  <c r="V22" i="138"/>
  <c r="M20" i="138"/>
  <c r="F20" i="138"/>
  <c r="G20" i="138" s="1"/>
  <c r="H20" i="138" s="1"/>
  <c r="AE19" i="138"/>
  <c r="AB53" i="138" s="1"/>
  <c r="AA19" i="138"/>
  <c r="AK90" i="138" s="1"/>
  <c r="W19" i="138"/>
  <c r="AJ90" i="138" s="1"/>
  <c r="Q13" i="138"/>
  <c r="AF12" i="138"/>
  <c r="AC12" i="138"/>
  <c r="V12" i="138"/>
  <c r="R12" i="138"/>
  <c r="AB10" i="138"/>
  <c r="W10" i="138"/>
  <c r="Q10" i="138"/>
  <c r="O10" i="138"/>
  <c r="K10" i="138"/>
  <c r="W9" i="138"/>
  <c r="Q9" i="138"/>
  <c r="O9" i="138"/>
  <c r="AV8" i="138"/>
  <c r="AB8" i="138"/>
  <c r="W8" i="138"/>
  <c r="Q8" i="138"/>
  <c r="O8" i="138"/>
  <c r="AB7" i="138"/>
  <c r="W7" i="138"/>
  <c r="Q7" i="138"/>
  <c r="O7" i="138"/>
  <c r="AB6" i="138"/>
  <c r="W6" i="138"/>
  <c r="Q6" i="138"/>
  <c r="O6" i="138"/>
  <c r="R1" i="138"/>
  <c r="AP86" i="135"/>
  <c r="AQ86" i="135" s="1"/>
  <c r="AL86" i="135"/>
  <c r="AM86" i="135" s="1"/>
  <c r="AJ86" i="135"/>
  <c r="AK86" i="135" s="1"/>
  <c r="AP85" i="135"/>
  <c r="AQ85" i="135" s="1"/>
  <c r="AJ85" i="135"/>
  <c r="AK85" i="135" s="1"/>
  <c r="L85" i="135"/>
  <c r="AJ84" i="135"/>
  <c r="AK84" i="135" s="1"/>
  <c r="AJ83" i="135"/>
  <c r="AK83" i="135" s="1"/>
  <c r="AJ82" i="135"/>
  <c r="AK82" i="135" s="1"/>
  <c r="AJ81" i="135"/>
  <c r="AK81" i="135" s="1"/>
  <c r="AJ80" i="135"/>
  <c r="AK80" i="135" s="1"/>
  <c r="AJ79" i="135"/>
  <c r="AK79" i="135" s="1"/>
  <c r="AL78" i="135"/>
  <c r="AM78" i="135" s="1"/>
  <c r="AJ78" i="135"/>
  <c r="AK78" i="135" s="1"/>
  <c r="D78" i="135"/>
  <c r="AP77" i="135"/>
  <c r="AQ77" i="135" s="1"/>
  <c r="AL77" i="135"/>
  <c r="AM77" i="135" s="1"/>
  <c r="AK77" i="135"/>
  <c r="AJ77" i="135"/>
  <c r="AP76" i="135"/>
  <c r="AQ76" i="135" s="1"/>
  <c r="AL76" i="135"/>
  <c r="AM76" i="135" s="1"/>
  <c r="AJ76" i="135"/>
  <c r="AK76" i="135" s="1"/>
  <c r="AQ75" i="135"/>
  <c r="AP75" i="135"/>
  <c r="AN75" i="135"/>
  <c r="AO75" i="135" s="1"/>
  <c r="AL75" i="135"/>
  <c r="AM75" i="135" s="1"/>
  <c r="AJ75" i="135"/>
  <c r="AK75" i="135" s="1"/>
  <c r="AH47" i="135"/>
  <c r="AH48" i="135" s="1"/>
  <c r="AG47" i="135"/>
  <c r="AG48" i="135" s="1"/>
  <c r="AF47" i="135"/>
  <c r="AF48" i="135" s="1"/>
  <c r="X47" i="135"/>
  <c r="S47" i="135"/>
  <c r="R47" i="135"/>
  <c r="Q47" i="135"/>
  <c r="M42" i="135"/>
  <c r="M37" i="135" s="1"/>
  <c r="S40" i="135"/>
  <c r="R40" i="135"/>
  <c r="Q40" i="135"/>
  <c r="AD39" i="135"/>
  <c r="AA39" i="135"/>
  <c r="W39" i="135"/>
  <c r="AS37" i="135"/>
  <c r="AG37" i="135"/>
  <c r="AN86" i="135"/>
  <c r="AO86" i="135" s="1"/>
  <c r="Y37" i="135"/>
  <c r="V37" i="135"/>
  <c r="AS36" i="135"/>
  <c r="AS35" i="135"/>
  <c r="V35" i="135"/>
  <c r="AS34" i="135"/>
  <c r="V34" i="135"/>
  <c r="H34" i="135"/>
  <c r="J84" i="135" s="1"/>
  <c r="J83" i="135" s="1"/>
  <c r="G34" i="135"/>
  <c r="I84" i="135" s="1"/>
  <c r="I83" i="135" s="1"/>
  <c r="F34" i="135"/>
  <c r="H84" i="135" s="1"/>
  <c r="H83" i="135" s="1"/>
  <c r="E34" i="135"/>
  <c r="G84" i="135" s="1"/>
  <c r="G83" i="135" s="1"/>
  <c r="AS33" i="135"/>
  <c r="V33" i="135"/>
  <c r="M33" i="135"/>
  <c r="AS32" i="135"/>
  <c r="AN85" i="135"/>
  <c r="AO85" i="135" s="1"/>
  <c r="AS31" i="135"/>
  <c r="V31" i="135"/>
  <c r="M31" i="135"/>
  <c r="AS30" i="135"/>
  <c r="V30" i="135"/>
  <c r="AS29" i="135"/>
  <c r="AS28" i="135"/>
  <c r="AL81" i="135"/>
  <c r="AM81" i="135" s="1"/>
  <c r="V28" i="135"/>
  <c r="S28" i="135"/>
  <c r="R28" i="135"/>
  <c r="Q28" i="135"/>
  <c r="M28" i="135"/>
  <c r="AS27" i="135"/>
  <c r="S27" i="135"/>
  <c r="R27" i="135"/>
  <c r="Q27" i="135"/>
  <c r="AS26" i="135"/>
  <c r="V26" i="135"/>
  <c r="AS25" i="135"/>
  <c r="Y25" i="135"/>
  <c r="V25" i="135"/>
  <c r="H25" i="135"/>
  <c r="G25" i="135"/>
  <c r="F25" i="135"/>
  <c r="E25" i="135"/>
  <c r="E36" i="135" s="1"/>
  <c r="AS24" i="135"/>
  <c r="AG24" i="135"/>
  <c r="Y24" i="135"/>
  <c r="V24" i="135"/>
  <c r="F24" i="135"/>
  <c r="G24" i="135" s="1"/>
  <c r="H24" i="135" s="1"/>
  <c r="AS23" i="135"/>
  <c r="AN76" i="135"/>
  <c r="AO76" i="135" s="1"/>
  <c r="V23" i="135"/>
  <c r="AS22" i="135"/>
  <c r="AG22" i="135"/>
  <c r="AC22" i="135"/>
  <c r="V22" i="135"/>
  <c r="M20" i="135"/>
  <c r="F20" i="135"/>
  <c r="G20" i="135" s="1"/>
  <c r="H20" i="135" s="1"/>
  <c r="AE19" i="135"/>
  <c r="AB53" i="135" s="1"/>
  <c r="AA19" i="135"/>
  <c r="AK90" i="135" s="1"/>
  <c r="W19" i="135"/>
  <c r="AJ90" i="135" s="1"/>
  <c r="Q13" i="135"/>
  <c r="AF12" i="135"/>
  <c r="AC12" i="135"/>
  <c r="V12" i="135"/>
  <c r="R12" i="135"/>
  <c r="AB10" i="135"/>
  <c r="W10" i="135"/>
  <c r="Q10" i="135"/>
  <c r="O10" i="135"/>
  <c r="K10" i="135"/>
  <c r="W9" i="135"/>
  <c r="Q9" i="135"/>
  <c r="O9" i="135"/>
  <c r="AV8" i="135"/>
  <c r="AB8" i="135"/>
  <c r="W8" i="135"/>
  <c r="Q8" i="135"/>
  <c r="O8" i="135"/>
  <c r="AB7" i="135"/>
  <c r="W7" i="135"/>
  <c r="Q7" i="135"/>
  <c r="O7" i="135"/>
  <c r="AB6" i="135"/>
  <c r="W6" i="135"/>
  <c r="Q6" i="135"/>
  <c r="O6" i="135"/>
  <c r="R1" i="135"/>
  <c r="K10" i="131"/>
  <c r="AB10" i="134"/>
  <c r="K10" i="134"/>
  <c r="AB10" i="133"/>
  <c r="K10" i="133"/>
  <c r="AB10" i="132"/>
  <c r="K10" i="132"/>
  <c r="AB10" i="124"/>
  <c r="K10" i="124"/>
  <c r="AB10" i="125"/>
  <c r="K10" i="125"/>
  <c r="AB10" i="128"/>
  <c r="K10" i="128"/>
  <c r="AB10" i="130"/>
  <c r="K10" i="130"/>
  <c r="AB10" i="127"/>
  <c r="K10" i="127"/>
  <c r="AB10" i="126"/>
  <c r="K10" i="126"/>
  <c r="M39" i="139" l="1"/>
  <c r="X45" i="139" s="1"/>
  <c r="AC37" i="142"/>
  <c r="M37" i="141"/>
  <c r="M30" i="141" s="1"/>
  <c r="AL86" i="141"/>
  <c r="AM86" i="141" s="1"/>
  <c r="S30" i="141"/>
  <c r="M41" i="141"/>
  <c r="M43" i="141" s="1"/>
  <c r="X46" i="141" s="1"/>
  <c r="X46" i="142"/>
  <c r="M40" i="142"/>
  <c r="M39" i="142"/>
  <c r="X45" i="142" s="1"/>
  <c r="E83" i="142"/>
  <c r="S30" i="142"/>
  <c r="S31" i="142" s="1"/>
  <c r="AL91" i="142" s="1"/>
  <c r="Q30" i="142"/>
  <c r="Q31" i="142" s="1"/>
  <c r="AJ91" i="142" s="1"/>
  <c r="AL83" i="142"/>
  <c r="AM83" i="142" s="1"/>
  <c r="W41" i="142" s="1"/>
  <c r="Y33" i="142"/>
  <c r="AP79" i="142"/>
  <c r="AQ79" i="142" s="1"/>
  <c r="AD40" i="142" s="1"/>
  <c r="AG26" i="142"/>
  <c r="AG23" i="142"/>
  <c r="AE25" i="142"/>
  <c r="Y35" i="142"/>
  <c r="AG34" i="142"/>
  <c r="AE28" i="141"/>
  <c r="AP80" i="141" s="1"/>
  <c r="AQ80" i="141" s="1"/>
  <c r="M39" i="141"/>
  <c r="X45" i="141" s="1"/>
  <c r="M40" i="141"/>
  <c r="S92" i="141"/>
  <c r="E37" i="141"/>
  <c r="Y24" i="141"/>
  <c r="AA24" i="141"/>
  <c r="AN77" i="141" s="1"/>
  <c r="AO77" i="141" s="1"/>
  <c r="AL83" i="141"/>
  <c r="AM83" i="141" s="1"/>
  <c r="W41" i="141" s="1"/>
  <c r="W42" i="141" s="1"/>
  <c r="AJ94" i="141" s="1"/>
  <c r="Y33" i="141"/>
  <c r="AP77" i="141"/>
  <c r="AQ77" i="141" s="1"/>
  <c r="AG24" i="141"/>
  <c r="AG35" i="141"/>
  <c r="AP85" i="141"/>
  <c r="AQ85" i="141" s="1"/>
  <c r="AP84" i="141"/>
  <c r="AQ84" i="141" s="1"/>
  <c r="AG34" i="141"/>
  <c r="AP78" i="141"/>
  <c r="AQ78" i="141" s="1"/>
  <c r="AA25" i="141"/>
  <c r="AC25" i="141" s="1"/>
  <c r="AC30" i="141"/>
  <c r="AA35" i="141"/>
  <c r="AC35" i="141" s="1"/>
  <c r="AE37" i="141"/>
  <c r="AP86" i="141" s="1"/>
  <c r="AQ86" i="141" s="1"/>
  <c r="S31" i="141"/>
  <c r="AL91" i="141" s="1"/>
  <c r="Q30" i="141"/>
  <c r="Q31" i="141" s="1"/>
  <c r="AJ91" i="141" s="1"/>
  <c r="AL84" i="140"/>
  <c r="AM84" i="140" s="1"/>
  <c r="Y34" i="140"/>
  <c r="AL85" i="140"/>
  <c r="AM85" i="140" s="1"/>
  <c r="Y35" i="140"/>
  <c r="AA28" i="140"/>
  <c r="AC28" i="140" s="1"/>
  <c r="AK23" i="140"/>
  <c r="AG23" i="140" s="1"/>
  <c r="AK26" i="140"/>
  <c r="AE26" i="140" s="1"/>
  <c r="AP79" i="140" s="1"/>
  <c r="AQ79" i="140" s="1"/>
  <c r="AD40" i="140" s="1"/>
  <c r="AK33" i="140"/>
  <c r="AG37" i="140" s="1"/>
  <c r="M37" i="140"/>
  <c r="M40" i="140" s="1"/>
  <c r="E37" i="140"/>
  <c r="F37" i="140"/>
  <c r="G37" i="140"/>
  <c r="Q30" i="140"/>
  <c r="Q31" i="140" s="1"/>
  <c r="AJ91" i="140" s="1"/>
  <c r="R30" i="140"/>
  <c r="R31" i="140" s="1"/>
  <c r="AK91" i="140" s="1"/>
  <c r="S30" i="140"/>
  <c r="S31" i="140" s="1"/>
  <c r="AL91" i="140" s="1"/>
  <c r="AL75" i="141"/>
  <c r="AM75" i="141" s="1"/>
  <c r="Y22" i="141"/>
  <c r="AA26" i="141"/>
  <c r="AE26" i="141"/>
  <c r="F36" i="142"/>
  <c r="F37" i="142" s="1"/>
  <c r="AL78" i="142"/>
  <c r="AM78" i="142" s="1"/>
  <c r="Y25" i="142"/>
  <c r="AL79" i="142"/>
  <c r="AM79" i="142" s="1"/>
  <c r="W40" i="142" s="1"/>
  <c r="W42" i="142" s="1"/>
  <c r="AJ94" i="142" s="1"/>
  <c r="Y26" i="142"/>
  <c r="AG28" i="142"/>
  <c r="AP80" i="142"/>
  <c r="AQ80" i="142" s="1"/>
  <c r="AL81" i="142"/>
  <c r="AM81" i="142" s="1"/>
  <c r="Y30" i="142"/>
  <c r="AL82" i="141"/>
  <c r="AM82" i="141" s="1"/>
  <c r="Y31" i="141"/>
  <c r="G36" i="142"/>
  <c r="G37" i="142" s="1"/>
  <c r="AC26" i="142"/>
  <c r="AN79" i="142"/>
  <c r="AO79" i="142" s="1"/>
  <c r="AA40" i="142" s="1"/>
  <c r="AC31" i="142"/>
  <c r="AN82" i="142"/>
  <c r="AO82" i="142" s="1"/>
  <c r="AL81" i="141"/>
  <c r="AM81" i="141" s="1"/>
  <c r="Y30" i="141"/>
  <c r="AK90" i="142"/>
  <c r="AB52" i="142"/>
  <c r="AG31" i="141"/>
  <c r="AP81" i="142"/>
  <c r="AQ81" i="142" s="1"/>
  <c r="AG30" i="142"/>
  <c r="AP82" i="142"/>
  <c r="AQ82" i="142" s="1"/>
  <c r="AG31" i="142"/>
  <c r="Y37" i="142"/>
  <c r="AL86" i="142"/>
  <c r="AM86" i="142" s="1"/>
  <c r="AJ90" i="141"/>
  <c r="AB51" i="141"/>
  <c r="H24" i="141"/>
  <c r="H36" i="141" s="1"/>
  <c r="H37" i="141" s="1"/>
  <c r="G36" i="141"/>
  <c r="G37" i="141" s="1"/>
  <c r="Y25" i="141"/>
  <c r="AL78" i="141"/>
  <c r="AM78" i="141" s="1"/>
  <c r="AG24" i="142"/>
  <c r="AP77" i="142"/>
  <c r="AQ77" i="142" s="1"/>
  <c r="Y28" i="141"/>
  <c r="R30" i="141"/>
  <c r="R31" i="141" s="1"/>
  <c r="AK91" i="141" s="1"/>
  <c r="AA24" i="142"/>
  <c r="Y28" i="142"/>
  <c r="AL80" i="142"/>
  <c r="AM80" i="142" s="1"/>
  <c r="Y34" i="141"/>
  <c r="AN76" i="142"/>
  <c r="AO76" i="142" s="1"/>
  <c r="Y31" i="142"/>
  <c r="Y34" i="142"/>
  <c r="AC35" i="142"/>
  <c r="AG37" i="142"/>
  <c r="AL77" i="142"/>
  <c r="AM77" i="142" s="1"/>
  <c r="AN84" i="142"/>
  <c r="AO84" i="142" s="1"/>
  <c r="AP85" i="142"/>
  <c r="AQ85" i="142" s="1"/>
  <c r="E37" i="142"/>
  <c r="Y23" i="141"/>
  <c r="AC24" i="141"/>
  <c r="F36" i="141"/>
  <c r="F37" i="141" s="1"/>
  <c r="Y26" i="141"/>
  <c r="AC28" i="141"/>
  <c r="AA31" i="141"/>
  <c r="AB52" i="141"/>
  <c r="AL85" i="141"/>
  <c r="AM85" i="141" s="1"/>
  <c r="AN86" i="141"/>
  <c r="AO86" i="141" s="1"/>
  <c r="AL90" i="141"/>
  <c r="AL90" i="142"/>
  <c r="AE30" i="141"/>
  <c r="AA28" i="142"/>
  <c r="AN78" i="140"/>
  <c r="AO78" i="140" s="1"/>
  <c r="AC25" i="140"/>
  <c r="AL82" i="140"/>
  <c r="AM82" i="140" s="1"/>
  <c r="Y31" i="140"/>
  <c r="AN86" i="140"/>
  <c r="AO86" i="140" s="1"/>
  <c r="AC37" i="140"/>
  <c r="Y28" i="140"/>
  <c r="AL80" i="140"/>
  <c r="AM80" i="140" s="1"/>
  <c r="AC33" i="140"/>
  <c r="AN83" i="140"/>
  <c r="AO83" i="140" s="1"/>
  <c r="AA41" i="140" s="1"/>
  <c r="AN76" i="140"/>
  <c r="AO76" i="140" s="1"/>
  <c r="AC23" i="140"/>
  <c r="Y24" i="140"/>
  <c r="AL77" i="140"/>
  <c r="AM77" i="140" s="1"/>
  <c r="AC26" i="140"/>
  <c r="AN79" i="140"/>
  <c r="AO79" i="140" s="1"/>
  <c r="AA40" i="140" s="1"/>
  <c r="AG28" i="140"/>
  <c r="AP80" i="140"/>
  <c r="AQ80" i="140" s="1"/>
  <c r="AL81" i="140"/>
  <c r="AM81" i="140" s="1"/>
  <c r="Y30" i="140"/>
  <c r="AC31" i="140"/>
  <c r="AN82" i="140"/>
  <c r="AO82" i="140" s="1"/>
  <c r="AP86" i="140"/>
  <c r="AQ86" i="140" s="1"/>
  <c r="AG24" i="140"/>
  <c r="AP77" i="140"/>
  <c r="AQ77" i="140" s="1"/>
  <c r="AN81" i="140"/>
  <c r="AO81" i="140" s="1"/>
  <c r="AC30" i="140"/>
  <c r="AP84" i="140"/>
  <c r="AQ84" i="140" s="1"/>
  <c r="AG34" i="140"/>
  <c r="AP85" i="140"/>
  <c r="AQ85" i="140" s="1"/>
  <c r="AG35" i="140"/>
  <c r="AB51" i="140"/>
  <c r="AN80" i="140"/>
  <c r="AO80" i="140" s="1"/>
  <c r="E83" i="140"/>
  <c r="AL86" i="140"/>
  <c r="AM86" i="140" s="1"/>
  <c r="AL90" i="140"/>
  <c r="AB52" i="140"/>
  <c r="AL76" i="140"/>
  <c r="AM76" i="140" s="1"/>
  <c r="AP76" i="140"/>
  <c r="AQ76" i="140" s="1"/>
  <c r="AN84" i="140"/>
  <c r="AO84" i="140" s="1"/>
  <c r="AC24" i="140"/>
  <c r="AK25" i="140"/>
  <c r="AE25" i="140" s="1"/>
  <c r="Y26" i="140"/>
  <c r="AK30" i="140"/>
  <c r="Y33" i="140"/>
  <c r="Y25" i="140"/>
  <c r="AK28" i="140"/>
  <c r="AE30" i="140" s="1"/>
  <c r="AK29" i="140"/>
  <c r="AC35" i="140"/>
  <c r="M37" i="138"/>
  <c r="M30" i="138" s="1"/>
  <c r="M41" i="138" s="1"/>
  <c r="M43" i="138" s="1"/>
  <c r="X46" i="138"/>
  <c r="M39" i="138"/>
  <c r="M40" i="138"/>
  <c r="S92" i="138"/>
  <c r="E37" i="138"/>
  <c r="G37" i="138"/>
  <c r="R30" i="138"/>
  <c r="R31" i="138" s="1"/>
  <c r="AK91" i="138" s="1"/>
  <c r="Q30" i="138"/>
  <c r="Q31" i="138" s="1"/>
  <c r="AJ91" i="138" s="1"/>
  <c r="E83" i="139"/>
  <c r="H37" i="139"/>
  <c r="G37" i="139"/>
  <c r="F37" i="139"/>
  <c r="E37" i="139"/>
  <c r="S31" i="139"/>
  <c r="AL91" i="139" s="1"/>
  <c r="R30" i="139"/>
  <c r="R31" i="139" s="1"/>
  <c r="AK91" i="139" s="1"/>
  <c r="Q31" i="139"/>
  <c r="AJ91" i="139" s="1"/>
  <c r="S92" i="135"/>
  <c r="AG35" i="139"/>
  <c r="AP85" i="139"/>
  <c r="AQ85" i="139" s="1"/>
  <c r="AL86" i="139"/>
  <c r="AM86" i="139" s="1"/>
  <c r="Y37" i="139"/>
  <c r="Y24" i="139"/>
  <c r="AL77" i="139"/>
  <c r="AM77" i="139" s="1"/>
  <c r="Y25" i="139"/>
  <c r="AL78" i="139"/>
  <c r="AM78" i="139" s="1"/>
  <c r="AG37" i="139"/>
  <c r="AP86" i="139"/>
  <c r="AQ86" i="139" s="1"/>
  <c r="AP77" i="139"/>
  <c r="AQ77" i="139" s="1"/>
  <c r="AG24" i="139"/>
  <c r="AG23" i="139"/>
  <c r="AK26" i="139"/>
  <c r="AE26" i="139" s="1"/>
  <c r="AP79" i="139" s="1"/>
  <c r="AQ79" i="139" s="1"/>
  <c r="AD40" i="139" s="1"/>
  <c r="Y28" i="139"/>
  <c r="AN76" i="139"/>
  <c r="AO76" i="139" s="1"/>
  <c r="AN84" i="139"/>
  <c r="AO84" i="139" s="1"/>
  <c r="AN77" i="139"/>
  <c r="AO77" i="139" s="1"/>
  <c r="AN85" i="139"/>
  <c r="AO85" i="139" s="1"/>
  <c r="Y25" i="138"/>
  <c r="AL78" i="138"/>
  <c r="AM78" i="138" s="1"/>
  <c r="AP86" i="138"/>
  <c r="AQ86" i="138" s="1"/>
  <c r="AG37" i="138"/>
  <c r="AP77" i="138"/>
  <c r="AQ77" i="138" s="1"/>
  <c r="AG24" i="138"/>
  <c r="AL76" i="138"/>
  <c r="AM76" i="138" s="1"/>
  <c r="Y23" i="138"/>
  <c r="AP76" i="138"/>
  <c r="AQ76" i="138" s="1"/>
  <c r="AG23" i="138"/>
  <c r="AL80" i="138"/>
  <c r="AM80" i="138" s="1"/>
  <c r="Y28" i="138"/>
  <c r="AP85" i="138"/>
  <c r="AQ85" i="138" s="1"/>
  <c r="AG35" i="138"/>
  <c r="Y37" i="138"/>
  <c r="AL86" i="138"/>
  <c r="AM86" i="138" s="1"/>
  <c r="AE33" i="138"/>
  <c r="AN76" i="138"/>
  <c r="AO76" i="138" s="1"/>
  <c r="AA28" i="138"/>
  <c r="AC28" i="138" s="1"/>
  <c r="AN84" i="138"/>
  <c r="AO84" i="138" s="1"/>
  <c r="AL82" i="138"/>
  <c r="AM82" i="138" s="1"/>
  <c r="AA24" i="138"/>
  <c r="AN77" i="138" s="1"/>
  <c r="AO77" i="138" s="1"/>
  <c r="AN85" i="138"/>
  <c r="AO85" i="138" s="1"/>
  <c r="AC26" i="139"/>
  <c r="AN79" i="138"/>
  <c r="AO79" i="138" s="1"/>
  <c r="AA40" i="138" s="1"/>
  <c r="Y23" i="139"/>
  <c r="Y22" i="139"/>
  <c r="Y22" i="138"/>
  <c r="AC33" i="135"/>
  <c r="AL80" i="135"/>
  <c r="AM80" i="135" s="1"/>
  <c r="E83" i="135"/>
  <c r="AC23" i="135"/>
  <c r="AP79" i="135"/>
  <c r="AQ79" i="135" s="1"/>
  <c r="AD40" i="135" s="1"/>
  <c r="AC28" i="135"/>
  <c r="AN80" i="135"/>
  <c r="AO80" i="135" s="1"/>
  <c r="M30" i="135"/>
  <c r="M41" i="135" s="1"/>
  <c r="M43" i="135" s="1"/>
  <c r="X46" i="135" s="1"/>
  <c r="M40" i="135"/>
  <c r="AL83" i="135"/>
  <c r="AM83" i="135" s="1"/>
  <c r="W41" i="135" s="1"/>
  <c r="W42" i="135" s="1"/>
  <c r="AJ94" i="135" s="1"/>
  <c r="Y33" i="135"/>
  <c r="H36" i="135"/>
  <c r="H37" i="135" s="1"/>
  <c r="AB51" i="135"/>
  <c r="AP80" i="135"/>
  <c r="AQ80" i="135" s="1"/>
  <c r="AL90" i="135"/>
  <c r="AL84" i="139"/>
  <c r="AM84" i="139" s="1"/>
  <c r="Y34" i="139"/>
  <c r="AL82" i="139"/>
  <c r="AM82" i="139" s="1"/>
  <c r="Y31" i="139"/>
  <c r="AN80" i="139"/>
  <c r="AO80" i="139" s="1"/>
  <c r="AC28" i="139"/>
  <c r="AN82" i="139"/>
  <c r="AO82" i="139" s="1"/>
  <c r="AC31" i="139"/>
  <c r="AN78" i="139"/>
  <c r="AO78" i="139" s="1"/>
  <c r="AC25" i="139"/>
  <c r="AL83" i="139"/>
  <c r="AM83" i="139" s="1"/>
  <c r="W41" i="139" s="1"/>
  <c r="Y33" i="139"/>
  <c r="AP84" i="139"/>
  <c r="AQ84" i="139" s="1"/>
  <c r="AG34" i="139"/>
  <c r="W42" i="139"/>
  <c r="AJ94" i="139" s="1"/>
  <c r="AC30" i="139"/>
  <c r="AN81" i="139"/>
  <c r="AO81" i="139" s="1"/>
  <c r="AP83" i="139"/>
  <c r="AQ83" i="139" s="1"/>
  <c r="AD41" i="139" s="1"/>
  <c r="AD42" i="139" s="1"/>
  <c r="AL94" i="139" s="1"/>
  <c r="AG33" i="139"/>
  <c r="Y35" i="139"/>
  <c r="AL85" i="139"/>
  <c r="AM85" i="139" s="1"/>
  <c r="AK25" i="139"/>
  <c r="AE25" i="139" s="1"/>
  <c r="Y26" i="139"/>
  <c r="AG26" i="139"/>
  <c r="AK28" i="139"/>
  <c r="AE30" i="139" s="1"/>
  <c r="AK29" i="139"/>
  <c r="AE31" i="139" s="1"/>
  <c r="Y30" i="139"/>
  <c r="AC34" i="139"/>
  <c r="AC37" i="139"/>
  <c r="AB52" i="139"/>
  <c r="AN83" i="139"/>
  <c r="AO83" i="139" s="1"/>
  <c r="AA41" i="139" s="1"/>
  <c r="AA42" i="139" s="1"/>
  <c r="AK94" i="139" s="1"/>
  <c r="AC24" i="139"/>
  <c r="AK27" i="139"/>
  <c r="AE28" i="139" s="1"/>
  <c r="AP79" i="138"/>
  <c r="AQ79" i="138" s="1"/>
  <c r="AD40" i="138" s="1"/>
  <c r="AG26" i="138"/>
  <c r="AL81" i="138"/>
  <c r="AM81" i="138" s="1"/>
  <c r="Y30" i="138"/>
  <c r="Y31" i="138"/>
  <c r="Y35" i="138"/>
  <c r="AL85" i="138"/>
  <c r="AM85" i="138" s="1"/>
  <c r="H36" i="138"/>
  <c r="H37" i="138" s="1"/>
  <c r="AL79" i="138"/>
  <c r="AM79" i="138" s="1"/>
  <c r="W40" i="138" s="1"/>
  <c r="Y26" i="138"/>
  <c r="S30" i="138"/>
  <c r="S31" i="138" s="1"/>
  <c r="AL91" i="138" s="1"/>
  <c r="AE31" i="138"/>
  <c r="AL83" i="138"/>
  <c r="AM83" i="138" s="1"/>
  <c r="W41" i="138" s="1"/>
  <c r="Y33" i="138"/>
  <c r="AL84" i="138"/>
  <c r="AM84" i="138" s="1"/>
  <c r="Y34" i="138"/>
  <c r="AP83" i="138"/>
  <c r="AQ83" i="138" s="1"/>
  <c r="AD41" i="138" s="1"/>
  <c r="AG33" i="138"/>
  <c r="AE25" i="138"/>
  <c r="AE30" i="138"/>
  <c r="AP84" i="138"/>
  <c r="AQ84" i="138" s="1"/>
  <c r="AG34" i="138"/>
  <c r="AC34" i="138"/>
  <c r="F36" i="138"/>
  <c r="F37" i="138" s="1"/>
  <c r="AC37" i="138"/>
  <c r="AN83" i="138"/>
  <c r="AO83" i="138" s="1"/>
  <c r="AA41" i="138" s="1"/>
  <c r="AA42" i="138" s="1"/>
  <c r="AK94" i="138" s="1"/>
  <c r="AE28" i="138"/>
  <c r="S30" i="135"/>
  <c r="S31" i="135" s="1"/>
  <c r="AL91" i="135" s="1"/>
  <c r="R30" i="135"/>
  <c r="R31" i="135" s="1"/>
  <c r="AK91" i="135" s="1"/>
  <c r="Q30" i="135"/>
  <c r="Q31" i="135" s="1"/>
  <c r="AJ91" i="135" s="1"/>
  <c r="E37" i="135"/>
  <c r="AN78" i="135"/>
  <c r="AO78" i="135" s="1"/>
  <c r="AC25" i="135"/>
  <c r="AL82" i="135"/>
  <c r="AM82" i="135" s="1"/>
  <c r="Y31" i="135"/>
  <c r="AP84" i="135"/>
  <c r="AQ84" i="135" s="1"/>
  <c r="AG34" i="135"/>
  <c r="AN82" i="135"/>
  <c r="AO82" i="135" s="1"/>
  <c r="AC31" i="135"/>
  <c r="AP83" i="135"/>
  <c r="AQ83" i="135" s="1"/>
  <c r="AD41" i="135" s="1"/>
  <c r="AG33" i="135"/>
  <c r="AC26" i="135"/>
  <c r="AN79" i="135"/>
  <c r="AO79" i="135" s="1"/>
  <c r="AA40" i="135" s="1"/>
  <c r="AC30" i="135"/>
  <c r="AN81" i="135"/>
  <c r="AO81" i="135" s="1"/>
  <c r="AL84" i="135"/>
  <c r="AM84" i="135" s="1"/>
  <c r="Y34" i="135"/>
  <c r="Y35" i="135"/>
  <c r="AL85" i="135"/>
  <c r="AM85" i="135" s="1"/>
  <c r="G36" i="135"/>
  <c r="G37" i="135" s="1"/>
  <c r="Y26" i="135"/>
  <c r="Y30" i="135"/>
  <c r="AC34" i="135"/>
  <c r="AC35" i="135"/>
  <c r="F36" i="135"/>
  <c r="F37" i="135" s="1"/>
  <c r="AC37" i="135"/>
  <c r="AB52" i="135"/>
  <c r="AN83" i="135"/>
  <c r="AO83" i="135" s="1"/>
  <c r="AA41" i="135" s="1"/>
  <c r="AG28" i="135"/>
  <c r="AJ22" i="122"/>
  <c r="AJ30" i="122"/>
  <c r="AG28" i="141" l="1"/>
  <c r="AA42" i="140"/>
  <c r="AK94" i="140" s="1"/>
  <c r="AG25" i="142"/>
  <c r="AP78" i="142"/>
  <c r="AQ78" i="142" s="1"/>
  <c r="M30" i="140"/>
  <c r="M41" i="140" s="1"/>
  <c r="AN85" i="141"/>
  <c r="AO85" i="141" s="1"/>
  <c r="AG37" i="141"/>
  <c r="AN78" i="141"/>
  <c r="AO78" i="141" s="1"/>
  <c r="AC34" i="141"/>
  <c r="AN84" i="141"/>
  <c r="AO84" i="141" s="1"/>
  <c r="AG26" i="140"/>
  <c r="AC33" i="141"/>
  <c r="AN83" i="141"/>
  <c r="AO83" i="141" s="1"/>
  <c r="AA41" i="141" s="1"/>
  <c r="AP83" i="141"/>
  <c r="AQ83" i="141" s="1"/>
  <c r="AD41" i="141" s="1"/>
  <c r="AG33" i="141"/>
  <c r="AC31" i="141"/>
  <c r="AN82" i="141"/>
  <c r="AO82" i="141" s="1"/>
  <c r="AG23" i="141"/>
  <c r="AP76" i="141"/>
  <c r="AQ76" i="141" s="1"/>
  <c r="AP83" i="142"/>
  <c r="AQ83" i="142" s="1"/>
  <c r="AD41" i="142" s="1"/>
  <c r="AD42" i="142" s="1"/>
  <c r="AL94" i="142" s="1"/>
  <c r="AG33" i="142"/>
  <c r="AP79" i="141"/>
  <c r="AQ79" i="141" s="1"/>
  <c r="AD40" i="141" s="1"/>
  <c r="AG26" i="141"/>
  <c r="AP81" i="141"/>
  <c r="AQ81" i="141" s="1"/>
  <c r="AG30" i="141"/>
  <c r="AN77" i="142"/>
  <c r="AO77" i="142" s="1"/>
  <c r="AC24" i="142"/>
  <c r="AN80" i="142"/>
  <c r="AO80" i="142" s="1"/>
  <c r="AC28" i="142"/>
  <c r="AN76" i="141"/>
  <c r="AO76" i="141" s="1"/>
  <c r="AC23" i="141"/>
  <c r="AN83" i="142"/>
  <c r="AO83" i="142" s="1"/>
  <c r="AA41" i="142" s="1"/>
  <c r="AA42" i="142" s="1"/>
  <c r="AK94" i="142" s="1"/>
  <c r="AC26" i="141"/>
  <c r="AN79" i="141"/>
  <c r="AO79" i="141" s="1"/>
  <c r="AA40" i="141" s="1"/>
  <c r="AP78" i="140"/>
  <c r="AQ78" i="140" s="1"/>
  <c r="AG25" i="140"/>
  <c r="AP82" i="140"/>
  <c r="AQ82" i="140" s="1"/>
  <c r="AG31" i="140"/>
  <c r="AP83" i="140"/>
  <c r="AQ83" i="140" s="1"/>
  <c r="AD41" i="140" s="1"/>
  <c r="AD42" i="140" s="1"/>
  <c r="AL94" i="140" s="1"/>
  <c r="AG33" i="140"/>
  <c r="AP81" i="140"/>
  <c r="AQ81" i="140" s="1"/>
  <c r="AG30" i="140"/>
  <c r="X45" i="138"/>
  <c r="AC23" i="139"/>
  <c r="AC35" i="139"/>
  <c r="AC24" i="138"/>
  <c r="AC23" i="138"/>
  <c r="AC35" i="138"/>
  <c r="AN80" i="138"/>
  <c r="AO80" i="138" s="1"/>
  <c r="AG26" i="135"/>
  <c r="AD42" i="135"/>
  <c r="AL94" i="135" s="1"/>
  <c r="M39" i="135"/>
  <c r="X45" i="135" s="1"/>
  <c r="AN77" i="135"/>
  <c r="AO77" i="135" s="1"/>
  <c r="AC24" i="135"/>
  <c r="AP78" i="139"/>
  <c r="AQ78" i="139" s="1"/>
  <c r="AG25" i="139"/>
  <c r="AP81" i="139"/>
  <c r="AQ81" i="139" s="1"/>
  <c r="AG30" i="139"/>
  <c r="AP82" i="139"/>
  <c r="AQ82" i="139" s="1"/>
  <c r="AG31" i="139"/>
  <c r="AP80" i="139"/>
  <c r="AQ80" i="139" s="1"/>
  <c r="AG28" i="139"/>
  <c r="AC30" i="138"/>
  <c r="AN81" i="138"/>
  <c r="AO81" i="138" s="1"/>
  <c r="AP80" i="138"/>
  <c r="AQ80" i="138" s="1"/>
  <c r="AG28" i="138"/>
  <c r="AP78" i="138"/>
  <c r="AQ78" i="138" s="1"/>
  <c r="AG25" i="138"/>
  <c r="AG31" i="138"/>
  <c r="AP82" i="138"/>
  <c r="AQ82" i="138" s="1"/>
  <c r="W42" i="138"/>
  <c r="AJ94" i="138" s="1"/>
  <c r="AG30" i="138"/>
  <c r="AP81" i="138"/>
  <c r="AQ81" i="138" s="1"/>
  <c r="AN78" i="138"/>
  <c r="AO78" i="138" s="1"/>
  <c r="AC25" i="138"/>
  <c r="AN82" i="138"/>
  <c r="AO82" i="138" s="1"/>
  <c r="AC31" i="138"/>
  <c r="AD42" i="138"/>
  <c r="AL94" i="138" s="1"/>
  <c r="AP78" i="135"/>
  <c r="AQ78" i="135" s="1"/>
  <c r="AG25" i="135"/>
  <c r="AP81" i="135"/>
  <c r="AQ81" i="135" s="1"/>
  <c r="AG30" i="135"/>
  <c r="AA42" i="135"/>
  <c r="AK94" i="135" s="1"/>
  <c r="AP82" i="135"/>
  <c r="AQ82" i="135" s="1"/>
  <c r="AG31" i="135"/>
  <c r="Y37" i="134"/>
  <c r="M28" i="130"/>
  <c r="AD42" i="141" l="1"/>
  <c r="AL94" i="141" s="1"/>
  <c r="M43" i="140"/>
  <c r="X46" i="140" s="1"/>
  <c r="M39" i="140"/>
  <c r="X45" i="140" s="1"/>
  <c r="AA42" i="141"/>
  <c r="AK94" i="141" s="1"/>
  <c r="G22" i="117"/>
  <c r="AJ86" i="134" l="1"/>
  <c r="AK86" i="134" s="1"/>
  <c r="AJ85" i="134"/>
  <c r="AK85" i="134" s="1"/>
  <c r="L85" i="134"/>
  <c r="AJ84" i="134"/>
  <c r="AK84" i="134" s="1"/>
  <c r="AJ83" i="134"/>
  <c r="AK83" i="134" s="1"/>
  <c r="AJ82" i="134"/>
  <c r="AK82" i="134" s="1"/>
  <c r="AJ81" i="134"/>
  <c r="AK81" i="134" s="1"/>
  <c r="AJ80" i="134"/>
  <c r="AK80" i="134" s="1"/>
  <c r="AJ79" i="134"/>
  <c r="AK79" i="134" s="1"/>
  <c r="AJ78" i="134"/>
  <c r="AK78" i="134" s="1"/>
  <c r="D78" i="134"/>
  <c r="AK77" i="134"/>
  <c r="AJ77" i="134"/>
  <c r="AJ76" i="134"/>
  <c r="AK76" i="134" s="1"/>
  <c r="AP75" i="134"/>
  <c r="AQ75" i="134" s="1"/>
  <c r="AN75" i="134"/>
  <c r="AO75" i="134" s="1"/>
  <c r="AJ75" i="134"/>
  <c r="AK75" i="134" s="1"/>
  <c r="AH47" i="134"/>
  <c r="AH48" i="134" s="1"/>
  <c r="AG47" i="134"/>
  <c r="AG48" i="134" s="1"/>
  <c r="AF47" i="134"/>
  <c r="AF48" i="134" s="1"/>
  <c r="X47" i="134"/>
  <c r="S47" i="134"/>
  <c r="R47" i="134"/>
  <c r="Q47" i="134"/>
  <c r="M42" i="134"/>
  <c r="S92" i="134" s="1"/>
  <c r="S40" i="134"/>
  <c r="R40" i="134"/>
  <c r="Q40" i="134"/>
  <c r="AD39" i="134"/>
  <c r="AA39" i="134"/>
  <c r="W39" i="134"/>
  <c r="AS37" i="134"/>
  <c r="V37" i="134"/>
  <c r="AS36" i="134"/>
  <c r="AS35" i="134"/>
  <c r="V35" i="134"/>
  <c r="AS34" i="134"/>
  <c r="V34" i="134"/>
  <c r="H34" i="134"/>
  <c r="J84" i="134" s="1"/>
  <c r="J83" i="134" s="1"/>
  <c r="G34" i="134"/>
  <c r="I84" i="134" s="1"/>
  <c r="I83" i="134" s="1"/>
  <c r="F34" i="134"/>
  <c r="H84" i="134" s="1"/>
  <c r="H83" i="134" s="1"/>
  <c r="E34" i="134"/>
  <c r="G84" i="134" s="1"/>
  <c r="G83" i="134" s="1"/>
  <c r="AS33" i="134"/>
  <c r="AJ33" i="134"/>
  <c r="AA37" i="134" s="1"/>
  <c r="AI33" i="134"/>
  <c r="V33" i="134"/>
  <c r="M33" i="134"/>
  <c r="AS32" i="134"/>
  <c r="AJ32" i="134"/>
  <c r="AA35" i="134" s="1"/>
  <c r="AI32" i="134"/>
  <c r="W35" i="134" s="1"/>
  <c r="AS31" i="134"/>
  <c r="AJ31" i="134"/>
  <c r="AI31" i="134"/>
  <c r="W34" i="134" s="1"/>
  <c r="AL84" i="134" s="1"/>
  <c r="AM84" i="134" s="1"/>
  <c r="V31" i="134"/>
  <c r="M31" i="134"/>
  <c r="AS30" i="134"/>
  <c r="AJ30" i="134"/>
  <c r="AA33" i="134" s="1"/>
  <c r="AI30" i="134"/>
  <c r="W33" i="134" s="1"/>
  <c r="V30" i="134"/>
  <c r="AS29" i="134"/>
  <c r="AJ29" i="134"/>
  <c r="AA31" i="134" s="1"/>
  <c r="AI29" i="134"/>
  <c r="W31" i="134" s="1"/>
  <c r="AS28" i="134"/>
  <c r="AJ28" i="134"/>
  <c r="AK28" i="134" s="1"/>
  <c r="AE30" i="134" s="1"/>
  <c r="AI28" i="134"/>
  <c r="W30" i="134" s="1"/>
  <c r="AL81" i="134" s="1"/>
  <c r="AM81" i="134" s="1"/>
  <c r="V28" i="134"/>
  <c r="S28" i="134"/>
  <c r="R28" i="134"/>
  <c r="Q28" i="134"/>
  <c r="M28" i="134"/>
  <c r="AS27" i="134"/>
  <c r="AJ27" i="134"/>
  <c r="AA28" i="134" s="1"/>
  <c r="AI27" i="134"/>
  <c r="S27" i="134"/>
  <c r="R27" i="134"/>
  <c r="Q27" i="134"/>
  <c r="AS26" i="134"/>
  <c r="AJ26" i="134"/>
  <c r="AA26" i="134" s="1"/>
  <c r="AI26" i="134"/>
  <c r="W26" i="134" s="1"/>
  <c r="V26" i="134"/>
  <c r="AS25" i="134"/>
  <c r="AJ25" i="134"/>
  <c r="AA25" i="134" s="1"/>
  <c r="AN78" i="134" s="1"/>
  <c r="AO78" i="134" s="1"/>
  <c r="AI25" i="134"/>
  <c r="V25" i="134"/>
  <c r="H25" i="134"/>
  <c r="G25" i="134"/>
  <c r="F25" i="134"/>
  <c r="F36" i="134" s="1"/>
  <c r="E25" i="134"/>
  <c r="E36" i="134" s="1"/>
  <c r="AS24" i="134"/>
  <c r="AJ24" i="134"/>
  <c r="AK24" i="134" s="1"/>
  <c r="AI24" i="134"/>
  <c r="V24" i="134"/>
  <c r="F24" i="134"/>
  <c r="G24" i="134" s="1"/>
  <c r="H24" i="134" s="1"/>
  <c r="AS23" i="134"/>
  <c r="AJ23" i="134"/>
  <c r="AA23" i="134" s="1"/>
  <c r="AI23" i="134"/>
  <c r="V23" i="134"/>
  <c r="AS22" i="134"/>
  <c r="AJ22" i="134"/>
  <c r="AK22" i="134" s="1"/>
  <c r="AI22" i="134"/>
  <c r="AG22" i="134"/>
  <c r="AC22" i="134"/>
  <c r="AL75" i="134"/>
  <c r="AM75" i="134" s="1"/>
  <c r="V22" i="134"/>
  <c r="M20" i="134"/>
  <c r="F20" i="134"/>
  <c r="G20" i="134" s="1"/>
  <c r="H20" i="134" s="1"/>
  <c r="AE19" i="134"/>
  <c r="AB53" i="134" s="1"/>
  <c r="AA19" i="134"/>
  <c r="AK90" i="134" s="1"/>
  <c r="W19" i="134"/>
  <c r="AJ90" i="134" s="1"/>
  <c r="Q13" i="134"/>
  <c r="AF12" i="134"/>
  <c r="AC12" i="134"/>
  <c r="V12" i="134"/>
  <c r="R12" i="134"/>
  <c r="W10" i="134"/>
  <c r="Q10" i="134"/>
  <c r="O10" i="134"/>
  <c r="W9" i="134"/>
  <c r="Q9" i="134"/>
  <c r="O9" i="134"/>
  <c r="AV8" i="134"/>
  <c r="AB8" i="134"/>
  <c r="W8" i="134"/>
  <c r="Q8" i="134"/>
  <c r="O8" i="134"/>
  <c r="AB7" i="134"/>
  <c r="W7" i="134"/>
  <c r="Q7" i="134"/>
  <c r="O7" i="134"/>
  <c r="AB6" i="134"/>
  <c r="W6" i="134"/>
  <c r="Q6" i="134"/>
  <c r="O6" i="134"/>
  <c r="R1" i="134"/>
  <c r="AJ86" i="133"/>
  <c r="AK86" i="133" s="1"/>
  <c r="AJ85" i="133"/>
  <c r="AK85" i="133" s="1"/>
  <c r="L85" i="133"/>
  <c r="AJ84" i="133"/>
  <c r="AK84" i="133" s="1"/>
  <c r="AJ83" i="133"/>
  <c r="AK83" i="133" s="1"/>
  <c r="AJ82" i="133"/>
  <c r="AK82" i="133" s="1"/>
  <c r="AJ81" i="133"/>
  <c r="AK81" i="133" s="1"/>
  <c r="AJ80" i="133"/>
  <c r="AK80" i="133" s="1"/>
  <c r="AJ79" i="133"/>
  <c r="AK79" i="133" s="1"/>
  <c r="AJ78" i="133"/>
  <c r="AK78" i="133" s="1"/>
  <c r="D78" i="133"/>
  <c r="AJ77" i="133"/>
  <c r="AK77" i="133" s="1"/>
  <c r="AJ76" i="133"/>
  <c r="AK76" i="133" s="1"/>
  <c r="AP75" i="133"/>
  <c r="AQ75" i="133" s="1"/>
  <c r="AN75" i="133"/>
  <c r="AO75" i="133" s="1"/>
  <c r="AJ75" i="133"/>
  <c r="AK75" i="133" s="1"/>
  <c r="AH47" i="133"/>
  <c r="AH48" i="133" s="1"/>
  <c r="AG47" i="133"/>
  <c r="AG48" i="133" s="1"/>
  <c r="AF47" i="133"/>
  <c r="AF48" i="133" s="1"/>
  <c r="X47" i="133"/>
  <c r="S47" i="133"/>
  <c r="R47" i="133"/>
  <c r="Q47" i="133"/>
  <c r="M42" i="133"/>
  <c r="E83" i="133" s="1"/>
  <c r="S40" i="133"/>
  <c r="R40" i="133"/>
  <c r="Q40" i="133"/>
  <c r="AD39" i="133"/>
  <c r="AA39" i="133"/>
  <c r="W39" i="133"/>
  <c r="AS37" i="133"/>
  <c r="V37" i="133"/>
  <c r="AS36" i="133"/>
  <c r="AS35" i="133"/>
  <c r="V35" i="133"/>
  <c r="AS34" i="133"/>
  <c r="V34" i="133"/>
  <c r="H34" i="133"/>
  <c r="J84" i="133" s="1"/>
  <c r="J83" i="133" s="1"/>
  <c r="G34" i="133"/>
  <c r="I84" i="133" s="1"/>
  <c r="I83" i="133" s="1"/>
  <c r="F34" i="133"/>
  <c r="H84" i="133" s="1"/>
  <c r="H83" i="133" s="1"/>
  <c r="E34" i="133"/>
  <c r="G84" i="133" s="1"/>
  <c r="G83" i="133" s="1"/>
  <c r="AS33" i="133"/>
  <c r="AJ33" i="133"/>
  <c r="AA37" i="133" s="1"/>
  <c r="AI33" i="133"/>
  <c r="V33" i="133"/>
  <c r="M33" i="133"/>
  <c r="AS32" i="133"/>
  <c r="AJ32" i="133"/>
  <c r="AA35" i="133" s="1"/>
  <c r="AI32" i="133"/>
  <c r="W35" i="133" s="1"/>
  <c r="AS31" i="133"/>
  <c r="AJ31" i="133"/>
  <c r="AI31" i="133"/>
  <c r="W34" i="133" s="1"/>
  <c r="V31" i="133"/>
  <c r="M31" i="133"/>
  <c r="AS30" i="133"/>
  <c r="AJ30" i="133"/>
  <c r="AA33" i="133" s="1"/>
  <c r="AI30" i="133"/>
  <c r="AL83" i="133" s="1"/>
  <c r="AM83" i="133" s="1"/>
  <c r="W41" i="133" s="1"/>
  <c r="V30" i="133"/>
  <c r="AS29" i="133"/>
  <c r="AJ29" i="133"/>
  <c r="AA31" i="133" s="1"/>
  <c r="AI29" i="133"/>
  <c r="AS28" i="133"/>
  <c r="AJ28" i="133"/>
  <c r="AK28" i="133" s="1"/>
  <c r="AE30" i="133" s="1"/>
  <c r="AI28" i="133"/>
  <c r="V28" i="133"/>
  <c r="S28" i="133"/>
  <c r="R28" i="133"/>
  <c r="Q28" i="133"/>
  <c r="M28" i="133"/>
  <c r="AS27" i="133"/>
  <c r="AJ27" i="133"/>
  <c r="AA28" i="133" s="1"/>
  <c r="AN80" i="133" s="1"/>
  <c r="AO80" i="133" s="1"/>
  <c r="AI27" i="133"/>
  <c r="S27" i="133"/>
  <c r="R27" i="133"/>
  <c r="Q27" i="133"/>
  <c r="AS26" i="133"/>
  <c r="AJ26" i="133"/>
  <c r="AA26" i="133" s="1"/>
  <c r="AI26" i="133"/>
  <c r="AL79" i="133" s="1"/>
  <c r="AM79" i="133" s="1"/>
  <c r="W40" i="133" s="1"/>
  <c r="V26" i="133"/>
  <c r="AS25" i="133"/>
  <c r="AJ25" i="133"/>
  <c r="AA25" i="133" s="1"/>
  <c r="AI25" i="133"/>
  <c r="V25" i="133"/>
  <c r="H25" i="133"/>
  <c r="G25" i="133"/>
  <c r="F25" i="133"/>
  <c r="E25" i="133"/>
  <c r="E36" i="133" s="1"/>
  <c r="AS24" i="133"/>
  <c r="AJ24" i="133"/>
  <c r="AK24" i="133" s="1"/>
  <c r="AI24" i="133"/>
  <c r="V24" i="133"/>
  <c r="F24" i="133"/>
  <c r="G24" i="133" s="1"/>
  <c r="H24" i="133" s="1"/>
  <c r="AS23" i="133"/>
  <c r="AJ23" i="133"/>
  <c r="AA23" i="133" s="1"/>
  <c r="AI23" i="133"/>
  <c r="AL76" i="133" s="1"/>
  <c r="AM76" i="133" s="1"/>
  <c r="V23" i="133"/>
  <c r="AS22" i="133"/>
  <c r="AJ22" i="133"/>
  <c r="AK22" i="133" s="1"/>
  <c r="AI22" i="133"/>
  <c r="AG22" i="133"/>
  <c r="AC22" i="133"/>
  <c r="Y22" i="133"/>
  <c r="AL75" i="133"/>
  <c r="AM75" i="133" s="1"/>
  <c r="V22" i="133"/>
  <c r="M20" i="133"/>
  <c r="F20" i="133"/>
  <c r="G20" i="133" s="1"/>
  <c r="H20" i="133" s="1"/>
  <c r="AE19" i="133"/>
  <c r="AB53" i="133" s="1"/>
  <c r="AA19" i="133"/>
  <c r="AK90" i="133" s="1"/>
  <c r="W19" i="133"/>
  <c r="AJ90" i="133" s="1"/>
  <c r="Q13" i="133"/>
  <c r="AF12" i="133"/>
  <c r="AC12" i="133"/>
  <c r="V12" i="133"/>
  <c r="R12" i="133"/>
  <c r="W10" i="133"/>
  <c r="Q10" i="133"/>
  <c r="O10" i="133"/>
  <c r="W9" i="133"/>
  <c r="Q9" i="133"/>
  <c r="O9" i="133"/>
  <c r="AV8" i="133"/>
  <c r="AB8" i="133"/>
  <c r="W8" i="133"/>
  <c r="Q8" i="133"/>
  <c r="O8" i="133"/>
  <c r="AB7" i="133"/>
  <c r="W7" i="133"/>
  <c r="Q7" i="133"/>
  <c r="O7" i="133"/>
  <c r="AB6" i="133"/>
  <c r="W6" i="133"/>
  <c r="Q6" i="133"/>
  <c r="O6" i="133"/>
  <c r="R1" i="133"/>
  <c r="AJ86" i="132"/>
  <c r="AK86" i="132" s="1"/>
  <c r="AJ85" i="132"/>
  <c r="AK85" i="132" s="1"/>
  <c r="L85" i="132"/>
  <c r="AJ84" i="132"/>
  <c r="AK84" i="132" s="1"/>
  <c r="AJ83" i="132"/>
  <c r="AK83" i="132" s="1"/>
  <c r="AJ82" i="132"/>
  <c r="AK82" i="132" s="1"/>
  <c r="AJ81" i="132"/>
  <c r="AK81" i="132" s="1"/>
  <c r="AJ80" i="132"/>
  <c r="AK80" i="132" s="1"/>
  <c r="AJ79" i="132"/>
  <c r="AK79" i="132" s="1"/>
  <c r="AJ78" i="132"/>
  <c r="AK78" i="132" s="1"/>
  <c r="D78" i="132"/>
  <c r="AJ77" i="132"/>
  <c r="AK77" i="132" s="1"/>
  <c r="AJ76" i="132"/>
  <c r="AK76" i="132" s="1"/>
  <c r="AP75" i="132"/>
  <c r="AQ75" i="132" s="1"/>
  <c r="AN75" i="132"/>
  <c r="AO75" i="132" s="1"/>
  <c r="AJ75" i="132"/>
  <c r="AK75" i="132" s="1"/>
  <c r="AH47" i="132"/>
  <c r="AH48" i="132" s="1"/>
  <c r="AG47" i="132"/>
  <c r="AG48" i="132" s="1"/>
  <c r="AF47" i="132"/>
  <c r="AF48" i="132" s="1"/>
  <c r="X47" i="132"/>
  <c r="S47" i="132"/>
  <c r="R47" i="132"/>
  <c r="Q47" i="132"/>
  <c r="M42" i="132"/>
  <c r="S92" i="132" s="1"/>
  <c r="S40" i="132"/>
  <c r="R40" i="132"/>
  <c r="Q40" i="132"/>
  <c r="AD39" i="132"/>
  <c r="AA39" i="132"/>
  <c r="W39" i="132"/>
  <c r="AS37" i="132"/>
  <c r="V37" i="132"/>
  <c r="AS36" i="132"/>
  <c r="AS35" i="132"/>
  <c r="V35" i="132"/>
  <c r="AS34" i="132"/>
  <c r="V34" i="132"/>
  <c r="H34" i="132"/>
  <c r="J84" i="132" s="1"/>
  <c r="J83" i="132" s="1"/>
  <c r="G34" i="132"/>
  <c r="I84" i="132" s="1"/>
  <c r="I83" i="132" s="1"/>
  <c r="F34" i="132"/>
  <c r="H84" i="132" s="1"/>
  <c r="H83" i="132" s="1"/>
  <c r="E34" i="132"/>
  <c r="G84" i="132" s="1"/>
  <c r="G83" i="132" s="1"/>
  <c r="AS33" i="132"/>
  <c r="AJ33" i="132"/>
  <c r="AA37" i="132" s="1"/>
  <c r="AN86" i="132" s="1"/>
  <c r="AO86" i="132" s="1"/>
  <c r="AI33" i="132"/>
  <c r="Y37" i="132" s="1"/>
  <c r="V33" i="132"/>
  <c r="M33" i="132"/>
  <c r="AS32" i="132"/>
  <c r="AJ32" i="132"/>
  <c r="AK32" i="132" s="1"/>
  <c r="AI32" i="132"/>
  <c r="Y35" i="132" s="1"/>
  <c r="AS31" i="132"/>
  <c r="AJ31" i="132"/>
  <c r="AC34" i="132" s="1"/>
  <c r="AI31" i="132"/>
  <c r="AL84" i="132" s="1"/>
  <c r="AM84" i="132" s="1"/>
  <c r="V31" i="132"/>
  <c r="M31" i="132"/>
  <c r="AS30" i="132"/>
  <c r="AJ30" i="132"/>
  <c r="AA33" i="132" s="1"/>
  <c r="AC33" i="132" s="1"/>
  <c r="AI30" i="132"/>
  <c r="V30" i="132"/>
  <c r="AS29" i="132"/>
  <c r="AJ29" i="132"/>
  <c r="AA31" i="132" s="1"/>
  <c r="AC31" i="132" s="1"/>
  <c r="AI29" i="132"/>
  <c r="AL82" i="132" s="1"/>
  <c r="AM82" i="132" s="1"/>
  <c r="AS28" i="132"/>
  <c r="AJ28" i="132"/>
  <c r="AA30" i="132" s="1"/>
  <c r="AN81" i="132" s="1"/>
  <c r="AO81" i="132" s="1"/>
  <c r="AI28" i="132"/>
  <c r="W30" i="132" s="1"/>
  <c r="V28" i="132"/>
  <c r="S28" i="132"/>
  <c r="R28" i="132"/>
  <c r="Q28" i="132"/>
  <c r="M28" i="132"/>
  <c r="AS27" i="132"/>
  <c r="AJ27" i="132"/>
  <c r="AK27" i="132" s="1"/>
  <c r="AE28" i="132" s="1"/>
  <c r="AI27" i="132"/>
  <c r="W28" i="132" s="1"/>
  <c r="S27" i="132"/>
  <c r="R27" i="132"/>
  <c r="Q27" i="132"/>
  <c r="AS26" i="132"/>
  <c r="AJ26" i="132"/>
  <c r="AK26" i="132" s="1"/>
  <c r="AE26" i="132" s="1"/>
  <c r="AP79" i="132" s="1"/>
  <c r="AQ79" i="132" s="1"/>
  <c r="AD40" i="132" s="1"/>
  <c r="AI26" i="132"/>
  <c r="W26" i="132" s="1"/>
  <c r="V26" i="132"/>
  <c r="AS25" i="132"/>
  <c r="AJ25" i="132"/>
  <c r="AA25" i="132" s="1"/>
  <c r="AN78" i="132" s="1"/>
  <c r="AO78" i="132" s="1"/>
  <c r="AI25" i="132"/>
  <c r="W25" i="132" s="1"/>
  <c r="AL78" i="132" s="1"/>
  <c r="AM78" i="132" s="1"/>
  <c r="V25" i="132"/>
  <c r="H25" i="132"/>
  <c r="G25" i="132"/>
  <c r="F25" i="132"/>
  <c r="E25" i="132"/>
  <c r="E36" i="132" s="1"/>
  <c r="AS24" i="132"/>
  <c r="AJ24" i="132"/>
  <c r="AK24" i="132" s="1"/>
  <c r="AI24" i="132"/>
  <c r="W24" i="132" s="1"/>
  <c r="Y24" i="132" s="1"/>
  <c r="V24" i="132"/>
  <c r="F24" i="132"/>
  <c r="G24" i="132" s="1"/>
  <c r="H24" i="132" s="1"/>
  <c r="AS23" i="132"/>
  <c r="AJ23" i="132"/>
  <c r="AK23" i="132" s="1"/>
  <c r="AI23" i="132"/>
  <c r="W23" i="132" s="1"/>
  <c r="Y23" i="132" s="1"/>
  <c r="V23" i="132"/>
  <c r="AS22" i="132"/>
  <c r="AJ22" i="132"/>
  <c r="AK22" i="132" s="1"/>
  <c r="AI22" i="132"/>
  <c r="AG22" i="132"/>
  <c r="AC22" i="132"/>
  <c r="W22" i="132"/>
  <c r="Y22" i="132" s="1"/>
  <c r="V22" i="132"/>
  <c r="M20" i="132"/>
  <c r="F20" i="132"/>
  <c r="G20" i="132" s="1"/>
  <c r="H20" i="132" s="1"/>
  <c r="AE19" i="132"/>
  <c r="AB53" i="132" s="1"/>
  <c r="AA19" i="132"/>
  <c r="AK90" i="132" s="1"/>
  <c r="W19" i="132"/>
  <c r="AB51" i="132" s="1"/>
  <c r="Q13" i="132"/>
  <c r="AF12" i="132"/>
  <c r="AC12" i="132"/>
  <c r="V12" i="132"/>
  <c r="R12" i="132"/>
  <c r="W10" i="132"/>
  <c r="Q10" i="132"/>
  <c r="O10" i="132"/>
  <c r="W9" i="132"/>
  <c r="Q9" i="132"/>
  <c r="O9" i="132"/>
  <c r="AV8" i="132"/>
  <c r="AB8" i="132"/>
  <c r="W8" i="132"/>
  <c r="Q8" i="132"/>
  <c r="O8" i="132"/>
  <c r="AB7" i="132"/>
  <c r="W7" i="132"/>
  <c r="Q7" i="132"/>
  <c r="O7" i="132"/>
  <c r="AB6" i="132"/>
  <c r="W6" i="132"/>
  <c r="Q6" i="132"/>
  <c r="O6" i="132"/>
  <c r="R1" i="132"/>
  <c r="AJ86" i="131"/>
  <c r="AK86" i="131" s="1"/>
  <c r="AJ85" i="131"/>
  <c r="AK85" i="131" s="1"/>
  <c r="L85" i="131"/>
  <c r="AJ84" i="131"/>
  <c r="AK84" i="131" s="1"/>
  <c r="AJ83" i="131"/>
  <c r="AK83" i="131" s="1"/>
  <c r="AJ82" i="131"/>
  <c r="AK82" i="131" s="1"/>
  <c r="AJ81" i="131"/>
  <c r="AK81" i="131" s="1"/>
  <c r="AJ80" i="131"/>
  <c r="AK80" i="131" s="1"/>
  <c r="AJ79" i="131"/>
  <c r="AK79" i="131" s="1"/>
  <c r="AJ78" i="131"/>
  <c r="AK78" i="131" s="1"/>
  <c r="D78" i="131"/>
  <c r="AJ77" i="131"/>
  <c r="AK77" i="131" s="1"/>
  <c r="AJ76" i="131"/>
  <c r="AK76" i="131" s="1"/>
  <c r="AP75" i="131"/>
  <c r="AQ75" i="131" s="1"/>
  <c r="AN75" i="131"/>
  <c r="AO75" i="131" s="1"/>
  <c r="AJ75" i="131"/>
  <c r="AK75" i="131" s="1"/>
  <c r="AH47" i="131"/>
  <c r="AH48" i="131" s="1"/>
  <c r="AG47" i="131"/>
  <c r="AG48" i="131" s="1"/>
  <c r="AF47" i="131"/>
  <c r="AF48" i="131" s="1"/>
  <c r="X47" i="131"/>
  <c r="S47" i="131"/>
  <c r="R47" i="131"/>
  <c r="Q47" i="131"/>
  <c r="M42" i="131"/>
  <c r="S92" i="131" s="1"/>
  <c r="S40" i="131"/>
  <c r="R40" i="131"/>
  <c r="Q40" i="131"/>
  <c r="AD39" i="131"/>
  <c r="AA39" i="131"/>
  <c r="W39" i="131"/>
  <c r="AS37" i="131"/>
  <c r="V37" i="131"/>
  <c r="AS36" i="131"/>
  <c r="AS35" i="131"/>
  <c r="V35" i="131"/>
  <c r="AS34" i="131"/>
  <c r="V34" i="131"/>
  <c r="H34" i="131"/>
  <c r="J84" i="131" s="1"/>
  <c r="J83" i="131" s="1"/>
  <c r="G34" i="131"/>
  <c r="I84" i="131" s="1"/>
  <c r="I83" i="131" s="1"/>
  <c r="F34" i="131"/>
  <c r="H84" i="131" s="1"/>
  <c r="H83" i="131" s="1"/>
  <c r="E34" i="131"/>
  <c r="G84" i="131" s="1"/>
  <c r="G83" i="131" s="1"/>
  <c r="AS33" i="131"/>
  <c r="AJ33" i="131"/>
  <c r="AA37" i="131" s="1"/>
  <c r="AI33" i="131"/>
  <c r="W37" i="131" s="1"/>
  <c r="Y37" i="131" s="1"/>
  <c r="V33" i="131"/>
  <c r="M33" i="131"/>
  <c r="AS32" i="131"/>
  <c r="AJ32" i="131"/>
  <c r="AK32" i="131" s="1"/>
  <c r="AE35" i="131" s="1"/>
  <c r="AI32" i="131"/>
  <c r="W35" i="131" s="1"/>
  <c r="AS31" i="131"/>
  <c r="AJ31" i="131"/>
  <c r="AC34" i="131" s="1"/>
  <c r="AI31" i="131"/>
  <c r="V31" i="131"/>
  <c r="M31" i="131"/>
  <c r="AS30" i="131"/>
  <c r="AJ30" i="131"/>
  <c r="AK30" i="131" s="1"/>
  <c r="AE33" i="131" s="1"/>
  <c r="AI30" i="131"/>
  <c r="W33" i="131" s="1"/>
  <c r="V30" i="131"/>
  <c r="AS29" i="131"/>
  <c r="AJ29" i="131"/>
  <c r="AC31" i="131" s="1"/>
  <c r="AI29" i="131"/>
  <c r="AS28" i="131"/>
  <c r="AJ28" i="131"/>
  <c r="AA30" i="131" s="1"/>
  <c r="AI28" i="131"/>
  <c r="W30" i="131" s="1"/>
  <c r="V28" i="131"/>
  <c r="S28" i="131"/>
  <c r="R28" i="131"/>
  <c r="R30" i="131" s="1"/>
  <c r="R31" i="131" s="1"/>
  <c r="AK91" i="131" s="1"/>
  <c r="Q28" i="131"/>
  <c r="M28" i="131"/>
  <c r="AS27" i="131"/>
  <c r="AJ27" i="131"/>
  <c r="AK27" i="131" s="1"/>
  <c r="AE28" i="131" s="1"/>
  <c r="AI27" i="131"/>
  <c r="Y28" i="131" s="1"/>
  <c r="S27" i="131"/>
  <c r="R27" i="131"/>
  <c r="Q27" i="131"/>
  <c r="AS26" i="131"/>
  <c r="AJ26" i="131"/>
  <c r="AK26" i="131" s="1"/>
  <c r="AE26" i="131" s="1"/>
  <c r="AI26" i="131"/>
  <c r="W26" i="131" s="1"/>
  <c r="V26" i="131"/>
  <c r="AS25" i="131"/>
  <c r="AJ25" i="131"/>
  <c r="AK25" i="131" s="1"/>
  <c r="AE25" i="131" s="1"/>
  <c r="AI25" i="131"/>
  <c r="AA25" i="131"/>
  <c r="AN78" i="131" s="1"/>
  <c r="AO78" i="131" s="1"/>
  <c r="V25" i="131"/>
  <c r="H25" i="131"/>
  <c r="G25" i="131"/>
  <c r="F25" i="131"/>
  <c r="E25" i="131"/>
  <c r="E36" i="131" s="1"/>
  <c r="AS24" i="131"/>
  <c r="AJ24" i="131"/>
  <c r="AA24" i="131" s="1"/>
  <c r="AI24" i="131"/>
  <c r="W24" i="131" s="1"/>
  <c r="AL77" i="131" s="1"/>
  <c r="AM77" i="131" s="1"/>
  <c r="V24" i="131"/>
  <c r="F24" i="131"/>
  <c r="G24" i="131" s="1"/>
  <c r="H24" i="131" s="1"/>
  <c r="AS23" i="131"/>
  <c r="AJ23" i="131"/>
  <c r="AK23" i="131" s="1"/>
  <c r="AE23" i="131" s="1"/>
  <c r="AI23" i="131"/>
  <c r="W23" i="131" s="1"/>
  <c r="V23" i="131"/>
  <c r="AS22" i="131"/>
  <c r="AJ22" i="131"/>
  <c r="AK22" i="131" s="1"/>
  <c r="AI22" i="131"/>
  <c r="AG22" i="131"/>
  <c r="AC22" i="131"/>
  <c r="W22" i="131"/>
  <c r="AL75" i="131" s="1"/>
  <c r="AM75" i="131" s="1"/>
  <c r="V22" i="131"/>
  <c r="M20" i="131"/>
  <c r="F20" i="131"/>
  <c r="G20" i="131" s="1"/>
  <c r="H20" i="131" s="1"/>
  <c r="AE19" i="131"/>
  <c r="AB53" i="131" s="1"/>
  <c r="AA19" i="131"/>
  <c r="AK90" i="131" s="1"/>
  <c r="W19" i="131"/>
  <c r="AJ90" i="131" s="1"/>
  <c r="Q13" i="131"/>
  <c r="AF12" i="131"/>
  <c r="AC12" i="131"/>
  <c r="V12" i="131"/>
  <c r="R12" i="131"/>
  <c r="W10" i="131"/>
  <c r="Q10" i="131"/>
  <c r="O10" i="131"/>
  <c r="W9" i="131"/>
  <c r="Q9" i="131"/>
  <c r="O9" i="131"/>
  <c r="AV8" i="131"/>
  <c r="AB8" i="131"/>
  <c r="W8" i="131"/>
  <c r="Q8" i="131"/>
  <c r="O8" i="131"/>
  <c r="AB7" i="131"/>
  <c r="W7" i="131"/>
  <c r="Q7" i="131"/>
  <c r="O7" i="131"/>
  <c r="AB6" i="131"/>
  <c r="W6" i="131"/>
  <c r="Q6" i="131"/>
  <c r="O6" i="131"/>
  <c r="R1" i="131"/>
  <c r="AA26" i="131" l="1"/>
  <c r="AN79" i="131" s="1"/>
  <c r="AO79" i="131" s="1"/>
  <c r="AA40" i="131" s="1"/>
  <c r="AA35" i="131"/>
  <c r="AN85" i="131" s="1"/>
  <c r="AO85" i="131" s="1"/>
  <c r="AK25" i="132"/>
  <c r="AP78" i="132" s="1"/>
  <c r="AQ78" i="132" s="1"/>
  <c r="AN76" i="131"/>
  <c r="AO76" i="131" s="1"/>
  <c r="S30" i="131"/>
  <c r="AK31" i="131"/>
  <c r="AE34" i="131" s="1"/>
  <c r="AA33" i="131"/>
  <c r="AC33" i="131" s="1"/>
  <c r="AC25" i="132"/>
  <c r="AK24" i="131"/>
  <c r="AE24" i="131" s="1"/>
  <c r="AP77" i="131" s="1"/>
  <c r="AQ77" i="131" s="1"/>
  <c r="H36" i="131"/>
  <c r="H37" i="131" s="1"/>
  <c r="S31" i="131"/>
  <c r="AL91" i="131" s="1"/>
  <c r="W42" i="133"/>
  <c r="AJ94" i="133" s="1"/>
  <c r="AK27" i="133"/>
  <c r="AE28" i="133" s="1"/>
  <c r="E37" i="131"/>
  <c r="AK33" i="131"/>
  <c r="AE37" i="131" s="1"/>
  <c r="AG37" i="131" s="1"/>
  <c r="M37" i="131"/>
  <c r="AA23" i="132"/>
  <c r="AA30" i="133"/>
  <c r="AC30" i="133" s="1"/>
  <c r="Q30" i="134"/>
  <c r="Q31" i="134" s="1"/>
  <c r="AJ91" i="134" s="1"/>
  <c r="H36" i="132"/>
  <c r="H37" i="132" s="1"/>
  <c r="AP78" i="131"/>
  <c r="AQ78" i="131" s="1"/>
  <c r="AG25" i="131"/>
  <c r="AL81" i="131"/>
  <c r="AM81" i="131" s="1"/>
  <c r="Y30" i="131"/>
  <c r="AP76" i="132"/>
  <c r="AQ76" i="132" s="1"/>
  <c r="AG23" i="132"/>
  <c r="AL78" i="131"/>
  <c r="AM78" i="131" s="1"/>
  <c r="Y25" i="131"/>
  <c r="F36" i="131"/>
  <c r="F37" i="131" s="1"/>
  <c r="AK28" i="131"/>
  <c r="AE30" i="131" s="1"/>
  <c r="AP81" i="131" s="1"/>
  <c r="AQ81" i="131" s="1"/>
  <c r="AK29" i="131"/>
  <c r="AE31" i="131" s="1"/>
  <c r="AG31" i="131" s="1"/>
  <c r="AL75" i="132"/>
  <c r="AM75" i="132" s="1"/>
  <c r="AL90" i="132"/>
  <c r="AK25" i="134"/>
  <c r="AE25" i="134" s="1"/>
  <c r="AP78" i="134" s="1"/>
  <c r="AQ78" i="134" s="1"/>
  <c r="G36" i="133"/>
  <c r="G37" i="133" s="1"/>
  <c r="S30" i="133"/>
  <c r="S31" i="133" s="1"/>
  <c r="AL91" i="133" s="1"/>
  <c r="G36" i="132"/>
  <c r="G37" i="132" s="1"/>
  <c r="AJ90" i="132"/>
  <c r="AK23" i="133"/>
  <c r="AP76" i="133" s="1"/>
  <c r="AQ76" i="133" s="1"/>
  <c r="H36" i="133"/>
  <c r="H37" i="133" s="1"/>
  <c r="G36" i="131"/>
  <c r="G37" i="131" s="1"/>
  <c r="Q30" i="131"/>
  <c r="Q31" i="131" s="1"/>
  <c r="AJ91" i="131" s="1"/>
  <c r="AA24" i="132"/>
  <c r="AN77" i="132" s="1"/>
  <c r="AO77" i="132" s="1"/>
  <c r="F36" i="133"/>
  <c r="F37" i="133" s="1"/>
  <c r="R30" i="133"/>
  <c r="R31" i="133" s="1"/>
  <c r="AK91" i="133" s="1"/>
  <c r="G36" i="134"/>
  <c r="G37" i="134" s="1"/>
  <c r="M37" i="134"/>
  <c r="M30" i="134" s="1"/>
  <c r="M41" i="134" s="1"/>
  <c r="M43" i="134" s="1"/>
  <c r="X46" i="134" s="1"/>
  <c r="E83" i="134"/>
  <c r="AL77" i="134"/>
  <c r="AM77" i="134" s="1"/>
  <c r="Y24" i="134"/>
  <c r="AK30" i="134"/>
  <c r="AE33" i="134" s="1"/>
  <c r="AP83" i="134" s="1"/>
  <c r="AQ83" i="134" s="1"/>
  <c r="AD41" i="134" s="1"/>
  <c r="AK27" i="134"/>
  <c r="AE28" i="134" s="1"/>
  <c r="AG28" i="134" s="1"/>
  <c r="AA30" i="134"/>
  <c r="AN81" i="134" s="1"/>
  <c r="AO81" i="134" s="1"/>
  <c r="S30" i="134"/>
  <c r="S31" i="134" s="1"/>
  <c r="AL91" i="134" s="1"/>
  <c r="R30" i="134"/>
  <c r="R31" i="134" s="1"/>
  <c r="AK91" i="134" s="1"/>
  <c r="F37" i="134"/>
  <c r="E37" i="134"/>
  <c r="AL79" i="134"/>
  <c r="AM79" i="134" s="1"/>
  <c r="W40" i="134" s="1"/>
  <c r="Y26" i="134"/>
  <c r="AP81" i="134"/>
  <c r="AQ81" i="134" s="1"/>
  <c r="AG30" i="134"/>
  <c r="AC33" i="134"/>
  <c r="AN83" i="134"/>
  <c r="AO83" i="134" s="1"/>
  <c r="AA41" i="134" s="1"/>
  <c r="AL85" i="134"/>
  <c r="AM85" i="134" s="1"/>
  <c r="Y35" i="134"/>
  <c r="AL76" i="134"/>
  <c r="AM76" i="134" s="1"/>
  <c r="Y23" i="134"/>
  <c r="AC26" i="134"/>
  <c r="AN79" i="134"/>
  <c r="AO79" i="134" s="1"/>
  <c r="AA40" i="134" s="1"/>
  <c r="AN85" i="134"/>
  <c r="AO85" i="134" s="1"/>
  <c r="AC35" i="134"/>
  <c r="AN76" i="134"/>
  <c r="AO76" i="134" s="1"/>
  <c r="AC23" i="134"/>
  <c r="Y28" i="134"/>
  <c r="AL80" i="134"/>
  <c r="AM80" i="134" s="1"/>
  <c r="AL82" i="134"/>
  <c r="AM82" i="134" s="1"/>
  <c r="Y31" i="134"/>
  <c r="AN84" i="134"/>
  <c r="AO84" i="134" s="1"/>
  <c r="AN86" i="134"/>
  <c r="AO86" i="134" s="1"/>
  <c r="AC37" i="134"/>
  <c r="AG24" i="134"/>
  <c r="AP77" i="134"/>
  <c r="AQ77" i="134" s="1"/>
  <c r="H36" i="134"/>
  <c r="H37" i="134" s="1"/>
  <c r="AL78" i="134"/>
  <c r="AM78" i="134" s="1"/>
  <c r="Y25" i="134"/>
  <c r="AC28" i="134"/>
  <c r="AN80" i="134"/>
  <c r="AO80" i="134" s="1"/>
  <c r="AC31" i="134"/>
  <c r="AN82" i="134"/>
  <c r="AO82" i="134" s="1"/>
  <c r="AL83" i="134"/>
  <c r="AM83" i="134" s="1"/>
  <c r="W41" i="134" s="1"/>
  <c r="Y33" i="134"/>
  <c r="Y22" i="134"/>
  <c r="AK23" i="134"/>
  <c r="AA24" i="134"/>
  <c r="AC25" i="134"/>
  <c r="AK26" i="134"/>
  <c r="AE26" i="134" s="1"/>
  <c r="AK31" i="134"/>
  <c r="AE34" i="134" s="1"/>
  <c r="AK32" i="134"/>
  <c r="AK33" i="134"/>
  <c r="Y34" i="134"/>
  <c r="AB51" i="134"/>
  <c r="AL86" i="134"/>
  <c r="AM86" i="134" s="1"/>
  <c r="AL90" i="134"/>
  <c r="AB52" i="134"/>
  <c r="AK29" i="134"/>
  <c r="AE31" i="134" s="1"/>
  <c r="Y30" i="134"/>
  <c r="M37" i="133"/>
  <c r="S92" i="133"/>
  <c r="AL85" i="133"/>
  <c r="AM85" i="133" s="1"/>
  <c r="Y35" i="133"/>
  <c r="AL84" i="133"/>
  <c r="AM84" i="133" s="1"/>
  <c r="Y34" i="133"/>
  <c r="Y37" i="133"/>
  <c r="AL86" i="133"/>
  <c r="AM86" i="133" s="1"/>
  <c r="AN81" i="133"/>
  <c r="AO81" i="133" s="1"/>
  <c r="AA24" i="133"/>
  <c r="AN77" i="133" s="1"/>
  <c r="AO77" i="133" s="1"/>
  <c r="AK33" i="133"/>
  <c r="AG37" i="133" s="1"/>
  <c r="AK26" i="133"/>
  <c r="AE26" i="133" s="1"/>
  <c r="AP79" i="133" s="1"/>
  <c r="AQ79" i="133" s="1"/>
  <c r="AD40" i="133" s="1"/>
  <c r="AK31" i="133"/>
  <c r="AE34" i="133" s="1"/>
  <c r="AP84" i="133" s="1"/>
  <c r="AQ84" i="133" s="1"/>
  <c r="AK32" i="133"/>
  <c r="AP85" i="133" s="1"/>
  <c r="AQ85" i="133" s="1"/>
  <c r="E37" i="133"/>
  <c r="Q30" i="133"/>
  <c r="Q31" i="133" s="1"/>
  <c r="AJ91" i="133" s="1"/>
  <c r="AN76" i="133"/>
  <c r="AO76" i="133" s="1"/>
  <c r="AC23" i="133"/>
  <c r="Y24" i="133"/>
  <c r="AL77" i="133"/>
  <c r="AM77" i="133" s="1"/>
  <c r="AL78" i="133"/>
  <c r="AM78" i="133" s="1"/>
  <c r="Y25" i="133"/>
  <c r="AP81" i="133"/>
  <c r="AQ81" i="133" s="1"/>
  <c r="AG30" i="133"/>
  <c r="AN86" i="133"/>
  <c r="AO86" i="133" s="1"/>
  <c r="AC37" i="133"/>
  <c r="AG24" i="133"/>
  <c r="AP77" i="133"/>
  <c r="AQ77" i="133" s="1"/>
  <c r="AN78" i="133"/>
  <c r="AO78" i="133" s="1"/>
  <c r="AC25" i="133"/>
  <c r="Y28" i="133"/>
  <c r="AL80" i="133"/>
  <c r="AM80" i="133" s="1"/>
  <c r="AC34" i="133"/>
  <c r="AN84" i="133"/>
  <c r="AO84" i="133" s="1"/>
  <c r="AN85" i="133"/>
  <c r="AO85" i="133" s="1"/>
  <c r="AC35" i="133"/>
  <c r="AL82" i="133"/>
  <c r="AM82" i="133" s="1"/>
  <c r="Y31" i="133"/>
  <c r="AC26" i="133"/>
  <c r="AN79" i="133"/>
  <c r="AO79" i="133" s="1"/>
  <c r="AA40" i="133" s="1"/>
  <c r="AG28" i="133"/>
  <c r="AP80" i="133"/>
  <c r="AQ80" i="133" s="1"/>
  <c r="AL81" i="133"/>
  <c r="AM81" i="133" s="1"/>
  <c r="Y30" i="133"/>
  <c r="AC31" i="133"/>
  <c r="AN82" i="133"/>
  <c r="AO82" i="133" s="1"/>
  <c r="AC33" i="133"/>
  <c r="AN83" i="133"/>
  <c r="AO83" i="133" s="1"/>
  <c r="AA41" i="133" s="1"/>
  <c r="Y23" i="133"/>
  <c r="AG23" i="133"/>
  <c r="AK25" i="133"/>
  <c r="AE25" i="133" s="1"/>
  <c r="Y26" i="133"/>
  <c r="AC28" i="133"/>
  <c r="AK30" i="133"/>
  <c r="AE33" i="133" s="1"/>
  <c r="Y33" i="133"/>
  <c r="AB52" i="133"/>
  <c r="AB51" i="133"/>
  <c r="AL90" i="133"/>
  <c r="AK29" i="133"/>
  <c r="AE31" i="133" s="1"/>
  <c r="AL83" i="132"/>
  <c r="AM83" i="132" s="1"/>
  <c r="W41" i="132" s="1"/>
  <c r="Y33" i="132"/>
  <c r="AG35" i="132"/>
  <c r="AP85" i="132"/>
  <c r="AQ85" i="132" s="1"/>
  <c r="AA35" i="132"/>
  <c r="AN85" i="132" s="1"/>
  <c r="AO85" i="132" s="1"/>
  <c r="AA26" i="132"/>
  <c r="AC26" i="132" s="1"/>
  <c r="AK31" i="132"/>
  <c r="AK33" i="132"/>
  <c r="AG37" i="132" s="1"/>
  <c r="AC37" i="132"/>
  <c r="M37" i="132"/>
  <c r="E83" i="132"/>
  <c r="E37" i="132"/>
  <c r="R30" i="132"/>
  <c r="R31" i="132" s="1"/>
  <c r="AK91" i="132" s="1"/>
  <c r="S30" i="132"/>
  <c r="S31" i="132" s="1"/>
  <c r="AL91" i="132" s="1"/>
  <c r="Q30" i="132"/>
  <c r="Q31" i="132" s="1"/>
  <c r="AJ91" i="132" s="1"/>
  <c r="AG24" i="132"/>
  <c r="AP77" i="132"/>
  <c r="AQ77" i="132" s="1"/>
  <c r="Y28" i="132"/>
  <c r="AL80" i="132"/>
  <c r="AM80" i="132" s="1"/>
  <c r="AL79" i="132"/>
  <c r="AM79" i="132" s="1"/>
  <c r="W40" i="132" s="1"/>
  <c r="Y26" i="132"/>
  <c r="AG28" i="132"/>
  <c r="AP80" i="132"/>
  <c r="AQ80" i="132" s="1"/>
  <c r="AP86" i="132"/>
  <c r="AQ86" i="132" s="1"/>
  <c r="AL81" i="132"/>
  <c r="AM81" i="132" s="1"/>
  <c r="Y30" i="132"/>
  <c r="AG25" i="132"/>
  <c r="AN84" i="132"/>
  <c r="AO84" i="132" s="1"/>
  <c r="AL85" i="132"/>
  <c r="AM85" i="132" s="1"/>
  <c r="AA28" i="132"/>
  <c r="AL76" i="132"/>
  <c r="AM76" i="132" s="1"/>
  <c r="F36" i="132"/>
  <c r="F37" i="132" s="1"/>
  <c r="AK28" i="132"/>
  <c r="AE30" i="132" s="1"/>
  <c r="AK29" i="132"/>
  <c r="AE31" i="132" s="1"/>
  <c r="AC30" i="132"/>
  <c r="Y31" i="132"/>
  <c r="AL77" i="132"/>
  <c r="AM77" i="132" s="1"/>
  <c r="AN76" i="132"/>
  <c r="AO76" i="132" s="1"/>
  <c r="AC23" i="132"/>
  <c r="Y25" i="132"/>
  <c r="AK30" i="132"/>
  <c r="AE33" i="132" s="1"/>
  <c r="AG26" i="132"/>
  <c r="Y34" i="132"/>
  <c r="AB52" i="132"/>
  <c r="AN79" i="132"/>
  <c r="AO79" i="132" s="1"/>
  <c r="AA40" i="132" s="1"/>
  <c r="AN82" i="132"/>
  <c r="AO82" i="132" s="1"/>
  <c r="AN83" i="132"/>
  <c r="AO83" i="132" s="1"/>
  <c r="AA41" i="132" s="1"/>
  <c r="AL86" i="132"/>
  <c r="AM86" i="132" s="1"/>
  <c r="AP76" i="131"/>
  <c r="AQ76" i="131" s="1"/>
  <c r="AG23" i="131"/>
  <c r="AG28" i="131"/>
  <c r="AP80" i="131"/>
  <c r="AQ80" i="131" s="1"/>
  <c r="AL82" i="131"/>
  <c r="AM82" i="131" s="1"/>
  <c r="Y31" i="131"/>
  <c r="AP83" i="131"/>
  <c r="AQ83" i="131" s="1"/>
  <c r="AD41" i="131" s="1"/>
  <c r="AG33" i="131"/>
  <c r="AP84" i="131"/>
  <c r="AQ84" i="131" s="1"/>
  <c r="AG34" i="131"/>
  <c r="AP85" i="131"/>
  <c r="AQ85" i="131" s="1"/>
  <c r="AG35" i="131"/>
  <c r="AL76" i="131"/>
  <c r="AM76" i="131" s="1"/>
  <c r="Y23" i="131"/>
  <c r="AN77" i="131"/>
  <c r="AO77" i="131" s="1"/>
  <c r="AC24" i="131"/>
  <c r="AL79" i="131"/>
  <c r="AM79" i="131" s="1"/>
  <c r="W40" i="131" s="1"/>
  <c r="Y26" i="131"/>
  <c r="AN81" i="131"/>
  <c r="AO81" i="131" s="1"/>
  <c r="AC30" i="131"/>
  <c r="AP79" i="131"/>
  <c r="AQ79" i="131" s="1"/>
  <c r="AD40" i="131" s="1"/>
  <c r="AG26" i="131"/>
  <c r="AP82" i="131"/>
  <c r="AQ82" i="131" s="1"/>
  <c r="AL83" i="131"/>
  <c r="AM83" i="131" s="1"/>
  <c r="W41" i="131" s="1"/>
  <c r="Y33" i="131"/>
  <c r="AL84" i="131"/>
  <c r="AM84" i="131" s="1"/>
  <c r="Y34" i="131"/>
  <c r="AL85" i="131"/>
  <c r="AM85" i="131" s="1"/>
  <c r="Y35" i="131"/>
  <c r="AN86" i="131"/>
  <c r="AO86" i="131" s="1"/>
  <c r="AC37" i="131"/>
  <c r="Y24" i="131"/>
  <c r="AG24" i="131"/>
  <c r="AC26" i="131"/>
  <c r="Y22" i="131"/>
  <c r="AC25" i="131"/>
  <c r="AA28" i="131"/>
  <c r="AB51" i="131"/>
  <c r="AN82" i="131"/>
  <c r="AO82" i="131" s="1"/>
  <c r="E83" i="131"/>
  <c r="AL86" i="131"/>
  <c r="AM86" i="131" s="1"/>
  <c r="AP86" i="131"/>
  <c r="AQ86" i="131" s="1"/>
  <c r="AL90" i="131"/>
  <c r="AB52" i="131"/>
  <c r="AN83" i="131"/>
  <c r="AO83" i="131" s="1"/>
  <c r="AA41" i="131" s="1"/>
  <c r="AA42" i="131" s="1"/>
  <c r="AK94" i="131" s="1"/>
  <c r="AN84" i="131"/>
  <c r="AO84" i="131" s="1"/>
  <c r="AL80" i="131"/>
  <c r="AM80" i="131" s="1"/>
  <c r="R12" i="125"/>
  <c r="R12" i="122"/>
  <c r="R12" i="119"/>
  <c r="R12" i="118"/>
  <c r="AC35" i="117"/>
  <c r="AD42" i="131" l="1"/>
  <c r="AL94" i="131" s="1"/>
  <c r="AC35" i="131"/>
  <c r="AC23" i="131"/>
  <c r="AC35" i="132"/>
  <c r="M40" i="131"/>
  <c r="M30" i="131"/>
  <c r="M41" i="131" s="1"/>
  <c r="W42" i="131"/>
  <c r="AJ94" i="131" s="1"/>
  <c r="AG30" i="131"/>
  <c r="AG34" i="133"/>
  <c r="AG26" i="133"/>
  <c r="AA42" i="134"/>
  <c r="AK94" i="134" s="1"/>
  <c r="W42" i="132"/>
  <c r="AJ94" i="132" s="1"/>
  <c r="AP86" i="133"/>
  <c r="AQ86" i="133" s="1"/>
  <c r="AG25" i="134"/>
  <c r="AC24" i="132"/>
  <c r="AC30" i="134"/>
  <c r="M40" i="134"/>
  <c r="M39" i="134" s="1"/>
  <c r="X45" i="134" s="1"/>
  <c r="AG33" i="134"/>
  <c r="AP80" i="134"/>
  <c r="AQ80" i="134" s="1"/>
  <c r="AG37" i="134"/>
  <c r="AP86" i="134"/>
  <c r="AQ86" i="134" s="1"/>
  <c r="AP79" i="134"/>
  <c r="AQ79" i="134" s="1"/>
  <c r="AD40" i="134" s="1"/>
  <c r="AD42" i="134" s="1"/>
  <c r="AL94" i="134" s="1"/>
  <c r="AG26" i="134"/>
  <c r="AP82" i="134"/>
  <c r="AQ82" i="134" s="1"/>
  <c r="AG31" i="134"/>
  <c r="AP85" i="134"/>
  <c r="AQ85" i="134" s="1"/>
  <c r="AG35" i="134"/>
  <c r="AP84" i="134"/>
  <c r="AQ84" i="134" s="1"/>
  <c r="AG34" i="134"/>
  <c r="AN77" i="134"/>
  <c r="AO77" i="134" s="1"/>
  <c r="AC24" i="134"/>
  <c r="AP76" i="134"/>
  <c r="AQ76" i="134" s="1"/>
  <c r="AG23" i="134"/>
  <c r="W42" i="134"/>
  <c r="AJ94" i="134" s="1"/>
  <c r="M30" i="133"/>
  <c r="M41" i="133" s="1"/>
  <c r="M40" i="133"/>
  <c r="AC24" i="133"/>
  <c r="AG35" i="133"/>
  <c r="AP82" i="133"/>
  <c r="AQ82" i="133" s="1"/>
  <c r="AG31" i="133"/>
  <c r="AP83" i="133"/>
  <c r="AQ83" i="133" s="1"/>
  <c r="AD41" i="133" s="1"/>
  <c r="AD42" i="133" s="1"/>
  <c r="AL94" i="133" s="1"/>
  <c r="AG33" i="133"/>
  <c r="AP78" i="133"/>
  <c r="AQ78" i="133" s="1"/>
  <c r="AG25" i="133"/>
  <c r="AA42" i="133"/>
  <c r="AK94" i="133" s="1"/>
  <c r="AP84" i="132"/>
  <c r="AQ84" i="132" s="1"/>
  <c r="AG34" i="132"/>
  <c r="M30" i="132"/>
  <c r="M41" i="132" s="1"/>
  <c r="M40" i="132"/>
  <c r="AP82" i="132"/>
  <c r="AQ82" i="132" s="1"/>
  <c r="AG31" i="132"/>
  <c r="AN80" i="132"/>
  <c r="AO80" i="132" s="1"/>
  <c r="AC28" i="132"/>
  <c r="AA42" i="132"/>
  <c r="AK94" i="132" s="1"/>
  <c r="AP83" i="132"/>
  <c r="AQ83" i="132" s="1"/>
  <c r="AD41" i="132" s="1"/>
  <c r="AD42" i="132" s="1"/>
  <c r="AL94" i="132" s="1"/>
  <c r="AG33" i="132"/>
  <c r="AP81" i="132"/>
  <c r="AQ81" i="132" s="1"/>
  <c r="AG30" i="132"/>
  <c r="AC28" i="131"/>
  <c r="AN80" i="131"/>
  <c r="AO80" i="131" s="1"/>
  <c r="AJ86" i="130"/>
  <c r="AK86" i="130" s="1"/>
  <c r="AJ85" i="130"/>
  <c r="AK85" i="130" s="1"/>
  <c r="L85" i="130"/>
  <c r="AJ84" i="130"/>
  <c r="AK84" i="130" s="1"/>
  <c r="AJ83" i="130"/>
  <c r="AK83" i="130" s="1"/>
  <c r="AJ82" i="130"/>
  <c r="AK82" i="130" s="1"/>
  <c r="AJ81" i="130"/>
  <c r="AK81" i="130" s="1"/>
  <c r="AJ80" i="130"/>
  <c r="AK80" i="130" s="1"/>
  <c r="AJ79" i="130"/>
  <c r="AK79" i="130" s="1"/>
  <c r="AJ78" i="130"/>
  <c r="AK78" i="130" s="1"/>
  <c r="D78" i="130"/>
  <c r="AJ77" i="130"/>
  <c r="AK77" i="130" s="1"/>
  <c r="AJ76" i="130"/>
  <c r="AK76" i="130" s="1"/>
  <c r="AP75" i="130"/>
  <c r="AQ75" i="130" s="1"/>
  <c r="AN75" i="130"/>
  <c r="AO75" i="130" s="1"/>
  <c r="AJ75" i="130"/>
  <c r="AK75" i="130" s="1"/>
  <c r="AH47" i="130"/>
  <c r="AH48" i="130" s="1"/>
  <c r="AG47" i="130"/>
  <c r="AG48" i="130" s="1"/>
  <c r="AF47" i="130"/>
  <c r="AF48" i="130" s="1"/>
  <c r="X47" i="130"/>
  <c r="S47" i="130"/>
  <c r="R47" i="130"/>
  <c r="Q47" i="130"/>
  <c r="M42" i="130"/>
  <c r="M37" i="130" s="1"/>
  <c r="S40" i="130"/>
  <c r="R40" i="130"/>
  <c r="Q40" i="130"/>
  <c r="AD39" i="130"/>
  <c r="AA39" i="130"/>
  <c r="W39" i="130"/>
  <c r="AS37" i="130"/>
  <c r="V37" i="130"/>
  <c r="AS36" i="130"/>
  <c r="AS35" i="130"/>
  <c r="V35" i="130"/>
  <c r="AS34" i="130"/>
  <c r="V34" i="130"/>
  <c r="H34" i="130"/>
  <c r="J84" i="130" s="1"/>
  <c r="J83" i="130" s="1"/>
  <c r="G34" i="130"/>
  <c r="I84" i="130" s="1"/>
  <c r="I83" i="130" s="1"/>
  <c r="F34" i="130"/>
  <c r="H84" i="130" s="1"/>
  <c r="H83" i="130" s="1"/>
  <c r="E34" i="130"/>
  <c r="G84" i="130" s="1"/>
  <c r="G83" i="130" s="1"/>
  <c r="AS33" i="130"/>
  <c r="AJ33" i="130"/>
  <c r="AI33" i="130"/>
  <c r="W37" i="130" s="1"/>
  <c r="V33" i="130"/>
  <c r="M33" i="130"/>
  <c r="AS32" i="130"/>
  <c r="AJ32" i="130"/>
  <c r="AA35" i="130" s="1"/>
  <c r="AI32" i="130"/>
  <c r="W35" i="130" s="1"/>
  <c r="AL85" i="130" s="1"/>
  <c r="AM85" i="130" s="1"/>
  <c r="AS31" i="130"/>
  <c r="AJ31" i="130"/>
  <c r="AI31" i="130"/>
  <c r="W34" i="130" s="1"/>
  <c r="AL84" i="130" s="1"/>
  <c r="AM84" i="130" s="1"/>
  <c r="V31" i="130"/>
  <c r="M31" i="130"/>
  <c r="AS30" i="130"/>
  <c r="AJ30" i="130"/>
  <c r="AK30" i="130" s="1"/>
  <c r="AI30" i="130"/>
  <c r="W33" i="130" s="1"/>
  <c r="V30" i="130"/>
  <c r="AS29" i="130"/>
  <c r="AJ29" i="130"/>
  <c r="AA31" i="130" s="1"/>
  <c r="AN82" i="130" s="1"/>
  <c r="AO82" i="130" s="1"/>
  <c r="AI29" i="130"/>
  <c r="W31" i="130" s="1"/>
  <c r="AS28" i="130"/>
  <c r="AJ28" i="130"/>
  <c r="AA30" i="130" s="1"/>
  <c r="AN81" i="130" s="1"/>
  <c r="AO81" i="130" s="1"/>
  <c r="AI28" i="130"/>
  <c r="W30" i="130" s="1"/>
  <c r="V28" i="130"/>
  <c r="S28" i="130"/>
  <c r="R28" i="130"/>
  <c r="Q28" i="130"/>
  <c r="AS27" i="130"/>
  <c r="AJ27" i="130"/>
  <c r="AI27" i="130"/>
  <c r="AL80" i="130" s="1"/>
  <c r="AM80" i="130" s="1"/>
  <c r="S27" i="130"/>
  <c r="R27" i="130"/>
  <c r="Q27" i="130"/>
  <c r="AS26" i="130"/>
  <c r="AJ26" i="130"/>
  <c r="AI26" i="130"/>
  <c r="V26" i="130"/>
  <c r="AS25" i="130"/>
  <c r="AJ25" i="130"/>
  <c r="AK25" i="130" s="1"/>
  <c r="AE25" i="130" s="1"/>
  <c r="AI25" i="130"/>
  <c r="V25" i="130"/>
  <c r="H25" i="130"/>
  <c r="G25" i="130"/>
  <c r="F25" i="130"/>
  <c r="E25" i="130"/>
  <c r="E36" i="130" s="1"/>
  <c r="AS24" i="130"/>
  <c r="AJ24" i="130"/>
  <c r="AK24" i="130" s="1"/>
  <c r="AE24" i="130" s="1"/>
  <c r="AI24" i="130"/>
  <c r="AL77" i="130" s="1"/>
  <c r="AM77" i="130" s="1"/>
  <c r="AC24" i="130"/>
  <c r="V24" i="130"/>
  <c r="F24" i="130"/>
  <c r="G24" i="130" s="1"/>
  <c r="H24" i="130" s="1"/>
  <c r="AS23" i="130"/>
  <c r="AJ23" i="130"/>
  <c r="AI23" i="130"/>
  <c r="V23" i="130"/>
  <c r="AS22" i="130"/>
  <c r="AJ22" i="130"/>
  <c r="AK22" i="130" s="1"/>
  <c r="AI22" i="130"/>
  <c r="AG22" i="130"/>
  <c r="AC22" i="130"/>
  <c r="W22" i="130"/>
  <c r="AL75" i="130" s="1"/>
  <c r="AM75" i="130" s="1"/>
  <c r="V22" i="130"/>
  <c r="M20" i="130"/>
  <c r="G20" i="130"/>
  <c r="H20" i="130" s="1"/>
  <c r="F20" i="130"/>
  <c r="AE19" i="130"/>
  <c r="AB53" i="130" s="1"/>
  <c r="AA19" i="130"/>
  <c r="AK90" i="130" s="1"/>
  <c r="W19" i="130"/>
  <c r="AJ90" i="130" s="1"/>
  <c r="Q13" i="130"/>
  <c r="AF12" i="130"/>
  <c r="AC12" i="130"/>
  <c r="V12" i="130"/>
  <c r="R12" i="130"/>
  <c r="W10" i="130"/>
  <c r="Q10" i="130"/>
  <c r="O10" i="130"/>
  <c r="W9" i="130"/>
  <c r="Q9" i="130"/>
  <c r="O9" i="130"/>
  <c r="AV8" i="130"/>
  <c r="AB8" i="130"/>
  <c r="W8" i="130"/>
  <c r="Q8" i="130"/>
  <c r="O8" i="130"/>
  <c r="AB7" i="130"/>
  <c r="W7" i="130"/>
  <c r="Q7" i="130"/>
  <c r="O7" i="130"/>
  <c r="AB6" i="130"/>
  <c r="W6" i="130"/>
  <c r="Q6" i="130"/>
  <c r="O6" i="130"/>
  <c r="R1" i="130"/>
  <c r="AJ86" i="128"/>
  <c r="AK86" i="128" s="1"/>
  <c r="AJ85" i="128"/>
  <c r="AK85" i="128" s="1"/>
  <c r="L85" i="128"/>
  <c r="AJ84" i="128"/>
  <c r="AK84" i="128" s="1"/>
  <c r="AJ83" i="128"/>
  <c r="AK83" i="128" s="1"/>
  <c r="AJ82" i="128"/>
  <c r="AK82" i="128" s="1"/>
  <c r="AJ81" i="128"/>
  <c r="AK81" i="128" s="1"/>
  <c r="AJ80" i="128"/>
  <c r="AK80" i="128" s="1"/>
  <c r="AJ79" i="128"/>
  <c r="AK79" i="128" s="1"/>
  <c r="AJ78" i="128"/>
  <c r="AK78" i="128" s="1"/>
  <c r="D78" i="128"/>
  <c r="AJ77" i="128"/>
  <c r="AK77" i="128" s="1"/>
  <c r="AJ76" i="128"/>
  <c r="AK76" i="128" s="1"/>
  <c r="AP75" i="128"/>
  <c r="AQ75" i="128" s="1"/>
  <c r="AN75" i="128"/>
  <c r="AO75" i="128" s="1"/>
  <c r="AJ75" i="128"/>
  <c r="AK75" i="128" s="1"/>
  <c r="AH47" i="128"/>
  <c r="AH48" i="128" s="1"/>
  <c r="AG47" i="128"/>
  <c r="AG48" i="128" s="1"/>
  <c r="AF47" i="128"/>
  <c r="AF48" i="128" s="1"/>
  <c r="X47" i="128"/>
  <c r="S47" i="128"/>
  <c r="R47" i="128"/>
  <c r="Q47" i="128"/>
  <c r="M42" i="128"/>
  <c r="S92" i="128" s="1"/>
  <c r="M41" i="128"/>
  <c r="M43" i="128" s="1"/>
  <c r="S40" i="128"/>
  <c r="R40" i="128"/>
  <c r="Q40" i="128"/>
  <c r="AD39" i="128"/>
  <c r="AA39" i="128"/>
  <c r="W39" i="128"/>
  <c r="AS37" i="128"/>
  <c r="V37" i="128"/>
  <c r="AS36" i="128"/>
  <c r="AS35" i="128"/>
  <c r="V35" i="128"/>
  <c r="AS34" i="128"/>
  <c r="V34" i="128"/>
  <c r="H34" i="128"/>
  <c r="J84" i="128" s="1"/>
  <c r="J83" i="128" s="1"/>
  <c r="G34" i="128"/>
  <c r="I84" i="128" s="1"/>
  <c r="I83" i="128" s="1"/>
  <c r="F34" i="128"/>
  <c r="H84" i="128" s="1"/>
  <c r="H83" i="128" s="1"/>
  <c r="E34" i="128"/>
  <c r="G84" i="128" s="1"/>
  <c r="G83" i="128" s="1"/>
  <c r="AS33" i="128"/>
  <c r="AJ33" i="128"/>
  <c r="AA37" i="128" s="1"/>
  <c r="AI33" i="128"/>
  <c r="W37" i="128" s="1"/>
  <c r="Y37" i="128" s="1"/>
  <c r="V33" i="128"/>
  <c r="M33" i="128"/>
  <c r="AS32" i="128"/>
  <c r="AJ32" i="128"/>
  <c r="AK32" i="128" s="1"/>
  <c r="AI32" i="128"/>
  <c r="W35" i="128" s="1"/>
  <c r="AS31" i="128"/>
  <c r="AJ31" i="128"/>
  <c r="AK31" i="128" s="1"/>
  <c r="AE34" i="128" s="1"/>
  <c r="AI31" i="128"/>
  <c r="W34" i="128" s="1"/>
  <c r="V31" i="128"/>
  <c r="M31" i="128"/>
  <c r="AS30" i="128"/>
  <c r="AJ30" i="128"/>
  <c r="AA33" i="128" s="1"/>
  <c r="AI30" i="128"/>
  <c r="W33" i="128" s="1"/>
  <c r="V30" i="128"/>
  <c r="AS29" i="128"/>
  <c r="AJ29" i="128"/>
  <c r="AA31" i="128" s="1"/>
  <c r="AI29" i="128"/>
  <c r="W31" i="128" s="1"/>
  <c r="AS28" i="128"/>
  <c r="AJ28" i="128"/>
  <c r="AA30" i="128" s="1"/>
  <c r="AI28" i="128"/>
  <c r="V28" i="128"/>
  <c r="S28" i="128"/>
  <c r="R28" i="128"/>
  <c r="Q28" i="128"/>
  <c r="M28" i="128"/>
  <c r="AS27" i="128"/>
  <c r="AJ27" i="128"/>
  <c r="AK27" i="128" s="1"/>
  <c r="AE28" i="128" s="1"/>
  <c r="AI27" i="128"/>
  <c r="S27" i="128"/>
  <c r="R27" i="128"/>
  <c r="Q27" i="128"/>
  <c r="AS26" i="128"/>
  <c r="AJ26" i="128"/>
  <c r="AA26" i="128" s="1"/>
  <c r="AI26" i="128"/>
  <c r="V26" i="128"/>
  <c r="AS25" i="128"/>
  <c r="AJ25" i="128"/>
  <c r="AA25" i="128" s="1"/>
  <c r="AI25" i="128"/>
  <c r="W25" i="128" s="1"/>
  <c r="V25" i="128"/>
  <c r="H25" i="128"/>
  <c r="G25" i="128"/>
  <c r="F25" i="128"/>
  <c r="E25" i="128"/>
  <c r="E36" i="128" s="1"/>
  <c r="AS24" i="128"/>
  <c r="AJ24" i="128"/>
  <c r="AK24" i="128" s="1"/>
  <c r="AI24" i="128"/>
  <c r="W24" i="128" s="1"/>
  <c r="V24" i="128"/>
  <c r="F24" i="128"/>
  <c r="G24" i="128" s="1"/>
  <c r="H24" i="128" s="1"/>
  <c r="AS23" i="128"/>
  <c r="AJ23" i="128"/>
  <c r="AI23" i="128"/>
  <c r="Y23" i="128" s="1"/>
  <c r="V23" i="128"/>
  <c r="AS22" i="128"/>
  <c r="AJ22" i="128"/>
  <c r="AK22" i="128" s="1"/>
  <c r="AI22" i="128"/>
  <c r="AG22" i="128"/>
  <c r="AC22" i="128"/>
  <c r="W22" i="128"/>
  <c r="AL75" i="128" s="1"/>
  <c r="AM75" i="128" s="1"/>
  <c r="V22" i="128"/>
  <c r="M20" i="128"/>
  <c r="F20" i="128"/>
  <c r="G20" i="128" s="1"/>
  <c r="H20" i="128" s="1"/>
  <c r="AE19" i="128"/>
  <c r="AB53" i="128" s="1"/>
  <c r="AA19" i="128"/>
  <c r="AK90" i="128" s="1"/>
  <c r="W19" i="128"/>
  <c r="AJ90" i="128" s="1"/>
  <c r="Q13" i="128"/>
  <c r="AF12" i="128"/>
  <c r="AC12" i="128"/>
  <c r="V12" i="128"/>
  <c r="R12" i="128"/>
  <c r="W10" i="128"/>
  <c r="Q10" i="128"/>
  <c r="O10" i="128"/>
  <c r="W9" i="128"/>
  <c r="Q9" i="128"/>
  <c r="O9" i="128"/>
  <c r="AV8" i="128"/>
  <c r="AB8" i="128"/>
  <c r="W8" i="128"/>
  <c r="Q8" i="128"/>
  <c r="O8" i="128"/>
  <c r="AB7" i="128"/>
  <c r="W7" i="128"/>
  <c r="Q7" i="128"/>
  <c r="O7" i="128"/>
  <c r="AB6" i="128"/>
  <c r="W6" i="128"/>
  <c r="Q6" i="128"/>
  <c r="O6" i="128"/>
  <c r="R1" i="128"/>
  <c r="H22" i="117"/>
  <c r="F22" i="117"/>
  <c r="E22" i="117"/>
  <c r="H22" i="113"/>
  <c r="G22" i="113"/>
  <c r="F22" i="113"/>
  <c r="E22" i="113"/>
  <c r="H22" i="118"/>
  <c r="G22" i="118"/>
  <c r="F22" i="118"/>
  <c r="E22" i="118"/>
  <c r="E34" i="119"/>
  <c r="Q47" i="127"/>
  <c r="AJ86" i="127"/>
  <c r="AK86" i="127" s="1"/>
  <c r="AJ85" i="127"/>
  <c r="AK85" i="127" s="1"/>
  <c r="L85" i="127"/>
  <c r="AJ84" i="127"/>
  <c r="AK84" i="127" s="1"/>
  <c r="AJ83" i="127"/>
  <c r="AK83" i="127" s="1"/>
  <c r="AJ82" i="127"/>
  <c r="AK82" i="127" s="1"/>
  <c r="AJ81" i="127"/>
  <c r="AK81" i="127" s="1"/>
  <c r="AJ80" i="127"/>
  <c r="AK80" i="127" s="1"/>
  <c r="AJ79" i="127"/>
  <c r="AK79" i="127" s="1"/>
  <c r="AJ78" i="127"/>
  <c r="AK78" i="127" s="1"/>
  <c r="D78" i="127"/>
  <c r="AJ77" i="127"/>
  <c r="AK77" i="127" s="1"/>
  <c r="AJ76" i="127"/>
  <c r="AK76" i="127" s="1"/>
  <c r="AP75" i="127"/>
  <c r="AQ75" i="127" s="1"/>
  <c r="AN75" i="127"/>
  <c r="AO75" i="127" s="1"/>
  <c r="AJ75" i="127"/>
  <c r="AK75" i="127" s="1"/>
  <c r="AH47" i="127"/>
  <c r="AH48" i="127" s="1"/>
  <c r="AG47" i="127"/>
  <c r="AG48" i="127" s="1"/>
  <c r="AF47" i="127"/>
  <c r="AF48" i="127" s="1"/>
  <c r="X47" i="127"/>
  <c r="S47" i="127"/>
  <c r="R47" i="127"/>
  <c r="M42" i="127"/>
  <c r="S92" i="127" s="1"/>
  <c r="S40" i="127"/>
  <c r="R40" i="127"/>
  <c r="Q40" i="127"/>
  <c r="AD39" i="127"/>
  <c r="AA39" i="127"/>
  <c r="W39" i="127"/>
  <c r="AS37" i="127"/>
  <c r="V37" i="127"/>
  <c r="M37" i="127"/>
  <c r="M30" i="127" s="1"/>
  <c r="M41" i="127" s="1"/>
  <c r="M43" i="127" s="1"/>
  <c r="AS36" i="127"/>
  <c r="AS35" i="127"/>
  <c r="V35" i="127"/>
  <c r="AS34" i="127"/>
  <c r="V34" i="127"/>
  <c r="H34" i="127"/>
  <c r="J84" i="127" s="1"/>
  <c r="J83" i="127" s="1"/>
  <c r="G34" i="127"/>
  <c r="I84" i="127" s="1"/>
  <c r="I83" i="127" s="1"/>
  <c r="F34" i="127"/>
  <c r="H84" i="127" s="1"/>
  <c r="H83" i="127" s="1"/>
  <c r="E34" i="127"/>
  <c r="G84" i="127" s="1"/>
  <c r="G83" i="127" s="1"/>
  <c r="AS33" i="127"/>
  <c r="AJ33" i="127"/>
  <c r="AA37" i="127" s="1"/>
  <c r="AI33" i="127"/>
  <c r="Y37" i="127" s="1"/>
  <c r="V33" i="127"/>
  <c r="M33" i="127"/>
  <c r="AS32" i="127"/>
  <c r="AJ32" i="127"/>
  <c r="AN85" i="127" s="1"/>
  <c r="AO85" i="127" s="1"/>
  <c r="AI32" i="127"/>
  <c r="W35" i="127" s="1"/>
  <c r="AS31" i="127"/>
  <c r="AJ31" i="127"/>
  <c r="AC34" i="127" s="1"/>
  <c r="AI31" i="127"/>
  <c r="W34" i="127" s="1"/>
  <c r="V31" i="127"/>
  <c r="M31" i="127"/>
  <c r="AS30" i="127"/>
  <c r="AJ30" i="127"/>
  <c r="AA33" i="127" s="1"/>
  <c r="AI30" i="127"/>
  <c r="W33" i="127" s="1"/>
  <c r="V30" i="127"/>
  <c r="AS29" i="127"/>
  <c r="AJ29" i="127"/>
  <c r="AA31" i="127" s="1"/>
  <c r="AI29" i="127"/>
  <c r="W31" i="127" s="1"/>
  <c r="AS28" i="127"/>
  <c r="AJ28" i="127"/>
  <c r="AA30" i="127" s="1"/>
  <c r="AI28" i="127"/>
  <c r="AL81" i="127" s="1"/>
  <c r="AM81" i="127" s="1"/>
  <c r="V28" i="127"/>
  <c r="S28" i="127"/>
  <c r="R28" i="127"/>
  <c r="Q28" i="127"/>
  <c r="M28" i="127"/>
  <c r="AS27" i="127"/>
  <c r="AJ27" i="127"/>
  <c r="AA28" i="127" s="1"/>
  <c r="AI27" i="127"/>
  <c r="S27" i="127"/>
  <c r="R27" i="127"/>
  <c r="Q27" i="127"/>
  <c r="AS26" i="127"/>
  <c r="AJ26" i="127"/>
  <c r="AA26" i="127" s="1"/>
  <c r="AI26" i="127"/>
  <c r="V26" i="127"/>
  <c r="AS25" i="127"/>
  <c r="AJ25" i="127"/>
  <c r="AK25" i="127" s="1"/>
  <c r="AE25" i="127" s="1"/>
  <c r="AP78" i="127" s="1"/>
  <c r="AQ78" i="127" s="1"/>
  <c r="AI25" i="127"/>
  <c r="AL78" i="127"/>
  <c r="AM78" i="127" s="1"/>
  <c r="V25" i="127"/>
  <c r="H25" i="127"/>
  <c r="G25" i="127"/>
  <c r="F25" i="127"/>
  <c r="F36" i="127" s="1"/>
  <c r="E25" i="127"/>
  <c r="E36" i="127" s="1"/>
  <c r="AS24" i="127"/>
  <c r="AJ24" i="127"/>
  <c r="AK24" i="127" s="1"/>
  <c r="AI24" i="127"/>
  <c r="V24" i="127"/>
  <c r="F24" i="127"/>
  <c r="G24" i="127" s="1"/>
  <c r="H24" i="127" s="1"/>
  <c r="AS23" i="127"/>
  <c r="AJ23" i="127"/>
  <c r="AA23" i="127" s="1"/>
  <c r="AI23" i="127"/>
  <c r="V23" i="127"/>
  <c r="AS22" i="127"/>
  <c r="AJ22" i="127"/>
  <c r="AK22" i="127" s="1"/>
  <c r="AI22" i="127"/>
  <c r="AG22" i="127"/>
  <c r="AC22" i="127"/>
  <c r="W22" i="127"/>
  <c r="AL75" i="127" s="1"/>
  <c r="AM75" i="127" s="1"/>
  <c r="V22" i="127"/>
  <c r="M20" i="127"/>
  <c r="F20" i="127"/>
  <c r="G20" i="127" s="1"/>
  <c r="H20" i="127" s="1"/>
  <c r="AE19" i="127"/>
  <c r="AB53" i="127" s="1"/>
  <c r="AA19" i="127"/>
  <c r="AK90" i="127" s="1"/>
  <c r="W19" i="127"/>
  <c r="AJ90" i="127" s="1"/>
  <c r="Q13" i="127"/>
  <c r="AF12" i="127"/>
  <c r="AC12" i="127"/>
  <c r="V12" i="127"/>
  <c r="R12" i="127"/>
  <c r="W10" i="127"/>
  <c r="Q10" i="127"/>
  <c r="O10" i="127"/>
  <c r="W9" i="127"/>
  <c r="Q9" i="127"/>
  <c r="O9" i="127"/>
  <c r="AV8" i="127"/>
  <c r="AB8" i="127"/>
  <c r="W8" i="127"/>
  <c r="Q8" i="127"/>
  <c r="O8" i="127"/>
  <c r="AB7" i="127"/>
  <c r="W7" i="127"/>
  <c r="Q7" i="127"/>
  <c r="O7" i="127"/>
  <c r="AB6" i="127"/>
  <c r="W6" i="127"/>
  <c r="Q6" i="127"/>
  <c r="O6" i="127"/>
  <c r="R1" i="127"/>
  <c r="AJ86" i="126"/>
  <c r="AK86" i="126" s="1"/>
  <c r="AJ85" i="126"/>
  <c r="AK85" i="126" s="1"/>
  <c r="L85" i="126"/>
  <c r="AJ84" i="126"/>
  <c r="AK84" i="126" s="1"/>
  <c r="AJ83" i="126"/>
  <c r="AK83" i="126" s="1"/>
  <c r="AJ82" i="126"/>
  <c r="AK82" i="126" s="1"/>
  <c r="AJ81" i="126"/>
  <c r="AK81" i="126" s="1"/>
  <c r="AJ80" i="126"/>
  <c r="AK80" i="126" s="1"/>
  <c r="AJ79" i="126"/>
  <c r="AK79" i="126" s="1"/>
  <c r="AJ78" i="126"/>
  <c r="AK78" i="126" s="1"/>
  <c r="D78" i="126"/>
  <c r="AJ77" i="126"/>
  <c r="AK77" i="126" s="1"/>
  <c r="AJ76" i="126"/>
  <c r="AK76" i="126" s="1"/>
  <c r="AP75" i="126"/>
  <c r="AQ75" i="126" s="1"/>
  <c r="AN75" i="126"/>
  <c r="AO75" i="126" s="1"/>
  <c r="AJ75" i="126"/>
  <c r="AK75" i="126" s="1"/>
  <c r="AH47" i="126"/>
  <c r="AH48" i="126" s="1"/>
  <c r="AG47" i="126"/>
  <c r="AG48" i="126" s="1"/>
  <c r="AF47" i="126"/>
  <c r="AF48" i="126" s="1"/>
  <c r="X47" i="126"/>
  <c r="S47" i="126"/>
  <c r="R47" i="126"/>
  <c r="Q47" i="126"/>
  <c r="M42" i="126"/>
  <c r="S92" i="126" s="1"/>
  <c r="M41" i="126"/>
  <c r="M43" i="126" s="1"/>
  <c r="S40" i="126"/>
  <c r="R40" i="126"/>
  <c r="Q40" i="126"/>
  <c r="AD39" i="126"/>
  <c r="AA39" i="126"/>
  <c r="W39" i="126"/>
  <c r="AS37" i="126"/>
  <c r="V37" i="126"/>
  <c r="AS36" i="126"/>
  <c r="AS35" i="126"/>
  <c r="V35" i="126"/>
  <c r="AS34" i="126"/>
  <c r="V34" i="126"/>
  <c r="H34" i="126"/>
  <c r="J84" i="126" s="1"/>
  <c r="J83" i="126" s="1"/>
  <c r="G34" i="126"/>
  <c r="I84" i="126" s="1"/>
  <c r="I83" i="126" s="1"/>
  <c r="F34" i="126"/>
  <c r="H84" i="126" s="1"/>
  <c r="H83" i="126" s="1"/>
  <c r="E34" i="126"/>
  <c r="G84" i="126" s="1"/>
  <c r="G83" i="126" s="1"/>
  <c r="AS33" i="126"/>
  <c r="AJ33" i="126"/>
  <c r="AI33" i="126"/>
  <c r="V33" i="126"/>
  <c r="M33" i="126"/>
  <c r="AS32" i="126"/>
  <c r="AJ32" i="126"/>
  <c r="AK32" i="126" s="1"/>
  <c r="AI32" i="126"/>
  <c r="W35" i="126" s="1"/>
  <c r="AS31" i="126"/>
  <c r="AJ31" i="126"/>
  <c r="AK31" i="126" s="1"/>
  <c r="AI31" i="126"/>
  <c r="W34" i="126" s="1"/>
  <c r="V31" i="126"/>
  <c r="M31" i="126"/>
  <c r="AS30" i="126"/>
  <c r="AJ30" i="126"/>
  <c r="AI30" i="126"/>
  <c r="AL83" i="126" s="1"/>
  <c r="AM83" i="126" s="1"/>
  <c r="W41" i="126" s="1"/>
  <c r="V30" i="126"/>
  <c r="AS29" i="126"/>
  <c r="AJ29" i="126"/>
  <c r="AA31" i="126" s="1"/>
  <c r="AI29" i="126"/>
  <c r="W31" i="126" s="1"/>
  <c r="AS28" i="126"/>
  <c r="AJ28" i="126"/>
  <c r="AA30" i="126" s="1"/>
  <c r="AI28" i="126"/>
  <c r="W30" i="126" s="1"/>
  <c r="V28" i="126"/>
  <c r="S28" i="126"/>
  <c r="R28" i="126"/>
  <c r="Q28" i="126"/>
  <c r="M28" i="126"/>
  <c r="AS27" i="126"/>
  <c r="AJ27" i="126"/>
  <c r="AK27" i="126" s="1"/>
  <c r="AE28" i="126" s="1"/>
  <c r="AI27" i="126"/>
  <c r="W28" i="126" s="1"/>
  <c r="S27" i="126"/>
  <c r="R27" i="126"/>
  <c r="Q27" i="126"/>
  <c r="AS26" i="126"/>
  <c r="AJ26" i="126"/>
  <c r="AK26" i="126" s="1"/>
  <c r="AE26" i="126" s="1"/>
  <c r="AP79" i="126" s="1"/>
  <c r="AQ79" i="126" s="1"/>
  <c r="AD40" i="126" s="1"/>
  <c r="AI26" i="126"/>
  <c r="W26" i="126" s="1"/>
  <c r="AL79" i="126" s="1"/>
  <c r="AM79" i="126" s="1"/>
  <c r="W40" i="126" s="1"/>
  <c r="V26" i="126"/>
  <c r="AS25" i="126"/>
  <c r="AJ25" i="126"/>
  <c r="AA25" i="126" s="1"/>
  <c r="AI25" i="126"/>
  <c r="W25" i="126" s="1"/>
  <c r="AL78" i="126" s="1"/>
  <c r="AM78" i="126" s="1"/>
  <c r="V25" i="126"/>
  <c r="H25" i="126"/>
  <c r="G25" i="126"/>
  <c r="F25" i="126"/>
  <c r="E25" i="126"/>
  <c r="E36" i="126" s="1"/>
  <c r="AS24" i="126"/>
  <c r="AJ24" i="126"/>
  <c r="AK24" i="126" s="1"/>
  <c r="AI24" i="126"/>
  <c r="W24" i="126" s="1"/>
  <c r="V24" i="126"/>
  <c r="F24" i="126"/>
  <c r="G24" i="126" s="1"/>
  <c r="AS23" i="126"/>
  <c r="AJ23" i="126"/>
  <c r="AK23" i="126" s="1"/>
  <c r="AP76" i="126" s="1"/>
  <c r="AQ76" i="126" s="1"/>
  <c r="AI23" i="126"/>
  <c r="AL76" i="126" s="1"/>
  <c r="AM76" i="126" s="1"/>
  <c r="V23" i="126"/>
  <c r="AS22" i="126"/>
  <c r="AJ22" i="126"/>
  <c r="AK22" i="126" s="1"/>
  <c r="AI22" i="126"/>
  <c r="AG22" i="126"/>
  <c r="AC22" i="126"/>
  <c r="W22" i="126"/>
  <c r="AL75" i="126" s="1"/>
  <c r="AM75" i="126" s="1"/>
  <c r="V22" i="126"/>
  <c r="M20" i="126"/>
  <c r="F20" i="126"/>
  <c r="G20" i="126" s="1"/>
  <c r="H20" i="126" s="1"/>
  <c r="AE19" i="126"/>
  <c r="AB53" i="126" s="1"/>
  <c r="AA19" i="126"/>
  <c r="AK90" i="126" s="1"/>
  <c r="W19" i="126"/>
  <c r="AJ90" i="126" s="1"/>
  <c r="Q13" i="126"/>
  <c r="AF12" i="126"/>
  <c r="AC12" i="126"/>
  <c r="V12" i="126"/>
  <c r="R12" i="126"/>
  <c r="W10" i="126"/>
  <c r="Q10" i="126"/>
  <c r="O10" i="126"/>
  <c r="W9" i="126"/>
  <c r="Q9" i="126"/>
  <c r="O9" i="126"/>
  <c r="AV8" i="126"/>
  <c r="AB8" i="126"/>
  <c r="W8" i="126"/>
  <c r="Q8" i="126"/>
  <c r="O8" i="126"/>
  <c r="AB7" i="126"/>
  <c r="W7" i="126"/>
  <c r="Q7" i="126"/>
  <c r="O7" i="126"/>
  <c r="AB6" i="126"/>
  <c r="W6" i="126"/>
  <c r="Q6" i="126"/>
  <c r="O6" i="126"/>
  <c r="R1" i="126"/>
  <c r="AJ86" i="125"/>
  <c r="AK86" i="125" s="1"/>
  <c r="AJ85" i="125"/>
  <c r="AK85" i="125" s="1"/>
  <c r="L85" i="125"/>
  <c r="AJ84" i="125"/>
  <c r="AK84" i="125" s="1"/>
  <c r="AJ83" i="125"/>
  <c r="AK83" i="125" s="1"/>
  <c r="AJ82" i="125"/>
  <c r="AK82" i="125" s="1"/>
  <c r="AJ81" i="125"/>
  <c r="AK81" i="125" s="1"/>
  <c r="AJ80" i="125"/>
  <c r="AK80" i="125" s="1"/>
  <c r="AJ79" i="125"/>
  <c r="AK79" i="125" s="1"/>
  <c r="AJ78" i="125"/>
  <c r="AK78" i="125" s="1"/>
  <c r="D78" i="125"/>
  <c r="AJ77" i="125"/>
  <c r="AK77" i="125" s="1"/>
  <c r="AJ76" i="125"/>
  <c r="AK76" i="125" s="1"/>
  <c r="AP75" i="125"/>
  <c r="AQ75" i="125" s="1"/>
  <c r="AN75" i="125"/>
  <c r="AO75" i="125" s="1"/>
  <c r="AJ75" i="125"/>
  <c r="AK75" i="125" s="1"/>
  <c r="AH47" i="125"/>
  <c r="AH48" i="125" s="1"/>
  <c r="AG47" i="125"/>
  <c r="AG48" i="125" s="1"/>
  <c r="AF47" i="125"/>
  <c r="AF48" i="125" s="1"/>
  <c r="X47" i="125"/>
  <c r="S47" i="125"/>
  <c r="R47" i="125"/>
  <c r="Q47" i="125"/>
  <c r="M42" i="125"/>
  <c r="M37" i="125" s="1"/>
  <c r="M41" i="125"/>
  <c r="M43" i="125" s="1"/>
  <c r="S40" i="125"/>
  <c r="R40" i="125"/>
  <c r="Q40" i="125"/>
  <c r="AD39" i="125"/>
  <c r="AA39" i="125"/>
  <c r="W39" i="125"/>
  <c r="AS37" i="125"/>
  <c r="V37" i="125"/>
  <c r="AS36" i="125"/>
  <c r="AS35" i="125"/>
  <c r="V35" i="125"/>
  <c r="AS34" i="125"/>
  <c r="V34" i="125"/>
  <c r="H34" i="125"/>
  <c r="J84" i="125" s="1"/>
  <c r="J83" i="125" s="1"/>
  <c r="G34" i="125"/>
  <c r="I84" i="125" s="1"/>
  <c r="I83" i="125" s="1"/>
  <c r="F34" i="125"/>
  <c r="H84" i="125" s="1"/>
  <c r="H83" i="125" s="1"/>
  <c r="E34" i="125"/>
  <c r="G84" i="125" s="1"/>
  <c r="G83" i="125" s="1"/>
  <c r="AS33" i="125"/>
  <c r="AJ33" i="125"/>
  <c r="AI33" i="125"/>
  <c r="W37" i="125" s="1"/>
  <c r="Y37" i="125" s="1"/>
  <c r="V33" i="125"/>
  <c r="M33" i="125"/>
  <c r="AS32" i="125"/>
  <c r="AJ32" i="125"/>
  <c r="AA35" i="125" s="1"/>
  <c r="AI32" i="125"/>
  <c r="W35" i="125" s="1"/>
  <c r="AL85" i="125" s="1"/>
  <c r="AM85" i="125" s="1"/>
  <c r="AS31" i="125"/>
  <c r="AJ31" i="125"/>
  <c r="AI31" i="125"/>
  <c r="W34" i="125" s="1"/>
  <c r="AL84" i="125" s="1"/>
  <c r="AM84" i="125" s="1"/>
  <c r="V31" i="125"/>
  <c r="M31" i="125"/>
  <c r="AS30" i="125"/>
  <c r="AJ30" i="125"/>
  <c r="AA33" i="125" s="1"/>
  <c r="AI30" i="125"/>
  <c r="W33" i="125" s="1"/>
  <c r="V30" i="125"/>
  <c r="AS29" i="125"/>
  <c r="AJ29" i="125"/>
  <c r="AA31" i="125" s="1"/>
  <c r="AI29" i="125"/>
  <c r="W31" i="125" s="1"/>
  <c r="AS28" i="125"/>
  <c r="AJ28" i="125"/>
  <c r="AK28" i="125" s="1"/>
  <c r="AI28" i="125"/>
  <c r="W30" i="125" s="1"/>
  <c r="AL81" i="125" s="1"/>
  <c r="AM81" i="125" s="1"/>
  <c r="V28" i="125"/>
  <c r="S28" i="125"/>
  <c r="R28" i="125"/>
  <c r="Q28" i="125"/>
  <c r="M28" i="125"/>
  <c r="AS27" i="125"/>
  <c r="AJ27" i="125"/>
  <c r="AA28" i="125" s="1"/>
  <c r="AI27" i="125"/>
  <c r="W28" i="125" s="1"/>
  <c r="S27" i="125"/>
  <c r="R27" i="125"/>
  <c r="Q27" i="125"/>
  <c r="AS26" i="125"/>
  <c r="AJ26" i="125"/>
  <c r="AA26" i="125" s="1"/>
  <c r="AI26" i="125"/>
  <c r="W26" i="125" s="1"/>
  <c r="V26" i="125"/>
  <c r="AS25" i="125"/>
  <c r="AJ25" i="125"/>
  <c r="AK25" i="125" s="1"/>
  <c r="AI25" i="125"/>
  <c r="W25" i="125" s="1"/>
  <c r="V25" i="125"/>
  <c r="H25" i="125"/>
  <c r="G25" i="125"/>
  <c r="F25" i="125"/>
  <c r="E25" i="125"/>
  <c r="E36" i="125" s="1"/>
  <c r="AS24" i="125"/>
  <c r="AJ24" i="125"/>
  <c r="AK24" i="125" s="1"/>
  <c r="AI24" i="125"/>
  <c r="AL77" i="125"/>
  <c r="AM77" i="125" s="1"/>
  <c r="V24" i="125"/>
  <c r="F24" i="125"/>
  <c r="G24" i="125" s="1"/>
  <c r="H24" i="125" s="1"/>
  <c r="AS23" i="125"/>
  <c r="AJ23" i="125"/>
  <c r="AI23" i="125"/>
  <c r="V23" i="125"/>
  <c r="AS22" i="125"/>
  <c r="AJ22" i="125"/>
  <c r="AK22" i="125" s="1"/>
  <c r="AI22" i="125"/>
  <c r="AG22" i="125"/>
  <c r="AC22" i="125"/>
  <c r="W22" i="125"/>
  <c r="AL75" i="125" s="1"/>
  <c r="AM75" i="125" s="1"/>
  <c r="V22" i="125"/>
  <c r="M20" i="125"/>
  <c r="F20" i="125"/>
  <c r="G20" i="125" s="1"/>
  <c r="H20" i="125" s="1"/>
  <c r="AE19" i="125"/>
  <c r="AB53" i="125" s="1"/>
  <c r="AA19" i="125"/>
  <c r="AK90" i="125" s="1"/>
  <c r="W19" i="125"/>
  <c r="AJ90" i="125" s="1"/>
  <c r="Q13" i="125"/>
  <c r="AF12" i="125"/>
  <c r="AC12" i="125"/>
  <c r="V12" i="125"/>
  <c r="W10" i="125"/>
  <c r="Q10" i="125"/>
  <c r="O10" i="125"/>
  <c r="W9" i="125"/>
  <c r="Q9" i="125"/>
  <c r="O9" i="125"/>
  <c r="AV8" i="125"/>
  <c r="AB8" i="125"/>
  <c r="W8" i="125"/>
  <c r="Q8" i="125"/>
  <c r="O8" i="125"/>
  <c r="AB7" i="125"/>
  <c r="W7" i="125"/>
  <c r="Q7" i="125"/>
  <c r="O7" i="125"/>
  <c r="AB6" i="125"/>
  <c r="W6" i="125"/>
  <c r="Q6" i="125"/>
  <c r="O6" i="125"/>
  <c r="R1" i="125"/>
  <c r="AJ86" i="124"/>
  <c r="AK86" i="124" s="1"/>
  <c r="AJ85" i="124"/>
  <c r="AK85" i="124" s="1"/>
  <c r="L85" i="124"/>
  <c r="AJ84" i="124"/>
  <c r="AK84" i="124" s="1"/>
  <c r="AK83" i="124"/>
  <c r="AJ83" i="124"/>
  <c r="AJ82" i="124"/>
  <c r="AK82" i="124" s="1"/>
  <c r="AJ81" i="124"/>
  <c r="AK81" i="124" s="1"/>
  <c r="AJ80" i="124"/>
  <c r="AK80" i="124" s="1"/>
  <c r="AJ79" i="124"/>
  <c r="AK79" i="124" s="1"/>
  <c r="AJ78" i="124"/>
  <c r="AK78" i="124" s="1"/>
  <c r="D78" i="124"/>
  <c r="AK77" i="124"/>
  <c r="AJ77" i="124"/>
  <c r="AJ76" i="124"/>
  <c r="AK76" i="124" s="1"/>
  <c r="AP75" i="124"/>
  <c r="AQ75" i="124" s="1"/>
  <c r="AN75" i="124"/>
  <c r="AO75" i="124" s="1"/>
  <c r="AJ75" i="124"/>
  <c r="AK75" i="124" s="1"/>
  <c r="AH47" i="124"/>
  <c r="AH48" i="124" s="1"/>
  <c r="AG47" i="124"/>
  <c r="AG48" i="124" s="1"/>
  <c r="AF47" i="124"/>
  <c r="AF48" i="124" s="1"/>
  <c r="X47" i="124"/>
  <c r="S47" i="124"/>
  <c r="R47" i="124"/>
  <c r="Q47" i="124"/>
  <c r="M42" i="124"/>
  <c r="S92" i="124" s="1"/>
  <c r="S40" i="124"/>
  <c r="R40" i="124"/>
  <c r="Q40" i="124"/>
  <c r="AD39" i="124"/>
  <c r="AA39" i="124"/>
  <c r="W39" i="124"/>
  <c r="AS37" i="124"/>
  <c r="V37" i="124"/>
  <c r="AS36" i="124"/>
  <c r="AS35" i="124"/>
  <c r="V35" i="124"/>
  <c r="AS34" i="124"/>
  <c r="V34" i="124"/>
  <c r="H34" i="124"/>
  <c r="J84" i="124" s="1"/>
  <c r="J83" i="124" s="1"/>
  <c r="G34" i="124"/>
  <c r="I84" i="124" s="1"/>
  <c r="I83" i="124" s="1"/>
  <c r="F34" i="124"/>
  <c r="H84" i="124" s="1"/>
  <c r="H83" i="124" s="1"/>
  <c r="E34" i="124"/>
  <c r="G84" i="124" s="1"/>
  <c r="G83" i="124" s="1"/>
  <c r="AS33" i="124"/>
  <c r="AJ33" i="124"/>
  <c r="AI33" i="124"/>
  <c r="V33" i="124"/>
  <c r="M33" i="124"/>
  <c r="AS32" i="124"/>
  <c r="AJ32" i="124"/>
  <c r="AA35" i="124" s="1"/>
  <c r="AN85" i="124" s="1"/>
  <c r="AO85" i="124" s="1"/>
  <c r="AI32" i="124"/>
  <c r="W35" i="124" s="1"/>
  <c r="AL85" i="124" s="1"/>
  <c r="AM85" i="124" s="1"/>
  <c r="AS31" i="124"/>
  <c r="AJ31" i="124"/>
  <c r="AC34" i="124" s="1"/>
  <c r="AI31" i="124"/>
  <c r="W34" i="124" s="1"/>
  <c r="V31" i="124"/>
  <c r="M31" i="124"/>
  <c r="AS30" i="124"/>
  <c r="AJ30" i="124"/>
  <c r="AA33" i="124" s="1"/>
  <c r="AI30" i="124"/>
  <c r="W33" i="124" s="1"/>
  <c r="AL83" i="124" s="1"/>
  <c r="AM83" i="124" s="1"/>
  <c r="W41" i="124" s="1"/>
  <c r="V30" i="124"/>
  <c r="AS29" i="124"/>
  <c r="AJ29" i="124"/>
  <c r="AA31" i="124" s="1"/>
  <c r="AI29" i="124"/>
  <c r="W31" i="124" s="1"/>
  <c r="AS28" i="124"/>
  <c r="AJ28" i="124"/>
  <c r="AA30" i="124" s="1"/>
  <c r="AI28" i="124"/>
  <c r="W30" i="124" s="1"/>
  <c r="V28" i="124"/>
  <c r="S28" i="124"/>
  <c r="R28" i="124"/>
  <c r="R30" i="124" s="1"/>
  <c r="Q28" i="124"/>
  <c r="M28" i="124"/>
  <c r="AS27" i="124"/>
  <c r="AJ27" i="124"/>
  <c r="AK27" i="124" s="1"/>
  <c r="AI27" i="124"/>
  <c r="W28" i="124" s="1"/>
  <c r="S27" i="124"/>
  <c r="R27" i="124"/>
  <c r="Q27" i="124"/>
  <c r="AS26" i="124"/>
  <c r="AJ26" i="124"/>
  <c r="AA26" i="124" s="1"/>
  <c r="AI26" i="124"/>
  <c r="AL79" i="124" s="1"/>
  <c r="AM79" i="124" s="1"/>
  <c r="W40" i="124" s="1"/>
  <c r="V26" i="124"/>
  <c r="AS25" i="124"/>
  <c r="AJ25" i="124"/>
  <c r="AA25" i="124" s="1"/>
  <c r="AI25" i="124"/>
  <c r="AL78" i="124" s="1"/>
  <c r="AM78" i="124" s="1"/>
  <c r="V25" i="124"/>
  <c r="H25" i="124"/>
  <c r="G25" i="124"/>
  <c r="F25" i="124"/>
  <c r="E25" i="124"/>
  <c r="E36" i="124" s="1"/>
  <c r="AS24" i="124"/>
  <c r="AJ24" i="124"/>
  <c r="AK24" i="124" s="1"/>
  <c r="AI24" i="124"/>
  <c r="V24" i="124"/>
  <c r="F24" i="124"/>
  <c r="G24" i="124" s="1"/>
  <c r="H24" i="124" s="1"/>
  <c r="AS23" i="124"/>
  <c r="AJ23" i="124"/>
  <c r="AA23" i="124" s="1"/>
  <c r="AI23" i="124"/>
  <c r="AL76" i="124" s="1"/>
  <c r="AM76" i="124" s="1"/>
  <c r="V23" i="124"/>
  <c r="AS22" i="124"/>
  <c r="AJ22" i="124"/>
  <c r="AK22" i="124" s="1"/>
  <c r="AI22" i="124"/>
  <c r="AG22" i="124"/>
  <c r="AC22" i="124"/>
  <c r="W22" i="124"/>
  <c r="AL75" i="124" s="1"/>
  <c r="AM75" i="124" s="1"/>
  <c r="V22" i="124"/>
  <c r="M20" i="124"/>
  <c r="F20" i="124"/>
  <c r="G20" i="124" s="1"/>
  <c r="H20" i="124" s="1"/>
  <c r="AE19" i="124"/>
  <c r="AB53" i="124" s="1"/>
  <c r="AA19" i="124"/>
  <c r="AK90" i="124" s="1"/>
  <c r="W19" i="124"/>
  <c r="AJ90" i="124" s="1"/>
  <c r="Q13" i="124"/>
  <c r="AF12" i="124"/>
  <c r="AC12" i="124"/>
  <c r="V12" i="124"/>
  <c r="R12" i="124"/>
  <c r="W10" i="124"/>
  <c r="Q10" i="124"/>
  <c r="O10" i="124"/>
  <c r="W9" i="124"/>
  <c r="Q9" i="124"/>
  <c r="O9" i="124"/>
  <c r="AV8" i="124"/>
  <c r="AB8" i="124"/>
  <c r="W8" i="124"/>
  <c r="Q8" i="124"/>
  <c r="O8" i="124"/>
  <c r="AB7" i="124"/>
  <c r="W7" i="124"/>
  <c r="Q7" i="124"/>
  <c r="O7" i="124"/>
  <c r="AB6" i="124"/>
  <c r="W6" i="124"/>
  <c r="Q6" i="124"/>
  <c r="O6" i="124"/>
  <c r="R1" i="124"/>
  <c r="AJ86" i="123"/>
  <c r="AK86" i="123" s="1"/>
  <c r="AJ85" i="123"/>
  <c r="AK85" i="123" s="1"/>
  <c r="L85" i="123"/>
  <c r="AJ84" i="123"/>
  <c r="AK84" i="123" s="1"/>
  <c r="AJ83" i="123"/>
  <c r="AK83" i="123" s="1"/>
  <c r="AJ82" i="123"/>
  <c r="AK82" i="123" s="1"/>
  <c r="AJ81" i="123"/>
  <c r="AK81" i="123" s="1"/>
  <c r="AJ80" i="123"/>
  <c r="AK80" i="123" s="1"/>
  <c r="AJ79" i="123"/>
  <c r="AK79" i="123" s="1"/>
  <c r="AJ78" i="123"/>
  <c r="AK78" i="123" s="1"/>
  <c r="D78" i="123"/>
  <c r="AJ77" i="123"/>
  <c r="AK77" i="123" s="1"/>
  <c r="AJ76" i="123"/>
  <c r="AK76" i="123" s="1"/>
  <c r="AP75" i="123"/>
  <c r="AQ75" i="123" s="1"/>
  <c r="AN75" i="123"/>
  <c r="AO75" i="123" s="1"/>
  <c r="AJ75" i="123"/>
  <c r="AK75" i="123" s="1"/>
  <c r="AH47" i="123"/>
  <c r="AH48" i="123" s="1"/>
  <c r="AG47" i="123"/>
  <c r="AG48" i="123" s="1"/>
  <c r="AF47" i="123"/>
  <c r="AF48" i="123" s="1"/>
  <c r="X47" i="123"/>
  <c r="S47" i="123"/>
  <c r="R47" i="123"/>
  <c r="Q47" i="123"/>
  <c r="S92" i="123"/>
  <c r="S40" i="123"/>
  <c r="R40" i="123"/>
  <c r="Q40" i="123"/>
  <c r="AD39" i="123"/>
  <c r="AS37" i="123"/>
  <c r="V37" i="123"/>
  <c r="AS36" i="123"/>
  <c r="AS35" i="123"/>
  <c r="V35" i="123"/>
  <c r="AS34" i="123"/>
  <c r="V34" i="123"/>
  <c r="H34" i="123"/>
  <c r="J84" i="123" s="1"/>
  <c r="J83" i="123" s="1"/>
  <c r="G34" i="123"/>
  <c r="I84" i="123" s="1"/>
  <c r="I83" i="123" s="1"/>
  <c r="H84" i="123"/>
  <c r="H83" i="123" s="1"/>
  <c r="E34" i="123"/>
  <c r="G84" i="123" s="1"/>
  <c r="G83" i="123" s="1"/>
  <c r="AS33" i="123"/>
  <c r="AC33" i="123"/>
  <c r="V33" i="123"/>
  <c r="M33" i="123"/>
  <c r="AS32" i="123"/>
  <c r="AS31" i="123"/>
  <c r="V31" i="123"/>
  <c r="AS30" i="123"/>
  <c r="AL81" i="123"/>
  <c r="AM81" i="123" s="1"/>
  <c r="V30" i="123"/>
  <c r="AS29" i="123"/>
  <c r="AS28" i="123"/>
  <c r="V28" i="123"/>
  <c r="S28" i="123"/>
  <c r="R28" i="123"/>
  <c r="M28" i="123"/>
  <c r="AS27" i="123"/>
  <c r="S27" i="123"/>
  <c r="R27" i="123"/>
  <c r="Q27" i="123"/>
  <c r="AS26" i="123"/>
  <c r="V26" i="123"/>
  <c r="AS25" i="123"/>
  <c r="AN78" i="123"/>
  <c r="AO78" i="123" s="1"/>
  <c r="AL78" i="123"/>
  <c r="AM78" i="123" s="1"/>
  <c r="V25" i="123"/>
  <c r="H25" i="123"/>
  <c r="G25" i="123"/>
  <c r="F25" i="123"/>
  <c r="E25" i="123"/>
  <c r="E36" i="123" s="1"/>
  <c r="AS24" i="123"/>
  <c r="V24" i="123"/>
  <c r="AS23" i="123"/>
  <c r="V23" i="123"/>
  <c r="AS22" i="123"/>
  <c r="AG22" i="123"/>
  <c r="AC22" i="123"/>
  <c r="AL75" i="123"/>
  <c r="AM75" i="123" s="1"/>
  <c r="V22" i="123"/>
  <c r="AE19" i="123"/>
  <c r="AB53" i="123" s="1"/>
  <c r="AA19" i="123"/>
  <c r="AK90" i="123" s="1"/>
  <c r="W19" i="123"/>
  <c r="AJ90" i="123" s="1"/>
  <c r="W10" i="123"/>
  <c r="Q10" i="123"/>
  <c r="O10" i="123"/>
  <c r="W9" i="123"/>
  <c r="Q9" i="123"/>
  <c r="O9" i="123"/>
  <c r="AV8" i="123"/>
  <c r="AB8" i="123"/>
  <c r="W8" i="123"/>
  <c r="Q8" i="123"/>
  <c r="O8" i="123"/>
  <c r="AB7" i="123"/>
  <c r="W7" i="123"/>
  <c r="Q7" i="123"/>
  <c r="O7" i="123"/>
  <c r="AB6" i="123"/>
  <c r="W6" i="123"/>
  <c r="O6" i="123"/>
  <c r="R1" i="123"/>
  <c r="H36" i="123" l="1"/>
  <c r="H37" i="123" s="1"/>
  <c r="S30" i="123"/>
  <c r="S31" i="123" s="1"/>
  <c r="AL91" i="123" s="1"/>
  <c r="R30" i="123"/>
  <c r="R31" i="123" s="1"/>
  <c r="AK91" i="123" s="1"/>
  <c r="E37" i="123"/>
  <c r="M40" i="127"/>
  <c r="E37" i="125"/>
  <c r="AL79" i="128"/>
  <c r="AM79" i="128" s="1"/>
  <c r="W40" i="128" s="1"/>
  <c r="W42" i="128" s="1"/>
  <c r="AJ94" i="128" s="1"/>
  <c r="W26" i="128"/>
  <c r="AK28" i="130"/>
  <c r="AE30" i="130" s="1"/>
  <c r="AK29" i="130"/>
  <c r="M39" i="127"/>
  <c r="X45" i="127" s="1"/>
  <c r="Y22" i="124"/>
  <c r="AK33" i="127"/>
  <c r="AG37" i="127" s="1"/>
  <c r="Y22" i="128"/>
  <c r="AA24" i="128"/>
  <c r="AN77" i="128" s="1"/>
  <c r="AO77" i="128" s="1"/>
  <c r="M43" i="131"/>
  <c r="X46" i="131" s="1"/>
  <c r="M39" i="131"/>
  <c r="X45" i="131" s="1"/>
  <c r="AN76" i="123"/>
  <c r="AO76" i="123" s="1"/>
  <c r="Q30" i="123"/>
  <c r="Q31" i="123" s="1"/>
  <c r="AJ91" i="123" s="1"/>
  <c r="Y22" i="126"/>
  <c r="AA35" i="126"/>
  <c r="AN85" i="126" s="1"/>
  <c r="AO85" i="126" s="1"/>
  <c r="AA35" i="128"/>
  <c r="AN85" i="128" s="1"/>
  <c r="AO85" i="128" s="1"/>
  <c r="M43" i="133"/>
  <c r="X46" i="133" s="1"/>
  <c r="M39" i="133"/>
  <c r="X45" i="133" s="1"/>
  <c r="M43" i="132"/>
  <c r="X46" i="132" s="1"/>
  <c r="M39" i="132"/>
  <c r="X45" i="132" s="1"/>
  <c r="W42" i="124"/>
  <c r="AJ94" i="124" s="1"/>
  <c r="AK23" i="124"/>
  <c r="AG23" i="124" s="1"/>
  <c r="H36" i="124"/>
  <c r="F36" i="125"/>
  <c r="F37" i="125" s="1"/>
  <c r="AK27" i="125"/>
  <c r="G36" i="127"/>
  <c r="AK27" i="127"/>
  <c r="AE28" i="127" s="1"/>
  <c r="AG28" i="127" s="1"/>
  <c r="F36" i="128"/>
  <c r="F37" i="128" s="1"/>
  <c r="G36" i="124"/>
  <c r="AN85" i="123"/>
  <c r="AO85" i="123" s="1"/>
  <c r="AK26" i="124"/>
  <c r="AP79" i="124" s="1"/>
  <c r="AQ79" i="124" s="1"/>
  <c r="AD40" i="124" s="1"/>
  <c r="AK33" i="124"/>
  <c r="G36" i="125"/>
  <c r="G37" i="125" s="1"/>
  <c r="AC34" i="126"/>
  <c r="H36" i="127"/>
  <c r="H37" i="127" s="1"/>
  <c r="AK30" i="127"/>
  <c r="AK23" i="128"/>
  <c r="AG23" i="128" s="1"/>
  <c r="F36" i="130"/>
  <c r="F37" i="130" s="1"/>
  <c r="AN78" i="130"/>
  <c r="AO78" i="130" s="1"/>
  <c r="F36" i="123"/>
  <c r="F37" i="123" s="1"/>
  <c r="F36" i="124"/>
  <c r="F36" i="126"/>
  <c r="H36" i="128"/>
  <c r="H37" i="128" s="1"/>
  <c r="G36" i="130"/>
  <c r="G37" i="130" s="1"/>
  <c r="AP77" i="130"/>
  <c r="AQ77" i="130" s="1"/>
  <c r="AG24" i="130"/>
  <c r="AN77" i="130"/>
  <c r="AO77" i="130" s="1"/>
  <c r="AK27" i="130"/>
  <c r="AE28" i="130" s="1"/>
  <c r="AG28" i="130" s="1"/>
  <c r="Y28" i="130"/>
  <c r="AC31" i="130"/>
  <c r="Y24" i="130"/>
  <c r="AA33" i="130"/>
  <c r="AL83" i="128"/>
  <c r="AM83" i="128" s="1"/>
  <c r="W41" i="128" s="1"/>
  <c r="Y33" i="128"/>
  <c r="AK30" i="128"/>
  <c r="AE33" i="128" s="1"/>
  <c r="AP83" i="128" s="1"/>
  <c r="AQ83" i="128" s="1"/>
  <c r="AD41" i="128" s="1"/>
  <c r="AK26" i="128"/>
  <c r="AP79" i="128" s="1"/>
  <c r="AQ79" i="128" s="1"/>
  <c r="AD40" i="128" s="1"/>
  <c r="AC34" i="128"/>
  <c r="AA28" i="128"/>
  <c r="AC28" i="128" s="1"/>
  <c r="AK33" i="128"/>
  <c r="AG37" i="128" s="1"/>
  <c r="Y24" i="125"/>
  <c r="AK30" i="125"/>
  <c r="AA25" i="125"/>
  <c r="AN78" i="125" s="1"/>
  <c r="AO78" i="125" s="1"/>
  <c r="AA30" i="125"/>
  <c r="AN81" i="125" s="1"/>
  <c r="AO81" i="125" s="1"/>
  <c r="E37" i="130"/>
  <c r="S30" i="130"/>
  <c r="S31" i="130" s="1"/>
  <c r="AL91" i="130" s="1"/>
  <c r="R30" i="130"/>
  <c r="R31" i="130" s="1"/>
  <c r="AK91" i="130" s="1"/>
  <c r="Q30" i="130"/>
  <c r="Q31" i="130" s="1"/>
  <c r="AJ91" i="130" s="1"/>
  <c r="H36" i="130"/>
  <c r="H37" i="130" s="1"/>
  <c r="AP78" i="130"/>
  <c r="AQ78" i="130" s="1"/>
  <c r="AG25" i="130"/>
  <c r="AC26" i="130"/>
  <c r="AN79" i="130"/>
  <c r="AO79" i="130" s="1"/>
  <c r="AA40" i="130" s="1"/>
  <c r="AL81" i="130"/>
  <c r="AM81" i="130" s="1"/>
  <c r="Y30" i="130"/>
  <c r="AL82" i="130"/>
  <c r="AM82" i="130" s="1"/>
  <c r="Y31" i="130"/>
  <c r="AP83" i="130"/>
  <c r="AQ83" i="130" s="1"/>
  <c r="AD41" i="130" s="1"/>
  <c r="AG33" i="130"/>
  <c r="Y37" i="130"/>
  <c r="AL86" i="130"/>
  <c r="AM86" i="130" s="1"/>
  <c r="AN86" i="130"/>
  <c r="AO86" i="130" s="1"/>
  <c r="AC37" i="130"/>
  <c r="AC28" i="130"/>
  <c r="AN80" i="130"/>
  <c r="AO80" i="130" s="1"/>
  <c r="AP81" i="130"/>
  <c r="AQ81" i="130" s="1"/>
  <c r="AG30" i="130"/>
  <c r="AP82" i="130"/>
  <c r="AQ82" i="130" s="1"/>
  <c r="AG31" i="130"/>
  <c r="AN85" i="130"/>
  <c r="AO85" i="130" s="1"/>
  <c r="AC35" i="130"/>
  <c r="AL76" i="130"/>
  <c r="AM76" i="130" s="1"/>
  <c r="Y23" i="130"/>
  <c r="AN76" i="130"/>
  <c r="AO76" i="130" s="1"/>
  <c r="AC23" i="130"/>
  <c r="AL78" i="130"/>
  <c r="AM78" i="130" s="1"/>
  <c r="Y25" i="130"/>
  <c r="AL79" i="130"/>
  <c r="AM79" i="130" s="1"/>
  <c r="W40" i="130" s="1"/>
  <c r="Y26" i="130"/>
  <c r="AL83" i="130"/>
  <c r="AM83" i="130" s="1"/>
  <c r="W41" i="130" s="1"/>
  <c r="Y33" i="130"/>
  <c r="AC34" i="130"/>
  <c r="AN84" i="130"/>
  <c r="AO84" i="130" s="1"/>
  <c r="Y22" i="130"/>
  <c r="AK23" i="130"/>
  <c r="AE23" i="130" s="1"/>
  <c r="AK26" i="130"/>
  <c r="AE26" i="130" s="1"/>
  <c r="M30" i="130"/>
  <c r="M41" i="130" s="1"/>
  <c r="M43" i="130" s="1"/>
  <c r="X46" i="130" s="1"/>
  <c r="AC30" i="130"/>
  <c r="AK31" i="130"/>
  <c r="AK32" i="130"/>
  <c r="AK33" i="130"/>
  <c r="Y34" i="130"/>
  <c r="Y35" i="130"/>
  <c r="M40" i="130"/>
  <c r="AB51" i="130"/>
  <c r="E83" i="130"/>
  <c r="AL90" i="130"/>
  <c r="S92" i="130"/>
  <c r="AB52" i="130"/>
  <c r="S30" i="125"/>
  <c r="S31" i="125" s="1"/>
  <c r="AL91" i="125" s="1"/>
  <c r="X46" i="126"/>
  <c r="M37" i="128"/>
  <c r="M40" i="128" s="1"/>
  <c r="M39" i="128"/>
  <c r="X45" i="128" s="1"/>
  <c r="X46" i="128"/>
  <c r="G36" i="128"/>
  <c r="R30" i="128"/>
  <c r="R31" i="128" s="1"/>
  <c r="AK91" i="128" s="1"/>
  <c r="G37" i="128"/>
  <c r="E37" i="128"/>
  <c r="S30" i="128"/>
  <c r="S31" i="128" s="1"/>
  <c r="AL91" i="128" s="1"/>
  <c r="Q30" i="128"/>
  <c r="Q31" i="128" s="1"/>
  <c r="AJ91" i="128" s="1"/>
  <c r="AL81" i="128"/>
  <c r="AM81" i="128" s="1"/>
  <c r="Y30" i="128"/>
  <c r="AC31" i="128"/>
  <c r="AN82" i="128"/>
  <c r="AO82" i="128" s="1"/>
  <c r="AN86" i="128"/>
  <c r="AO86" i="128" s="1"/>
  <c r="AC37" i="128"/>
  <c r="AC26" i="128"/>
  <c r="AN79" i="128"/>
  <c r="AO79" i="128" s="1"/>
  <c r="AA40" i="128" s="1"/>
  <c r="AN81" i="128"/>
  <c r="AO81" i="128" s="1"/>
  <c r="AC30" i="128"/>
  <c r="AP84" i="128"/>
  <c r="AQ84" i="128" s="1"/>
  <c r="AG34" i="128"/>
  <c r="AP85" i="128"/>
  <c r="AQ85" i="128" s="1"/>
  <c r="AG35" i="128"/>
  <c r="AN76" i="128"/>
  <c r="AO76" i="128" s="1"/>
  <c r="AC23" i="128"/>
  <c r="Y24" i="128"/>
  <c r="AL77" i="128"/>
  <c r="AM77" i="128" s="1"/>
  <c r="AL78" i="128"/>
  <c r="AM78" i="128" s="1"/>
  <c r="Y25" i="128"/>
  <c r="AC33" i="128"/>
  <c r="AN83" i="128"/>
  <c r="AO83" i="128" s="1"/>
  <c r="AA41" i="128" s="1"/>
  <c r="AG28" i="128"/>
  <c r="AP80" i="128"/>
  <c r="AQ80" i="128" s="1"/>
  <c r="AG24" i="128"/>
  <c r="AP77" i="128"/>
  <c r="AQ77" i="128" s="1"/>
  <c r="AC25" i="128"/>
  <c r="AN78" i="128"/>
  <c r="AO78" i="128" s="1"/>
  <c r="Y28" i="128"/>
  <c r="AL80" i="128"/>
  <c r="AM80" i="128" s="1"/>
  <c r="AL82" i="128"/>
  <c r="AM82" i="128" s="1"/>
  <c r="Y31" i="128"/>
  <c r="AL84" i="128"/>
  <c r="AM84" i="128" s="1"/>
  <c r="Y34" i="128"/>
  <c r="AL85" i="128"/>
  <c r="AM85" i="128" s="1"/>
  <c r="Y35" i="128"/>
  <c r="AB51" i="128"/>
  <c r="E83" i="128"/>
  <c r="AL86" i="128"/>
  <c r="AM86" i="128" s="1"/>
  <c r="AL90" i="128"/>
  <c r="AB52" i="128"/>
  <c r="AL76" i="128"/>
  <c r="AM76" i="128" s="1"/>
  <c r="AP76" i="128"/>
  <c r="AQ76" i="128" s="1"/>
  <c r="AN84" i="128"/>
  <c r="AO84" i="128" s="1"/>
  <c r="AC24" i="128"/>
  <c r="AK25" i="128"/>
  <c r="Y26" i="128"/>
  <c r="AG26" i="128"/>
  <c r="AK28" i="128"/>
  <c r="AE30" i="128" s="1"/>
  <c r="AK29" i="128"/>
  <c r="AE31" i="128" s="1"/>
  <c r="X46" i="127"/>
  <c r="S30" i="127"/>
  <c r="S31" i="127" s="1"/>
  <c r="AL91" i="127" s="1"/>
  <c r="R30" i="127"/>
  <c r="R31" i="127" s="1"/>
  <c r="AK91" i="127" s="1"/>
  <c r="AL77" i="127"/>
  <c r="AM77" i="127" s="1"/>
  <c r="Y24" i="127"/>
  <c r="AA25" i="127"/>
  <c r="AN78" i="127" s="1"/>
  <c r="AO78" i="127" s="1"/>
  <c r="AK31" i="127"/>
  <c r="AE34" i="127" s="1"/>
  <c r="AP84" i="127" s="1"/>
  <c r="AQ84" i="127" s="1"/>
  <c r="AK32" i="127"/>
  <c r="AP85" i="127" s="1"/>
  <c r="AQ85" i="127" s="1"/>
  <c r="F37" i="127"/>
  <c r="G37" i="127"/>
  <c r="E37" i="127"/>
  <c r="Q30" i="127"/>
  <c r="Q31" i="127" s="1"/>
  <c r="AJ91" i="127" s="1"/>
  <c r="Y28" i="127"/>
  <c r="AL80" i="127"/>
  <c r="AM80" i="127" s="1"/>
  <c r="AL82" i="127"/>
  <c r="AM82" i="127" s="1"/>
  <c r="Y31" i="127"/>
  <c r="AL83" i="127"/>
  <c r="AM83" i="127" s="1"/>
  <c r="W41" i="127" s="1"/>
  <c r="Y33" i="127"/>
  <c r="AG35" i="127"/>
  <c r="AC28" i="127"/>
  <c r="AN80" i="127"/>
  <c r="AO80" i="127" s="1"/>
  <c r="AC31" i="127"/>
  <c r="AN82" i="127"/>
  <c r="AO82" i="127" s="1"/>
  <c r="AC33" i="127"/>
  <c r="AN83" i="127"/>
  <c r="AO83" i="127" s="1"/>
  <c r="AA41" i="127" s="1"/>
  <c r="AN86" i="127"/>
  <c r="AO86" i="127" s="1"/>
  <c r="AC37" i="127"/>
  <c r="AL76" i="127"/>
  <c r="AM76" i="127" s="1"/>
  <c r="Y23" i="127"/>
  <c r="AL79" i="127"/>
  <c r="AM79" i="127" s="1"/>
  <c r="W40" i="127" s="1"/>
  <c r="Y26" i="127"/>
  <c r="AP80" i="127"/>
  <c r="AQ80" i="127" s="1"/>
  <c r="AN81" i="127"/>
  <c r="AO81" i="127" s="1"/>
  <c r="AC30" i="127"/>
  <c r="AP83" i="127"/>
  <c r="AQ83" i="127" s="1"/>
  <c r="AD41" i="127" s="1"/>
  <c r="AG33" i="127"/>
  <c r="AL84" i="127"/>
  <c r="AM84" i="127" s="1"/>
  <c r="Y34" i="127"/>
  <c r="AL85" i="127"/>
  <c r="AM85" i="127" s="1"/>
  <c r="Y35" i="127"/>
  <c r="AN76" i="127"/>
  <c r="AO76" i="127" s="1"/>
  <c r="AC23" i="127"/>
  <c r="AG24" i="127"/>
  <c r="AP77" i="127"/>
  <c r="AQ77" i="127" s="1"/>
  <c r="AC26" i="127"/>
  <c r="AN79" i="127"/>
  <c r="AO79" i="127" s="1"/>
  <c r="AA40" i="127" s="1"/>
  <c r="Y22" i="127"/>
  <c r="AK23" i="127"/>
  <c r="AA24" i="127"/>
  <c r="AK26" i="127"/>
  <c r="AE26" i="127" s="1"/>
  <c r="AB51" i="127"/>
  <c r="E83" i="127"/>
  <c r="AL86" i="127"/>
  <c r="AM86" i="127" s="1"/>
  <c r="AP86" i="127"/>
  <c r="AQ86" i="127" s="1"/>
  <c r="AL90" i="127"/>
  <c r="AB52" i="127"/>
  <c r="AN84" i="127"/>
  <c r="AO84" i="127" s="1"/>
  <c r="Y25" i="127"/>
  <c r="AG25" i="127"/>
  <c r="AK28" i="127"/>
  <c r="AE30" i="127" s="1"/>
  <c r="AK29" i="127"/>
  <c r="AE31" i="127" s="1"/>
  <c r="Y30" i="127"/>
  <c r="AC35" i="127"/>
  <c r="M37" i="126"/>
  <c r="M39" i="126"/>
  <c r="E83" i="126"/>
  <c r="Y37" i="126"/>
  <c r="AL86" i="126"/>
  <c r="AM86" i="126" s="1"/>
  <c r="AA26" i="126"/>
  <c r="AK33" i="126"/>
  <c r="AG37" i="126" s="1"/>
  <c r="AN76" i="126"/>
  <c r="AO76" i="126" s="1"/>
  <c r="AN77" i="126"/>
  <c r="AO77" i="126" s="1"/>
  <c r="AA28" i="126"/>
  <c r="AC28" i="126" s="1"/>
  <c r="S30" i="126"/>
  <c r="S31" i="126" s="1"/>
  <c r="AL91" i="126" s="1"/>
  <c r="R30" i="126"/>
  <c r="R31" i="126" s="1"/>
  <c r="AK91" i="126" s="1"/>
  <c r="F37" i="126"/>
  <c r="E37" i="126"/>
  <c r="Q30" i="126"/>
  <c r="Q31" i="126" s="1"/>
  <c r="AJ91" i="126" s="1"/>
  <c r="Y24" i="126"/>
  <c r="AL77" i="126"/>
  <c r="AM77" i="126" s="1"/>
  <c r="AG28" i="126"/>
  <c r="AP80" i="126"/>
  <c r="AQ80" i="126" s="1"/>
  <c r="AL81" i="126"/>
  <c r="AM81" i="126" s="1"/>
  <c r="Y30" i="126"/>
  <c r="AC31" i="126"/>
  <c r="AN82" i="126"/>
  <c r="AO82" i="126" s="1"/>
  <c r="AN78" i="126"/>
  <c r="AO78" i="126" s="1"/>
  <c r="AC25" i="126"/>
  <c r="Y28" i="126"/>
  <c r="AL80" i="126"/>
  <c r="AM80" i="126" s="1"/>
  <c r="AL82" i="126"/>
  <c r="AM82" i="126" s="1"/>
  <c r="Y31" i="126"/>
  <c r="AC33" i="126"/>
  <c r="AN83" i="126"/>
  <c r="AO83" i="126" s="1"/>
  <c r="AA41" i="126" s="1"/>
  <c r="AP84" i="126"/>
  <c r="AQ84" i="126" s="1"/>
  <c r="AG34" i="126"/>
  <c r="AP85" i="126"/>
  <c r="AQ85" i="126" s="1"/>
  <c r="AG35" i="126"/>
  <c r="G36" i="126"/>
  <c r="G37" i="126" s="1"/>
  <c r="H24" i="126"/>
  <c r="H36" i="126" s="1"/>
  <c r="H37" i="126" s="1"/>
  <c r="AG24" i="126"/>
  <c r="AP77" i="126"/>
  <c r="AQ77" i="126" s="1"/>
  <c r="W42" i="126"/>
  <c r="AJ94" i="126" s="1"/>
  <c r="AN81" i="126"/>
  <c r="AO81" i="126" s="1"/>
  <c r="AC30" i="126"/>
  <c r="AL84" i="126"/>
  <c r="AM84" i="126" s="1"/>
  <c r="Y34" i="126"/>
  <c r="AL85" i="126"/>
  <c r="AM85" i="126" s="1"/>
  <c r="Y35" i="126"/>
  <c r="AN86" i="126"/>
  <c r="AO86" i="126" s="1"/>
  <c r="AC37" i="126"/>
  <c r="AB51" i="126"/>
  <c r="AN80" i="126"/>
  <c r="AO80" i="126" s="1"/>
  <c r="AL90" i="126"/>
  <c r="Y23" i="126"/>
  <c r="AG23" i="126"/>
  <c r="AK25" i="126"/>
  <c r="Y26" i="126"/>
  <c r="AG26" i="126"/>
  <c r="AK30" i="126"/>
  <c r="Y33" i="126"/>
  <c r="AB52" i="126"/>
  <c r="AN84" i="126"/>
  <c r="AO84" i="126" s="1"/>
  <c r="Y25" i="126"/>
  <c r="AK28" i="126"/>
  <c r="AE30" i="126" s="1"/>
  <c r="AK29" i="126"/>
  <c r="AE31" i="126" s="1"/>
  <c r="AC23" i="126"/>
  <c r="R30" i="125"/>
  <c r="R31" i="125" s="1"/>
  <c r="AK91" i="125" s="1"/>
  <c r="Q30" i="125"/>
  <c r="Q31" i="125" s="1"/>
  <c r="AJ91" i="125" s="1"/>
  <c r="AP78" i="125"/>
  <c r="AQ78" i="125" s="1"/>
  <c r="AG25" i="125"/>
  <c r="AC26" i="125"/>
  <c r="AN79" i="125"/>
  <c r="AO79" i="125" s="1"/>
  <c r="AA40" i="125" s="1"/>
  <c r="AC34" i="125"/>
  <c r="AN84" i="125"/>
  <c r="AO84" i="125" s="1"/>
  <c r="AN86" i="125"/>
  <c r="AO86" i="125" s="1"/>
  <c r="AC37" i="125"/>
  <c r="AL76" i="125"/>
  <c r="AM76" i="125" s="1"/>
  <c r="Y23" i="125"/>
  <c r="Y28" i="125"/>
  <c r="AL80" i="125"/>
  <c r="AM80" i="125" s="1"/>
  <c r="AL82" i="125"/>
  <c r="AM82" i="125" s="1"/>
  <c r="Y31" i="125"/>
  <c r="AL83" i="125"/>
  <c r="AM83" i="125" s="1"/>
  <c r="W41" i="125" s="1"/>
  <c r="Y33" i="125"/>
  <c r="X46" i="125"/>
  <c r="AN76" i="125"/>
  <c r="AO76" i="125" s="1"/>
  <c r="AC23" i="125"/>
  <c r="AG24" i="125"/>
  <c r="AP77" i="125"/>
  <c r="AQ77" i="125" s="1"/>
  <c r="AL78" i="125"/>
  <c r="AM78" i="125" s="1"/>
  <c r="Y25" i="125"/>
  <c r="AC28" i="125"/>
  <c r="AN80" i="125"/>
  <c r="AO80" i="125" s="1"/>
  <c r="AC31" i="125"/>
  <c r="AN82" i="125"/>
  <c r="AO82" i="125" s="1"/>
  <c r="AC33" i="125"/>
  <c r="AN83" i="125"/>
  <c r="AO83" i="125" s="1"/>
  <c r="AA41" i="125" s="1"/>
  <c r="H36" i="125"/>
  <c r="H37" i="125" s="1"/>
  <c r="AL79" i="125"/>
  <c r="AM79" i="125" s="1"/>
  <c r="W40" i="125" s="1"/>
  <c r="W42" i="125" s="1"/>
  <c r="AJ94" i="125" s="1"/>
  <c r="Y26" i="125"/>
  <c r="AG28" i="125"/>
  <c r="AP80" i="125"/>
  <c r="AQ80" i="125" s="1"/>
  <c r="AP81" i="125"/>
  <c r="AQ81" i="125" s="1"/>
  <c r="AG30" i="125"/>
  <c r="AP83" i="125"/>
  <c r="AQ83" i="125" s="1"/>
  <c r="AD41" i="125" s="1"/>
  <c r="AG33" i="125"/>
  <c r="AN85" i="125"/>
  <c r="AO85" i="125" s="1"/>
  <c r="AC35" i="125"/>
  <c r="Y22" i="125"/>
  <c r="AK23" i="125"/>
  <c r="AK26" i="125"/>
  <c r="M30" i="125"/>
  <c r="AK31" i="125"/>
  <c r="AK32" i="125"/>
  <c r="AK33" i="125"/>
  <c r="Y34" i="125"/>
  <c r="Y35" i="125"/>
  <c r="M39" i="125"/>
  <c r="X45" i="125" s="1"/>
  <c r="M40" i="125"/>
  <c r="AB51" i="125"/>
  <c r="E83" i="125"/>
  <c r="AL86" i="125"/>
  <c r="AM86" i="125" s="1"/>
  <c r="AL90" i="125"/>
  <c r="S92" i="125"/>
  <c r="AB52" i="125"/>
  <c r="AK29" i="125"/>
  <c r="Y30" i="125"/>
  <c r="AL84" i="124"/>
  <c r="AM84" i="124" s="1"/>
  <c r="Y34" i="124"/>
  <c r="Y37" i="124"/>
  <c r="AL86" i="124"/>
  <c r="AM86" i="124" s="1"/>
  <c r="AK31" i="124"/>
  <c r="AE34" i="124" s="1"/>
  <c r="AK32" i="124"/>
  <c r="AG35" i="124" s="1"/>
  <c r="Y35" i="124"/>
  <c r="AA24" i="124"/>
  <c r="AN77" i="124" s="1"/>
  <c r="AO77" i="124" s="1"/>
  <c r="AA28" i="124"/>
  <c r="AC28" i="124" s="1"/>
  <c r="E83" i="124"/>
  <c r="M37" i="124"/>
  <c r="H37" i="124"/>
  <c r="G37" i="124"/>
  <c r="F37" i="124"/>
  <c r="E37" i="124"/>
  <c r="R31" i="124"/>
  <c r="AK91" i="124" s="1"/>
  <c r="S30" i="124"/>
  <c r="S31" i="124" s="1"/>
  <c r="AL91" i="124" s="1"/>
  <c r="Q30" i="124"/>
  <c r="Q31" i="124" s="1"/>
  <c r="AJ91" i="124" s="1"/>
  <c r="AN76" i="124"/>
  <c r="AO76" i="124" s="1"/>
  <c r="AC23" i="124"/>
  <c r="Y24" i="124"/>
  <c r="AL77" i="124"/>
  <c r="AM77" i="124" s="1"/>
  <c r="AC26" i="124"/>
  <c r="AN79" i="124"/>
  <c r="AO79" i="124" s="1"/>
  <c r="AA40" i="124" s="1"/>
  <c r="AG28" i="124"/>
  <c r="AP80" i="124"/>
  <c r="AQ80" i="124" s="1"/>
  <c r="AL81" i="124"/>
  <c r="AM81" i="124" s="1"/>
  <c r="Y30" i="124"/>
  <c r="AC31" i="124"/>
  <c r="AN82" i="124"/>
  <c r="AO82" i="124" s="1"/>
  <c r="AG37" i="124"/>
  <c r="AP86" i="124"/>
  <c r="AQ86" i="124" s="1"/>
  <c r="AG24" i="124"/>
  <c r="AP77" i="124"/>
  <c r="AQ77" i="124" s="1"/>
  <c r="AC30" i="124"/>
  <c r="AN81" i="124"/>
  <c r="AO81" i="124" s="1"/>
  <c r="AP84" i="124"/>
  <c r="AQ84" i="124" s="1"/>
  <c r="AG34" i="124"/>
  <c r="AN78" i="124"/>
  <c r="AO78" i="124" s="1"/>
  <c r="AC25" i="124"/>
  <c r="Y28" i="124"/>
  <c r="AL80" i="124"/>
  <c r="AM80" i="124" s="1"/>
  <c r="AC33" i="124"/>
  <c r="AN83" i="124"/>
  <c r="AO83" i="124" s="1"/>
  <c r="AA41" i="124" s="1"/>
  <c r="AL82" i="124"/>
  <c r="AM82" i="124" s="1"/>
  <c r="Y31" i="124"/>
  <c r="AN86" i="124"/>
  <c r="AO86" i="124" s="1"/>
  <c r="AC37" i="124"/>
  <c r="AB51" i="124"/>
  <c r="AN80" i="124"/>
  <c r="AO80" i="124" s="1"/>
  <c r="AL90" i="124"/>
  <c r="Y23" i="124"/>
  <c r="AK30" i="124"/>
  <c r="AE33" i="124" s="1"/>
  <c r="Y33" i="124"/>
  <c r="AB52" i="124"/>
  <c r="AP76" i="124"/>
  <c r="AQ76" i="124" s="1"/>
  <c r="AN84" i="124"/>
  <c r="AO84" i="124" s="1"/>
  <c r="AK25" i="124"/>
  <c r="Y26" i="124"/>
  <c r="Y25" i="124"/>
  <c r="AK28" i="124"/>
  <c r="AK29" i="124"/>
  <c r="AE31" i="124" s="1"/>
  <c r="AC35" i="124"/>
  <c r="AL76" i="123"/>
  <c r="AM76" i="123" s="1"/>
  <c r="AP79" i="123"/>
  <c r="AQ79" i="123" s="1"/>
  <c r="AD40" i="123" s="1"/>
  <c r="AG26" i="123"/>
  <c r="AL82" i="123"/>
  <c r="AM82" i="123" s="1"/>
  <c r="AL85" i="123"/>
  <c r="AM85" i="123" s="1"/>
  <c r="AG23" i="123"/>
  <c r="AP76" i="123"/>
  <c r="AQ76" i="123" s="1"/>
  <c r="AL80" i="123"/>
  <c r="AM80" i="123" s="1"/>
  <c r="AC31" i="123"/>
  <c r="AN82" i="123"/>
  <c r="AO82" i="123" s="1"/>
  <c r="AL83" i="123"/>
  <c r="AM83" i="123" s="1"/>
  <c r="W41" i="123" s="1"/>
  <c r="AL84" i="123"/>
  <c r="AM84" i="123" s="1"/>
  <c r="AP85" i="123"/>
  <c r="AQ85" i="123" s="1"/>
  <c r="AG35" i="123"/>
  <c r="AG28" i="123"/>
  <c r="AP80" i="123"/>
  <c r="AQ80" i="123" s="1"/>
  <c r="AN81" i="123"/>
  <c r="AO81" i="123" s="1"/>
  <c r="AC30" i="123"/>
  <c r="AP84" i="123"/>
  <c r="AQ84" i="123" s="1"/>
  <c r="AG34" i="123"/>
  <c r="AG24" i="123"/>
  <c r="AP77" i="123"/>
  <c r="AQ77" i="123" s="1"/>
  <c r="G36" i="123"/>
  <c r="G37" i="123" s="1"/>
  <c r="AL79" i="123"/>
  <c r="AM79" i="123" s="1"/>
  <c r="W40" i="123" s="1"/>
  <c r="W42" i="123" s="1"/>
  <c r="AP83" i="123"/>
  <c r="AQ83" i="123" s="1"/>
  <c r="AD41" i="123" s="1"/>
  <c r="AG33" i="123"/>
  <c r="AN86" i="123"/>
  <c r="AO86" i="123" s="1"/>
  <c r="AC37" i="123"/>
  <c r="Y22" i="123"/>
  <c r="AC25" i="123"/>
  <c r="E83" i="123"/>
  <c r="AL86" i="123"/>
  <c r="AM86" i="123" s="1"/>
  <c r="AL90" i="123"/>
  <c r="AB52" i="123"/>
  <c r="AL77" i="123"/>
  <c r="AM77" i="123" s="1"/>
  <c r="AN83" i="123"/>
  <c r="AO83" i="123" s="1"/>
  <c r="AA41" i="123" s="1"/>
  <c r="AJ86" i="122"/>
  <c r="AK86" i="122" s="1"/>
  <c r="AJ85" i="122"/>
  <c r="AK85" i="122" s="1"/>
  <c r="L85" i="122"/>
  <c r="AJ84" i="122"/>
  <c r="AK84" i="122" s="1"/>
  <c r="AJ83" i="122"/>
  <c r="AK83" i="122" s="1"/>
  <c r="AJ82" i="122"/>
  <c r="AK82" i="122" s="1"/>
  <c r="AJ81" i="122"/>
  <c r="AK81" i="122" s="1"/>
  <c r="AJ80" i="122"/>
  <c r="AK80" i="122" s="1"/>
  <c r="AJ79" i="122"/>
  <c r="AK79" i="122" s="1"/>
  <c r="AJ78" i="122"/>
  <c r="AK78" i="122" s="1"/>
  <c r="D78" i="122"/>
  <c r="AJ77" i="122"/>
  <c r="AK77" i="122" s="1"/>
  <c r="AJ76" i="122"/>
  <c r="AK76" i="122" s="1"/>
  <c r="AP75" i="122"/>
  <c r="AQ75" i="122" s="1"/>
  <c r="AN75" i="122"/>
  <c r="AO75" i="122" s="1"/>
  <c r="AJ75" i="122"/>
  <c r="AK75" i="122" s="1"/>
  <c r="AH47" i="122"/>
  <c r="AH48" i="122" s="1"/>
  <c r="AG47" i="122"/>
  <c r="AG48" i="122" s="1"/>
  <c r="AF47" i="122"/>
  <c r="AF48" i="122" s="1"/>
  <c r="X47" i="122"/>
  <c r="S47" i="122"/>
  <c r="R47" i="122"/>
  <c r="Q47" i="122"/>
  <c r="M42" i="122"/>
  <c r="S92" i="122" s="1"/>
  <c r="M41" i="122"/>
  <c r="M43" i="122" s="1"/>
  <c r="S40" i="122"/>
  <c r="R40" i="122"/>
  <c r="Q40" i="122"/>
  <c r="AD39" i="122"/>
  <c r="AA39" i="122"/>
  <c r="W39" i="122"/>
  <c r="AS37" i="122"/>
  <c r="V37" i="122"/>
  <c r="AS36" i="122"/>
  <c r="AS35" i="122"/>
  <c r="V35" i="122"/>
  <c r="AS34" i="122"/>
  <c r="V34" i="122"/>
  <c r="H34" i="122"/>
  <c r="J84" i="122" s="1"/>
  <c r="J83" i="122" s="1"/>
  <c r="G34" i="122"/>
  <c r="I84" i="122" s="1"/>
  <c r="I83" i="122" s="1"/>
  <c r="F34" i="122"/>
  <c r="H84" i="122" s="1"/>
  <c r="H83" i="122" s="1"/>
  <c r="E34" i="122"/>
  <c r="G84" i="122" s="1"/>
  <c r="G83" i="122" s="1"/>
  <c r="AS33" i="122"/>
  <c r="AJ33" i="122"/>
  <c r="AI33" i="122"/>
  <c r="W37" i="122" s="1"/>
  <c r="V33" i="122"/>
  <c r="M33" i="122"/>
  <c r="AS32" i="122"/>
  <c r="AJ32" i="122"/>
  <c r="AA35" i="122" s="1"/>
  <c r="AN85" i="122" s="1"/>
  <c r="AO85" i="122" s="1"/>
  <c r="AI32" i="122"/>
  <c r="W35" i="122" s="1"/>
  <c r="AS31" i="122"/>
  <c r="AJ31" i="122"/>
  <c r="AC34" i="122" s="1"/>
  <c r="AI31" i="122"/>
  <c r="W34" i="122" s="1"/>
  <c r="V31" i="122"/>
  <c r="M31" i="122"/>
  <c r="AS30" i="122"/>
  <c r="AA33" i="122"/>
  <c r="AI30" i="122"/>
  <c r="W33" i="122" s="1"/>
  <c r="AL83" i="122" s="1"/>
  <c r="AM83" i="122" s="1"/>
  <c r="W41" i="122" s="1"/>
  <c r="V30" i="122"/>
  <c r="AS29" i="122"/>
  <c r="AJ29" i="122"/>
  <c r="AA31" i="122" s="1"/>
  <c r="AI29" i="122"/>
  <c r="W31" i="122" s="1"/>
  <c r="AS28" i="122"/>
  <c r="AJ28" i="122"/>
  <c r="AA30" i="122" s="1"/>
  <c r="AI28" i="122"/>
  <c r="W30" i="122" s="1"/>
  <c r="V28" i="122"/>
  <c r="S28" i="122"/>
  <c r="R28" i="122"/>
  <c r="Q28" i="122"/>
  <c r="M28" i="122"/>
  <c r="AS27" i="122"/>
  <c r="AJ27" i="122"/>
  <c r="AK27" i="122" s="1"/>
  <c r="AE28" i="122" s="1"/>
  <c r="AI27" i="122"/>
  <c r="W28" i="122" s="1"/>
  <c r="S27" i="122"/>
  <c r="R27" i="122"/>
  <c r="Q27" i="122"/>
  <c r="AS26" i="122"/>
  <c r="AJ26" i="122"/>
  <c r="AK26" i="122" s="1"/>
  <c r="AE26" i="122" s="1"/>
  <c r="AP79" i="122" s="1"/>
  <c r="AQ79" i="122" s="1"/>
  <c r="AD40" i="122" s="1"/>
  <c r="AI26" i="122"/>
  <c r="W26" i="122" s="1"/>
  <c r="AL79" i="122" s="1"/>
  <c r="AM79" i="122" s="1"/>
  <c r="W40" i="122" s="1"/>
  <c r="V26" i="122"/>
  <c r="AS25" i="122"/>
  <c r="AJ25" i="122"/>
  <c r="AI25" i="122"/>
  <c r="W25" i="122" s="1"/>
  <c r="AL78" i="122" s="1"/>
  <c r="AM78" i="122" s="1"/>
  <c r="V25" i="122"/>
  <c r="H25" i="122"/>
  <c r="G25" i="122"/>
  <c r="F25" i="122"/>
  <c r="E25" i="122"/>
  <c r="E36" i="122" s="1"/>
  <c r="AS24" i="122"/>
  <c r="AJ24" i="122"/>
  <c r="AK24" i="122" s="1"/>
  <c r="AI24" i="122"/>
  <c r="W24" i="122" s="1"/>
  <c r="V24" i="122"/>
  <c r="F24" i="122"/>
  <c r="G24" i="122" s="1"/>
  <c r="H24" i="122" s="1"/>
  <c r="AS23" i="122"/>
  <c r="AJ23" i="122"/>
  <c r="AI23" i="122"/>
  <c r="W23" i="122" s="1"/>
  <c r="AL76" i="122" s="1"/>
  <c r="AM76" i="122" s="1"/>
  <c r="V23" i="122"/>
  <c r="AS22" i="122"/>
  <c r="AK22" i="122"/>
  <c r="AI22" i="122"/>
  <c r="AG22" i="122"/>
  <c r="AC22" i="122"/>
  <c r="W22" i="122"/>
  <c r="AL75" i="122" s="1"/>
  <c r="AM75" i="122" s="1"/>
  <c r="V22" i="122"/>
  <c r="M20" i="122"/>
  <c r="F20" i="122"/>
  <c r="G20" i="122" s="1"/>
  <c r="H20" i="122" s="1"/>
  <c r="AE19" i="122"/>
  <c r="AB53" i="122" s="1"/>
  <c r="AA19" i="122"/>
  <c r="AK90" i="122" s="1"/>
  <c r="W19" i="122"/>
  <c r="AJ90" i="122" s="1"/>
  <c r="Q13" i="122"/>
  <c r="AF12" i="122"/>
  <c r="AC12" i="122"/>
  <c r="V12" i="122"/>
  <c r="W10" i="122"/>
  <c r="Q10" i="122"/>
  <c r="O10" i="122"/>
  <c r="K10" i="122"/>
  <c r="AB10" i="122" s="1"/>
  <c r="W9" i="122"/>
  <c r="Q9" i="122"/>
  <c r="O9" i="122"/>
  <c r="AV8" i="122"/>
  <c r="AB8" i="122"/>
  <c r="W8" i="122"/>
  <c r="Q8" i="122"/>
  <c r="O8" i="122"/>
  <c r="AB7" i="122"/>
  <c r="W7" i="122"/>
  <c r="Q7" i="122"/>
  <c r="O7" i="122"/>
  <c r="AB6" i="122"/>
  <c r="W6" i="122"/>
  <c r="Q6" i="122"/>
  <c r="O6" i="122"/>
  <c r="R1" i="122"/>
  <c r="R12" i="121"/>
  <c r="Q28" i="121"/>
  <c r="Q27" i="121"/>
  <c r="AJ86" i="121"/>
  <c r="AK86" i="121" s="1"/>
  <c r="AJ85" i="121"/>
  <c r="AK85" i="121" s="1"/>
  <c r="L85" i="121"/>
  <c r="AJ84" i="121"/>
  <c r="AK84" i="121" s="1"/>
  <c r="AJ83" i="121"/>
  <c r="AK83" i="121" s="1"/>
  <c r="AJ82" i="121"/>
  <c r="AK82" i="121" s="1"/>
  <c r="AJ81" i="121"/>
  <c r="AK81" i="121" s="1"/>
  <c r="AJ80" i="121"/>
  <c r="AK80" i="121" s="1"/>
  <c r="AJ79" i="121"/>
  <c r="AK79" i="121" s="1"/>
  <c r="AJ78" i="121"/>
  <c r="AK78" i="121" s="1"/>
  <c r="D78" i="121"/>
  <c r="AJ77" i="121"/>
  <c r="AK77" i="121" s="1"/>
  <c r="AJ76" i="121"/>
  <c r="AK76" i="121" s="1"/>
  <c r="AP75" i="121"/>
  <c r="AQ75" i="121" s="1"/>
  <c r="AN75" i="121"/>
  <c r="AO75" i="121" s="1"/>
  <c r="AJ75" i="121"/>
  <c r="AK75" i="121" s="1"/>
  <c r="AH47" i="121"/>
  <c r="AH48" i="121" s="1"/>
  <c r="AG47" i="121"/>
  <c r="AG48" i="121" s="1"/>
  <c r="AF47" i="121"/>
  <c r="AF48" i="121" s="1"/>
  <c r="X47" i="121"/>
  <c r="S47" i="121"/>
  <c r="R47" i="121"/>
  <c r="Q47" i="121"/>
  <c r="M42" i="121"/>
  <c r="S92" i="121" s="1"/>
  <c r="M41" i="121"/>
  <c r="M43" i="121" s="1"/>
  <c r="S40" i="121"/>
  <c r="R40" i="121"/>
  <c r="Q40" i="121"/>
  <c r="AD39" i="121"/>
  <c r="AA39" i="121"/>
  <c r="W39" i="121"/>
  <c r="AS37" i="121"/>
  <c r="V37" i="121"/>
  <c r="AS36" i="121"/>
  <c r="AS35" i="121"/>
  <c r="V35" i="121"/>
  <c r="AS34" i="121"/>
  <c r="V34" i="121"/>
  <c r="H34" i="121"/>
  <c r="J84" i="121" s="1"/>
  <c r="J83" i="121" s="1"/>
  <c r="G34" i="121"/>
  <c r="I84" i="121" s="1"/>
  <c r="I83" i="121" s="1"/>
  <c r="F34" i="121"/>
  <c r="H84" i="121" s="1"/>
  <c r="H83" i="121" s="1"/>
  <c r="E34" i="121"/>
  <c r="G84" i="121" s="1"/>
  <c r="G83" i="121" s="1"/>
  <c r="AS33" i="121"/>
  <c r="AJ33" i="121"/>
  <c r="AI33" i="121"/>
  <c r="W37" i="121" s="1"/>
  <c r="V33" i="121"/>
  <c r="M33" i="121"/>
  <c r="AS32" i="121"/>
  <c r="AJ32" i="121"/>
  <c r="AA35" i="121" s="1"/>
  <c r="AI32" i="121"/>
  <c r="W35" i="121" s="1"/>
  <c r="AS31" i="121"/>
  <c r="AJ31" i="121"/>
  <c r="AI31" i="121"/>
  <c r="W34" i="121" s="1"/>
  <c r="V31" i="121"/>
  <c r="M31" i="121"/>
  <c r="AS30" i="121"/>
  <c r="AJ30" i="121"/>
  <c r="AA33" i="121" s="1"/>
  <c r="AI30" i="121"/>
  <c r="W33" i="121" s="1"/>
  <c r="AL83" i="121" s="1"/>
  <c r="AM83" i="121" s="1"/>
  <c r="W41" i="121" s="1"/>
  <c r="V30" i="121"/>
  <c r="AS29" i="121"/>
  <c r="AJ29" i="121"/>
  <c r="AA31" i="121" s="1"/>
  <c r="AI29" i="121"/>
  <c r="W31" i="121" s="1"/>
  <c r="AS28" i="121"/>
  <c r="AJ28" i="121"/>
  <c r="AK28" i="121" s="1"/>
  <c r="AE30" i="121" s="1"/>
  <c r="AI28" i="121"/>
  <c r="W30" i="121" s="1"/>
  <c r="V28" i="121"/>
  <c r="S28" i="121"/>
  <c r="R28" i="121"/>
  <c r="M28" i="121"/>
  <c r="AS27" i="121"/>
  <c r="AJ27" i="121"/>
  <c r="AK27" i="121" s="1"/>
  <c r="AE28" i="121" s="1"/>
  <c r="AI27" i="121"/>
  <c r="W28" i="121" s="1"/>
  <c r="S27" i="121"/>
  <c r="R27" i="121"/>
  <c r="AS26" i="121"/>
  <c r="AJ26" i="121"/>
  <c r="AI26" i="121"/>
  <c r="W26" i="121" s="1"/>
  <c r="AL79" i="121" s="1"/>
  <c r="AM79" i="121" s="1"/>
  <c r="W40" i="121" s="1"/>
  <c r="V26" i="121"/>
  <c r="AS25" i="121"/>
  <c r="AJ25" i="121"/>
  <c r="AI25" i="121"/>
  <c r="W25" i="121" s="1"/>
  <c r="V25" i="121"/>
  <c r="H25" i="121"/>
  <c r="G25" i="121"/>
  <c r="F25" i="121"/>
  <c r="E25" i="121"/>
  <c r="E36" i="121" s="1"/>
  <c r="E37" i="121" s="1"/>
  <c r="AS24" i="121"/>
  <c r="AJ24" i="121"/>
  <c r="AK24" i="121" s="1"/>
  <c r="AI24" i="121"/>
  <c r="W24" i="121" s="1"/>
  <c r="V24" i="121"/>
  <c r="F24" i="121"/>
  <c r="G24" i="121" s="1"/>
  <c r="H24" i="121" s="1"/>
  <c r="AS23" i="121"/>
  <c r="AJ23" i="121"/>
  <c r="AI23" i="121"/>
  <c r="W23" i="121" s="1"/>
  <c r="Y23" i="121" s="1"/>
  <c r="V23" i="121"/>
  <c r="AS22" i="121"/>
  <c r="AJ22" i="121"/>
  <c r="AK22" i="121" s="1"/>
  <c r="AI22" i="121"/>
  <c r="AG22" i="121"/>
  <c r="AC22" i="121"/>
  <c r="W22" i="121"/>
  <c r="AL75" i="121" s="1"/>
  <c r="AM75" i="121" s="1"/>
  <c r="V22" i="121"/>
  <c r="M20" i="121"/>
  <c r="F20" i="121"/>
  <c r="G20" i="121" s="1"/>
  <c r="H20" i="121" s="1"/>
  <c r="AE19" i="121"/>
  <c r="AB53" i="121" s="1"/>
  <c r="AA19" i="121"/>
  <c r="AK90" i="121" s="1"/>
  <c r="W19" i="121"/>
  <c r="AJ90" i="121" s="1"/>
  <c r="Q13" i="121"/>
  <c r="AF12" i="121"/>
  <c r="AC12" i="121"/>
  <c r="V12" i="121"/>
  <c r="W10" i="121"/>
  <c r="Q10" i="121"/>
  <c r="O10" i="121"/>
  <c r="K10" i="121"/>
  <c r="AB10" i="121" s="1"/>
  <c r="W9" i="121"/>
  <c r="Q9" i="121"/>
  <c r="O9" i="121"/>
  <c r="AV8" i="121"/>
  <c r="AB8" i="121"/>
  <c r="W8" i="121"/>
  <c r="Q8" i="121"/>
  <c r="O8" i="121"/>
  <c r="AB7" i="121"/>
  <c r="W7" i="121"/>
  <c r="Q7" i="121"/>
  <c r="O7" i="121"/>
  <c r="AB6" i="121"/>
  <c r="W6" i="121"/>
  <c r="Q6" i="121"/>
  <c r="O6" i="121"/>
  <c r="R1" i="121"/>
  <c r="AD42" i="123" l="1"/>
  <c r="M30" i="123"/>
  <c r="M41" i="123" s="1"/>
  <c r="M43" i="123" s="1"/>
  <c r="AP78" i="123"/>
  <c r="AQ78" i="123" s="1"/>
  <c r="AG25" i="123"/>
  <c r="AC34" i="123"/>
  <c r="AN84" i="123"/>
  <c r="AO84" i="123" s="1"/>
  <c r="AC26" i="123"/>
  <c r="AN79" i="123"/>
  <c r="AO79" i="123" s="1"/>
  <c r="AA40" i="123" s="1"/>
  <c r="AA42" i="123" s="1"/>
  <c r="AK94" i="123" s="1"/>
  <c r="AL94" i="123"/>
  <c r="AC35" i="126"/>
  <c r="M37" i="122"/>
  <c r="M30" i="122" s="1"/>
  <c r="AC35" i="123"/>
  <c r="AN80" i="128"/>
  <c r="AO80" i="128" s="1"/>
  <c r="AD42" i="128"/>
  <c r="AL94" i="128" s="1"/>
  <c r="AG26" i="124"/>
  <c r="F36" i="121"/>
  <c r="F37" i="121" s="1"/>
  <c r="G36" i="121"/>
  <c r="G37" i="121" s="1"/>
  <c r="M39" i="121"/>
  <c r="AN77" i="121"/>
  <c r="AO77" i="121" s="1"/>
  <c r="Y22" i="122"/>
  <c r="AK31" i="122"/>
  <c r="AE34" i="122" s="1"/>
  <c r="AK32" i="122"/>
  <c r="AP85" i="122" s="1"/>
  <c r="AQ85" i="122" s="1"/>
  <c r="AG34" i="127"/>
  <c r="AC35" i="128"/>
  <c r="M39" i="130"/>
  <c r="X45" i="130" s="1"/>
  <c r="M39" i="122"/>
  <c r="Y22" i="121"/>
  <c r="AA28" i="121"/>
  <c r="AC28" i="121" s="1"/>
  <c r="X46" i="122"/>
  <c r="AC24" i="126"/>
  <c r="W42" i="127"/>
  <c r="AJ94" i="127" s="1"/>
  <c r="G36" i="122"/>
  <c r="G37" i="122" s="1"/>
  <c r="H36" i="121"/>
  <c r="H37" i="121" s="1"/>
  <c r="AN77" i="122"/>
  <c r="AO77" i="122" s="1"/>
  <c r="E83" i="122"/>
  <c r="AA42" i="128"/>
  <c r="AK94" i="128" s="1"/>
  <c r="M37" i="121"/>
  <c r="M40" i="121" s="1"/>
  <c r="F36" i="122"/>
  <c r="F37" i="122" s="1"/>
  <c r="W42" i="122"/>
  <c r="AJ94" i="122" s="1"/>
  <c r="AJ94" i="123"/>
  <c r="AP85" i="124"/>
  <c r="AQ85" i="124" s="1"/>
  <c r="AC30" i="125"/>
  <c r="AC25" i="130"/>
  <c r="AN83" i="130"/>
  <c r="AO83" i="130" s="1"/>
  <c r="AA41" i="130" s="1"/>
  <c r="AA42" i="130" s="1"/>
  <c r="AK94" i="130" s="1"/>
  <c r="AC33" i="130"/>
  <c r="AP80" i="130"/>
  <c r="AQ80" i="130" s="1"/>
  <c r="AP86" i="128"/>
  <c r="AQ86" i="128" s="1"/>
  <c r="AG33" i="128"/>
  <c r="AC25" i="125"/>
  <c r="AA42" i="125"/>
  <c r="AK94" i="125" s="1"/>
  <c r="Y37" i="122"/>
  <c r="AL86" i="122"/>
  <c r="AM86" i="122" s="1"/>
  <c r="AA28" i="122"/>
  <c r="AC28" i="122" s="1"/>
  <c r="AK23" i="122"/>
  <c r="AP76" i="122" s="1"/>
  <c r="AQ76" i="122" s="1"/>
  <c r="AA26" i="122"/>
  <c r="AK33" i="122"/>
  <c r="AG37" i="122" s="1"/>
  <c r="AG37" i="130"/>
  <c r="AP86" i="130"/>
  <c r="AQ86" i="130" s="1"/>
  <c r="AP85" i="130"/>
  <c r="AQ85" i="130" s="1"/>
  <c r="AG35" i="130"/>
  <c r="AP79" i="130"/>
  <c r="AQ79" i="130" s="1"/>
  <c r="AD40" i="130" s="1"/>
  <c r="AD42" i="130" s="1"/>
  <c r="AL94" i="130" s="1"/>
  <c r="AG26" i="130"/>
  <c r="W42" i="130"/>
  <c r="AJ94" i="130" s="1"/>
  <c r="AP84" i="130"/>
  <c r="AQ84" i="130" s="1"/>
  <c r="AG34" i="130"/>
  <c r="AP76" i="130"/>
  <c r="AQ76" i="130" s="1"/>
  <c r="AG23" i="130"/>
  <c r="M30" i="128"/>
  <c r="AP82" i="128"/>
  <c r="AQ82" i="128" s="1"/>
  <c r="AG31" i="128"/>
  <c r="AP78" i="128"/>
  <c r="AQ78" i="128" s="1"/>
  <c r="AG25" i="128"/>
  <c r="AP81" i="128"/>
  <c r="AQ81" i="128" s="1"/>
  <c r="AG30" i="128"/>
  <c r="AC25" i="127"/>
  <c r="AP76" i="127"/>
  <c r="AQ76" i="127" s="1"/>
  <c r="AG23" i="127"/>
  <c r="AP79" i="127"/>
  <c r="AQ79" i="127" s="1"/>
  <c r="AD40" i="127" s="1"/>
  <c r="AD42" i="127" s="1"/>
  <c r="AL94" i="127" s="1"/>
  <c r="AG26" i="127"/>
  <c r="AP82" i="127"/>
  <c r="AQ82" i="127" s="1"/>
  <c r="AG31" i="127"/>
  <c r="AA42" i="127"/>
  <c r="AK94" i="127" s="1"/>
  <c r="AP81" i="127"/>
  <c r="AQ81" i="127" s="1"/>
  <c r="AG30" i="127"/>
  <c r="AN77" i="127"/>
  <c r="AO77" i="127" s="1"/>
  <c r="AC24" i="127"/>
  <c r="X45" i="126"/>
  <c r="M30" i="126"/>
  <c r="M40" i="126"/>
  <c r="AC26" i="126"/>
  <c r="AN79" i="126"/>
  <c r="AO79" i="126" s="1"/>
  <c r="AA40" i="126" s="1"/>
  <c r="AA42" i="126" s="1"/>
  <c r="AK94" i="126" s="1"/>
  <c r="AP86" i="126"/>
  <c r="AQ86" i="126" s="1"/>
  <c r="AP81" i="126"/>
  <c r="AQ81" i="126" s="1"/>
  <c r="AG30" i="126"/>
  <c r="AP78" i="126"/>
  <c r="AQ78" i="126" s="1"/>
  <c r="AG25" i="126"/>
  <c r="AP83" i="126"/>
  <c r="AQ83" i="126" s="1"/>
  <c r="AD41" i="126" s="1"/>
  <c r="AD42" i="126" s="1"/>
  <c r="AL94" i="126" s="1"/>
  <c r="AG33" i="126"/>
  <c r="AP82" i="126"/>
  <c r="AQ82" i="126" s="1"/>
  <c r="AG31" i="126"/>
  <c r="AN77" i="125"/>
  <c r="AO77" i="125" s="1"/>
  <c r="AC24" i="125"/>
  <c r="AG37" i="125"/>
  <c r="AP86" i="125"/>
  <c r="AQ86" i="125" s="1"/>
  <c r="AG23" i="125"/>
  <c r="AP76" i="125"/>
  <c r="AQ76" i="125" s="1"/>
  <c r="AP82" i="125"/>
  <c r="AQ82" i="125" s="1"/>
  <c r="AG31" i="125"/>
  <c r="AP85" i="125"/>
  <c r="AQ85" i="125" s="1"/>
  <c r="AG35" i="125"/>
  <c r="AP79" i="125"/>
  <c r="AQ79" i="125" s="1"/>
  <c r="AD40" i="125" s="1"/>
  <c r="AD42" i="125" s="1"/>
  <c r="AL94" i="125" s="1"/>
  <c r="AG26" i="125"/>
  <c r="AP84" i="125"/>
  <c r="AQ84" i="125" s="1"/>
  <c r="AG34" i="125"/>
  <c r="AC24" i="124"/>
  <c r="AA42" i="124"/>
  <c r="AK94" i="124" s="1"/>
  <c r="M30" i="124"/>
  <c r="M41" i="124" s="1"/>
  <c r="M40" i="124"/>
  <c r="AP81" i="124"/>
  <c r="AQ81" i="124" s="1"/>
  <c r="AG30" i="124"/>
  <c r="AP83" i="124"/>
  <c r="AQ83" i="124" s="1"/>
  <c r="AD41" i="124" s="1"/>
  <c r="AD42" i="124" s="1"/>
  <c r="AL94" i="124" s="1"/>
  <c r="AG33" i="124"/>
  <c r="AP82" i="124"/>
  <c r="AQ82" i="124" s="1"/>
  <c r="AG31" i="124"/>
  <c r="AP78" i="124"/>
  <c r="AQ78" i="124" s="1"/>
  <c r="AG25" i="124"/>
  <c r="AP82" i="123"/>
  <c r="AQ82" i="123" s="1"/>
  <c r="AG31" i="123"/>
  <c r="AC28" i="123"/>
  <c r="AN80" i="123"/>
  <c r="AO80" i="123" s="1"/>
  <c r="AP81" i="123"/>
  <c r="AQ81" i="123" s="1"/>
  <c r="AG30" i="123"/>
  <c r="AN77" i="123"/>
  <c r="AO77" i="123" s="1"/>
  <c r="AG37" i="123"/>
  <c r="AP86" i="123"/>
  <c r="AQ86" i="123" s="1"/>
  <c r="H36" i="122"/>
  <c r="H37" i="122" s="1"/>
  <c r="E37" i="122"/>
  <c r="S30" i="122"/>
  <c r="S31" i="122" s="1"/>
  <c r="AL91" i="122" s="1"/>
  <c r="R30" i="122"/>
  <c r="R31" i="122" s="1"/>
  <c r="AK91" i="122" s="1"/>
  <c r="Q30" i="122"/>
  <c r="Q31" i="122" s="1"/>
  <c r="AJ91" i="122" s="1"/>
  <c r="AG28" i="122"/>
  <c r="AP80" i="122"/>
  <c r="AQ80" i="122" s="1"/>
  <c r="AC31" i="122"/>
  <c r="AN82" i="122"/>
  <c r="AO82" i="122" s="1"/>
  <c r="AN78" i="122"/>
  <c r="AO78" i="122" s="1"/>
  <c r="AC25" i="122"/>
  <c r="AN81" i="122"/>
  <c r="AO81" i="122" s="1"/>
  <c r="AC30" i="122"/>
  <c r="AP84" i="122"/>
  <c r="AQ84" i="122" s="1"/>
  <c r="AG34" i="122"/>
  <c r="Y28" i="122"/>
  <c r="AL80" i="122"/>
  <c r="AM80" i="122" s="1"/>
  <c r="AC33" i="122"/>
  <c r="AN83" i="122"/>
  <c r="AO83" i="122" s="1"/>
  <c r="AA41" i="122" s="1"/>
  <c r="AG24" i="122"/>
  <c r="AP77" i="122"/>
  <c r="AQ77" i="122" s="1"/>
  <c r="AL81" i="122"/>
  <c r="AM81" i="122" s="1"/>
  <c r="Y30" i="122"/>
  <c r="AN76" i="122"/>
  <c r="AO76" i="122" s="1"/>
  <c r="AC23" i="122"/>
  <c r="Y24" i="122"/>
  <c r="AL77" i="122"/>
  <c r="AM77" i="122" s="1"/>
  <c r="AL82" i="122"/>
  <c r="AM82" i="122" s="1"/>
  <c r="Y31" i="122"/>
  <c r="AL84" i="122"/>
  <c r="AM84" i="122" s="1"/>
  <c r="Y34" i="122"/>
  <c r="AL85" i="122"/>
  <c r="AM85" i="122" s="1"/>
  <c r="Y35" i="122"/>
  <c r="AN86" i="122"/>
  <c r="AO86" i="122" s="1"/>
  <c r="AC37" i="122"/>
  <c r="AB51" i="122"/>
  <c r="AL90" i="122"/>
  <c r="Y23" i="122"/>
  <c r="AC24" i="122"/>
  <c r="AK25" i="122"/>
  <c r="Y26" i="122"/>
  <c r="AG26" i="122"/>
  <c r="AK30" i="122"/>
  <c r="AE33" i="122" s="1"/>
  <c r="Y33" i="122"/>
  <c r="AB52" i="122"/>
  <c r="AN84" i="122"/>
  <c r="AO84" i="122" s="1"/>
  <c r="Y25" i="122"/>
  <c r="AK28" i="122"/>
  <c r="AE30" i="122" s="1"/>
  <c r="AK29" i="122"/>
  <c r="AE31" i="122" s="1"/>
  <c r="AC35" i="122"/>
  <c r="AL85" i="121"/>
  <c r="AM85" i="121" s="1"/>
  <c r="Y35" i="121"/>
  <c r="AL84" i="121"/>
  <c r="AM84" i="121" s="1"/>
  <c r="Y34" i="121"/>
  <c r="Y37" i="121"/>
  <c r="AL86" i="121"/>
  <c r="AM86" i="121" s="1"/>
  <c r="W42" i="121"/>
  <c r="AJ94" i="121" s="1"/>
  <c r="AK26" i="121"/>
  <c r="AE26" i="121" s="1"/>
  <c r="AP79" i="121" s="1"/>
  <c r="AQ79" i="121" s="1"/>
  <c r="AD40" i="121" s="1"/>
  <c r="AA30" i="121"/>
  <c r="AK33" i="121"/>
  <c r="AP86" i="121" s="1"/>
  <c r="AQ86" i="121" s="1"/>
  <c r="AK23" i="121"/>
  <c r="AP76" i="121" s="1"/>
  <c r="AQ76" i="121" s="1"/>
  <c r="AK31" i="121"/>
  <c r="AE34" i="121" s="1"/>
  <c r="AP84" i="121" s="1"/>
  <c r="AQ84" i="121" s="1"/>
  <c r="AK32" i="121"/>
  <c r="E83" i="121"/>
  <c r="Q30" i="121"/>
  <c r="Q31" i="121" s="1"/>
  <c r="AJ91" i="121" s="1"/>
  <c r="S30" i="121"/>
  <c r="S31" i="121" s="1"/>
  <c r="AL91" i="121" s="1"/>
  <c r="R30" i="121"/>
  <c r="R31" i="121" s="1"/>
  <c r="AK91" i="121" s="1"/>
  <c r="AG24" i="121"/>
  <c r="AP77" i="121"/>
  <c r="AQ77" i="121" s="1"/>
  <c r="AN78" i="121"/>
  <c r="AO78" i="121" s="1"/>
  <c r="AC25" i="121"/>
  <c r="Y28" i="121"/>
  <c r="AL80" i="121"/>
  <c r="AM80" i="121" s="1"/>
  <c r="AC34" i="121"/>
  <c r="AN84" i="121"/>
  <c r="AO84" i="121" s="1"/>
  <c r="AN85" i="121"/>
  <c r="AO85" i="121" s="1"/>
  <c r="AC35" i="121"/>
  <c r="AG37" i="121"/>
  <c r="AL82" i="121"/>
  <c r="AM82" i="121" s="1"/>
  <c r="Y31" i="121"/>
  <c r="AP85" i="121"/>
  <c r="AQ85" i="121" s="1"/>
  <c r="AG35" i="121"/>
  <c r="X46" i="121"/>
  <c r="AC26" i="121"/>
  <c r="AN79" i="121"/>
  <c r="AO79" i="121" s="1"/>
  <c r="AA40" i="121" s="1"/>
  <c r="AG28" i="121"/>
  <c r="AP80" i="121"/>
  <c r="AQ80" i="121" s="1"/>
  <c r="AL81" i="121"/>
  <c r="AM81" i="121" s="1"/>
  <c r="Y30" i="121"/>
  <c r="AC31" i="121"/>
  <c r="AN82" i="121"/>
  <c r="AO82" i="121" s="1"/>
  <c r="AC33" i="121"/>
  <c r="AN83" i="121"/>
  <c r="AO83" i="121" s="1"/>
  <c r="AA41" i="121" s="1"/>
  <c r="AN76" i="121"/>
  <c r="AO76" i="121" s="1"/>
  <c r="AC23" i="121"/>
  <c r="Y24" i="121"/>
  <c r="AL77" i="121"/>
  <c r="AM77" i="121" s="1"/>
  <c r="AL78" i="121"/>
  <c r="AM78" i="121" s="1"/>
  <c r="Y25" i="121"/>
  <c r="AP81" i="121"/>
  <c r="AQ81" i="121" s="1"/>
  <c r="AG30" i="121"/>
  <c r="AN86" i="121"/>
  <c r="AO86" i="121" s="1"/>
  <c r="AC37" i="121"/>
  <c r="AB51" i="121"/>
  <c r="AN80" i="121"/>
  <c r="AO80" i="121" s="1"/>
  <c r="AL90" i="121"/>
  <c r="AC24" i="121"/>
  <c r="Y26" i="121"/>
  <c r="AB52" i="121"/>
  <c r="AL76" i="121"/>
  <c r="AM76" i="121" s="1"/>
  <c r="AK25" i="121"/>
  <c r="AK30" i="121"/>
  <c r="AE33" i="121" s="1"/>
  <c r="Y33" i="121"/>
  <c r="AK29" i="121"/>
  <c r="AE31" i="121" s="1"/>
  <c r="M39" i="123" l="1"/>
  <c r="X45" i="123" s="1"/>
  <c r="X46" i="123"/>
  <c r="X45" i="122"/>
  <c r="X45" i="121"/>
  <c r="M40" i="122"/>
  <c r="M30" i="121"/>
  <c r="AN80" i="122"/>
  <c r="AO80" i="122" s="1"/>
  <c r="M43" i="124"/>
  <c r="X46" i="124" s="1"/>
  <c r="M39" i="124"/>
  <c r="X45" i="124" s="1"/>
  <c r="AG35" i="122"/>
  <c r="AP86" i="122"/>
  <c r="AQ86" i="122" s="1"/>
  <c r="AG26" i="121"/>
  <c r="AG23" i="122"/>
  <c r="AC26" i="122"/>
  <c r="AN79" i="122"/>
  <c r="AO79" i="122" s="1"/>
  <c r="AA40" i="122" s="1"/>
  <c r="AA42" i="122" s="1"/>
  <c r="AK94" i="122" s="1"/>
  <c r="AP81" i="122"/>
  <c r="AQ81" i="122" s="1"/>
  <c r="AG30" i="122"/>
  <c r="AP78" i="122"/>
  <c r="AQ78" i="122" s="1"/>
  <c r="AG25" i="122"/>
  <c r="AP82" i="122"/>
  <c r="AQ82" i="122" s="1"/>
  <c r="AG31" i="122"/>
  <c r="AP83" i="122"/>
  <c r="AQ83" i="122" s="1"/>
  <c r="AD41" i="122" s="1"/>
  <c r="AD42" i="122" s="1"/>
  <c r="AL94" i="122" s="1"/>
  <c r="AG33" i="122"/>
  <c r="AG34" i="121"/>
  <c r="AG23" i="121"/>
  <c r="AC30" i="121"/>
  <c r="AN81" i="121"/>
  <c r="AO81" i="121" s="1"/>
  <c r="AP83" i="121"/>
  <c r="AQ83" i="121" s="1"/>
  <c r="AD41" i="121" s="1"/>
  <c r="AD42" i="121" s="1"/>
  <c r="AL94" i="121" s="1"/>
  <c r="AG33" i="121"/>
  <c r="AP82" i="121"/>
  <c r="AQ82" i="121" s="1"/>
  <c r="AG31" i="121"/>
  <c r="AP78" i="121"/>
  <c r="AQ78" i="121" s="1"/>
  <c r="AG25" i="121"/>
  <c r="AA42" i="121"/>
  <c r="AK94" i="121" s="1"/>
  <c r="Y35" i="119" l="1"/>
  <c r="Y37" i="119"/>
  <c r="H22" i="119"/>
  <c r="E22" i="119"/>
  <c r="E25" i="119" s="1"/>
  <c r="E36" i="119" s="1"/>
  <c r="G22" i="119"/>
  <c r="F22" i="119"/>
  <c r="AJ86" i="119"/>
  <c r="AK86" i="119" s="1"/>
  <c r="AJ85" i="119"/>
  <c r="AK85" i="119" s="1"/>
  <c r="L85" i="119"/>
  <c r="AJ84" i="119"/>
  <c r="AK84" i="119" s="1"/>
  <c r="AJ83" i="119"/>
  <c r="AK83" i="119" s="1"/>
  <c r="AJ82" i="119"/>
  <c r="AK82" i="119" s="1"/>
  <c r="AJ81" i="119"/>
  <c r="AK81" i="119" s="1"/>
  <c r="AJ80" i="119"/>
  <c r="AK80" i="119" s="1"/>
  <c r="AJ79" i="119"/>
  <c r="AK79" i="119" s="1"/>
  <c r="AJ78" i="119"/>
  <c r="AK78" i="119" s="1"/>
  <c r="D78" i="119"/>
  <c r="AJ77" i="119"/>
  <c r="AK77" i="119" s="1"/>
  <c r="AJ76" i="119"/>
  <c r="AK76" i="119" s="1"/>
  <c r="AP75" i="119"/>
  <c r="AQ75" i="119" s="1"/>
  <c r="AN75" i="119"/>
  <c r="AO75" i="119" s="1"/>
  <c r="AJ75" i="119"/>
  <c r="AK75" i="119" s="1"/>
  <c r="AH47" i="119"/>
  <c r="AH48" i="119" s="1"/>
  <c r="AG47" i="119"/>
  <c r="AG48" i="119" s="1"/>
  <c r="AF47" i="119"/>
  <c r="AF48" i="119" s="1"/>
  <c r="X47" i="119"/>
  <c r="S47" i="119"/>
  <c r="R47" i="119"/>
  <c r="Q47" i="119"/>
  <c r="M42" i="119"/>
  <c r="M37" i="119" s="1"/>
  <c r="M41" i="119"/>
  <c r="M43" i="119" s="1"/>
  <c r="S40" i="119"/>
  <c r="R40" i="119"/>
  <c r="Q40" i="119"/>
  <c r="AD39" i="119"/>
  <c r="AA39" i="119"/>
  <c r="W39" i="119"/>
  <c r="AS37" i="119"/>
  <c r="V37" i="119"/>
  <c r="AS36" i="119"/>
  <c r="AS35" i="119"/>
  <c r="AL85" i="119"/>
  <c r="AM85" i="119" s="1"/>
  <c r="V35" i="119"/>
  <c r="AS34" i="119"/>
  <c r="V34" i="119"/>
  <c r="H34" i="119"/>
  <c r="J84" i="119" s="1"/>
  <c r="J83" i="119" s="1"/>
  <c r="G34" i="119"/>
  <c r="I84" i="119" s="1"/>
  <c r="I83" i="119" s="1"/>
  <c r="F34" i="119"/>
  <c r="H84" i="119" s="1"/>
  <c r="H83" i="119" s="1"/>
  <c r="G84" i="119"/>
  <c r="G83" i="119" s="1"/>
  <c r="AS33" i="119"/>
  <c r="AJ33" i="119"/>
  <c r="AA37" i="119" s="1"/>
  <c r="AI33" i="119"/>
  <c r="V33" i="119"/>
  <c r="M33" i="119"/>
  <c r="AS32" i="119"/>
  <c r="AJ32" i="119"/>
  <c r="AA35" i="119" s="1"/>
  <c r="AI32" i="119"/>
  <c r="AS31" i="119"/>
  <c r="AJ31" i="119"/>
  <c r="AI31" i="119"/>
  <c r="AL84" i="119" s="1"/>
  <c r="AM84" i="119" s="1"/>
  <c r="V31" i="119"/>
  <c r="M31" i="119"/>
  <c r="AS30" i="119"/>
  <c r="AJ30" i="119"/>
  <c r="AA33" i="119" s="1"/>
  <c r="AI30" i="119"/>
  <c r="W33" i="119" s="1"/>
  <c r="AA30" i="119"/>
  <c r="AN81" i="119" s="1"/>
  <c r="AO81" i="119" s="1"/>
  <c r="W30" i="119"/>
  <c r="AL81" i="119" s="1"/>
  <c r="AM81" i="119" s="1"/>
  <c r="V30" i="119"/>
  <c r="AS29" i="119"/>
  <c r="AJ29" i="119"/>
  <c r="AA31" i="119" s="1"/>
  <c r="AI29" i="119"/>
  <c r="AS28" i="119"/>
  <c r="AJ28" i="119"/>
  <c r="AK28" i="119" s="1"/>
  <c r="AI28" i="119"/>
  <c r="V28" i="119"/>
  <c r="S28" i="119"/>
  <c r="R28" i="119"/>
  <c r="Q28" i="119"/>
  <c r="M28" i="119"/>
  <c r="AS27" i="119"/>
  <c r="AJ27" i="119"/>
  <c r="AI27" i="119"/>
  <c r="S27" i="119"/>
  <c r="R27" i="119"/>
  <c r="Q27" i="119"/>
  <c r="AS26" i="119"/>
  <c r="AJ26" i="119"/>
  <c r="AA26" i="119" s="1"/>
  <c r="AI26" i="119"/>
  <c r="W26" i="119" s="1"/>
  <c r="V26" i="119"/>
  <c r="AS25" i="119"/>
  <c r="AJ25" i="119"/>
  <c r="AK25" i="119" s="1"/>
  <c r="AP78" i="119" s="1"/>
  <c r="AQ78" i="119" s="1"/>
  <c r="AI25" i="119"/>
  <c r="W25" i="119" s="1"/>
  <c r="V25" i="119"/>
  <c r="H25" i="119"/>
  <c r="AS24" i="119"/>
  <c r="AJ24" i="119"/>
  <c r="AK24" i="119" s="1"/>
  <c r="AI24" i="119"/>
  <c r="W24" i="119" s="1"/>
  <c r="V24" i="119"/>
  <c r="F24" i="119"/>
  <c r="G24" i="119" s="1"/>
  <c r="H24" i="119" s="1"/>
  <c r="AS23" i="119"/>
  <c r="AJ23" i="119"/>
  <c r="AI23" i="119"/>
  <c r="W23" i="119" s="1"/>
  <c r="V23" i="119"/>
  <c r="AS22" i="119"/>
  <c r="AJ22" i="119"/>
  <c r="AK22" i="119" s="1"/>
  <c r="AI22" i="119"/>
  <c r="AG22" i="119"/>
  <c r="AC22" i="119"/>
  <c r="W22" i="119"/>
  <c r="AL75" i="119" s="1"/>
  <c r="AM75" i="119" s="1"/>
  <c r="V22" i="119"/>
  <c r="G25" i="119"/>
  <c r="F25" i="119"/>
  <c r="M20" i="119"/>
  <c r="F20" i="119"/>
  <c r="G20" i="119" s="1"/>
  <c r="H20" i="119" s="1"/>
  <c r="AE19" i="119"/>
  <c r="AB53" i="119" s="1"/>
  <c r="AA19" i="119"/>
  <c r="AK90" i="119" s="1"/>
  <c r="W19" i="119"/>
  <c r="AJ90" i="119" s="1"/>
  <c r="Q13" i="119"/>
  <c r="AF12" i="119"/>
  <c r="AC12" i="119"/>
  <c r="V12" i="119"/>
  <c r="W10" i="119"/>
  <c r="Q10" i="119"/>
  <c r="O10" i="119"/>
  <c r="K10" i="119"/>
  <c r="AB10" i="119" s="1"/>
  <c r="W9" i="119"/>
  <c r="Q9" i="119"/>
  <c r="O9" i="119"/>
  <c r="AV8" i="119"/>
  <c r="AB8" i="119"/>
  <c r="W8" i="119"/>
  <c r="Q8" i="119"/>
  <c r="O8" i="119"/>
  <c r="AB7" i="119"/>
  <c r="W7" i="119"/>
  <c r="Q7" i="119"/>
  <c r="O7" i="119"/>
  <c r="AB6" i="119"/>
  <c r="W6" i="119"/>
  <c r="Q6" i="119"/>
  <c r="O6" i="119"/>
  <c r="R1" i="119"/>
  <c r="H25" i="118"/>
  <c r="E25" i="118"/>
  <c r="E36" i="118" s="1"/>
  <c r="E25" i="117"/>
  <c r="E36" i="117" s="1"/>
  <c r="F25" i="118"/>
  <c r="G25" i="118"/>
  <c r="AJ86" i="118"/>
  <c r="AK86" i="118" s="1"/>
  <c r="AK85" i="118"/>
  <c r="AJ85" i="118"/>
  <c r="L85" i="118"/>
  <c r="AJ84" i="118"/>
  <c r="AK84" i="118" s="1"/>
  <c r="AJ83" i="118"/>
  <c r="AK83" i="118" s="1"/>
  <c r="AJ82" i="118"/>
  <c r="AK82" i="118" s="1"/>
  <c r="AJ81" i="118"/>
  <c r="AK81" i="118" s="1"/>
  <c r="AJ80" i="118"/>
  <c r="AK80" i="118" s="1"/>
  <c r="AJ79" i="118"/>
  <c r="AK79" i="118" s="1"/>
  <c r="AJ78" i="118"/>
  <c r="AK78" i="118" s="1"/>
  <c r="D78" i="118"/>
  <c r="AJ77" i="118"/>
  <c r="AK77" i="118" s="1"/>
  <c r="AJ76" i="118"/>
  <c r="AK76" i="118" s="1"/>
  <c r="AP75" i="118"/>
  <c r="AQ75" i="118" s="1"/>
  <c r="AN75" i="118"/>
  <c r="AO75" i="118" s="1"/>
  <c r="AJ75" i="118"/>
  <c r="AK75" i="118" s="1"/>
  <c r="AH47" i="118"/>
  <c r="AH48" i="118" s="1"/>
  <c r="AG47" i="118"/>
  <c r="AG48" i="118" s="1"/>
  <c r="AF47" i="118"/>
  <c r="AF48" i="118" s="1"/>
  <c r="X47" i="118"/>
  <c r="S47" i="118"/>
  <c r="R47" i="118"/>
  <c r="Q47" i="118"/>
  <c r="M42" i="118"/>
  <c r="S92" i="118" s="1"/>
  <c r="S40" i="118"/>
  <c r="R40" i="118"/>
  <c r="Q40" i="118"/>
  <c r="AD39" i="118"/>
  <c r="AA39" i="118"/>
  <c r="W39" i="118"/>
  <c r="AS37" i="118"/>
  <c r="V37" i="118"/>
  <c r="AS36" i="118"/>
  <c r="AS35" i="118"/>
  <c r="V35" i="118"/>
  <c r="AS34" i="118"/>
  <c r="V34" i="118"/>
  <c r="H34" i="118"/>
  <c r="J84" i="118" s="1"/>
  <c r="J83" i="118" s="1"/>
  <c r="G34" i="118"/>
  <c r="I84" i="118" s="1"/>
  <c r="I83" i="118" s="1"/>
  <c r="F34" i="118"/>
  <c r="H84" i="118" s="1"/>
  <c r="H83" i="118" s="1"/>
  <c r="E34" i="118"/>
  <c r="G84" i="118" s="1"/>
  <c r="G83" i="118" s="1"/>
  <c r="AS33" i="118"/>
  <c r="AJ33" i="118"/>
  <c r="AA37" i="118" s="1"/>
  <c r="AI33" i="118"/>
  <c r="W37" i="118" s="1"/>
  <c r="Y37" i="118" s="1"/>
  <c r="V33" i="118"/>
  <c r="M33" i="118"/>
  <c r="AS32" i="118"/>
  <c r="AJ32" i="118"/>
  <c r="AA35" i="118" s="1"/>
  <c r="AN85" i="118" s="1"/>
  <c r="AO85" i="118" s="1"/>
  <c r="AI32" i="118"/>
  <c r="W35" i="118" s="1"/>
  <c r="AS31" i="118"/>
  <c r="AJ31" i="118"/>
  <c r="AC34" i="118" s="1"/>
  <c r="AI31" i="118"/>
  <c r="W34" i="118" s="1"/>
  <c r="V31" i="118"/>
  <c r="M31" i="118"/>
  <c r="AS30" i="118"/>
  <c r="AJ30" i="118"/>
  <c r="AA33" i="118" s="1"/>
  <c r="AI30" i="118"/>
  <c r="W33" i="118" s="1"/>
  <c r="AL83" i="118" s="1"/>
  <c r="AM83" i="118" s="1"/>
  <c r="W41" i="118" s="1"/>
  <c r="V30" i="118"/>
  <c r="AS29" i="118"/>
  <c r="AJ29" i="118"/>
  <c r="AA31" i="118" s="1"/>
  <c r="AI29" i="118"/>
  <c r="W31" i="118" s="1"/>
  <c r="AS28" i="118"/>
  <c r="AJ28" i="118"/>
  <c r="AA30" i="118" s="1"/>
  <c r="AI28" i="118"/>
  <c r="W30" i="118" s="1"/>
  <c r="V28" i="118"/>
  <c r="S28" i="118"/>
  <c r="R28" i="118"/>
  <c r="Q28" i="118"/>
  <c r="M28" i="118"/>
  <c r="AS27" i="118"/>
  <c r="AJ27" i="118"/>
  <c r="AC28" i="118" s="1"/>
  <c r="AI27" i="118"/>
  <c r="S27" i="118"/>
  <c r="R27" i="118"/>
  <c r="Q27" i="118"/>
  <c r="AS26" i="118"/>
  <c r="AJ26" i="118"/>
  <c r="AA26" i="118" s="1"/>
  <c r="AI26" i="118"/>
  <c r="AL79" i="118"/>
  <c r="AM79" i="118" s="1"/>
  <c r="W40" i="118" s="1"/>
  <c r="W42" i="118" s="1"/>
  <c r="V26" i="118"/>
  <c r="AS25" i="118"/>
  <c r="AJ25" i="118"/>
  <c r="AA25" i="118" s="1"/>
  <c r="AI25" i="118"/>
  <c r="AL78" i="118" s="1"/>
  <c r="AM78" i="118" s="1"/>
  <c r="V25" i="118"/>
  <c r="AS24" i="118"/>
  <c r="AJ24" i="118"/>
  <c r="AK24" i="118" s="1"/>
  <c r="AE24" i="118" s="1"/>
  <c r="AI24" i="118"/>
  <c r="AN77" i="118"/>
  <c r="AO77" i="118" s="1"/>
  <c r="V24" i="118"/>
  <c r="F24" i="118"/>
  <c r="G24" i="118" s="1"/>
  <c r="H24" i="118" s="1"/>
  <c r="AS23" i="118"/>
  <c r="AJ23" i="118"/>
  <c r="AI23" i="118"/>
  <c r="Y23" i="118" s="1"/>
  <c r="V23" i="118"/>
  <c r="AS22" i="118"/>
  <c r="AJ22" i="118"/>
  <c r="AK22" i="118" s="1"/>
  <c r="AI22" i="118"/>
  <c r="AG22" i="118"/>
  <c r="AC22" i="118"/>
  <c r="Y22" i="118"/>
  <c r="W22" i="118"/>
  <c r="AL75" i="118" s="1"/>
  <c r="AM75" i="118" s="1"/>
  <c r="V22" i="118"/>
  <c r="M20" i="118"/>
  <c r="F20" i="118"/>
  <c r="G20" i="118" s="1"/>
  <c r="H20" i="118" s="1"/>
  <c r="AE19" i="118"/>
  <c r="AB53" i="118" s="1"/>
  <c r="AA19" i="118"/>
  <c r="AK90" i="118" s="1"/>
  <c r="W19" i="118"/>
  <c r="AJ90" i="118" s="1"/>
  <c r="Q13" i="118"/>
  <c r="AF12" i="118"/>
  <c r="AC12" i="118"/>
  <c r="V12" i="118"/>
  <c r="W10" i="118"/>
  <c r="Q10" i="118"/>
  <c r="O10" i="118"/>
  <c r="K10" i="118"/>
  <c r="AB10" i="118" s="1"/>
  <c r="W9" i="118"/>
  <c r="Q9" i="118"/>
  <c r="O9" i="118"/>
  <c r="AV8" i="118"/>
  <c r="AB8" i="118"/>
  <c r="W8" i="118"/>
  <c r="Q8" i="118"/>
  <c r="O8" i="118"/>
  <c r="AB7" i="118"/>
  <c r="W7" i="118"/>
  <c r="Q7" i="118"/>
  <c r="O7" i="118"/>
  <c r="AB6" i="118"/>
  <c r="W6" i="118"/>
  <c r="Q6" i="118"/>
  <c r="O6" i="118"/>
  <c r="R1" i="118"/>
  <c r="H25" i="117"/>
  <c r="H34" i="117"/>
  <c r="J84" i="117" s="1"/>
  <c r="J83" i="117" s="1"/>
  <c r="AJ86" i="117"/>
  <c r="AK86" i="117" s="1"/>
  <c r="AJ85" i="117"/>
  <c r="AK85" i="117" s="1"/>
  <c r="L85" i="117"/>
  <c r="AJ84" i="117"/>
  <c r="AK84" i="117" s="1"/>
  <c r="AJ83" i="117"/>
  <c r="AK83" i="117" s="1"/>
  <c r="AJ82" i="117"/>
  <c r="AK82" i="117" s="1"/>
  <c r="AJ81" i="117"/>
  <c r="AK81" i="117" s="1"/>
  <c r="AJ80" i="117"/>
  <c r="AK80" i="117" s="1"/>
  <c r="AJ79" i="117"/>
  <c r="AK79" i="117" s="1"/>
  <c r="AJ78" i="117"/>
  <c r="AK78" i="117" s="1"/>
  <c r="D78" i="117"/>
  <c r="AJ77" i="117"/>
  <c r="AK77" i="117" s="1"/>
  <c r="AJ76" i="117"/>
  <c r="AK76" i="117" s="1"/>
  <c r="AP75" i="117"/>
  <c r="AQ75" i="117" s="1"/>
  <c r="AN75" i="117"/>
  <c r="AO75" i="117" s="1"/>
  <c r="AJ75" i="117"/>
  <c r="AK75" i="117" s="1"/>
  <c r="AH47" i="117"/>
  <c r="AH48" i="117" s="1"/>
  <c r="AG47" i="117"/>
  <c r="AG48" i="117" s="1"/>
  <c r="AF47" i="117"/>
  <c r="AF48" i="117" s="1"/>
  <c r="X47" i="117"/>
  <c r="S47" i="117"/>
  <c r="R47" i="117"/>
  <c r="Q47" i="117"/>
  <c r="M42" i="117"/>
  <c r="S92" i="117" s="1"/>
  <c r="M41" i="117"/>
  <c r="M43" i="117" s="1"/>
  <c r="S40" i="117"/>
  <c r="R40" i="117"/>
  <c r="Q40" i="117"/>
  <c r="AD39" i="117"/>
  <c r="AA39" i="117"/>
  <c r="W39" i="117"/>
  <c r="AS37" i="117"/>
  <c r="V37" i="117"/>
  <c r="AS36" i="117"/>
  <c r="AS35" i="117"/>
  <c r="AN85" i="117"/>
  <c r="AO85" i="117" s="1"/>
  <c r="V35" i="117"/>
  <c r="AS34" i="117"/>
  <c r="V34" i="117"/>
  <c r="G34" i="117"/>
  <c r="I84" i="117" s="1"/>
  <c r="I83" i="117" s="1"/>
  <c r="F34" i="117"/>
  <c r="H84" i="117" s="1"/>
  <c r="H83" i="117" s="1"/>
  <c r="E34" i="117"/>
  <c r="G84" i="117" s="1"/>
  <c r="G83" i="117" s="1"/>
  <c r="AS33" i="117"/>
  <c r="AJ33" i="117"/>
  <c r="AI33" i="117"/>
  <c r="V33" i="117"/>
  <c r="M33" i="117"/>
  <c r="AS32" i="117"/>
  <c r="AJ32" i="117"/>
  <c r="AK32" i="117" s="1"/>
  <c r="AP85" i="117" s="1"/>
  <c r="AQ85" i="117" s="1"/>
  <c r="AI32" i="117"/>
  <c r="AS31" i="117"/>
  <c r="AJ31" i="117"/>
  <c r="AN84" i="117" s="1"/>
  <c r="AO84" i="117" s="1"/>
  <c r="AI31" i="117"/>
  <c r="W34" i="117" s="1"/>
  <c r="V31" i="117"/>
  <c r="M31" i="117"/>
  <c r="AS30" i="117"/>
  <c r="AJ30" i="117"/>
  <c r="AI30" i="117"/>
  <c r="W33" i="117" s="1"/>
  <c r="V30" i="117"/>
  <c r="AS29" i="117"/>
  <c r="AJ29" i="117"/>
  <c r="AI29" i="117"/>
  <c r="W31" i="117" s="1"/>
  <c r="AS28" i="117"/>
  <c r="AJ28" i="117"/>
  <c r="AA30" i="117" s="1"/>
  <c r="AN81" i="117" s="1"/>
  <c r="AO81" i="117" s="1"/>
  <c r="AI28" i="117"/>
  <c r="W30" i="117" s="1"/>
  <c r="V28" i="117"/>
  <c r="S28" i="117"/>
  <c r="R28" i="117"/>
  <c r="Q28" i="117"/>
  <c r="M28" i="117"/>
  <c r="AS27" i="117"/>
  <c r="AJ27" i="117"/>
  <c r="AA28" i="117" s="1"/>
  <c r="AI27" i="117"/>
  <c r="W28" i="117" s="1"/>
  <c r="S27" i="117"/>
  <c r="R27" i="117"/>
  <c r="Q27" i="117"/>
  <c r="AS26" i="117"/>
  <c r="AJ26" i="117"/>
  <c r="AA26" i="117" s="1"/>
  <c r="AI26" i="117"/>
  <c r="V26" i="117"/>
  <c r="AS25" i="117"/>
  <c r="AJ25" i="117"/>
  <c r="AI25" i="117"/>
  <c r="AL78" i="117"/>
  <c r="AM78" i="117" s="1"/>
  <c r="V25" i="117"/>
  <c r="G25" i="117"/>
  <c r="F25" i="117"/>
  <c r="AS24" i="117"/>
  <c r="AJ24" i="117"/>
  <c r="AK24" i="117" s="1"/>
  <c r="AI24" i="117"/>
  <c r="V24" i="117"/>
  <c r="F24" i="117"/>
  <c r="G24" i="117" s="1"/>
  <c r="H24" i="117" s="1"/>
  <c r="AS23" i="117"/>
  <c r="AJ23" i="117"/>
  <c r="AK23" i="117" s="1"/>
  <c r="AI23" i="117"/>
  <c r="AN76" i="117"/>
  <c r="AO76" i="117" s="1"/>
  <c r="V23" i="117"/>
  <c r="AS22" i="117"/>
  <c r="AJ22" i="117"/>
  <c r="AK22" i="117" s="1"/>
  <c r="AI22" i="117"/>
  <c r="AG22" i="117"/>
  <c r="AC22" i="117"/>
  <c r="Y22" i="117"/>
  <c r="W22" i="117"/>
  <c r="AL75" i="117" s="1"/>
  <c r="AM75" i="117" s="1"/>
  <c r="V22" i="117"/>
  <c r="M20" i="117"/>
  <c r="F20" i="117"/>
  <c r="G20" i="117" s="1"/>
  <c r="H20" i="117" s="1"/>
  <c r="AE19" i="117"/>
  <c r="AL90" i="117" s="1"/>
  <c r="AA19" i="117"/>
  <c r="W19" i="117"/>
  <c r="AJ90" i="117" s="1"/>
  <c r="Q13" i="117"/>
  <c r="AF12" i="117"/>
  <c r="AC12" i="117"/>
  <c r="V12" i="117"/>
  <c r="R12" i="117"/>
  <c r="W10" i="117"/>
  <c r="Q10" i="117"/>
  <c r="O10" i="117"/>
  <c r="K10" i="117"/>
  <c r="AB10" i="117" s="1"/>
  <c r="W9" i="117"/>
  <c r="Q9" i="117"/>
  <c r="O9" i="117"/>
  <c r="AV8" i="117"/>
  <c r="AB8" i="117"/>
  <c r="W8" i="117"/>
  <c r="Q8" i="117"/>
  <c r="O8" i="117"/>
  <c r="AB7" i="117"/>
  <c r="W7" i="117"/>
  <c r="Q7" i="117"/>
  <c r="O7" i="117"/>
  <c r="AB6" i="117"/>
  <c r="W6" i="117"/>
  <c r="Q6" i="117"/>
  <c r="O6" i="117"/>
  <c r="R1" i="117"/>
  <c r="AA33" i="113"/>
  <c r="AN83" i="113" s="1"/>
  <c r="AO83" i="113" s="1"/>
  <c r="AA41" i="113" s="1"/>
  <c r="AL83" i="113"/>
  <c r="AM83" i="113" s="1"/>
  <c r="W41" i="113" s="1"/>
  <c r="AL82" i="113"/>
  <c r="AM82" i="113" s="1"/>
  <c r="AJ23" i="113"/>
  <c r="AA23" i="113" s="1"/>
  <c r="AN76" i="113" s="1"/>
  <c r="AO76" i="113" s="1"/>
  <c r="AJ24" i="113"/>
  <c r="AA24" i="113" s="1"/>
  <c r="AN77" i="113" s="1"/>
  <c r="AO77" i="113" s="1"/>
  <c r="AJ25" i="113"/>
  <c r="AA25" i="113" s="1"/>
  <c r="AN78" i="113" s="1"/>
  <c r="AO78" i="113" s="1"/>
  <c r="AJ26" i="113"/>
  <c r="AK26" i="113" s="1"/>
  <c r="AJ27" i="113"/>
  <c r="AK27" i="113" s="1"/>
  <c r="AE28" i="113" s="1"/>
  <c r="AJ28" i="113"/>
  <c r="AK28" i="113" s="1"/>
  <c r="AE30" i="113" s="1"/>
  <c r="AJ29" i="113"/>
  <c r="AA31" i="113" s="1"/>
  <c r="AJ30" i="113"/>
  <c r="AK30" i="113" s="1"/>
  <c r="AE33" i="113" s="1"/>
  <c r="AJ31" i="113"/>
  <c r="AK31" i="113" s="1"/>
  <c r="AE34" i="113" s="1"/>
  <c r="AJ32" i="113"/>
  <c r="AA35" i="113" s="1"/>
  <c r="AN85" i="113" s="1"/>
  <c r="AO85" i="113" s="1"/>
  <c r="AJ33" i="113"/>
  <c r="AA37" i="113" s="1"/>
  <c r="AJ22" i="113"/>
  <c r="AK22" i="113" s="1"/>
  <c r="S28" i="113"/>
  <c r="R28" i="113"/>
  <c r="E25" i="113"/>
  <c r="E36" i="113" s="1"/>
  <c r="AJ86" i="113"/>
  <c r="AK86" i="113" s="1"/>
  <c r="AL85" i="113"/>
  <c r="AM85" i="113" s="1"/>
  <c r="AJ85" i="113"/>
  <c r="AK85" i="113" s="1"/>
  <c r="L85" i="113"/>
  <c r="AJ84" i="113"/>
  <c r="AK84" i="113" s="1"/>
  <c r="AJ83" i="113"/>
  <c r="AK83" i="113" s="1"/>
  <c r="AJ82" i="113"/>
  <c r="AK82" i="113" s="1"/>
  <c r="AJ81" i="113"/>
  <c r="AK81" i="113" s="1"/>
  <c r="AJ80" i="113"/>
  <c r="AK80" i="113" s="1"/>
  <c r="AJ79" i="113"/>
  <c r="AK79" i="113" s="1"/>
  <c r="AJ78" i="113"/>
  <c r="AK78" i="113" s="1"/>
  <c r="D78" i="113"/>
  <c r="AJ77" i="113"/>
  <c r="AK77" i="113" s="1"/>
  <c r="AJ76" i="113"/>
  <c r="AK76" i="113" s="1"/>
  <c r="AP75" i="113"/>
  <c r="AQ75" i="113" s="1"/>
  <c r="AN75" i="113"/>
  <c r="AO75" i="113" s="1"/>
  <c r="AJ75" i="113"/>
  <c r="AK75" i="113" s="1"/>
  <c r="AH47" i="113"/>
  <c r="AH48" i="113" s="1"/>
  <c r="AG47" i="113"/>
  <c r="AG48" i="113" s="1"/>
  <c r="AF47" i="113"/>
  <c r="AF48" i="113" s="1"/>
  <c r="X47" i="113"/>
  <c r="S47" i="113"/>
  <c r="R47" i="113"/>
  <c r="Q47" i="113"/>
  <c r="M42" i="113"/>
  <c r="S92" i="113" s="1"/>
  <c r="M41" i="113"/>
  <c r="M43" i="113" s="1"/>
  <c r="X46" i="113" s="1"/>
  <c r="S40" i="113"/>
  <c r="R40" i="113"/>
  <c r="Q40" i="113"/>
  <c r="AD39" i="113"/>
  <c r="AA39" i="113"/>
  <c r="W39" i="113"/>
  <c r="AS37" i="113"/>
  <c r="V37" i="113"/>
  <c r="AS36" i="113"/>
  <c r="AS35" i="113"/>
  <c r="Y35" i="113"/>
  <c r="V35" i="113"/>
  <c r="AS34" i="113"/>
  <c r="V34" i="113"/>
  <c r="H34" i="113"/>
  <c r="J84" i="113" s="1"/>
  <c r="J83" i="113" s="1"/>
  <c r="G34" i="113"/>
  <c r="I84" i="113" s="1"/>
  <c r="I83" i="113" s="1"/>
  <c r="F34" i="113"/>
  <c r="H84" i="113" s="1"/>
  <c r="H83" i="113" s="1"/>
  <c r="E34" i="113"/>
  <c r="G84" i="113" s="1"/>
  <c r="G83" i="113" s="1"/>
  <c r="AS33" i="113"/>
  <c r="AI33" i="113"/>
  <c r="V33" i="113"/>
  <c r="M33" i="113"/>
  <c r="AS32" i="113"/>
  <c r="AI32" i="113"/>
  <c r="AS31" i="113"/>
  <c r="AI31" i="113"/>
  <c r="W34" i="113" s="1"/>
  <c r="Y31" i="113"/>
  <c r="V31" i="113"/>
  <c r="M31" i="113"/>
  <c r="AS30" i="113"/>
  <c r="AI30" i="113"/>
  <c r="V30" i="113"/>
  <c r="AS29" i="113"/>
  <c r="AI29" i="113"/>
  <c r="AS28" i="113"/>
  <c r="AA30" i="113"/>
  <c r="AI28" i="113"/>
  <c r="W30" i="113" s="1"/>
  <c r="AA28" i="113"/>
  <c r="AC28" i="113" s="1"/>
  <c r="V28" i="113"/>
  <c r="Q28" i="113"/>
  <c r="M28" i="113"/>
  <c r="AS27" i="113"/>
  <c r="AI27" i="113"/>
  <c r="W28" i="113" s="1"/>
  <c r="S27" i="113"/>
  <c r="R27" i="113"/>
  <c r="Q27" i="113"/>
  <c r="AS26" i="113"/>
  <c r="AI26" i="113"/>
  <c r="W26" i="113" s="1"/>
  <c r="AL79" i="113" s="1"/>
  <c r="AM79" i="113" s="1"/>
  <c r="W40" i="113" s="1"/>
  <c r="V26" i="113"/>
  <c r="AS25" i="113"/>
  <c r="AI25" i="113"/>
  <c r="W25" i="113" s="1"/>
  <c r="V25" i="113"/>
  <c r="H25" i="113"/>
  <c r="G25" i="113"/>
  <c r="F25" i="113"/>
  <c r="AS24" i="113"/>
  <c r="AP77" i="113"/>
  <c r="AQ77" i="113" s="1"/>
  <c r="AI24" i="113"/>
  <c r="Y24" i="113"/>
  <c r="V24" i="113"/>
  <c r="F24" i="113"/>
  <c r="G24" i="113" s="1"/>
  <c r="AS23" i="113"/>
  <c r="AI23" i="113"/>
  <c r="V23" i="113"/>
  <c r="AS22" i="113"/>
  <c r="AI22" i="113"/>
  <c r="AG22" i="113"/>
  <c r="AC22" i="113"/>
  <c r="W22" i="113"/>
  <c r="Y22" i="113" s="1"/>
  <c r="V22" i="113"/>
  <c r="M20" i="113"/>
  <c r="F20" i="113"/>
  <c r="G20" i="113" s="1"/>
  <c r="H20" i="113" s="1"/>
  <c r="AE19" i="113"/>
  <c r="AB53" i="113" s="1"/>
  <c r="AA19" i="113"/>
  <c r="AK90" i="113" s="1"/>
  <c r="W19" i="113"/>
  <c r="AJ90" i="113" s="1"/>
  <c r="Q13" i="113"/>
  <c r="AF12" i="113"/>
  <c r="AC12" i="113"/>
  <c r="V12" i="113"/>
  <c r="R12" i="113"/>
  <c r="W10" i="113"/>
  <c r="Q10" i="113"/>
  <c r="O10" i="113"/>
  <c r="K10" i="113"/>
  <c r="AB10" i="113" s="1"/>
  <c r="W9" i="113"/>
  <c r="Q9" i="113"/>
  <c r="O9" i="113"/>
  <c r="AV8" i="113"/>
  <c r="AB8" i="113"/>
  <c r="W8" i="113"/>
  <c r="Q8" i="113"/>
  <c r="O8" i="113"/>
  <c r="AB7" i="113"/>
  <c r="W7" i="113"/>
  <c r="Q7" i="113"/>
  <c r="O7" i="113"/>
  <c r="AB6" i="113"/>
  <c r="W6" i="113"/>
  <c r="Q6" i="113"/>
  <c r="O6" i="113"/>
  <c r="R1" i="113"/>
  <c r="E22" i="103"/>
  <c r="H22" i="103"/>
  <c r="G22" i="103"/>
  <c r="F22" i="103"/>
  <c r="R12" i="103"/>
  <c r="AJ25" i="103"/>
  <c r="AJ26" i="103"/>
  <c r="AK26" i="103" s="1"/>
  <c r="AJ27" i="103"/>
  <c r="AK27" i="103" s="1"/>
  <c r="AJ28" i="103"/>
  <c r="AI28" i="103" s="1"/>
  <c r="AJ29" i="103"/>
  <c r="AK29" i="103" s="1"/>
  <c r="AJ30" i="103"/>
  <c r="AK30" i="103" s="1"/>
  <c r="AJ33" i="103"/>
  <c r="AJ22" i="103"/>
  <c r="AK22" i="103" s="1"/>
  <c r="AK23" i="103"/>
  <c r="AI29" i="103"/>
  <c r="AI31" i="103"/>
  <c r="W37" i="103"/>
  <c r="W23" i="103"/>
  <c r="AI25" i="103"/>
  <c r="V37" i="103"/>
  <c r="W24" i="103"/>
  <c r="AL51" i="111"/>
  <c r="M42" i="112"/>
  <c r="Q40" i="110"/>
  <c r="Q27" i="110"/>
  <c r="Q28" i="110"/>
  <c r="AK24" i="113" l="1"/>
  <c r="AC34" i="113"/>
  <c r="F36" i="118"/>
  <c r="AI27" i="103"/>
  <c r="AN86" i="113"/>
  <c r="AO86" i="113" s="1"/>
  <c r="AC37" i="113"/>
  <c r="Y34" i="113"/>
  <c r="AL84" i="113"/>
  <c r="AM84" i="113" s="1"/>
  <c r="AK29" i="113"/>
  <c r="AE31" i="113" s="1"/>
  <c r="AK33" i="113"/>
  <c r="AC33" i="113"/>
  <c r="AK32" i="113"/>
  <c r="AE35" i="113" s="1"/>
  <c r="AG35" i="113" s="1"/>
  <c r="W42" i="113"/>
  <c r="F36" i="117"/>
  <c r="F37" i="117" s="1"/>
  <c r="AK27" i="117"/>
  <c r="AE28" i="117" s="1"/>
  <c r="AG28" i="117" s="1"/>
  <c r="H36" i="117"/>
  <c r="AK27" i="118"/>
  <c r="AE28" i="118" s="1"/>
  <c r="AP80" i="118" s="1"/>
  <c r="AQ80" i="118" s="1"/>
  <c r="AK25" i="113"/>
  <c r="G36" i="119"/>
  <c r="G37" i="119" s="1"/>
  <c r="AK28" i="103"/>
  <c r="AK23" i="113"/>
  <c r="AA26" i="113"/>
  <c r="AC26" i="113" s="1"/>
  <c r="G36" i="117"/>
  <c r="G37" i="117" s="1"/>
  <c r="AB51" i="117"/>
  <c r="AK26" i="118"/>
  <c r="AE26" i="118" s="1"/>
  <c r="AP79" i="118" s="1"/>
  <c r="AQ79" i="118" s="1"/>
  <c r="AD40" i="118" s="1"/>
  <c r="H36" i="119"/>
  <c r="M37" i="113"/>
  <c r="M40" i="113" s="1"/>
  <c r="G36" i="118"/>
  <c r="G37" i="118" s="1"/>
  <c r="F36" i="119"/>
  <c r="F37" i="119" s="1"/>
  <c r="X46" i="117"/>
  <c r="AL76" i="119"/>
  <c r="AM76" i="119" s="1"/>
  <c r="Y23" i="119"/>
  <c r="AL79" i="119"/>
  <c r="AM79" i="119" s="1"/>
  <c r="W40" i="119" s="1"/>
  <c r="Y26" i="119"/>
  <c r="AK30" i="119"/>
  <c r="AE33" i="119" s="1"/>
  <c r="AG33" i="119" s="1"/>
  <c r="AA25" i="119"/>
  <c r="AN78" i="119" s="1"/>
  <c r="AO78" i="119" s="1"/>
  <c r="AK27" i="119"/>
  <c r="AG28" i="119" s="1"/>
  <c r="X46" i="119"/>
  <c r="R30" i="119"/>
  <c r="R31" i="119" s="1"/>
  <c r="AK91" i="119" s="1"/>
  <c r="S30" i="119"/>
  <c r="S31" i="119" s="1"/>
  <c r="AL91" i="119" s="1"/>
  <c r="Q30" i="119"/>
  <c r="Q31" i="119" s="1"/>
  <c r="AJ91" i="119" s="1"/>
  <c r="H37" i="119"/>
  <c r="E37" i="119"/>
  <c r="Y24" i="119"/>
  <c r="AL77" i="119"/>
  <c r="AM77" i="119" s="1"/>
  <c r="Y28" i="119"/>
  <c r="AL80" i="119"/>
  <c r="AM80" i="119" s="1"/>
  <c r="AL82" i="119"/>
  <c r="AM82" i="119" s="1"/>
  <c r="Y31" i="119"/>
  <c r="AL83" i="119"/>
  <c r="AM83" i="119" s="1"/>
  <c r="W41" i="119" s="1"/>
  <c r="Y33" i="119"/>
  <c r="AG24" i="119"/>
  <c r="AP77" i="119"/>
  <c r="AQ77" i="119" s="1"/>
  <c r="AC28" i="119"/>
  <c r="AN80" i="119"/>
  <c r="AO80" i="119" s="1"/>
  <c r="AC31" i="119"/>
  <c r="AN82" i="119"/>
  <c r="AO82" i="119" s="1"/>
  <c r="AC33" i="119"/>
  <c r="AN83" i="119"/>
  <c r="AO83" i="119" s="1"/>
  <c r="AA41" i="119" s="1"/>
  <c r="AP81" i="119"/>
  <c r="AQ81" i="119" s="1"/>
  <c r="AG30" i="119"/>
  <c r="AP83" i="119"/>
  <c r="AQ83" i="119" s="1"/>
  <c r="AD41" i="119" s="1"/>
  <c r="AN85" i="119"/>
  <c r="AO85" i="119" s="1"/>
  <c r="AC35" i="119"/>
  <c r="AN76" i="119"/>
  <c r="AO76" i="119" s="1"/>
  <c r="AC23" i="119"/>
  <c r="AL78" i="119"/>
  <c r="AM78" i="119" s="1"/>
  <c r="Y25" i="119"/>
  <c r="AC26" i="119"/>
  <c r="AN79" i="119"/>
  <c r="AO79" i="119" s="1"/>
  <c r="AA40" i="119" s="1"/>
  <c r="AA42" i="119" s="1"/>
  <c r="AC34" i="119"/>
  <c r="AN84" i="119"/>
  <c r="AO84" i="119" s="1"/>
  <c r="AN86" i="119"/>
  <c r="AO86" i="119" s="1"/>
  <c r="AC37" i="119"/>
  <c r="Y22" i="119"/>
  <c r="AK23" i="119"/>
  <c r="AK26" i="119"/>
  <c r="M30" i="119"/>
  <c r="AC30" i="119"/>
  <c r="AK31" i="119"/>
  <c r="AE34" i="119" s="1"/>
  <c r="AK32" i="119"/>
  <c r="AK33" i="119"/>
  <c r="Y34" i="119"/>
  <c r="M39" i="119"/>
  <c r="X45" i="119" s="1"/>
  <c r="M40" i="119"/>
  <c r="AB51" i="119"/>
  <c r="E83" i="119"/>
  <c r="AL86" i="119"/>
  <c r="AM86" i="119" s="1"/>
  <c r="AL90" i="119"/>
  <c r="S92" i="119"/>
  <c r="AB52" i="119"/>
  <c r="AG25" i="119"/>
  <c r="AK29" i="119"/>
  <c r="AE31" i="119" s="1"/>
  <c r="Y30" i="119"/>
  <c r="M37" i="118"/>
  <c r="M40" i="118" s="1"/>
  <c r="AL85" i="118"/>
  <c r="AM85" i="118" s="1"/>
  <c r="Y35" i="118"/>
  <c r="AL84" i="118"/>
  <c r="AM84" i="118" s="1"/>
  <c r="Y34" i="118"/>
  <c r="AJ94" i="118"/>
  <c r="AK31" i="118"/>
  <c r="AE34" i="118" s="1"/>
  <c r="AP84" i="118" s="1"/>
  <c r="AQ84" i="118" s="1"/>
  <c r="AK32" i="118"/>
  <c r="AG35" i="118" s="1"/>
  <c r="AK33" i="118"/>
  <c r="AG37" i="118" s="1"/>
  <c r="AK23" i="118"/>
  <c r="AG23" i="118" s="1"/>
  <c r="AC26" i="117"/>
  <c r="AN79" i="117"/>
  <c r="AO79" i="117" s="1"/>
  <c r="AA40" i="117" s="1"/>
  <c r="AL85" i="117"/>
  <c r="AM85" i="117" s="1"/>
  <c r="Y35" i="117"/>
  <c r="AL84" i="117"/>
  <c r="AM84" i="117" s="1"/>
  <c r="Y34" i="117"/>
  <c r="Y37" i="117"/>
  <c r="AL86" i="117"/>
  <c r="AM86" i="117" s="1"/>
  <c r="AK31" i="117"/>
  <c r="AE34" i="117" s="1"/>
  <c r="AP84" i="117" s="1"/>
  <c r="AQ84" i="117" s="1"/>
  <c r="AK26" i="117"/>
  <c r="AE26" i="117" s="1"/>
  <c r="AP79" i="117" s="1"/>
  <c r="AQ79" i="117" s="1"/>
  <c r="AD40" i="117" s="1"/>
  <c r="AK33" i="117"/>
  <c r="AG37" i="117" s="1"/>
  <c r="R30" i="118"/>
  <c r="R31" i="118" s="1"/>
  <c r="AK91" i="118" s="1"/>
  <c r="S30" i="118"/>
  <c r="S31" i="118" s="1"/>
  <c r="AL91" i="118" s="1"/>
  <c r="Q30" i="118"/>
  <c r="Q31" i="118" s="1"/>
  <c r="AJ91" i="118" s="1"/>
  <c r="F37" i="118"/>
  <c r="E37" i="118"/>
  <c r="H36" i="118"/>
  <c r="H37" i="118" s="1"/>
  <c r="Y28" i="118"/>
  <c r="AL80" i="118"/>
  <c r="AM80" i="118" s="1"/>
  <c r="AC33" i="118"/>
  <c r="AN83" i="118"/>
  <c r="AO83" i="118" s="1"/>
  <c r="AA41" i="118" s="1"/>
  <c r="AL82" i="118"/>
  <c r="AM82" i="118" s="1"/>
  <c r="Y31" i="118"/>
  <c r="AN86" i="118"/>
  <c r="AO86" i="118" s="1"/>
  <c r="AC37" i="118"/>
  <c r="AN76" i="118"/>
  <c r="AO76" i="118" s="1"/>
  <c r="AC23" i="118"/>
  <c r="Y24" i="118"/>
  <c r="AL77" i="118"/>
  <c r="AM77" i="118" s="1"/>
  <c r="AC26" i="118"/>
  <c r="AN79" i="118"/>
  <c r="AO79" i="118" s="1"/>
  <c r="AA40" i="118" s="1"/>
  <c r="AL81" i="118"/>
  <c r="AM81" i="118" s="1"/>
  <c r="Y30" i="118"/>
  <c r="AC31" i="118"/>
  <c r="AN82" i="118"/>
  <c r="AO82" i="118" s="1"/>
  <c r="AN78" i="118"/>
  <c r="AO78" i="118" s="1"/>
  <c r="AC25" i="118"/>
  <c r="AG24" i="118"/>
  <c r="AP77" i="118"/>
  <c r="AQ77" i="118" s="1"/>
  <c r="AN81" i="118"/>
  <c r="AO81" i="118" s="1"/>
  <c r="AC30" i="118"/>
  <c r="AP85" i="118"/>
  <c r="AQ85" i="118" s="1"/>
  <c r="AB51" i="118"/>
  <c r="AN80" i="118"/>
  <c r="AO80" i="118" s="1"/>
  <c r="E83" i="118"/>
  <c r="AL86" i="118"/>
  <c r="AM86" i="118" s="1"/>
  <c r="AL90" i="118"/>
  <c r="AB52" i="118"/>
  <c r="AL76" i="118"/>
  <c r="AM76" i="118" s="1"/>
  <c r="AP76" i="118"/>
  <c r="AQ76" i="118" s="1"/>
  <c r="AN84" i="118"/>
  <c r="AO84" i="118" s="1"/>
  <c r="AC24" i="118"/>
  <c r="AK25" i="118"/>
  <c r="AE25" i="118" s="1"/>
  <c r="Y26" i="118"/>
  <c r="AG26" i="118"/>
  <c r="AK30" i="118"/>
  <c r="AE33" i="118" s="1"/>
  <c r="Y33" i="118"/>
  <c r="Y25" i="118"/>
  <c r="AK28" i="118"/>
  <c r="AE30" i="118" s="1"/>
  <c r="AK29" i="118"/>
  <c r="AE31" i="118" s="1"/>
  <c r="AC35" i="118"/>
  <c r="M37" i="117"/>
  <c r="M40" i="117" s="1"/>
  <c r="E83" i="117"/>
  <c r="M39" i="117"/>
  <c r="R30" i="117"/>
  <c r="R31" i="117" s="1"/>
  <c r="AK91" i="117" s="1"/>
  <c r="Q30" i="117"/>
  <c r="Q31" i="117" s="1"/>
  <c r="AJ91" i="117" s="1"/>
  <c r="E37" i="117"/>
  <c r="H37" i="117"/>
  <c r="AP76" i="117"/>
  <c r="AQ76" i="117" s="1"/>
  <c r="AG23" i="117"/>
  <c r="AG26" i="117"/>
  <c r="Y26" i="117"/>
  <c r="AL79" i="117"/>
  <c r="AM79" i="117" s="1"/>
  <c r="W40" i="117" s="1"/>
  <c r="AP80" i="117"/>
  <c r="AQ80" i="117" s="1"/>
  <c r="AL81" i="117"/>
  <c r="AM81" i="117" s="1"/>
  <c r="Y30" i="117"/>
  <c r="AC31" i="117"/>
  <c r="AN82" i="117"/>
  <c r="AO82" i="117" s="1"/>
  <c r="AL82" i="117"/>
  <c r="AM82" i="117" s="1"/>
  <c r="Y31" i="117"/>
  <c r="AL83" i="117"/>
  <c r="AM83" i="117" s="1"/>
  <c r="W41" i="117" s="1"/>
  <c r="Y33" i="117"/>
  <c r="AP86" i="117"/>
  <c r="AQ86" i="117" s="1"/>
  <c r="AG35" i="117"/>
  <c r="AN77" i="117"/>
  <c r="AO77" i="117" s="1"/>
  <c r="AC24" i="117"/>
  <c r="AK25" i="117"/>
  <c r="S30" i="117"/>
  <c r="S31" i="117" s="1"/>
  <c r="AL91" i="117" s="1"/>
  <c r="AC30" i="117"/>
  <c r="Y24" i="117"/>
  <c r="AL77" i="117"/>
  <c r="AM77" i="117" s="1"/>
  <c r="Y28" i="117"/>
  <c r="AL80" i="117"/>
  <c r="AM80" i="117" s="1"/>
  <c r="AK90" i="117"/>
  <c r="AB52" i="117"/>
  <c r="AL76" i="117"/>
  <c r="AM76" i="117" s="1"/>
  <c r="Y23" i="117"/>
  <c r="AG24" i="117"/>
  <c r="AP77" i="117"/>
  <c r="AQ77" i="117" s="1"/>
  <c r="AN80" i="117"/>
  <c r="AO80" i="117" s="1"/>
  <c r="AC28" i="117"/>
  <c r="AK30" i="117"/>
  <c r="AE33" i="117" s="1"/>
  <c r="AN86" i="117"/>
  <c r="AO86" i="117" s="1"/>
  <c r="AC37" i="117"/>
  <c r="Y25" i="117"/>
  <c r="AK28" i="117"/>
  <c r="AE30" i="117" s="1"/>
  <c r="AK29" i="117"/>
  <c r="AE31" i="117" s="1"/>
  <c r="AC34" i="117"/>
  <c r="AB53" i="117"/>
  <c r="AC23" i="117"/>
  <c r="M39" i="113"/>
  <c r="M30" i="113"/>
  <c r="AC23" i="113"/>
  <c r="AC24" i="113"/>
  <c r="AC25" i="113"/>
  <c r="AC35" i="113"/>
  <c r="Y33" i="113"/>
  <c r="AE26" i="113"/>
  <c r="AP79" i="113" s="1"/>
  <c r="AQ79" i="113" s="1"/>
  <c r="AD40" i="113" s="1"/>
  <c r="AG24" i="113"/>
  <c r="AJ94" i="113"/>
  <c r="S30" i="113"/>
  <c r="S31" i="113" s="1"/>
  <c r="AL91" i="113" s="1"/>
  <c r="R30" i="113"/>
  <c r="R31" i="113" s="1"/>
  <c r="AK91" i="113" s="1"/>
  <c r="Q30" i="113"/>
  <c r="Q31" i="113" s="1"/>
  <c r="AJ91" i="113" s="1"/>
  <c r="E37" i="113"/>
  <c r="AL81" i="113"/>
  <c r="AM81" i="113" s="1"/>
  <c r="Y30" i="113"/>
  <c r="AP82" i="113"/>
  <c r="AQ82" i="113" s="1"/>
  <c r="AG31" i="113"/>
  <c r="Y37" i="113"/>
  <c r="AL86" i="113"/>
  <c r="AM86" i="113" s="1"/>
  <c r="AG23" i="113"/>
  <c r="AP76" i="113"/>
  <c r="AQ76" i="113" s="1"/>
  <c r="Y28" i="113"/>
  <c r="AL80" i="113"/>
  <c r="AM80" i="113" s="1"/>
  <c r="AP83" i="113"/>
  <c r="AQ83" i="113" s="1"/>
  <c r="AD41" i="113" s="1"/>
  <c r="AG33" i="113"/>
  <c r="AP84" i="113"/>
  <c r="AQ84" i="113" s="1"/>
  <c r="AG34" i="113"/>
  <c r="H24" i="113"/>
  <c r="G36" i="113"/>
  <c r="G37" i="113" s="1"/>
  <c r="Y25" i="113"/>
  <c r="AL78" i="113"/>
  <c r="AM78" i="113" s="1"/>
  <c r="AG28" i="113"/>
  <c r="AP80" i="113"/>
  <c r="AQ80" i="113" s="1"/>
  <c r="Y23" i="113"/>
  <c r="AL76" i="113"/>
  <c r="AM76" i="113" s="1"/>
  <c r="H36" i="113"/>
  <c r="H37" i="113" s="1"/>
  <c r="AP78" i="113"/>
  <c r="AQ78" i="113" s="1"/>
  <c r="AG25" i="113"/>
  <c r="AC30" i="113"/>
  <c r="AN81" i="113"/>
  <c r="AO81" i="113" s="1"/>
  <c r="AG37" i="113"/>
  <c r="AP86" i="113"/>
  <c r="AQ86" i="113" s="1"/>
  <c r="AB51" i="113"/>
  <c r="AN79" i="113"/>
  <c r="AO79" i="113" s="1"/>
  <c r="AA40" i="113" s="1"/>
  <c r="AN80" i="113"/>
  <c r="AO80" i="113" s="1"/>
  <c r="E83" i="113"/>
  <c r="AL90" i="113"/>
  <c r="AB52" i="113"/>
  <c r="AL75" i="113"/>
  <c r="AM75" i="113" s="1"/>
  <c r="AL77" i="113"/>
  <c r="AM77" i="113" s="1"/>
  <c r="F36" i="113"/>
  <c r="F37" i="113" s="1"/>
  <c r="Y26" i="113"/>
  <c r="AI22" i="103"/>
  <c r="AI26" i="103"/>
  <c r="AI30" i="103"/>
  <c r="AJ86" i="112"/>
  <c r="AK86" i="112" s="1"/>
  <c r="AJ85" i="112"/>
  <c r="AK85" i="112" s="1"/>
  <c r="L85" i="112"/>
  <c r="AJ84" i="112"/>
  <c r="AK84" i="112" s="1"/>
  <c r="AJ83" i="112"/>
  <c r="AK83" i="112" s="1"/>
  <c r="AJ82" i="112"/>
  <c r="AK82" i="112" s="1"/>
  <c r="AJ81" i="112"/>
  <c r="AK81" i="112" s="1"/>
  <c r="AJ80" i="112"/>
  <c r="AK80" i="112" s="1"/>
  <c r="AJ79" i="112"/>
  <c r="AK79" i="112" s="1"/>
  <c r="AJ78" i="112"/>
  <c r="AK78" i="112" s="1"/>
  <c r="D78" i="112"/>
  <c r="AJ77" i="112"/>
  <c r="AK77" i="112" s="1"/>
  <c r="AJ76" i="112"/>
  <c r="AK76" i="112" s="1"/>
  <c r="AJ75" i="112"/>
  <c r="AK75" i="112" s="1"/>
  <c r="AH47" i="112"/>
  <c r="AH48" i="112" s="1"/>
  <c r="AG47" i="112"/>
  <c r="AG48" i="112" s="1"/>
  <c r="AF47" i="112"/>
  <c r="AF48" i="112" s="1"/>
  <c r="X47" i="112"/>
  <c r="S47" i="112"/>
  <c r="R47" i="112"/>
  <c r="Q47" i="112"/>
  <c r="S92" i="112"/>
  <c r="M41" i="112"/>
  <c r="M43" i="112" s="1"/>
  <c r="S40" i="112"/>
  <c r="R40" i="112"/>
  <c r="Q40" i="112"/>
  <c r="AD39" i="112"/>
  <c r="AA39" i="112"/>
  <c r="W39" i="112"/>
  <c r="AS37" i="112"/>
  <c r="V37" i="112"/>
  <c r="AS36" i="112"/>
  <c r="AS35" i="112"/>
  <c r="V35" i="112"/>
  <c r="AS34" i="112"/>
  <c r="V34" i="112"/>
  <c r="H34" i="112"/>
  <c r="J84" i="112" s="1"/>
  <c r="J83" i="112" s="1"/>
  <c r="G34" i="112"/>
  <c r="I84" i="112" s="1"/>
  <c r="I83" i="112" s="1"/>
  <c r="F34" i="112"/>
  <c r="H84" i="112" s="1"/>
  <c r="H83" i="112" s="1"/>
  <c r="E34" i="112"/>
  <c r="G84" i="112" s="1"/>
  <c r="G83" i="112" s="1"/>
  <c r="AS33" i="112"/>
  <c r="AJ33" i="112"/>
  <c r="AI33" i="112"/>
  <c r="W37" i="112" s="1"/>
  <c r="V33" i="112"/>
  <c r="M33" i="112"/>
  <c r="AS32" i="112"/>
  <c r="AJ32" i="112"/>
  <c r="AN85" i="112" s="1"/>
  <c r="AO85" i="112" s="1"/>
  <c r="AI32" i="112"/>
  <c r="AS31" i="112"/>
  <c r="AJ31" i="112"/>
  <c r="AC34" i="112" s="1"/>
  <c r="AI31" i="112"/>
  <c r="V31" i="112"/>
  <c r="M31" i="112"/>
  <c r="AS30" i="112"/>
  <c r="AJ30" i="112"/>
  <c r="AI30" i="112"/>
  <c r="AL83" i="112" s="1"/>
  <c r="AM83" i="112" s="1"/>
  <c r="W41" i="112" s="1"/>
  <c r="V30" i="112"/>
  <c r="AS29" i="112"/>
  <c r="AJ29" i="112"/>
  <c r="AA31" i="112" s="1"/>
  <c r="AI29" i="112"/>
  <c r="AS28" i="112"/>
  <c r="AJ28" i="112"/>
  <c r="AA30" i="112" s="1"/>
  <c r="AI28" i="112"/>
  <c r="W30" i="112" s="1"/>
  <c r="V28" i="112"/>
  <c r="S28" i="112"/>
  <c r="R28" i="112"/>
  <c r="Q28" i="112"/>
  <c r="M28" i="112"/>
  <c r="AS27" i="112"/>
  <c r="AJ27" i="112"/>
  <c r="AK27" i="112" s="1"/>
  <c r="AE28" i="112" s="1"/>
  <c r="AI27" i="112"/>
  <c r="W28" i="112" s="1"/>
  <c r="S27" i="112"/>
  <c r="R27" i="112"/>
  <c r="Q27" i="112"/>
  <c r="AS26" i="112"/>
  <c r="AJ26" i="112"/>
  <c r="AA26" i="112" s="1"/>
  <c r="AI26" i="112"/>
  <c r="W26" i="112" s="1"/>
  <c r="AL79" i="112" s="1"/>
  <c r="AM79" i="112" s="1"/>
  <c r="W40" i="112" s="1"/>
  <c r="V26" i="112"/>
  <c r="AS25" i="112"/>
  <c r="AJ25" i="112"/>
  <c r="AI25" i="112"/>
  <c r="W25" i="112" s="1"/>
  <c r="AL78" i="112" s="1"/>
  <c r="AM78" i="112" s="1"/>
  <c r="V25" i="112"/>
  <c r="H25" i="112"/>
  <c r="G25" i="112"/>
  <c r="F25" i="112"/>
  <c r="E25" i="112"/>
  <c r="E36" i="112" s="1"/>
  <c r="AS24" i="112"/>
  <c r="AJ24" i="112"/>
  <c r="AK24" i="112" s="1"/>
  <c r="AE24" i="112" s="1"/>
  <c r="AI24" i="112"/>
  <c r="W24" i="112" s="1"/>
  <c r="V24" i="112"/>
  <c r="F24" i="112"/>
  <c r="G24" i="112" s="1"/>
  <c r="H24" i="112" s="1"/>
  <c r="AS23" i="112"/>
  <c r="AJ23" i="112"/>
  <c r="AK23" i="112" s="1"/>
  <c r="AE23" i="112" s="1"/>
  <c r="AP76" i="112" s="1"/>
  <c r="AQ76" i="112" s="1"/>
  <c r="AI23" i="112"/>
  <c r="W23" i="112" s="1"/>
  <c r="AL76" i="112" s="1"/>
  <c r="AM76" i="112" s="1"/>
  <c r="V23" i="112"/>
  <c r="AS22" i="112"/>
  <c r="AJ22" i="112"/>
  <c r="AI22" i="112"/>
  <c r="W22" i="112"/>
  <c r="Y22" i="112" s="1"/>
  <c r="V22" i="112"/>
  <c r="M20" i="112"/>
  <c r="F20" i="112"/>
  <c r="G20" i="112" s="1"/>
  <c r="H20" i="112" s="1"/>
  <c r="AE19" i="112"/>
  <c r="AB53" i="112" s="1"/>
  <c r="AA19" i="112"/>
  <c r="AK90" i="112" s="1"/>
  <c r="W19" i="112"/>
  <c r="AJ90" i="112" s="1"/>
  <c r="Q13" i="112"/>
  <c r="AF12" i="112"/>
  <c r="AC12" i="112"/>
  <c r="V12" i="112"/>
  <c r="R12" i="112"/>
  <c r="W10" i="112"/>
  <c r="Q10" i="112"/>
  <c r="O10" i="112"/>
  <c r="K10" i="112"/>
  <c r="AB10" i="112" s="1"/>
  <c r="W9" i="112"/>
  <c r="Q9" i="112"/>
  <c r="O9" i="112"/>
  <c r="AV8" i="112"/>
  <c r="AB8" i="112"/>
  <c r="W8" i="112"/>
  <c r="Q8" i="112"/>
  <c r="O8" i="112"/>
  <c r="AB7" i="112"/>
  <c r="W7" i="112"/>
  <c r="Q7" i="112"/>
  <c r="O7" i="112"/>
  <c r="AB6" i="112"/>
  <c r="W6" i="112"/>
  <c r="Q6" i="112"/>
  <c r="O6" i="112"/>
  <c r="R1" i="112"/>
  <c r="AK86" i="111"/>
  <c r="AJ86" i="111"/>
  <c r="AJ85" i="111"/>
  <c r="AK85" i="111" s="1"/>
  <c r="L85" i="111"/>
  <c r="AJ84" i="111"/>
  <c r="AK84" i="111" s="1"/>
  <c r="AJ83" i="111"/>
  <c r="AK83" i="111" s="1"/>
  <c r="AJ82" i="111"/>
  <c r="AK82" i="111" s="1"/>
  <c r="AJ81" i="111"/>
  <c r="AK81" i="111" s="1"/>
  <c r="AJ80" i="111"/>
  <c r="AK80" i="111" s="1"/>
  <c r="AJ79" i="111"/>
  <c r="AK79" i="111" s="1"/>
  <c r="AJ78" i="111"/>
  <c r="AK78" i="111" s="1"/>
  <c r="D78" i="111"/>
  <c r="AJ77" i="111"/>
  <c r="AK77" i="111" s="1"/>
  <c r="AJ76" i="111"/>
  <c r="AK76" i="111" s="1"/>
  <c r="AJ75" i="111"/>
  <c r="AK75" i="111" s="1"/>
  <c r="AH47" i="111"/>
  <c r="AH48" i="111" s="1"/>
  <c r="AG47" i="111"/>
  <c r="AG48" i="111" s="1"/>
  <c r="AF47" i="111"/>
  <c r="AF48" i="111" s="1"/>
  <c r="X47" i="111"/>
  <c r="S47" i="111"/>
  <c r="R47" i="111"/>
  <c r="Q47" i="111"/>
  <c r="M42" i="111"/>
  <c r="S92" i="111" s="1"/>
  <c r="S40" i="111"/>
  <c r="R40" i="111"/>
  <c r="Q40" i="111"/>
  <c r="AD39" i="111"/>
  <c r="AA39" i="111"/>
  <c r="W39" i="111"/>
  <c r="AS37" i="111"/>
  <c r="V37" i="111"/>
  <c r="AS36" i="111"/>
  <c r="AS35" i="111"/>
  <c r="V35" i="111"/>
  <c r="AS34" i="111"/>
  <c r="V34" i="111"/>
  <c r="H34" i="111"/>
  <c r="J84" i="111" s="1"/>
  <c r="J83" i="111" s="1"/>
  <c r="G34" i="111"/>
  <c r="I84" i="111" s="1"/>
  <c r="I83" i="111" s="1"/>
  <c r="F34" i="111"/>
  <c r="H84" i="111" s="1"/>
  <c r="H83" i="111" s="1"/>
  <c r="E34" i="111"/>
  <c r="G84" i="111" s="1"/>
  <c r="G83" i="111" s="1"/>
  <c r="AS33" i="111"/>
  <c r="AJ33" i="111"/>
  <c r="AA37" i="111" s="1"/>
  <c r="AI33" i="111"/>
  <c r="W37" i="111" s="1"/>
  <c r="Y37" i="111" s="1"/>
  <c r="V33" i="111"/>
  <c r="M33" i="111"/>
  <c r="AS32" i="111"/>
  <c r="AJ32" i="111"/>
  <c r="AK32" i="111" s="1"/>
  <c r="AE35" i="111" s="1"/>
  <c r="AI32" i="111"/>
  <c r="W35" i="111" s="1"/>
  <c r="AS31" i="111"/>
  <c r="AJ31" i="111"/>
  <c r="AA34" i="111" s="1"/>
  <c r="AC34" i="111" s="1"/>
  <c r="AI31" i="111"/>
  <c r="W34" i="111" s="1"/>
  <c r="V31" i="111"/>
  <c r="M31" i="111"/>
  <c r="AS30" i="111"/>
  <c r="AJ30" i="111"/>
  <c r="AA33" i="111" s="1"/>
  <c r="AI30" i="111"/>
  <c r="W33" i="111" s="1"/>
  <c r="AL83" i="111" s="1"/>
  <c r="AM83" i="111" s="1"/>
  <c r="W41" i="111" s="1"/>
  <c r="V30" i="111"/>
  <c r="AS29" i="111"/>
  <c r="AJ29" i="111"/>
  <c r="AA31" i="111" s="1"/>
  <c r="AI29" i="111"/>
  <c r="W31" i="111" s="1"/>
  <c r="AS28" i="111"/>
  <c r="AJ28" i="111"/>
  <c r="AA30" i="111" s="1"/>
  <c r="AI28" i="111"/>
  <c r="W30" i="111" s="1"/>
  <c r="V28" i="111"/>
  <c r="S28" i="111"/>
  <c r="R28" i="111"/>
  <c r="Q28" i="111"/>
  <c r="M28" i="111"/>
  <c r="AS27" i="111"/>
  <c r="AJ27" i="111"/>
  <c r="AA28" i="111" s="1"/>
  <c r="AC28" i="111" s="1"/>
  <c r="AI27" i="111"/>
  <c r="W28" i="111" s="1"/>
  <c r="S27" i="111"/>
  <c r="R27" i="111"/>
  <c r="Q27" i="111"/>
  <c r="AS26" i="111"/>
  <c r="AJ26" i="111"/>
  <c r="AK26" i="111" s="1"/>
  <c r="AE26" i="111" s="1"/>
  <c r="AP79" i="111" s="1"/>
  <c r="AQ79" i="111" s="1"/>
  <c r="AD40" i="111" s="1"/>
  <c r="AI26" i="111"/>
  <c r="W26" i="111"/>
  <c r="AL79" i="111" s="1"/>
  <c r="AM79" i="111" s="1"/>
  <c r="W40" i="111" s="1"/>
  <c r="V26" i="111"/>
  <c r="AS25" i="111"/>
  <c r="AJ25" i="111"/>
  <c r="AA25" i="111" s="1"/>
  <c r="AI25" i="111"/>
  <c r="W25" i="111" s="1"/>
  <c r="AL78" i="111" s="1"/>
  <c r="AM78" i="111" s="1"/>
  <c r="V25" i="111"/>
  <c r="H25" i="111"/>
  <c r="G25" i="111"/>
  <c r="F25" i="111"/>
  <c r="E25" i="111"/>
  <c r="E36" i="111" s="1"/>
  <c r="AS24" i="111"/>
  <c r="AJ24" i="111"/>
  <c r="AK24" i="111" s="1"/>
  <c r="AE24" i="111" s="1"/>
  <c r="AI24" i="111"/>
  <c r="W24" i="111" s="1"/>
  <c r="V24" i="111"/>
  <c r="F24" i="111"/>
  <c r="G24" i="111" s="1"/>
  <c r="AS23" i="111"/>
  <c r="AJ23" i="111"/>
  <c r="AK23" i="111" s="1"/>
  <c r="AE23" i="111" s="1"/>
  <c r="AP76" i="111" s="1"/>
  <c r="AQ76" i="111" s="1"/>
  <c r="AI23" i="111"/>
  <c r="W23" i="111" s="1"/>
  <c r="AL76" i="111" s="1"/>
  <c r="AM76" i="111" s="1"/>
  <c r="V23" i="111"/>
  <c r="AS22" i="111"/>
  <c r="AJ22" i="111"/>
  <c r="AA22" i="111" s="1"/>
  <c r="AI22" i="111"/>
  <c r="W22" i="111"/>
  <c r="Y22" i="111" s="1"/>
  <c r="V22" i="111"/>
  <c r="M20" i="111"/>
  <c r="F20" i="111"/>
  <c r="G20" i="111" s="1"/>
  <c r="H20" i="111" s="1"/>
  <c r="AE19" i="111"/>
  <c r="AB53" i="111" s="1"/>
  <c r="AA19" i="111"/>
  <c r="AK90" i="111" s="1"/>
  <c r="W19" i="111"/>
  <c r="AJ90" i="111" s="1"/>
  <c r="Q13" i="111"/>
  <c r="AF12" i="111"/>
  <c r="AC12" i="111"/>
  <c r="V12" i="111"/>
  <c r="R12" i="111"/>
  <c r="W10" i="111"/>
  <c r="Q10" i="111"/>
  <c r="O10" i="111"/>
  <c r="K10" i="111"/>
  <c r="AB10" i="111" s="1"/>
  <c r="W9" i="111"/>
  <c r="Q9" i="111"/>
  <c r="O9" i="111"/>
  <c r="AV8" i="111"/>
  <c r="AB8" i="111"/>
  <c r="W8" i="111"/>
  <c r="Q8" i="111"/>
  <c r="O8" i="111"/>
  <c r="AB7" i="111"/>
  <c r="W7" i="111"/>
  <c r="Q7" i="111"/>
  <c r="O7" i="111"/>
  <c r="AB6" i="111"/>
  <c r="W6" i="111"/>
  <c r="Q6" i="111"/>
  <c r="O6" i="111"/>
  <c r="R1" i="111"/>
  <c r="AJ23" i="105"/>
  <c r="AJ24" i="105"/>
  <c r="AK24" i="105" s="1"/>
  <c r="AJ25" i="105"/>
  <c r="AJ26" i="105"/>
  <c r="AA26" i="105" s="1"/>
  <c r="AJ27" i="105"/>
  <c r="AJ28" i="105"/>
  <c r="AJ29" i="105"/>
  <c r="AK29" i="105" s="1"/>
  <c r="AE31" i="105" s="1"/>
  <c r="AJ30" i="105"/>
  <c r="AK30" i="105" s="1"/>
  <c r="AE33" i="105" s="1"/>
  <c r="AJ31" i="105"/>
  <c r="AJ32" i="105"/>
  <c r="AK32" i="105" s="1"/>
  <c r="AE35" i="105" s="1"/>
  <c r="AP85" i="105" s="1"/>
  <c r="AQ85" i="105" s="1"/>
  <c r="AJ33" i="105"/>
  <c r="AK33" i="105" s="1"/>
  <c r="AJ86" i="110"/>
  <c r="AK86" i="110" s="1"/>
  <c r="AJ85" i="110"/>
  <c r="AK85" i="110" s="1"/>
  <c r="L85" i="110"/>
  <c r="AJ84" i="110"/>
  <c r="AK84" i="110" s="1"/>
  <c r="AJ83" i="110"/>
  <c r="AK83" i="110" s="1"/>
  <c r="AJ82" i="110"/>
  <c r="AK82" i="110" s="1"/>
  <c r="AJ81" i="110"/>
  <c r="AK81" i="110" s="1"/>
  <c r="AJ80" i="110"/>
  <c r="AK80" i="110" s="1"/>
  <c r="AJ79" i="110"/>
  <c r="AK79" i="110" s="1"/>
  <c r="AJ78" i="110"/>
  <c r="AK78" i="110" s="1"/>
  <c r="D78" i="110"/>
  <c r="AK77" i="110"/>
  <c r="AJ77" i="110"/>
  <c r="AJ76" i="110"/>
  <c r="AK76" i="110" s="1"/>
  <c r="AJ75" i="110"/>
  <c r="AK75" i="110" s="1"/>
  <c r="AH47" i="110"/>
  <c r="AH48" i="110" s="1"/>
  <c r="AG47" i="110"/>
  <c r="AG48" i="110" s="1"/>
  <c r="AF47" i="110"/>
  <c r="AF48" i="110" s="1"/>
  <c r="X47" i="110"/>
  <c r="S47" i="110"/>
  <c r="R47" i="110"/>
  <c r="Q47" i="110"/>
  <c r="M42" i="110"/>
  <c r="S92" i="110" s="1"/>
  <c r="M41" i="110"/>
  <c r="M43" i="110" s="1"/>
  <c r="S40" i="110"/>
  <c r="R40" i="110"/>
  <c r="AD39" i="110"/>
  <c r="AA39" i="110"/>
  <c r="W39" i="110"/>
  <c r="AS37" i="110"/>
  <c r="V37" i="110"/>
  <c r="AS36" i="110"/>
  <c r="AS35" i="110"/>
  <c r="AN85" i="110"/>
  <c r="AO85" i="110" s="1"/>
  <c r="V35" i="110"/>
  <c r="AS34" i="110"/>
  <c r="V34" i="110"/>
  <c r="H34" i="110"/>
  <c r="J84" i="110" s="1"/>
  <c r="J83" i="110" s="1"/>
  <c r="G34" i="110"/>
  <c r="I84" i="110" s="1"/>
  <c r="I83" i="110" s="1"/>
  <c r="F34" i="110"/>
  <c r="H84" i="110" s="1"/>
  <c r="H83" i="110" s="1"/>
  <c r="E34" i="110"/>
  <c r="G84" i="110" s="1"/>
  <c r="G83" i="110" s="1"/>
  <c r="AS33" i="110"/>
  <c r="AJ33" i="110"/>
  <c r="AA37" i="110" s="1"/>
  <c r="AN86" i="110" s="1"/>
  <c r="AO86" i="110" s="1"/>
  <c r="AI33" i="110"/>
  <c r="W37" i="110" s="1"/>
  <c r="Y37" i="110" s="1"/>
  <c r="V33" i="110"/>
  <c r="M33" i="110"/>
  <c r="AS32" i="110"/>
  <c r="AJ32" i="110"/>
  <c r="AK32" i="110" s="1"/>
  <c r="AE35" i="110" s="1"/>
  <c r="AP85" i="110" s="1"/>
  <c r="AQ85" i="110" s="1"/>
  <c r="AI32" i="110"/>
  <c r="W35" i="110" s="1"/>
  <c r="AS31" i="110"/>
  <c r="AJ31" i="110"/>
  <c r="AC34" i="110" s="1"/>
  <c r="AI31" i="110"/>
  <c r="W34" i="110" s="1"/>
  <c r="V31" i="110"/>
  <c r="M31" i="110"/>
  <c r="AS30" i="110"/>
  <c r="AJ30" i="110"/>
  <c r="AI30" i="110"/>
  <c r="W33" i="110" s="1"/>
  <c r="V30" i="110"/>
  <c r="AS29" i="110"/>
  <c r="AJ29" i="110"/>
  <c r="AI29" i="110"/>
  <c r="W31" i="110" s="1"/>
  <c r="AS28" i="110"/>
  <c r="AJ28" i="110"/>
  <c r="AN81" i="110" s="1"/>
  <c r="AO81" i="110" s="1"/>
  <c r="AI28" i="110"/>
  <c r="W30" i="110" s="1"/>
  <c r="V28" i="110"/>
  <c r="S28" i="110"/>
  <c r="R28" i="110"/>
  <c r="M28" i="110"/>
  <c r="AS27" i="110"/>
  <c r="AJ27" i="110"/>
  <c r="AK27" i="110" s="1"/>
  <c r="AE28" i="110" s="1"/>
  <c r="AI27" i="110"/>
  <c r="W28" i="110" s="1"/>
  <c r="S27" i="110"/>
  <c r="R27" i="110"/>
  <c r="AS26" i="110"/>
  <c r="AJ26" i="110"/>
  <c r="AA26" i="110" s="1"/>
  <c r="AI26" i="110"/>
  <c r="W26" i="110" s="1"/>
  <c r="V26" i="110"/>
  <c r="AS25" i="110"/>
  <c r="AJ25" i="110"/>
  <c r="AI25" i="110"/>
  <c r="W25" i="110" s="1"/>
  <c r="AL78" i="110" s="1"/>
  <c r="AM78" i="110" s="1"/>
  <c r="V25" i="110"/>
  <c r="H25" i="110"/>
  <c r="G25" i="110"/>
  <c r="F25" i="110"/>
  <c r="E25" i="110"/>
  <c r="E36" i="110" s="1"/>
  <c r="AS24" i="110"/>
  <c r="AJ24" i="110"/>
  <c r="AK24" i="110" s="1"/>
  <c r="AI24" i="110"/>
  <c r="W24" i="110" s="1"/>
  <c r="V24" i="110"/>
  <c r="F24" i="110"/>
  <c r="G24" i="110" s="1"/>
  <c r="H24" i="110" s="1"/>
  <c r="AS23" i="110"/>
  <c r="AI23" i="110"/>
  <c r="W23" i="110" s="1"/>
  <c r="V23" i="110"/>
  <c r="AS22" i="110"/>
  <c r="AI22" i="110"/>
  <c r="W22" i="110"/>
  <c r="Y22" i="110" s="1"/>
  <c r="V22" i="110"/>
  <c r="M20" i="110"/>
  <c r="F20" i="110"/>
  <c r="G20" i="110" s="1"/>
  <c r="H20" i="110" s="1"/>
  <c r="AE19" i="110"/>
  <c r="AB53" i="110" s="1"/>
  <c r="AA19" i="110"/>
  <c r="AK90" i="110" s="1"/>
  <c r="W19" i="110"/>
  <c r="AJ90" i="110" s="1"/>
  <c r="Q13" i="110"/>
  <c r="AF12" i="110"/>
  <c r="AC12" i="110"/>
  <c r="V12" i="110"/>
  <c r="R12" i="110"/>
  <c r="W10" i="110"/>
  <c r="Q10" i="110"/>
  <c r="O10" i="110"/>
  <c r="K10" i="110"/>
  <c r="AB10" i="110" s="1"/>
  <c r="W9" i="110"/>
  <c r="Q9" i="110"/>
  <c r="O9" i="110"/>
  <c r="AV8" i="110"/>
  <c r="AB8" i="110"/>
  <c r="W8" i="110"/>
  <c r="Q8" i="110"/>
  <c r="O8" i="110"/>
  <c r="AB7" i="110"/>
  <c r="W7" i="110"/>
  <c r="Q7" i="110"/>
  <c r="O7" i="110"/>
  <c r="AB6" i="110"/>
  <c r="W6" i="110"/>
  <c r="Q6" i="110"/>
  <c r="O6" i="110"/>
  <c r="R1" i="110"/>
  <c r="AJ22" i="105"/>
  <c r="AK22" i="105" s="1"/>
  <c r="AK23" i="105"/>
  <c r="AK25" i="105"/>
  <c r="AE25" i="105" s="1"/>
  <c r="AP78" i="105" s="1"/>
  <c r="AQ78" i="105" s="1"/>
  <c r="AK27" i="105"/>
  <c r="AE28" i="105" s="1"/>
  <c r="AK28" i="105"/>
  <c r="AE30" i="105" s="1"/>
  <c r="AK31" i="105"/>
  <c r="AE34" i="105" s="1"/>
  <c r="AP84" i="105" s="1"/>
  <c r="AQ84" i="105" s="1"/>
  <c r="AL85" i="105"/>
  <c r="AM85" i="105" s="1"/>
  <c r="W31" i="105"/>
  <c r="Y31" i="105" s="1"/>
  <c r="W22" i="105"/>
  <c r="AN75" i="105"/>
  <c r="AO75" i="105" s="1"/>
  <c r="AI23" i="105"/>
  <c r="W23" i="105" s="1"/>
  <c r="Y23" i="105" s="1"/>
  <c r="AI24" i="105"/>
  <c r="W24" i="105" s="1"/>
  <c r="AI25" i="105"/>
  <c r="W25" i="105" s="1"/>
  <c r="AI26" i="105"/>
  <c r="W26" i="105" s="1"/>
  <c r="AI27" i="105"/>
  <c r="W28" i="105" s="1"/>
  <c r="AL80" i="105" s="1"/>
  <c r="AM80" i="105" s="1"/>
  <c r="AI28" i="105"/>
  <c r="W30" i="105" s="1"/>
  <c r="AL81" i="105" s="1"/>
  <c r="AM81" i="105" s="1"/>
  <c r="AI29" i="105"/>
  <c r="AI30" i="105"/>
  <c r="W33" i="105" s="1"/>
  <c r="AI31" i="105"/>
  <c r="AI32" i="105"/>
  <c r="AI33" i="105"/>
  <c r="W37" i="105" s="1"/>
  <c r="Y37" i="105" s="1"/>
  <c r="AI22" i="105"/>
  <c r="AA28" i="105"/>
  <c r="AC28" i="105" s="1"/>
  <c r="AL86" i="106"/>
  <c r="AM86" i="106" s="1"/>
  <c r="AJ86" i="106"/>
  <c r="AK86" i="106" s="1"/>
  <c r="AP85" i="106"/>
  <c r="AQ85" i="106" s="1"/>
  <c r="AL85" i="106"/>
  <c r="AM85" i="106" s="1"/>
  <c r="AJ85" i="106"/>
  <c r="AK85" i="106" s="1"/>
  <c r="L85" i="106"/>
  <c r="AP84" i="106"/>
  <c r="AQ84" i="106" s="1"/>
  <c r="AL84" i="106"/>
  <c r="AM84" i="106" s="1"/>
  <c r="AJ84" i="106"/>
  <c r="AK84" i="106" s="1"/>
  <c r="AL83" i="106"/>
  <c r="AM83" i="106" s="1"/>
  <c r="W41" i="106" s="1"/>
  <c r="AJ83" i="106"/>
  <c r="AK83" i="106" s="1"/>
  <c r="AL82" i="106"/>
  <c r="AM82" i="106" s="1"/>
  <c r="AJ82" i="106"/>
  <c r="AK82" i="106" s="1"/>
  <c r="AL81" i="106"/>
  <c r="AM81" i="106" s="1"/>
  <c r="AJ81" i="106"/>
  <c r="AK81" i="106" s="1"/>
  <c r="AL80" i="106"/>
  <c r="AM80" i="106" s="1"/>
  <c r="AJ80" i="106"/>
  <c r="AK80" i="106" s="1"/>
  <c r="AL79" i="106"/>
  <c r="AM79" i="106" s="1"/>
  <c r="W40" i="106" s="1"/>
  <c r="AJ79" i="106"/>
  <c r="AK79" i="106" s="1"/>
  <c r="AL78" i="106"/>
  <c r="AM78" i="106" s="1"/>
  <c r="AJ78" i="106"/>
  <c r="AK78" i="106" s="1"/>
  <c r="D78" i="106"/>
  <c r="AL77" i="106"/>
  <c r="AM77" i="106" s="1"/>
  <c r="AJ77" i="106"/>
  <c r="AK77" i="106" s="1"/>
  <c r="AP76" i="106"/>
  <c r="AQ76" i="106" s="1"/>
  <c r="AL76" i="106"/>
  <c r="AM76" i="106" s="1"/>
  <c r="AJ76" i="106"/>
  <c r="AK76" i="106" s="1"/>
  <c r="AP75" i="106"/>
  <c r="AQ75" i="106" s="1"/>
  <c r="AL75" i="106"/>
  <c r="AM75" i="106" s="1"/>
  <c r="AJ75" i="106"/>
  <c r="AK75" i="106" s="1"/>
  <c r="AH47" i="106"/>
  <c r="AH48" i="106" s="1"/>
  <c r="AG47" i="106"/>
  <c r="AG48" i="106" s="1"/>
  <c r="AF47" i="106"/>
  <c r="AF48" i="106" s="1"/>
  <c r="X47" i="106"/>
  <c r="S47" i="106"/>
  <c r="R47" i="106"/>
  <c r="Q47" i="106"/>
  <c r="M42" i="106"/>
  <c r="S92" i="106" s="1"/>
  <c r="M41" i="106"/>
  <c r="M43" i="106" s="1"/>
  <c r="S40" i="106"/>
  <c r="R40" i="106"/>
  <c r="Q40" i="106"/>
  <c r="AD39" i="106"/>
  <c r="AA39" i="106"/>
  <c r="W39" i="106"/>
  <c r="AS37" i="106"/>
  <c r="Y37" i="106"/>
  <c r="V37" i="106"/>
  <c r="AS36" i="106"/>
  <c r="AS35" i="106"/>
  <c r="AG35" i="106"/>
  <c r="Y35" i="106"/>
  <c r="V35" i="106"/>
  <c r="AS34" i="106"/>
  <c r="AG34" i="106"/>
  <c r="Y34" i="106"/>
  <c r="V34" i="106"/>
  <c r="H34" i="106"/>
  <c r="J84" i="106" s="1"/>
  <c r="J83" i="106" s="1"/>
  <c r="G34" i="106"/>
  <c r="I84" i="106" s="1"/>
  <c r="I83" i="106" s="1"/>
  <c r="F34" i="106"/>
  <c r="H84" i="106" s="1"/>
  <c r="H83" i="106" s="1"/>
  <c r="E34" i="106"/>
  <c r="G84" i="106" s="1"/>
  <c r="G83" i="106" s="1"/>
  <c r="AS33" i="106"/>
  <c r="AJ33" i="106"/>
  <c r="AA37" i="106" s="1"/>
  <c r="Y33" i="106"/>
  <c r="V33" i="106"/>
  <c r="M33" i="106"/>
  <c r="AS32" i="106"/>
  <c r="AJ32" i="106"/>
  <c r="AA35" i="106" s="1"/>
  <c r="AS31" i="106"/>
  <c r="AJ31" i="106"/>
  <c r="AK31" i="106" s="1"/>
  <c r="Y31" i="106"/>
  <c r="V31" i="106"/>
  <c r="M31" i="106"/>
  <c r="AS30" i="106"/>
  <c r="AJ30" i="106"/>
  <c r="AA33" i="106" s="1"/>
  <c r="Y30" i="106"/>
  <c r="V30" i="106"/>
  <c r="AS29" i="106"/>
  <c r="AJ29" i="106"/>
  <c r="AK29" i="106" s="1"/>
  <c r="AE31" i="106" s="1"/>
  <c r="AS28" i="106"/>
  <c r="AJ28" i="106"/>
  <c r="AA30" i="106" s="1"/>
  <c r="Y28" i="106"/>
  <c r="V28" i="106"/>
  <c r="S28" i="106"/>
  <c r="R28" i="106"/>
  <c r="Q28" i="106"/>
  <c r="M28" i="106"/>
  <c r="AS27" i="106"/>
  <c r="AJ27" i="106"/>
  <c r="AA28" i="106" s="1"/>
  <c r="AC28" i="106" s="1"/>
  <c r="S27" i="106"/>
  <c r="R27" i="106"/>
  <c r="Q27" i="106"/>
  <c r="AS26" i="106"/>
  <c r="AJ26" i="106"/>
  <c r="AI26" i="106" s="1"/>
  <c r="Y26" i="106"/>
  <c r="V26" i="106"/>
  <c r="AS25" i="106"/>
  <c r="AJ25" i="106"/>
  <c r="AK25" i="106" s="1"/>
  <c r="AE25" i="106" s="1"/>
  <c r="Y25" i="106"/>
  <c r="V25" i="106"/>
  <c r="AS24" i="106"/>
  <c r="AJ24" i="106"/>
  <c r="AI24" i="106" s="1"/>
  <c r="Y24" i="106"/>
  <c r="V24" i="106"/>
  <c r="F24" i="106"/>
  <c r="G24" i="106" s="1"/>
  <c r="H24" i="106" s="1"/>
  <c r="AS23" i="106"/>
  <c r="AJ23" i="106"/>
  <c r="AK23" i="106" s="1"/>
  <c r="AG23" i="106"/>
  <c r="Y23" i="106"/>
  <c r="V23" i="106"/>
  <c r="AS22" i="106"/>
  <c r="AJ22" i="106"/>
  <c r="AK22" i="106" s="1"/>
  <c r="AG22" i="106"/>
  <c r="Y22" i="106"/>
  <c r="V22" i="106"/>
  <c r="H22" i="106"/>
  <c r="H25" i="106" s="1"/>
  <c r="G22" i="106"/>
  <c r="G25" i="106" s="1"/>
  <c r="F22" i="106"/>
  <c r="F25" i="106" s="1"/>
  <c r="E22" i="106"/>
  <c r="E25" i="106" s="1"/>
  <c r="E36" i="106" s="1"/>
  <c r="E37" i="106" s="1"/>
  <c r="M20" i="106"/>
  <c r="F20" i="106"/>
  <c r="G20" i="106" s="1"/>
  <c r="H20" i="106" s="1"/>
  <c r="AE19" i="106"/>
  <c r="AB53" i="106" s="1"/>
  <c r="AA19" i="106"/>
  <c r="AK90" i="106" s="1"/>
  <c r="W19" i="106"/>
  <c r="AJ90" i="106" s="1"/>
  <c r="Q13" i="106"/>
  <c r="AF12" i="106"/>
  <c r="AC12" i="106"/>
  <c r="V12" i="106"/>
  <c r="R12" i="106"/>
  <c r="W10" i="106"/>
  <c r="Q10" i="106"/>
  <c r="O10" i="106"/>
  <c r="K10" i="106"/>
  <c r="AB10" i="106" s="1"/>
  <c r="W9" i="106"/>
  <c r="Q9" i="106"/>
  <c r="O9" i="106"/>
  <c r="AV8" i="106"/>
  <c r="AB8" i="106"/>
  <c r="W8" i="106"/>
  <c r="Q8" i="106"/>
  <c r="O8" i="106"/>
  <c r="AB7" i="106"/>
  <c r="W7" i="106"/>
  <c r="Q7" i="106"/>
  <c r="O7" i="106"/>
  <c r="AB6" i="106"/>
  <c r="W6" i="106"/>
  <c r="Q6" i="106"/>
  <c r="O6" i="106"/>
  <c r="R1" i="106"/>
  <c r="AJ86" i="105"/>
  <c r="AK86" i="105" s="1"/>
  <c r="AJ85" i="105"/>
  <c r="AK85" i="105" s="1"/>
  <c r="L85" i="105"/>
  <c r="AL84" i="105"/>
  <c r="AM84" i="105" s="1"/>
  <c r="AJ84" i="105"/>
  <c r="AK84" i="105" s="1"/>
  <c r="AJ83" i="105"/>
  <c r="AK83" i="105" s="1"/>
  <c r="AK82" i="105"/>
  <c r="AJ82" i="105"/>
  <c r="AJ81" i="105"/>
  <c r="AK81" i="105" s="1"/>
  <c r="AJ80" i="105"/>
  <c r="AK80" i="105" s="1"/>
  <c r="AJ79" i="105"/>
  <c r="AK79" i="105" s="1"/>
  <c r="AJ78" i="105"/>
  <c r="AK78" i="105" s="1"/>
  <c r="D78" i="105"/>
  <c r="AJ77" i="105"/>
  <c r="AK77" i="105" s="1"/>
  <c r="AJ76" i="105"/>
  <c r="AK76" i="105" s="1"/>
  <c r="AJ75" i="105"/>
  <c r="AK75" i="105" s="1"/>
  <c r="AH47" i="105"/>
  <c r="AH48" i="105" s="1"/>
  <c r="AG47" i="105"/>
  <c r="AG48" i="105" s="1"/>
  <c r="AF47" i="105"/>
  <c r="AF48" i="105" s="1"/>
  <c r="X47" i="105"/>
  <c r="S47" i="105"/>
  <c r="R47" i="105"/>
  <c r="Q47" i="105"/>
  <c r="M42" i="105"/>
  <c r="S92" i="105" s="1"/>
  <c r="M41" i="105"/>
  <c r="M43" i="105" s="1"/>
  <c r="S40" i="105"/>
  <c r="R40" i="105"/>
  <c r="Q40" i="105"/>
  <c r="AD39" i="105"/>
  <c r="AA39" i="105"/>
  <c r="W39" i="105"/>
  <c r="AS37" i="105"/>
  <c r="V37" i="105"/>
  <c r="AS36" i="105"/>
  <c r="AS35" i="105"/>
  <c r="V35" i="105"/>
  <c r="AS34" i="105"/>
  <c r="Y34" i="105"/>
  <c r="V34" i="105"/>
  <c r="H34" i="105"/>
  <c r="J84" i="105" s="1"/>
  <c r="J83" i="105" s="1"/>
  <c r="G34" i="105"/>
  <c r="I84" i="105" s="1"/>
  <c r="I83" i="105" s="1"/>
  <c r="F34" i="105"/>
  <c r="H84" i="105" s="1"/>
  <c r="H83" i="105" s="1"/>
  <c r="E34" i="105"/>
  <c r="G84" i="105" s="1"/>
  <c r="G83" i="105" s="1"/>
  <c r="AS33" i="105"/>
  <c r="V33" i="105"/>
  <c r="M33" i="105"/>
  <c r="AS32" i="105"/>
  <c r="AS31" i="105"/>
  <c r="V31" i="105"/>
  <c r="M31" i="105"/>
  <c r="AS30" i="105"/>
  <c r="V30" i="105"/>
  <c r="AS29" i="105"/>
  <c r="AS28" i="105"/>
  <c r="V28" i="105"/>
  <c r="S28" i="105"/>
  <c r="R28" i="105"/>
  <c r="Q28" i="105"/>
  <c r="M28" i="105"/>
  <c r="AS27" i="105"/>
  <c r="S27" i="105"/>
  <c r="R27" i="105"/>
  <c r="Q27" i="105"/>
  <c r="AS26" i="105"/>
  <c r="V26" i="105"/>
  <c r="AS25" i="105"/>
  <c r="V25" i="105"/>
  <c r="G25" i="105"/>
  <c r="F25" i="105"/>
  <c r="AS24" i="105"/>
  <c r="V24" i="105"/>
  <c r="F24" i="105"/>
  <c r="G24" i="105" s="1"/>
  <c r="H24" i="105" s="1"/>
  <c r="AS23" i="105"/>
  <c r="AN76" i="105"/>
  <c r="AO76" i="105" s="1"/>
  <c r="V23" i="105"/>
  <c r="AS22" i="105"/>
  <c r="V22" i="105"/>
  <c r="H25" i="105"/>
  <c r="E25" i="105"/>
  <c r="E36" i="105" s="1"/>
  <c r="M20" i="105"/>
  <c r="F20" i="105"/>
  <c r="G20" i="105" s="1"/>
  <c r="H20" i="105" s="1"/>
  <c r="AE19" i="105"/>
  <c r="AB53" i="105" s="1"/>
  <c r="AA19" i="105"/>
  <c r="AK90" i="105" s="1"/>
  <c r="W19" i="105"/>
  <c r="AJ90" i="105" s="1"/>
  <c r="Q13" i="105"/>
  <c r="AF12" i="105"/>
  <c r="AC12" i="105"/>
  <c r="V12" i="105"/>
  <c r="R12" i="105"/>
  <c r="W10" i="105"/>
  <c r="Q10" i="105"/>
  <c r="O10" i="105"/>
  <c r="K10" i="105"/>
  <c r="AB10" i="105" s="1"/>
  <c r="W9" i="105"/>
  <c r="Q9" i="105"/>
  <c r="O9" i="105"/>
  <c r="AV8" i="105"/>
  <c r="AB8" i="105"/>
  <c r="W8" i="105"/>
  <c r="Q8" i="105"/>
  <c r="O8" i="105"/>
  <c r="AB7" i="105"/>
  <c r="W7" i="105"/>
  <c r="Q7" i="105"/>
  <c r="O7" i="105"/>
  <c r="AB6" i="105"/>
  <c r="W6" i="105"/>
  <c r="Q6" i="105"/>
  <c r="O6" i="105"/>
  <c r="R1" i="105"/>
  <c r="AA37" i="105" l="1"/>
  <c r="AA31" i="105"/>
  <c r="AC31" i="105" s="1"/>
  <c r="AN84" i="113"/>
  <c r="AO84" i="113" s="1"/>
  <c r="AC25" i="119"/>
  <c r="F36" i="106"/>
  <c r="AI23" i="106"/>
  <c r="AA24" i="110"/>
  <c r="AG34" i="118"/>
  <c r="AG28" i="118"/>
  <c r="G36" i="106"/>
  <c r="G37" i="106" s="1"/>
  <c r="AA42" i="118"/>
  <c r="AK94" i="118" s="1"/>
  <c r="G36" i="112"/>
  <c r="G37" i="112" s="1"/>
  <c r="F36" i="105"/>
  <c r="H36" i="106"/>
  <c r="H37" i="106" s="1"/>
  <c r="AA23" i="106"/>
  <c r="AN76" i="106" s="1"/>
  <c r="AO76" i="106" s="1"/>
  <c r="AG34" i="117"/>
  <c r="Y25" i="105"/>
  <c r="AL78" i="105"/>
  <c r="AM78" i="105" s="1"/>
  <c r="F37" i="106"/>
  <c r="AI27" i="106"/>
  <c r="M39" i="106"/>
  <c r="AD42" i="113"/>
  <c r="AL94" i="113" s="1"/>
  <c r="X45" i="113"/>
  <c r="AL82" i="105"/>
  <c r="AM82" i="105" s="1"/>
  <c r="Q30" i="106"/>
  <c r="Q31" i="106" s="1"/>
  <c r="AJ91" i="106" s="1"/>
  <c r="AP85" i="113"/>
  <c r="AQ85" i="113" s="1"/>
  <c r="W42" i="119"/>
  <c r="AJ94" i="119" s="1"/>
  <c r="AI22" i="106"/>
  <c r="AK27" i="106"/>
  <c r="AE28" i="106" s="1"/>
  <c r="AI28" i="106"/>
  <c r="AK30" i="106"/>
  <c r="AE33" i="106" s="1"/>
  <c r="W42" i="106"/>
  <c r="AJ94" i="106" s="1"/>
  <c r="F36" i="112"/>
  <c r="AG26" i="113"/>
  <c r="AP80" i="119"/>
  <c r="AQ80" i="119" s="1"/>
  <c r="AP85" i="119"/>
  <c r="AQ85" i="119" s="1"/>
  <c r="AG35" i="119"/>
  <c r="AP84" i="119"/>
  <c r="AQ84" i="119" s="1"/>
  <c r="AG34" i="119"/>
  <c r="AK94" i="119"/>
  <c r="AN77" i="119"/>
  <c r="AO77" i="119" s="1"/>
  <c r="AC24" i="119"/>
  <c r="AP82" i="119"/>
  <c r="AQ82" i="119" s="1"/>
  <c r="AG31" i="119"/>
  <c r="AG37" i="119"/>
  <c r="AP86" i="119"/>
  <c r="AQ86" i="119" s="1"/>
  <c r="AG23" i="119"/>
  <c r="AP76" i="119"/>
  <c r="AQ76" i="119" s="1"/>
  <c r="AP79" i="119"/>
  <c r="AQ79" i="119" s="1"/>
  <c r="AD40" i="119" s="1"/>
  <c r="AD42" i="119" s="1"/>
  <c r="AL94" i="119" s="1"/>
  <c r="AG26" i="119"/>
  <c r="M30" i="118"/>
  <c r="M41" i="118" s="1"/>
  <c r="X45" i="117"/>
  <c r="M30" i="117"/>
  <c r="AP86" i="118"/>
  <c r="AQ86" i="118" s="1"/>
  <c r="W42" i="117"/>
  <c r="AJ94" i="117" s="1"/>
  <c r="AP82" i="118"/>
  <c r="AQ82" i="118" s="1"/>
  <c r="AG31" i="118"/>
  <c r="AP83" i="118"/>
  <c r="AQ83" i="118" s="1"/>
  <c r="AD41" i="118" s="1"/>
  <c r="AD42" i="118" s="1"/>
  <c r="AL94" i="118" s="1"/>
  <c r="AG33" i="118"/>
  <c r="AP78" i="118"/>
  <c r="AQ78" i="118" s="1"/>
  <c r="AG25" i="118"/>
  <c r="AP81" i="118"/>
  <c r="AQ81" i="118" s="1"/>
  <c r="AG30" i="118"/>
  <c r="AP78" i="117"/>
  <c r="AQ78" i="117" s="1"/>
  <c r="AG25" i="117"/>
  <c r="AG31" i="117"/>
  <c r="AP82" i="117"/>
  <c r="AQ82" i="117" s="1"/>
  <c r="AN78" i="117"/>
  <c r="AO78" i="117" s="1"/>
  <c r="AC25" i="117"/>
  <c r="AP81" i="117"/>
  <c r="AQ81" i="117" s="1"/>
  <c r="AG30" i="117"/>
  <c r="AC33" i="117"/>
  <c r="AN83" i="117"/>
  <c r="AO83" i="117" s="1"/>
  <c r="AA41" i="117" s="1"/>
  <c r="AA42" i="117" s="1"/>
  <c r="AK94" i="117" s="1"/>
  <c r="AP83" i="117"/>
  <c r="AQ83" i="117" s="1"/>
  <c r="AD41" i="117" s="1"/>
  <c r="AD42" i="117" s="1"/>
  <c r="AL94" i="117" s="1"/>
  <c r="AG33" i="117"/>
  <c r="AA42" i="113"/>
  <c r="AK94" i="113" s="1"/>
  <c r="AC31" i="113"/>
  <c r="AN82" i="113"/>
  <c r="AO82" i="113" s="1"/>
  <c r="AP81" i="113"/>
  <c r="AQ81" i="113" s="1"/>
  <c r="AG30" i="113"/>
  <c r="X46" i="110"/>
  <c r="M39" i="112"/>
  <c r="F37" i="112"/>
  <c r="E37" i="112"/>
  <c r="Q30" i="112"/>
  <c r="Q31" i="112" s="1"/>
  <c r="AJ91" i="112" s="1"/>
  <c r="E37" i="111"/>
  <c r="Q30" i="111"/>
  <c r="Q31" i="111" s="1"/>
  <c r="AJ91" i="111" s="1"/>
  <c r="AK27" i="111"/>
  <c r="AE28" i="111" s="1"/>
  <c r="AP80" i="111" s="1"/>
  <c r="AQ80" i="111" s="1"/>
  <c r="AK33" i="111"/>
  <c r="AE37" i="111" s="1"/>
  <c r="AP86" i="111" s="1"/>
  <c r="AQ86" i="111" s="1"/>
  <c r="M39" i="110"/>
  <c r="M37" i="110"/>
  <c r="M40" i="110" s="1"/>
  <c r="H36" i="110"/>
  <c r="H37" i="110" s="1"/>
  <c r="E37" i="110"/>
  <c r="Q30" i="110"/>
  <c r="Q31" i="110" s="1"/>
  <c r="AJ91" i="110" s="1"/>
  <c r="AL85" i="111"/>
  <c r="AM85" i="111" s="1"/>
  <c r="Y35" i="111"/>
  <c r="AL85" i="112"/>
  <c r="AM85" i="112" s="1"/>
  <c r="Y35" i="112"/>
  <c r="AL84" i="111"/>
  <c r="AM84" i="111" s="1"/>
  <c r="Y34" i="111"/>
  <c r="AL84" i="112"/>
  <c r="AM84" i="112" s="1"/>
  <c r="Y34" i="112"/>
  <c r="Y37" i="112"/>
  <c r="AL86" i="112"/>
  <c r="AM86" i="112" s="1"/>
  <c r="AL84" i="110"/>
  <c r="AM84" i="110" s="1"/>
  <c r="Y34" i="110"/>
  <c r="AL77" i="105"/>
  <c r="AM77" i="105" s="1"/>
  <c r="Y24" i="105"/>
  <c r="G36" i="110"/>
  <c r="G37" i="110" s="1"/>
  <c r="Y35" i="110"/>
  <c r="AL85" i="110"/>
  <c r="AM85" i="110" s="1"/>
  <c r="AA22" i="106"/>
  <c r="AN75" i="106" s="1"/>
  <c r="AO75" i="106" s="1"/>
  <c r="AC23" i="106"/>
  <c r="AA25" i="106"/>
  <c r="AC25" i="106" s="1"/>
  <c r="AI30" i="106"/>
  <c r="AI31" i="106"/>
  <c r="M37" i="106"/>
  <c r="M40" i="106" s="1"/>
  <c r="X46" i="106"/>
  <c r="F36" i="110"/>
  <c r="F37" i="110" s="1"/>
  <c r="AK26" i="110"/>
  <c r="AG26" i="110" s="1"/>
  <c r="AK31" i="110"/>
  <c r="AE34" i="110" s="1"/>
  <c r="AA23" i="111"/>
  <c r="AN76" i="111" s="1"/>
  <c r="AO76" i="111" s="1"/>
  <c r="AA24" i="111"/>
  <c r="AN77" i="111" s="1"/>
  <c r="AO77" i="111" s="1"/>
  <c r="AA35" i="111"/>
  <c r="AN85" i="111" s="1"/>
  <c r="AO85" i="111" s="1"/>
  <c r="W42" i="112"/>
  <c r="AJ94" i="112" s="1"/>
  <c r="AK26" i="112"/>
  <c r="AE26" i="112" s="1"/>
  <c r="AP79" i="112" s="1"/>
  <c r="AQ79" i="112" s="1"/>
  <c r="AD40" i="112" s="1"/>
  <c r="S30" i="112"/>
  <c r="S31" i="112" s="1"/>
  <c r="AL91" i="112" s="1"/>
  <c r="AK31" i="112"/>
  <c r="AE34" i="112" s="1"/>
  <c r="AP84" i="112" s="1"/>
  <c r="AQ84" i="112" s="1"/>
  <c r="AK32" i="112"/>
  <c r="AE35" i="112" s="1"/>
  <c r="AG35" i="112" s="1"/>
  <c r="AI25" i="106"/>
  <c r="R30" i="106"/>
  <c r="R31" i="106" s="1"/>
  <c r="AK91" i="106" s="1"/>
  <c r="AI29" i="106"/>
  <c r="AK23" i="110"/>
  <c r="AG23" i="110" s="1"/>
  <c r="E83" i="110"/>
  <c r="F36" i="111"/>
  <c r="F37" i="111" s="1"/>
  <c r="H36" i="112"/>
  <c r="H37" i="112" s="1"/>
  <c r="M37" i="112"/>
  <c r="X46" i="112"/>
  <c r="S30" i="106"/>
  <c r="S31" i="106" s="1"/>
  <c r="AL91" i="106" s="1"/>
  <c r="AC28" i="110"/>
  <c r="R30" i="111"/>
  <c r="R31" i="111" s="1"/>
  <c r="AK91" i="111" s="1"/>
  <c r="AN77" i="112"/>
  <c r="AO77" i="112" s="1"/>
  <c r="AA28" i="112"/>
  <c r="AN80" i="112" s="1"/>
  <c r="AO80" i="112" s="1"/>
  <c r="AB51" i="112"/>
  <c r="AL90" i="112"/>
  <c r="H36" i="105"/>
  <c r="G36" i="105"/>
  <c r="X46" i="105"/>
  <c r="AA31" i="106"/>
  <c r="AC31" i="106" s="1"/>
  <c r="AI32" i="106"/>
  <c r="R30" i="110"/>
  <c r="R31" i="110" s="1"/>
  <c r="AK91" i="110" s="1"/>
  <c r="AK33" i="110"/>
  <c r="AP86" i="110" s="1"/>
  <c r="AQ86" i="110" s="1"/>
  <c r="AA26" i="111"/>
  <c r="AC26" i="111" s="1"/>
  <c r="S30" i="111"/>
  <c r="S31" i="111" s="1"/>
  <c r="AL91" i="111" s="1"/>
  <c r="AK31" i="111"/>
  <c r="AE34" i="111" s="1"/>
  <c r="AP84" i="111" s="1"/>
  <c r="AQ84" i="111" s="1"/>
  <c r="M37" i="111"/>
  <c r="R30" i="112"/>
  <c r="R31" i="112" s="1"/>
  <c r="AK91" i="112" s="1"/>
  <c r="AK33" i="112"/>
  <c r="AE37" i="112" s="1"/>
  <c r="AP86" i="112" s="1"/>
  <c r="AQ86" i="112" s="1"/>
  <c r="E83" i="112"/>
  <c r="AG24" i="112"/>
  <c r="AP77" i="112"/>
  <c r="AQ77" i="112" s="1"/>
  <c r="Y28" i="112"/>
  <c r="AL80" i="112"/>
  <c r="AM80" i="112" s="1"/>
  <c r="AC33" i="112"/>
  <c r="AN83" i="112"/>
  <c r="AO83" i="112" s="1"/>
  <c r="AA41" i="112" s="1"/>
  <c r="AN81" i="112"/>
  <c r="AO81" i="112" s="1"/>
  <c r="AC30" i="112"/>
  <c r="AN75" i="112"/>
  <c r="AO75" i="112" s="1"/>
  <c r="AC22" i="112"/>
  <c r="AN78" i="112"/>
  <c r="AO78" i="112" s="1"/>
  <c r="AC25" i="112"/>
  <c r="AL82" i="112"/>
  <c r="AM82" i="112" s="1"/>
  <c r="Y31" i="112"/>
  <c r="AC37" i="112"/>
  <c r="AN86" i="112"/>
  <c r="AO86" i="112" s="1"/>
  <c r="AN76" i="112"/>
  <c r="AO76" i="112" s="1"/>
  <c r="AC23" i="112"/>
  <c r="Y24" i="112"/>
  <c r="AL77" i="112"/>
  <c r="AM77" i="112" s="1"/>
  <c r="AC26" i="112"/>
  <c r="AN79" i="112"/>
  <c r="AO79" i="112" s="1"/>
  <c r="AA40" i="112" s="1"/>
  <c r="AA42" i="112" s="1"/>
  <c r="AK94" i="112" s="1"/>
  <c r="AG28" i="112"/>
  <c r="AP80" i="112"/>
  <c r="AQ80" i="112" s="1"/>
  <c r="AL81" i="112"/>
  <c r="AM81" i="112" s="1"/>
  <c r="Y30" i="112"/>
  <c r="AC31" i="112"/>
  <c r="AN82" i="112"/>
  <c r="AO82" i="112" s="1"/>
  <c r="AG37" i="112"/>
  <c r="AK22" i="112"/>
  <c r="Y23" i="112"/>
  <c r="AG23" i="112"/>
  <c r="AC24" i="112"/>
  <c r="AK25" i="112"/>
  <c r="AE25" i="112" s="1"/>
  <c r="Y26" i="112"/>
  <c r="AG26" i="112"/>
  <c r="AC28" i="112"/>
  <c r="AK30" i="112"/>
  <c r="AE33" i="112" s="1"/>
  <c r="Y33" i="112"/>
  <c r="AB52" i="112"/>
  <c r="AL75" i="112"/>
  <c r="AM75" i="112" s="1"/>
  <c r="AN84" i="112"/>
  <c r="AO84" i="112" s="1"/>
  <c r="Y25" i="112"/>
  <c r="AK28" i="112"/>
  <c r="AE30" i="112" s="1"/>
  <c r="AK29" i="112"/>
  <c r="AE31" i="112" s="1"/>
  <c r="AC35" i="112"/>
  <c r="AC25" i="111"/>
  <c r="AN78" i="111"/>
  <c r="AO78" i="111" s="1"/>
  <c r="AC30" i="111"/>
  <c r="AN81" i="111"/>
  <c r="AO81" i="111" s="1"/>
  <c r="AG35" i="111"/>
  <c r="AP85" i="111"/>
  <c r="AQ85" i="111" s="1"/>
  <c r="AN75" i="111"/>
  <c r="AO75" i="111" s="1"/>
  <c r="AC22" i="111"/>
  <c r="Y28" i="111"/>
  <c r="AL80" i="111"/>
  <c r="AM80" i="111" s="1"/>
  <c r="Y24" i="111"/>
  <c r="AL77" i="111"/>
  <c r="AM77" i="111" s="1"/>
  <c r="AL82" i="111"/>
  <c r="AM82" i="111" s="1"/>
  <c r="Y31" i="111"/>
  <c r="AN86" i="111"/>
  <c r="AO86" i="111" s="1"/>
  <c r="AC37" i="111"/>
  <c r="AC33" i="111"/>
  <c r="AN83" i="111"/>
  <c r="AO83" i="111" s="1"/>
  <c r="AA41" i="111" s="1"/>
  <c r="H24" i="111"/>
  <c r="H36" i="111" s="1"/>
  <c r="H37" i="111" s="1"/>
  <c r="G36" i="111"/>
  <c r="G37" i="111" s="1"/>
  <c r="AG24" i="111"/>
  <c r="AP77" i="111"/>
  <c r="AQ77" i="111" s="1"/>
  <c r="W42" i="111"/>
  <c r="AJ94" i="111" s="1"/>
  <c r="AL81" i="111"/>
  <c r="AM81" i="111" s="1"/>
  <c r="Y30" i="111"/>
  <c r="AC31" i="111"/>
  <c r="AN82" i="111"/>
  <c r="AO82" i="111" s="1"/>
  <c r="AG37" i="111"/>
  <c r="AB51" i="111"/>
  <c r="AN80" i="111"/>
  <c r="AO80" i="111" s="1"/>
  <c r="E83" i="111"/>
  <c r="AL86" i="111"/>
  <c r="AM86" i="111" s="1"/>
  <c r="AL90" i="111"/>
  <c r="AK22" i="111"/>
  <c r="AE22" i="111" s="1"/>
  <c r="Y23" i="111"/>
  <c r="AG23" i="111"/>
  <c r="AK25" i="111"/>
  <c r="AE25" i="111" s="1"/>
  <c r="Y26" i="111"/>
  <c r="AG26" i="111"/>
  <c r="AK30" i="111"/>
  <c r="AE33" i="111" s="1"/>
  <c r="Y33" i="111"/>
  <c r="AB52" i="111"/>
  <c r="AL75" i="111"/>
  <c r="AM75" i="111" s="1"/>
  <c r="AN84" i="111"/>
  <c r="AO84" i="111" s="1"/>
  <c r="Y25" i="111"/>
  <c r="AK28" i="111"/>
  <c r="AE30" i="111" s="1"/>
  <c r="AK29" i="111"/>
  <c r="AE31" i="111" s="1"/>
  <c r="AP76" i="105"/>
  <c r="AQ76" i="105" s="1"/>
  <c r="AG23" i="105"/>
  <c r="AK26" i="105"/>
  <c r="AE26" i="105" s="1"/>
  <c r="AP79" i="110"/>
  <c r="AQ79" i="110" s="1"/>
  <c r="AD40" i="110" s="1"/>
  <c r="AL82" i="110"/>
  <c r="AM82" i="110" s="1"/>
  <c r="Y31" i="110"/>
  <c r="AN77" i="110"/>
  <c r="AO77" i="110" s="1"/>
  <c r="AC24" i="110"/>
  <c r="AA25" i="110"/>
  <c r="AK25" i="110"/>
  <c r="Y28" i="110"/>
  <c r="AL80" i="110"/>
  <c r="AM80" i="110" s="1"/>
  <c r="AK22" i="110"/>
  <c r="AL79" i="110"/>
  <c r="AM79" i="110" s="1"/>
  <c r="W40" i="110" s="1"/>
  <c r="Y26" i="110"/>
  <c r="AN76" i="110"/>
  <c r="AO76" i="110" s="1"/>
  <c r="AC23" i="110"/>
  <c r="Y24" i="110"/>
  <c r="AL77" i="110"/>
  <c r="AM77" i="110" s="1"/>
  <c r="AN80" i="110"/>
  <c r="AO80" i="110" s="1"/>
  <c r="AK30" i="110"/>
  <c r="AE33" i="110" s="1"/>
  <c r="S30" i="110"/>
  <c r="S31" i="110" s="1"/>
  <c r="AL91" i="110" s="1"/>
  <c r="AC30" i="110"/>
  <c r="Y23" i="110"/>
  <c r="AL76" i="110"/>
  <c r="AM76" i="110" s="1"/>
  <c r="AG24" i="110"/>
  <c r="AP77" i="110"/>
  <c r="AQ77" i="110" s="1"/>
  <c r="AC26" i="110"/>
  <c r="AN79" i="110"/>
  <c r="AO79" i="110" s="1"/>
  <c r="AA40" i="110" s="1"/>
  <c r="AG28" i="110"/>
  <c r="AP80" i="110"/>
  <c r="AQ80" i="110" s="1"/>
  <c r="AL81" i="110"/>
  <c r="AM81" i="110" s="1"/>
  <c r="Y30" i="110"/>
  <c r="AC31" i="110"/>
  <c r="AN82" i="110"/>
  <c r="AO82" i="110" s="1"/>
  <c r="AL83" i="110"/>
  <c r="AM83" i="110" s="1"/>
  <c r="W41" i="110" s="1"/>
  <c r="Y33" i="110"/>
  <c r="AG37" i="110"/>
  <c r="AG35" i="110"/>
  <c r="AC37" i="110"/>
  <c r="AB51" i="110"/>
  <c r="AL86" i="110"/>
  <c r="AM86" i="110" s="1"/>
  <c r="AL90" i="110"/>
  <c r="AB52" i="110"/>
  <c r="AL75" i="110"/>
  <c r="AM75" i="110" s="1"/>
  <c r="AN84" i="110"/>
  <c r="AO84" i="110" s="1"/>
  <c r="Y25" i="110"/>
  <c r="AK28" i="110"/>
  <c r="AE30" i="110" s="1"/>
  <c r="AK29" i="110"/>
  <c r="AE31" i="110" s="1"/>
  <c r="AC35" i="110"/>
  <c r="AP75" i="105"/>
  <c r="AQ75" i="105" s="1"/>
  <c r="AG22" i="105"/>
  <c r="AG35" i="105"/>
  <c r="AG34" i="105"/>
  <c r="AL76" i="105"/>
  <c r="AM76" i="105" s="1"/>
  <c r="Y30" i="105"/>
  <c r="AL83" i="105"/>
  <c r="AM83" i="105" s="1"/>
  <c r="W41" i="105" s="1"/>
  <c r="Y33" i="105"/>
  <c r="Y35" i="105"/>
  <c r="AA33" i="105"/>
  <c r="AN83" i="105" s="1"/>
  <c r="AO83" i="105" s="1"/>
  <c r="AA41" i="105" s="1"/>
  <c r="Y28" i="105"/>
  <c r="AL86" i="105"/>
  <c r="AM86" i="105" s="1"/>
  <c r="AC25" i="105"/>
  <c r="AA34" i="105"/>
  <c r="AA30" i="105"/>
  <c r="AC30" i="105" s="1"/>
  <c r="AA35" i="105"/>
  <c r="AN85" i="105" s="1"/>
  <c r="AO85" i="105" s="1"/>
  <c r="AC22" i="105"/>
  <c r="AC23" i="105"/>
  <c r="AG25" i="105"/>
  <c r="M37" i="105"/>
  <c r="M30" i="105" s="1"/>
  <c r="M39" i="105"/>
  <c r="E83" i="105"/>
  <c r="E37" i="105"/>
  <c r="G37" i="105"/>
  <c r="F37" i="105"/>
  <c r="H37" i="105"/>
  <c r="S30" i="105"/>
  <c r="S31" i="105"/>
  <c r="AL91" i="105" s="1"/>
  <c r="R30" i="105"/>
  <c r="R31" i="105" s="1"/>
  <c r="AK91" i="105" s="1"/>
  <c r="Q30" i="105"/>
  <c r="Q31" i="105" s="1"/>
  <c r="AJ91" i="105" s="1"/>
  <c r="AN85" i="106"/>
  <c r="AO85" i="106" s="1"/>
  <c r="AC35" i="106"/>
  <c r="AG28" i="106"/>
  <c r="AP80" i="106"/>
  <c r="AQ80" i="106" s="1"/>
  <c r="AN83" i="106"/>
  <c r="AO83" i="106" s="1"/>
  <c r="AA41" i="106" s="1"/>
  <c r="AC33" i="106"/>
  <c r="AN86" i="106"/>
  <c r="AO86" i="106" s="1"/>
  <c r="AC37" i="106"/>
  <c r="AP78" i="106"/>
  <c r="AQ78" i="106" s="1"/>
  <c r="AG25" i="106"/>
  <c r="AG31" i="106"/>
  <c r="AP82" i="106"/>
  <c r="AQ82" i="106" s="1"/>
  <c r="AP83" i="106"/>
  <c r="AQ83" i="106" s="1"/>
  <c r="AD41" i="106" s="1"/>
  <c r="AG33" i="106"/>
  <c r="AC30" i="106"/>
  <c r="AN81" i="106"/>
  <c r="AO81" i="106" s="1"/>
  <c r="AB51" i="106"/>
  <c r="AN78" i="106"/>
  <c r="AO78" i="106" s="1"/>
  <c r="AN80" i="106"/>
  <c r="AO80" i="106" s="1"/>
  <c r="E83" i="106"/>
  <c r="AL90" i="106"/>
  <c r="AK24" i="106"/>
  <c r="AE24" i="106" s="1"/>
  <c r="AK26" i="106"/>
  <c r="AE26" i="106" s="1"/>
  <c r="AK33" i="106"/>
  <c r="AE37" i="106" s="1"/>
  <c r="AA34" i="106"/>
  <c r="AB52" i="106"/>
  <c r="AK28" i="106"/>
  <c r="AE30" i="106" s="1"/>
  <c r="AK32" i="106"/>
  <c r="AA24" i="106"/>
  <c r="AA26" i="106"/>
  <c r="AI33" i="106"/>
  <c r="AN86" i="105"/>
  <c r="AO86" i="105" s="1"/>
  <c r="AC37" i="105"/>
  <c r="AG31" i="105"/>
  <c r="AP82" i="105"/>
  <c r="AQ82" i="105" s="1"/>
  <c r="AP83" i="105"/>
  <c r="AQ83" i="105" s="1"/>
  <c r="AD41" i="105" s="1"/>
  <c r="AG33" i="105"/>
  <c r="AG28" i="105"/>
  <c r="AP80" i="105"/>
  <c r="AQ80" i="105" s="1"/>
  <c r="AB51" i="105"/>
  <c r="AN78" i="105"/>
  <c r="AO78" i="105" s="1"/>
  <c r="AN80" i="105"/>
  <c r="AO80" i="105" s="1"/>
  <c r="AN82" i="105"/>
  <c r="AO82" i="105" s="1"/>
  <c r="AL90" i="105"/>
  <c r="AB52" i="105"/>
  <c r="Q47" i="103"/>
  <c r="AN82" i="106" l="1"/>
  <c r="AO82" i="106" s="1"/>
  <c r="AC35" i="105"/>
  <c r="AC22" i="106"/>
  <c r="X45" i="105"/>
  <c r="AG34" i="112"/>
  <c r="AG28" i="111"/>
  <c r="AG34" i="111"/>
  <c r="M40" i="105"/>
  <c r="AC35" i="111"/>
  <c r="M43" i="118"/>
  <c r="X46" i="118" s="1"/>
  <c r="M39" i="118"/>
  <c r="X45" i="118" s="1"/>
  <c r="X45" i="110"/>
  <c r="AP85" i="112"/>
  <c r="AQ85" i="112" s="1"/>
  <c r="AC23" i="111"/>
  <c r="AC24" i="111"/>
  <c r="AN79" i="111"/>
  <c r="AO79" i="111" s="1"/>
  <c r="AA40" i="111" s="1"/>
  <c r="AA42" i="111" s="1"/>
  <c r="AK94" i="111" s="1"/>
  <c r="AP76" i="110"/>
  <c r="AQ76" i="110" s="1"/>
  <c r="M30" i="110"/>
  <c r="M40" i="112"/>
  <c r="M30" i="112"/>
  <c r="AP84" i="110"/>
  <c r="AQ84" i="110" s="1"/>
  <c r="AG34" i="110"/>
  <c r="X45" i="106"/>
  <c r="M30" i="106"/>
  <c r="M40" i="111"/>
  <c r="M30" i="111"/>
  <c r="M41" i="111" s="1"/>
  <c r="X45" i="112"/>
  <c r="AP78" i="112"/>
  <c r="AQ78" i="112" s="1"/>
  <c r="AG25" i="112"/>
  <c r="AP82" i="112"/>
  <c r="AQ82" i="112" s="1"/>
  <c r="AG31" i="112"/>
  <c r="AP81" i="112"/>
  <c r="AQ81" i="112" s="1"/>
  <c r="AG30" i="112"/>
  <c r="AP83" i="112"/>
  <c r="AQ83" i="112" s="1"/>
  <c r="AD41" i="112" s="1"/>
  <c r="AD42" i="112" s="1"/>
  <c r="AL94" i="112" s="1"/>
  <c r="AG33" i="112"/>
  <c r="AG22" i="112"/>
  <c r="AP75" i="112"/>
  <c r="AQ75" i="112" s="1"/>
  <c r="AP83" i="111"/>
  <c r="AQ83" i="111" s="1"/>
  <c r="AD41" i="111" s="1"/>
  <c r="AD42" i="111" s="1"/>
  <c r="AL94" i="111" s="1"/>
  <c r="AG33" i="111"/>
  <c r="AP81" i="111"/>
  <c r="AQ81" i="111" s="1"/>
  <c r="AG30" i="111"/>
  <c r="AP82" i="111"/>
  <c r="AQ82" i="111" s="1"/>
  <c r="AG31" i="111"/>
  <c r="AP78" i="111"/>
  <c r="AQ78" i="111" s="1"/>
  <c r="AG25" i="111"/>
  <c r="AG22" i="111"/>
  <c r="AP75" i="111"/>
  <c r="AQ75" i="111" s="1"/>
  <c r="AP81" i="110"/>
  <c r="AQ81" i="110" s="1"/>
  <c r="AG30" i="110"/>
  <c r="AN75" i="110"/>
  <c r="AO75" i="110" s="1"/>
  <c r="AC22" i="110"/>
  <c r="AN78" i="110"/>
  <c r="AO78" i="110" s="1"/>
  <c r="AC25" i="110"/>
  <c r="AG22" i="110"/>
  <c r="AP75" i="110"/>
  <c r="AQ75" i="110" s="1"/>
  <c r="AP83" i="110"/>
  <c r="AQ83" i="110" s="1"/>
  <c r="AD41" i="110" s="1"/>
  <c r="AD42" i="110" s="1"/>
  <c r="AL94" i="110" s="1"/>
  <c r="AG33" i="110"/>
  <c r="AP78" i="110"/>
  <c r="AQ78" i="110" s="1"/>
  <c r="AG25" i="110"/>
  <c r="AP82" i="110"/>
  <c r="AQ82" i="110" s="1"/>
  <c r="AG31" i="110"/>
  <c r="AC33" i="110"/>
  <c r="AN83" i="110"/>
  <c r="AO83" i="110" s="1"/>
  <c r="AA41" i="110" s="1"/>
  <c r="AA42" i="110" s="1"/>
  <c r="AK94" i="110" s="1"/>
  <c r="W42" i="110"/>
  <c r="AJ94" i="110" s="1"/>
  <c r="Y22" i="105"/>
  <c r="AL75" i="105"/>
  <c r="AM75" i="105" s="1"/>
  <c r="AC33" i="105"/>
  <c r="Y26" i="105"/>
  <c r="AL79" i="105"/>
  <c r="AM79" i="105" s="1"/>
  <c r="W40" i="105" s="1"/>
  <c r="W42" i="105" s="1"/>
  <c r="AJ94" i="105" s="1"/>
  <c r="AN81" i="105"/>
  <c r="AO81" i="105" s="1"/>
  <c r="AN77" i="106"/>
  <c r="AO77" i="106" s="1"/>
  <c r="AC24" i="106"/>
  <c r="AG24" i="106"/>
  <c r="AP77" i="106"/>
  <c r="AQ77" i="106" s="1"/>
  <c r="AC34" i="106"/>
  <c r="AN84" i="106"/>
  <c r="AO84" i="106" s="1"/>
  <c r="AG37" i="106"/>
  <c r="AP86" i="106"/>
  <c r="AQ86" i="106" s="1"/>
  <c r="AN79" i="106"/>
  <c r="AO79" i="106" s="1"/>
  <c r="AA40" i="106" s="1"/>
  <c r="AA42" i="106" s="1"/>
  <c r="AK94" i="106" s="1"/>
  <c r="AC26" i="106"/>
  <c r="AP81" i="106"/>
  <c r="AQ81" i="106" s="1"/>
  <c r="AG30" i="106"/>
  <c r="AP79" i="106"/>
  <c r="AQ79" i="106" s="1"/>
  <c r="AD40" i="106" s="1"/>
  <c r="AD42" i="106" s="1"/>
  <c r="AL94" i="106" s="1"/>
  <c r="AG26" i="106"/>
  <c r="AG37" i="105"/>
  <c r="AP86" i="105"/>
  <c r="AQ86" i="105" s="1"/>
  <c r="AP81" i="105"/>
  <c r="AQ81" i="105" s="1"/>
  <c r="AG30" i="105"/>
  <c r="AN77" i="105"/>
  <c r="AO77" i="105" s="1"/>
  <c r="AC24" i="105"/>
  <c r="AC34" i="105"/>
  <c r="AN84" i="105"/>
  <c r="AO84" i="105" s="1"/>
  <c r="AP79" i="105"/>
  <c r="AQ79" i="105" s="1"/>
  <c r="AD40" i="105" s="1"/>
  <c r="AD42" i="105" s="1"/>
  <c r="AL94" i="105" s="1"/>
  <c r="AG26" i="105"/>
  <c r="AN79" i="105"/>
  <c r="AO79" i="105" s="1"/>
  <c r="AA40" i="105" s="1"/>
  <c r="AA42" i="105" s="1"/>
  <c r="AK94" i="105" s="1"/>
  <c r="AC26" i="105"/>
  <c r="AG24" i="105"/>
  <c r="AP77" i="105"/>
  <c r="AQ77" i="105" s="1"/>
  <c r="H25" i="103"/>
  <c r="AJ86" i="103"/>
  <c r="AK86" i="103" s="1"/>
  <c r="AJ85" i="103"/>
  <c r="AK85" i="103" s="1"/>
  <c r="L85" i="103"/>
  <c r="AJ84" i="103"/>
  <c r="AK84" i="103" s="1"/>
  <c r="AJ83" i="103"/>
  <c r="AK83" i="103" s="1"/>
  <c r="AJ82" i="103"/>
  <c r="AK82" i="103" s="1"/>
  <c r="AJ81" i="103"/>
  <c r="AK81" i="103" s="1"/>
  <c r="AJ80" i="103"/>
  <c r="AK80" i="103" s="1"/>
  <c r="AJ79" i="103"/>
  <c r="AK79" i="103" s="1"/>
  <c r="AJ78" i="103"/>
  <c r="AK78" i="103" s="1"/>
  <c r="D78" i="103"/>
  <c r="AJ77" i="103"/>
  <c r="AK77" i="103" s="1"/>
  <c r="AJ76" i="103"/>
  <c r="AK76" i="103" s="1"/>
  <c r="AJ75" i="103"/>
  <c r="AK75" i="103" s="1"/>
  <c r="AH47" i="103"/>
  <c r="AH48" i="103" s="1"/>
  <c r="AG47" i="103"/>
  <c r="AG48" i="103" s="1"/>
  <c r="AF47" i="103"/>
  <c r="AF48" i="103" s="1"/>
  <c r="X47" i="103"/>
  <c r="S47" i="103"/>
  <c r="R47" i="103"/>
  <c r="M42" i="103"/>
  <c r="S92" i="103" s="1"/>
  <c r="S40" i="103"/>
  <c r="R40" i="103"/>
  <c r="Q40" i="103"/>
  <c r="AD39" i="103"/>
  <c r="AA39" i="103"/>
  <c r="W39" i="103"/>
  <c r="AS37" i="103"/>
  <c r="AE37" i="103"/>
  <c r="AG37" i="103" s="1"/>
  <c r="Y37" i="103"/>
  <c r="AS36" i="103"/>
  <c r="AS35" i="103"/>
  <c r="V35" i="103"/>
  <c r="AS34" i="103"/>
  <c r="V34" i="103"/>
  <c r="H34" i="103"/>
  <c r="J84" i="103" s="1"/>
  <c r="J83" i="103" s="1"/>
  <c r="G34" i="103"/>
  <c r="I84" i="103" s="1"/>
  <c r="I83" i="103" s="1"/>
  <c r="F34" i="103"/>
  <c r="H84" i="103" s="1"/>
  <c r="H83" i="103" s="1"/>
  <c r="E34" i="103"/>
  <c r="G84" i="103" s="1"/>
  <c r="G83" i="103" s="1"/>
  <c r="AS33" i="103"/>
  <c r="AA37" i="103"/>
  <c r="V33" i="103"/>
  <c r="M33" i="103"/>
  <c r="AS32" i="103"/>
  <c r="AS31" i="103"/>
  <c r="V31" i="103"/>
  <c r="M31" i="103"/>
  <c r="AS30" i="103"/>
  <c r="V30" i="103"/>
  <c r="AS29" i="103"/>
  <c r="AS28" i="103"/>
  <c r="V28" i="103"/>
  <c r="S28" i="103"/>
  <c r="R28" i="103"/>
  <c r="Q28" i="103"/>
  <c r="M28" i="103"/>
  <c r="AS27" i="103"/>
  <c r="S27" i="103"/>
  <c r="R27" i="103"/>
  <c r="Q27" i="103"/>
  <c r="AS26" i="103"/>
  <c r="V26" i="103"/>
  <c r="AS25" i="103"/>
  <c r="V25" i="103"/>
  <c r="F25" i="103"/>
  <c r="AS24" i="103"/>
  <c r="AL77" i="103"/>
  <c r="AM77" i="103" s="1"/>
  <c r="AE24" i="103"/>
  <c r="AP77" i="103" s="1"/>
  <c r="AQ77" i="103" s="1"/>
  <c r="V24" i="103"/>
  <c r="F24" i="103"/>
  <c r="G24" i="103" s="1"/>
  <c r="H24" i="103" s="1"/>
  <c r="AS23" i="103"/>
  <c r="AA23" i="103"/>
  <c r="AN76" i="103" s="1"/>
  <c r="AO76" i="103" s="1"/>
  <c r="AE23" i="103"/>
  <c r="AP76" i="103" s="1"/>
  <c r="AQ76" i="103" s="1"/>
  <c r="AL76" i="103"/>
  <c r="AM76" i="103" s="1"/>
  <c r="V23" i="103"/>
  <c r="AS22" i="103"/>
  <c r="AP75" i="103"/>
  <c r="AQ75" i="103" s="1"/>
  <c r="AN75" i="103"/>
  <c r="AO75" i="103" s="1"/>
  <c r="AL75" i="103"/>
  <c r="AM75" i="103" s="1"/>
  <c r="V22" i="103"/>
  <c r="G25" i="103"/>
  <c r="E25" i="103"/>
  <c r="E36" i="103" s="1"/>
  <c r="M20" i="103"/>
  <c r="F20" i="103"/>
  <c r="G20" i="103" s="1"/>
  <c r="H20" i="103" s="1"/>
  <c r="AE19" i="103"/>
  <c r="AB53" i="103" s="1"/>
  <c r="AA19" i="103"/>
  <c r="AK90" i="103" s="1"/>
  <c r="W19" i="103"/>
  <c r="AJ90" i="103" s="1"/>
  <c r="Q13" i="103"/>
  <c r="AF12" i="103"/>
  <c r="AC12" i="103"/>
  <c r="V12" i="103"/>
  <c r="W10" i="103"/>
  <c r="Q10" i="103"/>
  <c r="O10" i="103"/>
  <c r="K10" i="103"/>
  <c r="AB10" i="103" s="1"/>
  <c r="W9" i="103"/>
  <c r="Q9" i="103"/>
  <c r="O9" i="103"/>
  <c r="AV8" i="103"/>
  <c r="AB8" i="103"/>
  <c r="W8" i="103"/>
  <c r="Q8" i="103"/>
  <c r="O8" i="103"/>
  <c r="AB7" i="103"/>
  <c r="W7" i="103"/>
  <c r="Q7" i="103"/>
  <c r="O7" i="103"/>
  <c r="AB6" i="103"/>
  <c r="W6" i="103"/>
  <c r="Q6" i="103"/>
  <c r="O6" i="103"/>
  <c r="R1" i="103"/>
  <c r="W37" i="102"/>
  <c r="AL86" i="102" s="1"/>
  <c r="AM86" i="102" s="1"/>
  <c r="W35" i="102"/>
  <c r="Y35" i="102" s="1"/>
  <c r="W34" i="102"/>
  <c r="AL84" i="102" s="1"/>
  <c r="AM84" i="102" s="1"/>
  <c r="W33" i="102"/>
  <c r="Y33" i="102" s="1"/>
  <c r="W31" i="102"/>
  <c r="AL82" i="102" s="1"/>
  <c r="AM82" i="102" s="1"/>
  <c r="W30" i="102"/>
  <c r="Y30" i="102" s="1"/>
  <c r="W28" i="102"/>
  <c r="Y28" i="102" s="1"/>
  <c r="W23" i="102"/>
  <c r="AL76" i="102" s="1"/>
  <c r="AM76" i="102" s="1"/>
  <c r="W22" i="102"/>
  <c r="AL75" i="102" s="1"/>
  <c r="AM75" i="102" s="1"/>
  <c r="AE37" i="102"/>
  <c r="AE25" i="102"/>
  <c r="AE22" i="102"/>
  <c r="AP75" i="102" s="1"/>
  <c r="AQ75" i="102" s="1"/>
  <c r="AE23" i="102"/>
  <c r="AP76" i="102" s="1"/>
  <c r="AQ76" i="102" s="1"/>
  <c r="AE24" i="102"/>
  <c r="H22" i="102"/>
  <c r="G22" i="102"/>
  <c r="G25" i="102" s="1"/>
  <c r="F22" i="102"/>
  <c r="F25" i="102" s="1"/>
  <c r="E22" i="102"/>
  <c r="E25" i="102" s="1"/>
  <c r="E36" i="102" s="1"/>
  <c r="H25" i="102"/>
  <c r="AJ86" i="102"/>
  <c r="AK86" i="102" s="1"/>
  <c r="AL85" i="102"/>
  <c r="AM85" i="102" s="1"/>
  <c r="AJ85" i="102"/>
  <c r="AK85" i="102" s="1"/>
  <c r="L85" i="102"/>
  <c r="AJ84" i="102"/>
  <c r="AK84" i="102" s="1"/>
  <c r="AJ83" i="102"/>
  <c r="AK83" i="102" s="1"/>
  <c r="AJ82" i="102"/>
  <c r="AK82" i="102" s="1"/>
  <c r="AJ81" i="102"/>
  <c r="AK81" i="102" s="1"/>
  <c r="AJ80" i="102"/>
  <c r="AK80" i="102" s="1"/>
  <c r="AJ79" i="102"/>
  <c r="AK79" i="102" s="1"/>
  <c r="AJ78" i="102"/>
  <c r="AK78" i="102" s="1"/>
  <c r="D78" i="102"/>
  <c r="AJ77" i="102"/>
  <c r="AK77" i="102" s="1"/>
  <c r="AJ76" i="102"/>
  <c r="AK76" i="102" s="1"/>
  <c r="AJ75" i="102"/>
  <c r="AK75" i="102" s="1"/>
  <c r="AH47" i="102"/>
  <c r="AH48" i="102" s="1"/>
  <c r="AG47" i="102"/>
  <c r="AG48" i="102" s="1"/>
  <c r="AF47" i="102"/>
  <c r="AF48" i="102" s="1"/>
  <c r="X47" i="102"/>
  <c r="S47" i="102"/>
  <c r="R47" i="102"/>
  <c r="Q47" i="102"/>
  <c r="M42" i="102"/>
  <c r="S40" i="102"/>
  <c r="R40" i="102"/>
  <c r="Q40" i="102"/>
  <c r="AD39" i="102"/>
  <c r="AA39" i="102"/>
  <c r="W39" i="102"/>
  <c r="AS37" i="102"/>
  <c r="V37" i="102"/>
  <c r="AS36" i="102"/>
  <c r="AS35" i="102"/>
  <c r="V35" i="102"/>
  <c r="AS34" i="102"/>
  <c r="V34" i="102"/>
  <c r="H34" i="102"/>
  <c r="J84" i="102" s="1"/>
  <c r="J83" i="102" s="1"/>
  <c r="G34" i="102"/>
  <c r="I84" i="102" s="1"/>
  <c r="I83" i="102" s="1"/>
  <c r="F34" i="102"/>
  <c r="H84" i="102" s="1"/>
  <c r="H83" i="102" s="1"/>
  <c r="E34" i="102"/>
  <c r="G84" i="102" s="1"/>
  <c r="G83" i="102" s="1"/>
  <c r="AS33" i="102"/>
  <c r="AJ33" i="102"/>
  <c r="AA37" i="102" s="1"/>
  <c r="V33" i="102"/>
  <c r="M33" i="102"/>
  <c r="AS32" i="102"/>
  <c r="AJ32" i="102"/>
  <c r="AA35" i="102" s="1"/>
  <c r="AN85" i="102" s="1"/>
  <c r="AO85" i="102" s="1"/>
  <c r="AS31" i="102"/>
  <c r="AJ31" i="102"/>
  <c r="AK31" i="102" s="1"/>
  <c r="AE34" i="102" s="1"/>
  <c r="V31" i="102"/>
  <c r="M31" i="102"/>
  <c r="AS30" i="102"/>
  <c r="AJ30" i="102"/>
  <c r="AA33" i="102" s="1"/>
  <c r="V30" i="102"/>
  <c r="AS29" i="102"/>
  <c r="AJ29" i="102"/>
  <c r="AA31" i="102" s="1"/>
  <c r="AS28" i="102"/>
  <c r="AJ28" i="102"/>
  <c r="AA30" i="102" s="1"/>
  <c r="V28" i="102"/>
  <c r="S28" i="102"/>
  <c r="R28" i="102"/>
  <c r="Q28" i="102"/>
  <c r="M28" i="102"/>
  <c r="AS27" i="102"/>
  <c r="AJ27" i="102"/>
  <c r="AA28" i="102" s="1"/>
  <c r="S27" i="102"/>
  <c r="R27" i="102"/>
  <c r="Q27" i="102"/>
  <c r="AS26" i="102"/>
  <c r="AJ26" i="102"/>
  <c r="AK26" i="102" s="1"/>
  <c r="AE26" i="102" s="1"/>
  <c r="V26" i="102"/>
  <c r="AS25" i="102"/>
  <c r="AJ25" i="102"/>
  <c r="AA25" i="102" s="1"/>
  <c r="V25" i="102"/>
  <c r="AS24" i="102"/>
  <c r="AJ24" i="102"/>
  <c r="AA24" i="102" s="1"/>
  <c r="AN77" i="102" s="1"/>
  <c r="AO77" i="102" s="1"/>
  <c r="V24" i="102"/>
  <c r="F24" i="102"/>
  <c r="G24" i="102" s="1"/>
  <c r="H24" i="102" s="1"/>
  <c r="AS23" i="102"/>
  <c r="AJ23" i="102"/>
  <c r="AA23" i="102" s="1"/>
  <c r="AN76" i="102" s="1"/>
  <c r="AO76" i="102" s="1"/>
  <c r="AG23" i="102"/>
  <c r="V23" i="102"/>
  <c r="AS22" i="102"/>
  <c r="AJ22" i="102"/>
  <c r="AA22" i="102" s="1"/>
  <c r="V22" i="102"/>
  <c r="M20" i="102"/>
  <c r="F20" i="102"/>
  <c r="G20" i="102" s="1"/>
  <c r="H20" i="102" s="1"/>
  <c r="AE19" i="102"/>
  <c r="AB53" i="102" s="1"/>
  <c r="AA19" i="102"/>
  <c r="AK90" i="102" s="1"/>
  <c r="W19" i="102"/>
  <c r="AJ90" i="102" s="1"/>
  <c r="Q13" i="102"/>
  <c r="AF12" i="102"/>
  <c r="AC12" i="102"/>
  <c r="V12" i="102"/>
  <c r="R12" i="102"/>
  <c r="W10" i="102"/>
  <c r="Q10" i="102"/>
  <c r="K10" i="102"/>
  <c r="AB10" i="102" s="1"/>
  <c r="W9" i="102"/>
  <c r="Q9" i="102"/>
  <c r="O9" i="102"/>
  <c r="AV8" i="102"/>
  <c r="AB8" i="102"/>
  <c r="W8" i="102"/>
  <c r="Q8" i="102"/>
  <c r="O8" i="102"/>
  <c r="AB7" i="102"/>
  <c r="W7" i="102"/>
  <c r="Q7" i="102"/>
  <c r="O7" i="102"/>
  <c r="AB6" i="102"/>
  <c r="W6" i="102"/>
  <c r="Q6" i="102"/>
  <c r="O6" i="102"/>
  <c r="R1" i="102"/>
  <c r="AF47" i="101"/>
  <c r="AF48" i="101" s="1"/>
  <c r="AG47" i="101"/>
  <c r="AG48" i="101" s="1"/>
  <c r="V37" i="101"/>
  <c r="H22" i="101"/>
  <c r="G22" i="101"/>
  <c r="G25" i="101" s="1"/>
  <c r="F22" i="101"/>
  <c r="F25" i="101" s="1"/>
  <c r="E22" i="101"/>
  <c r="E25" i="101" s="1"/>
  <c r="E36" i="101" s="1"/>
  <c r="H25" i="101"/>
  <c r="AJ86" i="101"/>
  <c r="AK86" i="101" s="1"/>
  <c r="AJ85" i="101"/>
  <c r="AK85" i="101" s="1"/>
  <c r="L85" i="101"/>
  <c r="AJ84" i="101"/>
  <c r="AK84" i="101" s="1"/>
  <c r="AJ83" i="101"/>
  <c r="AK83" i="101" s="1"/>
  <c r="AJ82" i="101"/>
  <c r="AK82" i="101" s="1"/>
  <c r="AJ81" i="101"/>
  <c r="AK81" i="101" s="1"/>
  <c r="AJ80" i="101"/>
  <c r="AK80" i="101" s="1"/>
  <c r="AJ79" i="101"/>
  <c r="AK79" i="101" s="1"/>
  <c r="AJ78" i="101"/>
  <c r="AK78" i="101" s="1"/>
  <c r="D78" i="101"/>
  <c r="AJ77" i="101"/>
  <c r="AK77" i="101" s="1"/>
  <c r="AP76" i="101"/>
  <c r="AQ76" i="101" s="1"/>
  <c r="AL76" i="101"/>
  <c r="AM76" i="101" s="1"/>
  <c r="AJ76" i="101"/>
  <c r="AK76" i="101" s="1"/>
  <c r="AJ75" i="101"/>
  <c r="AK75" i="101" s="1"/>
  <c r="AH47" i="101"/>
  <c r="AH48" i="101" s="1"/>
  <c r="X47" i="101"/>
  <c r="S47" i="101"/>
  <c r="R47" i="101"/>
  <c r="Q47" i="101"/>
  <c r="M42" i="101"/>
  <c r="S92" i="101" s="1"/>
  <c r="M41" i="101"/>
  <c r="M43" i="101" s="1"/>
  <c r="S40" i="101"/>
  <c r="R40" i="101"/>
  <c r="Q40" i="101"/>
  <c r="AD39" i="101"/>
  <c r="AA39" i="101"/>
  <c r="W39" i="101"/>
  <c r="AS37" i="101"/>
  <c r="AS36" i="101"/>
  <c r="AS35" i="101"/>
  <c r="V35" i="101"/>
  <c r="AS34" i="101"/>
  <c r="V34" i="101"/>
  <c r="H34" i="101"/>
  <c r="J84" i="101" s="1"/>
  <c r="J83" i="101" s="1"/>
  <c r="G34" i="101"/>
  <c r="I84" i="101" s="1"/>
  <c r="I83" i="101" s="1"/>
  <c r="F34" i="101"/>
  <c r="H84" i="101" s="1"/>
  <c r="H83" i="101" s="1"/>
  <c r="E34" i="101"/>
  <c r="G84" i="101" s="1"/>
  <c r="G83" i="101" s="1"/>
  <c r="AS33" i="101"/>
  <c r="AJ33" i="101"/>
  <c r="AA37" i="101" s="1"/>
  <c r="V33" i="101"/>
  <c r="M33" i="101"/>
  <c r="AS32" i="101"/>
  <c r="AJ32" i="101"/>
  <c r="AL85" i="101" s="1"/>
  <c r="AM85" i="101" s="1"/>
  <c r="AS31" i="101"/>
  <c r="AJ31" i="101"/>
  <c r="AL84" i="101" s="1"/>
  <c r="AM84" i="101" s="1"/>
  <c r="V31" i="101"/>
  <c r="M31" i="101"/>
  <c r="AS30" i="101"/>
  <c r="AJ30" i="101"/>
  <c r="AI30" i="101" s="1"/>
  <c r="V30" i="101"/>
  <c r="AS29" i="101"/>
  <c r="AJ29" i="101"/>
  <c r="AA31" i="101" s="1"/>
  <c r="AS28" i="101"/>
  <c r="AJ28" i="101"/>
  <c r="AA30" i="101" s="1"/>
  <c r="AN81" i="101" s="1"/>
  <c r="AO81" i="101" s="1"/>
  <c r="V28" i="101"/>
  <c r="S28" i="101"/>
  <c r="R28" i="101"/>
  <c r="Q28" i="101"/>
  <c r="M28" i="101"/>
  <c r="AS27" i="101"/>
  <c r="AJ27" i="101"/>
  <c r="AA28" i="101" s="1"/>
  <c r="S27" i="101"/>
  <c r="R27" i="101"/>
  <c r="Q27" i="101"/>
  <c r="AS26" i="101"/>
  <c r="AJ26" i="101"/>
  <c r="AI26" i="101" s="1"/>
  <c r="V26" i="101"/>
  <c r="AS25" i="101"/>
  <c r="AJ25" i="101"/>
  <c r="AI25" i="101" s="1"/>
  <c r="V25" i="101"/>
  <c r="AS24" i="101"/>
  <c r="AJ24" i="101"/>
  <c r="AK24" i="101" s="1"/>
  <c r="AE24" i="101" s="1"/>
  <c r="V24" i="101"/>
  <c r="F24" i="101"/>
  <c r="G24" i="101" s="1"/>
  <c r="H24" i="101" s="1"/>
  <c r="AS23" i="101"/>
  <c r="AJ23" i="101"/>
  <c r="AI23" i="101" s="1"/>
  <c r="AG23" i="101"/>
  <c r="Y23" i="101"/>
  <c r="V23" i="101"/>
  <c r="AS22" i="101"/>
  <c r="AJ22" i="101"/>
  <c r="AI22" i="101" s="1"/>
  <c r="V22" i="101"/>
  <c r="M20" i="101"/>
  <c r="G20" i="101"/>
  <c r="H20" i="101" s="1"/>
  <c r="F20" i="101"/>
  <c r="AE19" i="101"/>
  <c r="AB53" i="101" s="1"/>
  <c r="AA19" i="101"/>
  <c r="W19" i="101"/>
  <c r="AJ90" i="101" s="1"/>
  <c r="Q13" i="101"/>
  <c r="AF12" i="101"/>
  <c r="AC12" i="101"/>
  <c r="V12" i="101"/>
  <c r="R12" i="101"/>
  <c r="W10" i="101"/>
  <c r="Q10" i="101"/>
  <c r="O10" i="101"/>
  <c r="K10" i="101"/>
  <c r="AB10" i="101" s="1"/>
  <c r="W9" i="101"/>
  <c r="Q9" i="101"/>
  <c r="O9" i="101"/>
  <c r="AV8" i="101"/>
  <c r="AB8" i="101"/>
  <c r="W8" i="101"/>
  <c r="Q8" i="101"/>
  <c r="O8" i="101"/>
  <c r="AB7" i="101"/>
  <c r="W7" i="101"/>
  <c r="Q7" i="101"/>
  <c r="O7" i="101"/>
  <c r="AB6" i="101"/>
  <c r="W6" i="101"/>
  <c r="Q6" i="101"/>
  <c r="O6" i="101"/>
  <c r="R1" i="101"/>
  <c r="AJ22" i="100"/>
  <c r="AK22" i="100" s="1"/>
  <c r="AE22" i="100" s="1"/>
  <c r="AG23" i="100"/>
  <c r="AL76" i="100"/>
  <c r="AM76" i="100" s="1"/>
  <c r="AJ33" i="100"/>
  <c r="AK33" i="100" s="1"/>
  <c r="AE37" i="100" s="1"/>
  <c r="AJ32" i="100"/>
  <c r="AK32" i="100" s="1"/>
  <c r="AE35" i="100" s="1"/>
  <c r="AG35" i="100" s="1"/>
  <c r="AJ31" i="100"/>
  <c r="AI31" i="100" s="1"/>
  <c r="W34" i="100" s="1"/>
  <c r="Y34" i="100" s="1"/>
  <c r="AJ29" i="100"/>
  <c r="AI29" i="100" s="1"/>
  <c r="W31" i="100" s="1"/>
  <c r="Y31" i="100" s="1"/>
  <c r="AJ30" i="100"/>
  <c r="AA33" i="100" s="1"/>
  <c r="AC33" i="100" s="1"/>
  <c r="AJ28" i="100"/>
  <c r="AI28" i="100" s="1"/>
  <c r="W30" i="100" s="1"/>
  <c r="AJ27" i="100"/>
  <c r="AK27" i="100" s="1"/>
  <c r="AE28" i="100" s="1"/>
  <c r="AJ26" i="100"/>
  <c r="AA26" i="100" s="1"/>
  <c r="AJ25" i="100"/>
  <c r="AI25" i="100" s="1"/>
  <c r="W25" i="100" s="1"/>
  <c r="AL78" i="100" s="1"/>
  <c r="AM78" i="100" s="1"/>
  <c r="AJ24" i="100"/>
  <c r="AK24" i="100" s="1"/>
  <c r="AE24" i="100" s="1"/>
  <c r="AG24" i="100" s="1"/>
  <c r="AJ23" i="100"/>
  <c r="AI23" i="100" s="1"/>
  <c r="R27" i="100"/>
  <c r="H22" i="100"/>
  <c r="G22" i="100"/>
  <c r="G25" i="100" s="1"/>
  <c r="F22" i="100"/>
  <c r="F25" i="100" s="1"/>
  <c r="E22" i="100"/>
  <c r="E25" i="100" s="1"/>
  <c r="E36" i="100" s="1"/>
  <c r="E22" i="99"/>
  <c r="AJ86" i="100"/>
  <c r="AK86" i="100" s="1"/>
  <c r="AJ85" i="100"/>
  <c r="AK85" i="100" s="1"/>
  <c r="L85" i="100"/>
  <c r="AJ84" i="100"/>
  <c r="AK84" i="100" s="1"/>
  <c r="AJ83" i="100"/>
  <c r="AK83" i="100" s="1"/>
  <c r="AJ82" i="100"/>
  <c r="AK82" i="100" s="1"/>
  <c r="AJ81" i="100"/>
  <c r="AK81" i="100" s="1"/>
  <c r="AJ80" i="100"/>
  <c r="AK80" i="100" s="1"/>
  <c r="AJ79" i="100"/>
  <c r="AK79" i="100" s="1"/>
  <c r="AJ78" i="100"/>
  <c r="AK78" i="100" s="1"/>
  <c r="D78" i="100"/>
  <c r="AJ77" i="100"/>
  <c r="AK77" i="100" s="1"/>
  <c r="AJ76" i="100"/>
  <c r="AK76" i="100" s="1"/>
  <c r="AJ75" i="100"/>
  <c r="AK75" i="100" s="1"/>
  <c r="AH47" i="100"/>
  <c r="AH48" i="100" s="1"/>
  <c r="AG47" i="100"/>
  <c r="AG48" i="100" s="1"/>
  <c r="AF47" i="100"/>
  <c r="AF48" i="100" s="1"/>
  <c r="X47" i="100"/>
  <c r="S47" i="100"/>
  <c r="R47" i="100"/>
  <c r="Q47" i="100"/>
  <c r="M42" i="100"/>
  <c r="S92" i="100" s="1"/>
  <c r="M41" i="100"/>
  <c r="M43" i="100" s="1"/>
  <c r="S40" i="100"/>
  <c r="R40" i="100"/>
  <c r="Q40" i="100"/>
  <c r="AD39" i="100"/>
  <c r="AA39" i="100"/>
  <c r="W39" i="100"/>
  <c r="AS37" i="100"/>
  <c r="V37" i="100"/>
  <c r="AS36" i="100"/>
  <c r="AS35" i="100"/>
  <c r="V35" i="100"/>
  <c r="AS34" i="100"/>
  <c r="V34" i="100"/>
  <c r="H34" i="100"/>
  <c r="J84" i="100" s="1"/>
  <c r="J83" i="100" s="1"/>
  <c r="G34" i="100"/>
  <c r="I84" i="100" s="1"/>
  <c r="I83" i="100" s="1"/>
  <c r="F34" i="100"/>
  <c r="H84" i="100" s="1"/>
  <c r="H83" i="100" s="1"/>
  <c r="E34" i="100"/>
  <c r="G84" i="100" s="1"/>
  <c r="G83" i="100" s="1"/>
  <c r="AS33" i="100"/>
  <c r="V33" i="100"/>
  <c r="M33" i="100"/>
  <c r="AS32" i="100"/>
  <c r="V31" i="100"/>
  <c r="M31" i="100"/>
  <c r="AS30" i="100"/>
  <c r="V30" i="100"/>
  <c r="AS29" i="100"/>
  <c r="AS28" i="100"/>
  <c r="V28" i="100"/>
  <c r="S28" i="100"/>
  <c r="R28" i="100"/>
  <c r="Q28" i="100"/>
  <c r="M28" i="100"/>
  <c r="AS27" i="100"/>
  <c r="S27" i="100"/>
  <c r="Q27" i="100"/>
  <c r="V26" i="100"/>
  <c r="AS25" i="100"/>
  <c r="V25" i="100"/>
  <c r="H25" i="100"/>
  <c r="AS24" i="100"/>
  <c r="V24" i="100"/>
  <c r="F24" i="100"/>
  <c r="G24" i="100" s="1"/>
  <c r="H24" i="100" s="1"/>
  <c r="AS23" i="100"/>
  <c r="Y23" i="100"/>
  <c r="V23" i="100"/>
  <c r="AS22" i="100"/>
  <c r="V22" i="100"/>
  <c r="M20" i="100"/>
  <c r="F20" i="100"/>
  <c r="G20" i="100" s="1"/>
  <c r="H20" i="100" s="1"/>
  <c r="AE19" i="100"/>
  <c r="AB53" i="100" s="1"/>
  <c r="AA19" i="100"/>
  <c r="AK90" i="100" s="1"/>
  <c r="W19" i="100"/>
  <c r="AJ90" i="100" s="1"/>
  <c r="Q13" i="100"/>
  <c r="AF12" i="100"/>
  <c r="AC12" i="100"/>
  <c r="V12" i="100"/>
  <c r="R12" i="100"/>
  <c r="W10" i="100"/>
  <c r="Q10" i="100"/>
  <c r="O10" i="100"/>
  <c r="K10" i="100"/>
  <c r="AB10" i="100" s="1"/>
  <c r="W9" i="100"/>
  <c r="Q9" i="100"/>
  <c r="O9" i="100"/>
  <c r="AV8" i="100"/>
  <c r="AB8" i="100"/>
  <c r="W8" i="100"/>
  <c r="Q8" i="100"/>
  <c r="O8" i="100"/>
  <c r="AB7" i="100"/>
  <c r="W7" i="100"/>
  <c r="Q7" i="100"/>
  <c r="O7" i="100"/>
  <c r="AB6" i="100"/>
  <c r="W6" i="100"/>
  <c r="Q6" i="100"/>
  <c r="O6" i="100"/>
  <c r="R1" i="100"/>
  <c r="R12" i="99"/>
  <c r="AC37" i="99"/>
  <c r="W37" i="99"/>
  <c r="W35" i="99"/>
  <c r="Y35" i="99" s="1"/>
  <c r="W33" i="99"/>
  <c r="Y33" i="99" s="1"/>
  <c r="W34" i="99"/>
  <c r="Y34" i="99" s="1"/>
  <c r="W31" i="99"/>
  <c r="Y31" i="99" s="1"/>
  <c r="W30" i="99"/>
  <c r="Y30" i="99" s="1"/>
  <c r="AK23" i="99"/>
  <c r="AE23" i="99" s="1"/>
  <c r="AK24" i="99"/>
  <c r="AK25" i="99"/>
  <c r="AK26" i="99"/>
  <c r="AK27" i="99"/>
  <c r="AK28" i="99"/>
  <c r="AK29" i="99"/>
  <c r="AK30" i="99"/>
  <c r="AK31" i="99"/>
  <c r="AK32" i="99"/>
  <c r="AK33" i="99"/>
  <c r="AK34" i="99"/>
  <c r="AK35" i="99"/>
  <c r="AK36" i="99"/>
  <c r="AK37" i="99"/>
  <c r="AK22" i="99"/>
  <c r="AE22" i="99" s="1"/>
  <c r="AG22" i="99" s="1"/>
  <c r="W28" i="99"/>
  <c r="Y28" i="99" s="1"/>
  <c r="W26" i="99"/>
  <c r="Y26" i="99" s="1"/>
  <c r="W25" i="99"/>
  <c r="W24" i="99"/>
  <c r="Y24" i="99" s="1"/>
  <c r="Y25" i="99"/>
  <c r="W23" i="99"/>
  <c r="Y23" i="99" s="1"/>
  <c r="W22" i="99"/>
  <c r="Y22" i="99" s="1"/>
  <c r="Y37" i="99"/>
  <c r="H22" i="99"/>
  <c r="G22" i="99"/>
  <c r="F22" i="99"/>
  <c r="Q27" i="99"/>
  <c r="AI22" i="100" l="1"/>
  <c r="W22" i="100" s="1"/>
  <c r="Y22" i="100" s="1"/>
  <c r="AK32" i="101"/>
  <c r="AA22" i="100"/>
  <c r="AC22" i="100" s="1"/>
  <c r="Y23" i="102"/>
  <c r="S30" i="102"/>
  <c r="M37" i="103"/>
  <c r="M40" i="103" s="1"/>
  <c r="G36" i="103"/>
  <c r="G37" i="103" s="1"/>
  <c r="H36" i="100"/>
  <c r="H37" i="100" s="1"/>
  <c r="AK27" i="101"/>
  <c r="AE28" i="101" s="1"/>
  <c r="Y34" i="102"/>
  <c r="AA31" i="100"/>
  <c r="AN82" i="100" s="1"/>
  <c r="AO82" i="100" s="1"/>
  <c r="AA22" i="101"/>
  <c r="AN75" i="101" s="1"/>
  <c r="AO75" i="101" s="1"/>
  <c r="Y22" i="102"/>
  <c r="M30" i="103"/>
  <c r="AE26" i="103"/>
  <c r="W26" i="103"/>
  <c r="AL79" i="103" s="1"/>
  <c r="AM79" i="103" s="1"/>
  <c r="W40" i="103" s="1"/>
  <c r="AE35" i="103"/>
  <c r="AP85" i="103" s="1"/>
  <c r="AQ85" i="103" s="1"/>
  <c r="W35" i="103"/>
  <c r="AL85" i="103" s="1"/>
  <c r="AM85" i="103" s="1"/>
  <c r="W25" i="103"/>
  <c r="Y25" i="103" s="1"/>
  <c r="AE25" i="103"/>
  <c r="AG25" i="103" s="1"/>
  <c r="AA28" i="103"/>
  <c r="AN80" i="103" s="1"/>
  <c r="AO80" i="103" s="1"/>
  <c r="W28" i="103"/>
  <c r="AL80" i="103" s="1"/>
  <c r="AM80" i="103" s="1"/>
  <c r="AA30" i="103"/>
  <c r="AC30" i="103" s="1"/>
  <c r="AE30" i="103"/>
  <c r="W30" i="103"/>
  <c r="AL81" i="103" s="1"/>
  <c r="AM81" i="103" s="1"/>
  <c r="AE33" i="103"/>
  <c r="W33" i="103"/>
  <c r="AA31" i="103"/>
  <c r="AC31" i="103" s="1"/>
  <c r="AE31" i="103"/>
  <c r="AP82" i="103" s="1"/>
  <c r="AQ82" i="103" s="1"/>
  <c r="W31" i="103"/>
  <c r="AL82" i="103" s="1"/>
  <c r="AM82" i="103" s="1"/>
  <c r="AA34" i="103"/>
  <c r="AC34" i="103" s="1"/>
  <c r="W34" i="103"/>
  <c r="AA25" i="103"/>
  <c r="AC25" i="103" s="1"/>
  <c r="M43" i="111"/>
  <c r="X46" i="111" s="1"/>
  <c r="M39" i="111"/>
  <c r="X45" i="111" s="1"/>
  <c r="AC22" i="102"/>
  <c r="AN75" i="102"/>
  <c r="AO75" i="102" s="1"/>
  <c r="AP84" i="102"/>
  <c r="AQ84" i="102" s="1"/>
  <c r="AG34" i="102"/>
  <c r="AC26" i="100"/>
  <c r="AN79" i="100"/>
  <c r="AO79" i="100" s="1"/>
  <c r="AA40" i="100" s="1"/>
  <c r="X46" i="100"/>
  <c r="F36" i="100"/>
  <c r="F37" i="100" s="1"/>
  <c r="AA23" i="100"/>
  <c r="AA28" i="100"/>
  <c r="AA34" i="100"/>
  <c r="AK23" i="100"/>
  <c r="AK26" i="100"/>
  <c r="AE26" i="100" s="1"/>
  <c r="AK31" i="100"/>
  <c r="AE34" i="100" s="1"/>
  <c r="AP84" i="100" s="1"/>
  <c r="AQ84" i="100" s="1"/>
  <c r="AI24" i="100"/>
  <c r="W24" i="100" s="1"/>
  <c r="AL77" i="100" s="1"/>
  <c r="AM77" i="100" s="1"/>
  <c r="AI27" i="100"/>
  <c r="W28" i="100" s="1"/>
  <c r="AL80" i="100" s="1"/>
  <c r="AM80" i="100" s="1"/>
  <c r="AI32" i="100"/>
  <c r="W35" i="100" s="1"/>
  <c r="H36" i="101"/>
  <c r="AI32" i="101"/>
  <c r="F36" i="102"/>
  <c r="F37" i="102" s="1"/>
  <c r="AI25" i="102"/>
  <c r="W25" i="102" s="1"/>
  <c r="AK30" i="102"/>
  <c r="AE33" i="102" s="1"/>
  <c r="AK27" i="102"/>
  <c r="AE28" i="102" s="1"/>
  <c r="AA34" i="102"/>
  <c r="G36" i="100"/>
  <c r="AA24" i="100"/>
  <c r="AA30" i="100"/>
  <c r="AA35" i="100"/>
  <c r="AC35" i="100" s="1"/>
  <c r="AK25" i="100"/>
  <c r="AE25" i="100" s="1"/>
  <c r="AK30" i="100"/>
  <c r="AE33" i="100" s="1"/>
  <c r="AK29" i="100"/>
  <c r="AE31" i="100" s="1"/>
  <c r="AP82" i="100" s="1"/>
  <c r="AQ82" i="100" s="1"/>
  <c r="AI30" i="100"/>
  <c r="W33" i="100" s="1"/>
  <c r="AL83" i="100" s="1"/>
  <c r="AM83" i="100" s="1"/>
  <c r="W41" i="100" s="1"/>
  <c r="AI26" i="100"/>
  <c r="W26" i="100" s="1"/>
  <c r="Y26" i="100" s="1"/>
  <c r="AI31" i="101"/>
  <c r="AI28" i="101"/>
  <c r="G36" i="102"/>
  <c r="AI24" i="102"/>
  <c r="W24" i="102" s="1"/>
  <c r="AK29" i="102"/>
  <c r="AE31" i="102" s="1"/>
  <c r="AA26" i="102"/>
  <c r="AN79" i="102" s="1"/>
  <c r="AO79" i="102" s="1"/>
  <c r="AA40" i="102" s="1"/>
  <c r="Y22" i="103"/>
  <c r="AG22" i="103"/>
  <c r="AA24" i="103"/>
  <c r="AN77" i="103" s="1"/>
  <c r="AO77" i="103" s="1"/>
  <c r="H36" i="103"/>
  <c r="H37" i="103" s="1"/>
  <c r="AA25" i="100"/>
  <c r="AA37" i="100"/>
  <c r="AI33" i="100"/>
  <c r="W37" i="100" s="1"/>
  <c r="Y37" i="100" s="1"/>
  <c r="AK28" i="100"/>
  <c r="AE30" i="100" s="1"/>
  <c r="AG30" i="100" s="1"/>
  <c r="AK31" i="101"/>
  <c r="AP84" i="101" s="1"/>
  <c r="AQ84" i="101" s="1"/>
  <c r="AK33" i="101"/>
  <c r="AE37" i="101" s="1"/>
  <c r="AI29" i="101"/>
  <c r="AI24" i="101"/>
  <c r="AK32" i="102"/>
  <c r="AE35" i="102" s="1"/>
  <c r="AP85" i="102" s="1"/>
  <c r="AQ85" i="102" s="1"/>
  <c r="AK28" i="102"/>
  <c r="AE30" i="102" s="1"/>
  <c r="F36" i="103"/>
  <c r="F37" i="103" s="1"/>
  <c r="AE34" i="103"/>
  <c r="AP84" i="103" s="1"/>
  <c r="AQ84" i="103" s="1"/>
  <c r="F36" i="101"/>
  <c r="F37" i="101" s="1"/>
  <c r="G36" i="101"/>
  <c r="AI33" i="101"/>
  <c r="AI27" i="101"/>
  <c r="AL80" i="102"/>
  <c r="AM80" i="102" s="1"/>
  <c r="AI26" i="102"/>
  <c r="W26" i="102" s="1"/>
  <c r="AC22" i="103"/>
  <c r="AA26" i="103"/>
  <c r="AC26" i="103" s="1"/>
  <c r="M41" i="103"/>
  <c r="M43" i="103" s="1"/>
  <c r="X46" i="103" s="1"/>
  <c r="Q30" i="103"/>
  <c r="Q31" i="103" s="1"/>
  <c r="AJ91" i="103" s="1"/>
  <c r="R30" i="103"/>
  <c r="R31" i="103" s="1"/>
  <c r="AK91" i="103" s="1"/>
  <c r="S30" i="103"/>
  <c r="S31" i="103" s="1"/>
  <c r="AL91" i="103" s="1"/>
  <c r="E37" i="103"/>
  <c r="AN86" i="103"/>
  <c r="AO86" i="103" s="1"/>
  <c r="AC37" i="103"/>
  <c r="AN82" i="103"/>
  <c r="AO82" i="103" s="1"/>
  <c r="AA33" i="103"/>
  <c r="AB51" i="103"/>
  <c r="E83" i="103"/>
  <c r="AL86" i="103"/>
  <c r="AM86" i="103" s="1"/>
  <c r="AP86" i="103"/>
  <c r="AQ86" i="103" s="1"/>
  <c r="AL90" i="103"/>
  <c r="Y23" i="103"/>
  <c r="AG23" i="103"/>
  <c r="Y24" i="103"/>
  <c r="AG24" i="103"/>
  <c r="AG31" i="103"/>
  <c r="AA35" i="103"/>
  <c r="AB52" i="103"/>
  <c r="AE28" i="103"/>
  <c r="AC23" i="103"/>
  <c r="Y31" i="102"/>
  <c r="AL83" i="102"/>
  <c r="AM83" i="102" s="1"/>
  <c r="W41" i="102" s="1"/>
  <c r="AG22" i="102"/>
  <c r="Y37" i="102"/>
  <c r="AL81" i="102"/>
  <c r="AM81" i="102" s="1"/>
  <c r="AC25" i="102"/>
  <c r="AP78" i="102"/>
  <c r="AQ78" i="102" s="1"/>
  <c r="AC31" i="102"/>
  <c r="AN86" i="102"/>
  <c r="AO86" i="102" s="1"/>
  <c r="S31" i="102"/>
  <c r="AL91" i="102" s="1"/>
  <c r="R30" i="102"/>
  <c r="R31" i="102" s="1"/>
  <c r="AK91" i="102" s="1"/>
  <c r="Q30" i="102"/>
  <c r="Q31" i="102" s="1"/>
  <c r="AJ91" i="102" s="1"/>
  <c r="E37" i="102"/>
  <c r="G37" i="102"/>
  <c r="AG24" i="102"/>
  <c r="AP77" i="102"/>
  <c r="AQ77" i="102" s="1"/>
  <c r="AP79" i="102"/>
  <c r="AQ79" i="102" s="1"/>
  <c r="AD40" i="102" s="1"/>
  <c r="AG26" i="102"/>
  <c r="AC30" i="102"/>
  <c r="AN81" i="102"/>
  <c r="AO81" i="102" s="1"/>
  <c r="AN83" i="102"/>
  <c r="AO83" i="102" s="1"/>
  <c r="AA41" i="102" s="1"/>
  <c r="AC33" i="102"/>
  <c r="AG37" i="102"/>
  <c r="AP86" i="102"/>
  <c r="AQ86" i="102" s="1"/>
  <c r="H36" i="102"/>
  <c r="H37" i="102" s="1"/>
  <c r="AG31" i="102"/>
  <c r="AP82" i="102"/>
  <c r="AQ82" i="102" s="1"/>
  <c r="AC23" i="102"/>
  <c r="AC24" i="102"/>
  <c r="AG25" i="102"/>
  <c r="AC35" i="102"/>
  <c r="M37" i="102"/>
  <c r="AC37" i="102"/>
  <c r="AB51" i="102"/>
  <c r="AN78" i="102"/>
  <c r="AO78" i="102" s="1"/>
  <c r="E83" i="102"/>
  <c r="AL90" i="102"/>
  <c r="S92" i="102"/>
  <c r="AB52" i="102"/>
  <c r="AL75" i="101"/>
  <c r="AM75" i="101" s="1"/>
  <c r="Y22" i="101"/>
  <c r="AG34" i="101"/>
  <c r="AK26" i="101"/>
  <c r="AE26" i="101" s="1"/>
  <c r="AP79" i="101" s="1"/>
  <c r="AQ79" i="101" s="1"/>
  <c r="AD40" i="101" s="1"/>
  <c r="AK22" i="101"/>
  <c r="AA23" i="101"/>
  <c r="AK23" i="101"/>
  <c r="AA24" i="101"/>
  <c r="AL82" i="101"/>
  <c r="AM82" i="101" s="1"/>
  <c r="AA34" i="101"/>
  <c r="AC34" i="101" s="1"/>
  <c r="AA35" i="101"/>
  <c r="AN85" i="101" s="1"/>
  <c r="AO85" i="101" s="1"/>
  <c r="X46" i="101"/>
  <c r="M39" i="101"/>
  <c r="M37" i="101"/>
  <c r="R30" i="101"/>
  <c r="R31" i="101" s="1"/>
  <c r="AK91" i="101" s="1"/>
  <c r="Q30" i="101"/>
  <c r="Q31" i="101" s="1"/>
  <c r="AJ91" i="101" s="1"/>
  <c r="H37" i="101"/>
  <c r="G37" i="101"/>
  <c r="E37" i="101"/>
  <c r="Y31" i="101"/>
  <c r="AG24" i="101"/>
  <c r="AP77" i="101"/>
  <c r="AQ77" i="101" s="1"/>
  <c r="S30" i="101"/>
  <c r="S31" i="101" s="1"/>
  <c r="AL91" i="101" s="1"/>
  <c r="AC30" i="101"/>
  <c r="AN77" i="101"/>
  <c r="AO77" i="101" s="1"/>
  <c r="AC24" i="101"/>
  <c r="AA25" i="101"/>
  <c r="AK25" i="101"/>
  <c r="AE25" i="101" s="1"/>
  <c r="AC28" i="101"/>
  <c r="AN80" i="101"/>
  <c r="AO80" i="101" s="1"/>
  <c r="AN86" i="101"/>
  <c r="AO86" i="101" s="1"/>
  <c r="AC37" i="101"/>
  <c r="Y34" i="101"/>
  <c r="AG35" i="101"/>
  <c r="AP85" i="101"/>
  <c r="AQ85" i="101" s="1"/>
  <c r="AL79" i="101"/>
  <c r="AM79" i="101" s="1"/>
  <c r="W40" i="101" s="1"/>
  <c r="Y26" i="101"/>
  <c r="Y28" i="101"/>
  <c r="AL80" i="101"/>
  <c r="AM80" i="101" s="1"/>
  <c r="AA33" i="101"/>
  <c r="AK30" i="101"/>
  <c r="AE33" i="101" s="1"/>
  <c r="AK90" i="101"/>
  <c r="AB52" i="101"/>
  <c r="Y24" i="101"/>
  <c r="AL77" i="101"/>
  <c r="AM77" i="101" s="1"/>
  <c r="AG28" i="101"/>
  <c r="AP80" i="101"/>
  <c r="AQ80" i="101" s="1"/>
  <c r="AL81" i="101"/>
  <c r="AM81" i="101" s="1"/>
  <c r="Y30" i="101"/>
  <c r="AC31" i="101"/>
  <c r="AN82" i="101"/>
  <c r="AO82" i="101" s="1"/>
  <c r="AG37" i="101"/>
  <c r="AP86" i="101"/>
  <c r="AQ86" i="101" s="1"/>
  <c r="Y35" i="101"/>
  <c r="AB51" i="101"/>
  <c r="E83" i="101"/>
  <c r="AL90" i="101"/>
  <c r="AA26" i="101"/>
  <c r="AK28" i="101"/>
  <c r="AE30" i="101" s="1"/>
  <c r="AK29" i="101"/>
  <c r="AE31" i="101" s="1"/>
  <c r="Y30" i="100"/>
  <c r="AL81" i="100"/>
  <c r="AM81" i="100" s="1"/>
  <c r="AL82" i="100"/>
  <c r="AM82" i="100" s="1"/>
  <c r="AL84" i="100"/>
  <c r="AM84" i="100" s="1"/>
  <c r="AL79" i="100"/>
  <c r="AM79" i="100" s="1"/>
  <c r="W40" i="100" s="1"/>
  <c r="AN85" i="100"/>
  <c r="AO85" i="100" s="1"/>
  <c r="AN83" i="100"/>
  <c r="AO83" i="100" s="1"/>
  <c r="AA41" i="100" s="1"/>
  <c r="AA42" i="100" s="1"/>
  <c r="AK94" i="100" s="1"/>
  <c r="AN75" i="100"/>
  <c r="AO75" i="100" s="1"/>
  <c r="AP86" i="100"/>
  <c r="AQ86" i="100" s="1"/>
  <c r="AG37" i="100"/>
  <c r="AP83" i="100"/>
  <c r="AQ83" i="100" s="1"/>
  <c r="AD41" i="100" s="1"/>
  <c r="AG33" i="100"/>
  <c r="AP75" i="100"/>
  <c r="AQ75" i="100" s="1"/>
  <c r="AG22" i="100"/>
  <c r="Y25" i="100"/>
  <c r="M37" i="100"/>
  <c r="M30" i="100" s="1"/>
  <c r="M39" i="100"/>
  <c r="S30" i="100"/>
  <c r="S31" i="100" s="1"/>
  <c r="AL91" i="100" s="1"/>
  <c r="R30" i="100"/>
  <c r="R31" i="100" s="1"/>
  <c r="AK91" i="100" s="1"/>
  <c r="Q30" i="100"/>
  <c r="Q31" i="100" s="1"/>
  <c r="AJ91" i="100" s="1"/>
  <c r="G37" i="100"/>
  <c r="E37" i="100"/>
  <c r="AP79" i="100"/>
  <c r="AQ79" i="100" s="1"/>
  <c r="AD40" i="100" s="1"/>
  <c r="AG26" i="100"/>
  <c r="AG28" i="100"/>
  <c r="AP80" i="100"/>
  <c r="AQ80" i="100" s="1"/>
  <c r="AG25" i="100"/>
  <c r="AP78" i="100"/>
  <c r="AQ78" i="100" s="1"/>
  <c r="AB51" i="100"/>
  <c r="E83" i="100"/>
  <c r="AP85" i="100"/>
  <c r="AQ85" i="100" s="1"/>
  <c r="AL86" i="100"/>
  <c r="AM86" i="100" s="1"/>
  <c r="AL90" i="100"/>
  <c r="AB52" i="100"/>
  <c r="AL75" i="100"/>
  <c r="AM75" i="100" s="1"/>
  <c r="AP76" i="100"/>
  <c r="AQ76" i="100" s="1"/>
  <c r="AP77" i="100"/>
  <c r="AQ77" i="100" s="1"/>
  <c r="AS26" i="100"/>
  <c r="AS31" i="100"/>
  <c r="AG34" i="100"/>
  <c r="AO22" i="99"/>
  <c r="W42" i="100" l="1"/>
  <c r="AJ94" i="100" s="1"/>
  <c r="AC22" i="101"/>
  <c r="Y26" i="103"/>
  <c r="Y33" i="100"/>
  <c r="AG31" i="100"/>
  <c r="AG35" i="102"/>
  <c r="Y28" i="100"/>
  <c r="X45" i="100"/>
  <c r="AC31" i="100"/>
  <c r="AC35" i="101"/>
  <c r="AL78" i="103"/>
  <c r="AM78" i="103" s="1"/>
  <c r="AP81" i="100"/>
  <c r="AQ81" i="100" s="1"/>
  <c r="Y24" i="100"/>
  <c r="AP78" i="103"/>
  <c r="AQ78" i="103" s="1"/>
  <c r="AG35" i="103"/>
  <c r="Y28" i="103"/>
  <c r="AN78" i="103"/>
  <c r="AO78" i="103" s="1"/>
  <c r="Y30" i="103"/>
  <c r="Y35" i="103"/>
  <c r="AG30" i="103"/>
  <c r="AP81" i="103"/>
  <c r="AQ81" i="103" s="1"/>
  <c r="AP83" i="103"/>
  <c r="AQ83" i="103" s="1"/>
  <c r="AD41" i="103" s="1"/>
  <c r="AG33" i="103"/>
  <c r="AP79" i="103"/>
  <c r="AQ79" i="103" s="1"/>
  <c r="AD40" i="103" s="1"/>
  <c r="AG26" i="103"/>
  <c r="AL83" i="103"/>
  <c r="AM83" i="103" s="1"/>
  <c r="W41" i="103" s="1"/>
  <c r="W42" i="103" s="1"/>
  <c r="AJ94" i="103" s="1"/>
  <c r="Y33" i="103"/>
  <c r="AN81" i="103"/>
  <c r="AO81" i="103" s="1"/>
  <c r="AC28" i="103"/>
  <c r="AG34" i="103"/>
  <c r="Y34" i="103"/>
  <c r="AL84" i="103"/>
  <c r="AM84" i="103" s="1"/>
  <c r="AN84" i="103"/>
  <c r="AO84" i="103" s="1"/>
  <c r="Y31" i="103"/>
  <c r="AN79" i="103"/>
  <c r="AO79" i="103" s="1"/>
  <c r="AA40" i="103" s="1"/>
  <c r="AC24" i="103"/>
  <c r="AA42" i="102"/>
  <c r="Y26" i="102"/>
  <c r="AL79" i="102"/>
  <c r="AM79" i="102" s="1"/>
  <c r="W40" i="102" s="1"/>
  <c r="W42" i="102" s="1"/>
  <c r="AJ94" i="102" s="1"/>
  <c r="AN86" i="100"/>
  <c r="AO86" i="100" s="1"/>
  <c r="AC37" i="100"/>
  <c r="AC30" i="100"/>
  <c r="AN81" i="100"/>
  <c r="AO81" i="100" s="1"/>
  <c r="AN84" i="100"/>
  <c r="AO84" i="100" s="1"/>
  <c r="AC34" i="100"/>
  <c r="AC25" i="100"/>
  <c r="AN78" i="100"/>
  <c r="AO78" i="100" s="1"/>
  <c r="AC24" i="100"/>
  <c r="AN77" i="100"/>
  <c r="AO77" i="100" s="1"/>
  <c r="AN80" i="100"/>
  <c r="AO80" i="100" s="1"/>
  <c r="AC28" i="100"/>
  <c r="Y24" i="102"/>
  <c r="AL77" i="102"/>
  <c r="AM77" i="102" s="1"/>
  <c r="AL78" i="102"/>
  <c r="AM78" i="102" s="1"/>
  <c r="Y25" i="102"/>
  <c r="AL85" i="100"/>
  <c r="AM85" i="100" s="1"/>
  <c r="Y35" i="100"/>
  <c r="AN76" i="100"/>
  <c r="AO76" i="100" s="1"/>
  <c r="AC23" i="100"/>
  <c r="M39" i="103"/>
  <c r="X45" i="103" s="1"/>
  <c r="AN85" i="103"/>
  <c r="AO85" i="103" s="1"/>
  <c r="AC35" i="103"/>
  <c r="AP80" i="103"/>
  <c r="AQ80" i="103" s="1"/>
  <c r="AG28" i="103"/>
  <c r="AN83" i="103"/>
  <c r="AO83" i="103" s="1"/>
  <c r="AA41" i="103" s="1"/>
  <c r="AC33" i="103"/>
  <c r="AN82" i="102"/>
  <c r="AO82" i="102" s="1"/>
  <c r="AK94" i="102"/>
  <c r="AC26" i="102"/>
  <c r="M40" i="102"/>
  <c r="M30" i="102"/>
  <c r="M41" i="102" s="1"/>
  <c r="AP83" i="102"/>
  <c r="AQ83" i="102" s="1"/>
  <c r="AD41" i="102" s="1"/>
  <c r="AG33" i="102"/>
  <c r="AG28" i="102"/>
  <c r="AP80" i="102"/>
  <c r="AQ80" i="102" s="1"/>
  <c r="AP81" i="102"/>
  <c r="AQ81" i="102" s="1"/>
  <c r="AG30" i="102"/>
  <c r="AC34" i="102"/>
  <c r="AN84" i="102"/>
  <c r="AO84" i="102" s="1"/>
  <c r="AC28" i="102"/>
  <c r="AN80" i="102"/>
  <c r="AO80" i="102" s="1"/>
  <c r="AN76" i="101"/>
  <c r="AO76" i="101" s="1"/>
  <c r="AC23" i="101"/>
  <c r="AN84" i="101"/>
  <c r="AO84" i="101" s="1"/>
  <c r="AG26" i="101"/>
  <c r="AP75" i="101"/>
  <c r="AQ75" i="101" s="1"/>
  <c r="AG22" i="101"/>
  <c r="X45" i="101"/>
  <c r="M40" i="101"/>
  <c r="M30" i="101"/>
  <c r="AN78" i="101"/>
  <c r="AO78" i="101" s="1"/>
  <c r="AC25" i="101"/>
  <c r="AP81" i="101"/>
  <c r="AQ81" i="101" s="1"/>
  <c r="AG30" i="101"/>
  <c r="AP83" i="101"/>
  <c r="AQ83" i="101" s="1"/>
  <c r="AD41" i="101" s="1"/>
  <c r="AD42" i="101" s="1"/>
  <c r="AL94" i="101" s="1"/>
  <c r="AG33" i="101"/>
  <c r="AL78" i="101"/>
  <c r="AM78" i="101" s="1"/>
  <c r="Y25" i="101"/>
  <c r="AP82" i="101"/>
  <c r="AQ82" i="101" s="1"/>
  <c r="AG31" i="101"/>
  <c r="AC26" i="101"/>
  <c r="AN79" i="101"/>
  <c r="AO79" i="101" s="1"/>
  <c r="AA40" i="101" s="1"/>
  <c r="AC33" i="101"/>
  <c r="AN83" i="101"/>
  <c r="AO83" i="101" s="1"/>
  <c r="AA41" i="101" s="1"/>
  <c r="Y37" i="101"/>
  <c r="AL86" i="101"/>
  <c r="AM86" i="101" s="1"/>
  <c r="AL83" i="101"/>
  <c r="AM83" i="101" s="1"/>
  <c r="W41" i="101" s="1"/>
  <c r="W42" i="101" s="1"/>
  <c r="AJ94" i="101" s="1"/>
  <c r="Y33" i="101"/>
  <c r="AP78" i="101"/>
  <c r="AQ78" i="101" s="1"/>
  <c r="AG25" i="101"/>
  <c r="AD42" i="100"/>
  <c r="AL94" i="100" s="1"/>
  <c r="M40" i="100"/>
  <c r="AA42" i="101" l="1"/>
  <c r="AK94" i="101" s="1"/>
  <c r="AA42" i="103"/>
  <c r="AK94" i="103" s="1"/>
  <c r="AD42" i="103"/>
  <c r="AL94" i="103" s="1"/>
  <c r="AD42" i="102"/>
  <c r="AL94" i="102" s="1"/>
  <c r="M43" i="102"/>
  <c r="X46" i="102" s="1"/>
  <c r="M39" i="102"/>
  <c r="X45" i="102" s="1"/>
  <c r="AE37" i="99"/>
  <c r="AE35" i="99"/>
  <c r="AE34" i="99"/>
  <c r="AE33" i="99"/>
  <c r="AE31" i="99"/>
  <c r="AE30" i="99"/>
  <c r="AE28" i="99"/>
  <c r="AE26" i="99"/>
  <c r="AE25" i="99"/>
  <c r="AE24" i="99"/>
  <c r="AP86" i="99" l="1"/>
  <c r="AQ86" i="99" s="1"/>
  <c r="AN86" i="99"/>
  <c r="AO86" i="99" s="1"/>
  <c r="AL86" i="99"/>
  <c r="AM86" i="99" s="1"/>
  <c r="AJ86" i="99"/>
  <c r="AK86" i="99" s="1"/>
  <c r="AP85" i="99"/>
  <c r="AQ85" i="99" s="1"/>
  <c r="AN85" i="99"/>
  <c r="AO85" i="99" s="1"/>
  <c r="AL85" i="99"/>
  <c r="AM85" i="99" s="1"/>
  <c r="AJ85" i="99"/>
  <c r="AK85" i="99" s="1"/>
  <c r="L85" i="99"/>
  <c r="AP84" i="99"/>
  <c r="AQ84" i="99" s="1"/>
  <c r="AN84" i="99"/>
  <c r="AO84" i="99" s="1"/>
  <c r="AL84" i="99"/>
  <c r="AM84" i="99" s="1"/>
  <c r="AJ84" i="99"/>
  <c r="AK84" i="99" s="1"/>
  <c r="AP83" i="99"/>
  <c r="AQ83" i="99" s="1"/>
  <c r="AD41" i="99" s="1"/>
  <c r="AN83" i="99"/>
  <c r="AO83" i="99" s="1"/>
  <c r="AA41" i="99" s="1"/>
  <c r="AL83" i="99"/>
  <c r="AM83" i="99" s="1"/>
  <c r="W41" i="99" s="1"/>
  <c r="AJ83" i="99"/>
  <c r="AK83" i="99" s="1"/>
  <c r="AP82" i="99"/>
  <c r="AQ82" i="99" s="1"/>
  <c r="AN82" i="99"/>
  <c r="AO82" i="99" s="1"/>
  <c r="AL82" i="99"/>
  <c r="AM82" i="99" s="1"/>
  <c r="AJ82" i="99"/>
  <c r="AK82" i="99" s="1"/>
  <c r="AP81" i="99"/>
  <c r="AQ81" i="99" s="1"/>
  <c r="AN81" i="99"/>
  <c r="AO81" i="99" s="1"/>
  <c r="AL81" i="99"/>
  <c r="AM81" i="99" s="1"/>
  <c r="AJ81" i="99"/>
  <c r="AK81" i="99" s="1"/>
  <c r="AP80" i="99"/>
  <c r="AQ80" i="99" s="1"/>
  <c r="AN80" i="99"/>
  <c r="AO80" i="99" s="1"/>
  <c r="AL80" i="99"/>
  <c r="AM80" i="99" s="1"/>
  <c r="AJ80" i="99"/>
  <c r="AK80" i="99" s="1"/>
  <c r="AP79" i="99"/>
  <c r="AQ79" i="99" s="1"/>
  <c r="AD40" i="99" s="1"/>
  <c r="AN79" i="99"/>
  <c r="AO79" i="99" s="1"/>
  <c r="AA40" i="99" s="1"/>
  <c r="AL79" i="99"/>
  <c r="AM79" i="99" s="1"/>
  <c r="W40" i="99" s="1"/>
  <c r="AJ79" i="99"/>
  <c r="AK79" i="99" s="1"/>
  <c r="AP78" i="99"/>
  <c r="AQ78" i="99" s="1"/>
  <c r="AN78" i="99"/>
  <c r="AO78" i="99" s="1"/>
  <c r="AL78" i="99"/>
  <c r="AM78" i="99" s="1"/>
  <c r="AJ78" i="99"/>
  <c r="AK78" i="99" s="1"/>
  <c r="D78" i="99"/>
  <c r="AN77" i="99"/>
  <c r="AO77" i="99" s="1"/>
  <c r="AL77" i="99"/>
  <c r="AM77" i="99" s="1"/>
  <c r="AJ77" i="99"/>
  <c r="AK77" i="99" s="1"/>
  <c r="AP76" i="99"/>
  <c r="AQ76" i="99" s="1"/>
  <c r="AN76" i="99"/>
  <c r="AO76" i="99" s="1"/>
  <c r="AL76" i="99"/>
  <c r="AM76" i="99" s="1"/>
  <c r="AJ76" i="99"/>
  <c r="AK76" i="99" s="1"/>
  <c r="AN75" i="99"/>
  <c r="AO75" i="99" s="1"/>
  <c r="AL75" i="99"/>
  <c r="AM75" i="99" s="1"/>
  <c r="AJ75" i="99"/>
  <c r="AK75" i="99" s="1"/>
  <c r="AH47" i="99"/>
  <c r="AH48" i="99" s="1"/>
  <c r="AG47" i="99"/>
  <c r="AG48" i="99" s="1"/>
  <c r="AF47" i="99"/>
  <c r="AF48" i="99" s="1"/>
  <c r="X47" i="99"/>
  <c r="S47" i="99"/>
  <c r="R47" i="99"/>
  <c r="Q47" i="99"/>
  <c r="M42" i="99"/>
  <c r="M37" i="99" s="1"/>
  <c r="M41" i="99"/>
  <c r="M43" i="99" s="1"/>
  <c r="S40" i="99"/>
  <c r="R40" i="99"/>
  <c r="Q40" i="99"/>
  <c r="AD39" i="99"/>
  <c r="AA39" i="99"/>
  <c r="W39" i="99"/>
  <c r="AS37" i="99"/>
  <c r="AG37" i="99"/>
  <c r="V37" i="99"/>
  <c r="AS36" i="99"/>
  <c r="AS35" i="99"/>
  <c r="AG35" i="99"/>
  <c r="AC35" i="99"/>
  <c r="V35" i="99"/>
  <c r="AS34" i="99"/>
  <c r="AG34" i="99"/>
  <c r="AC34" i="99"/>
  <c r="V34" i="99"/>
  <c r="H34" i="99"/>
  <c r="J84" i="99" s="1"/>
  <c r="J83" i="99" s="1"/>
  <c r="G34" i="99"/>
  <c r="I84" i="99" s="1"/>
  <c r="I83" i="99" s="1"/>
  <c r="F34" i="99"/>
  <c r="H84" i="99" s="1"/>
  <c r="H83" i="99" s="1"/>
  <c r="E34" i="99"/>
  <c r="G84" i="99" s="1"/>
  <c r="G83" i="99" s="1"/>
  <c r="AO33" i="99"/>
  <c r="AS33" i="99" s="1"/>
  <c r="AG33" i="99"/>
  <c r="AC33" i="99"/>
  <c r="V33" i="99"/>
  <c r="M33" i="99"/>
  <c r="AO32" i="99"/>
  <c r="AS32" i="99" s="1"/>
  <c r="AO31" i="99"/>
  <c r="AS31" i="99" s="1"/>
  <c r="AG31" i="99"/>
  <c r="AC31" i="99"/>
  <c r="V31" i="99"/>
  <c r="M31" i="99"/>
  <c r="AO30" i="99"/>
  <c r="AS30" i="99" s="1"/>
  <c r="AG30" i="99"/>
  <c r="AC30" i="99"/>
  <c r="V30" i="99"/>
  <c r="AO29" i="99"/>
  <c r="AS29" i="99" s="1"/>
  <c r="AO28" i="99"/>
  <c r="AS28" i="99" s="1"/>
  <c r="AG28" i="99"/>
  <c r="AC28" i="99"/>
  <c r="V28" i="99"/>
  <c r="S28" i="99"/>
  <c r="R28" i="99"/>
  <c r="Q28" i="99"/>
  <c r="M28" i="99"/>
  <c r="AO27" i="99"/>
  <c r="AS27" i="99" s="1"/>
  <c r="S27" i="99"/>
  <c r="R27" i="99"/>
  <c r="AO26" i="99"/>
  <c r="AS26" i="99" s="1"/>
  <c r="AG26" i="99"/>
  <c r="AC26" i="99"/>
  <c r="V26" i="99"/>
  <c r="AO25" i="99"/>
  <c r="AS25" i="99" s="1"/>
  <c r="AG25" i="99"/>
  <c r="AC25" i="99"/>
  <c r="V25" i="99"/>
  <c r="H25" i="99"/>
  <c r="G25" i="99"/>
  <c r="F25" i="99"/>
  <c r="E25" i="99"/>
  <c r="E36" i="99" s="1"/>
  <c r="AO24" i="99"/>
  <c r="AS24" i="99" s="1"/>
  <c r="AG24" i="99"/>
  <c r="AC24" i="99"/>
  <c r="V24" i="99"/>
  <c r="F24" i="99"/>
  <c r="G24" i="99" s="1"/>
  <c r="H24" i="99" s="1"/>
  <c r="AO23" i="99"/>
  <c r="AS23" i="99" s="1"/>
  <c r="AG23" i="99"/>
  <c r="AC23" i="99"/>
  <c r="V23" i="99"/>
  <c r="AS22" i="99"/>
  <c r="AP75" i="99"/>
  <c r="AQ75" i="99" s="1"/>
  <c r="AC22" i="99"/>
  <c r="V22" i="99"/>
  <c r="M20" i="99"/>
  <c r="F20" i="99"/>
  <c r="G20" i="99" s="1"/>
  <c r="H20" i="99" s="1"/>
  <c r="Q13" i="99"/>
  <c r="AF12" i="99"/>
  <c r="AC12" i="99"/>
  <c r="V12" i="99"/>
  <c r="W10" i="99"/>
  <c r="Q10" i="99"/>
  <c r="O10" i="99"/>
  <c r="K10" i="99"/>
  <c r="AB10" i="99" s="1"/>
  <c r="W9" i="99"/>
  <c r="Q9" i="99"/>
  <c r="O9" i="99"/>
  <c r="AV8" i="99"/>
  <c r="AB8" i="99"/>
  <c r="W8" i="99"/>
  <c r="Q8" i="99"/>
  <c r="O8" i="99"/>
  <c r="AB7" i="99"/>
  <c r="W7" i="99"/>
  <c r="Q7" i="99"/>
  <c r="O7" i="99"/>
  <c r="AB6" i="99"/>
  <c r="W6" i="99"/>
  <c r="Q6" i="99"/>
  <c r="O6" i="99"/>
  <c r="R1" i="99"/>
  <c r="AE19" i="99"/>
  <c r="AA19" i="99"/>
  <c r="W19" i="99"/>
  <c r="H36" i="99" l="1"/>
  <c r="H37" i="99" s="1"/>
  <c r="F36" i="99"/>
  <c r="G36" i="99"/>
  <c r="G37" i="99" s="1"/>
  <c r="AA42" i="99"/>
  <c r="AK94" i="99" s="1"/>
  <c r="AD42" i="99"/>
  <c r="AL94" i="99" s="1"/>
  <c r="W42" i="99"/>
  <c r="AJ94" i="99" s="1"/>
  <c r="S30" i="99"/>
  <c r="S31" i="99" s="1"/>
  <c r="AL91" i="99" s="1"/>
  <c r="Q30" i="99"/>
  <c r="Q31" i="99" s="1"/>
  <c r="AJ91" i="99" s="1"/>
  <c r="R30" i="99"/>
  <c r="R31" i="99" s="1"/>
  <c r="AK91" i="99" s="1"/>
  <c r="S92" i="99"/>
  <c r="X46" i="99"/>
  <c r="E83" i="99"/>
  <c r="M39" i="99"/>
  <c r="X45" i="99" s="1"/>
  <c r="F37" i="99"/>
  <c r="E37" i="99"/>
  <c r="AB53" i="99"/>
  <c r="AL90" i="99"/>
  <c r="AJ90" i="99"/>
  <c r="AB51" i="99"/>
  <c r="AK90" i="99"/>
  <c r="AB52" i="99"/>
  <c r="M30" i="99"/>
  <c r="M40" i="99"/>
  <c r="AP77" i="99"/>
  <c r="AQ77" i="99" s="1"/>
  <c r="AJ44" i="6" l="1"/>
  <c r="AJ42" i="6"/>
  <c r="AO22" i="34"/>
  <c r="AA22" i="34" s="1"/>
  <c r="K10" i="34"/>
  <c r="AK41" i="6" l="1"/>
  <c r="AS22" i="34"/>
  <c r="AS34" i="34" l="1"/>
  <c r="AS35" i="34"/>
  <c r="AS36" i="34"/>
  <c r="AS37" i="34"/>
  <c r="AO23" i="34"/>
  <c r="AS23" i="34" s="1"/>
  <c r="AE23" i="34" s="1"/>
  <c r="AO24" i="34"/>
  <c r="AS24" i="34" s="1"/>
  <c r="AE24" i="34" s="1"/>
  <c r="AO25" i="34"/>
  <c r="AS25" i="34" s="1"/>
  <c r="AE25" i="34" s="1"/>
  <c r="AO26" i="34"/>
  <c r="AA26" i="34" s="1"/>
  <c r="AO27" i="34"/>
  <c r="AS27" i="34" s="1"/>
  <c r="AE28" i="34" s="1"/>
  <c r="AO28" i="34"/>
  <c r="AS28" i="34" s="1"/>
  <c r="AE30" i="34" s="1"/>
  <c r="AO29" i="34"/>
  <c r="AS29" i="34" s="1"/>
  <c r="AE31" i="34" s="1"/>
  <c r="AO30" i="34"/>
  <c r="AA33" i="34" s="1"/>
  <c r="AO31" i="34"/>
  <c r="AS31" i="34" s="1"/>
  <c r="AE34" i="34" s="1"/>
  <c r="AO32" i="34"/>
  <c r="AO33" i="34"/>
  <c r="AS33" i="34" s="1"/>
  <c r="AA31" i="34"/>
  <c r="AA23" i="34"/>
  <c r="W34" i="34"/>
  <c r="W33" i="34"/>
  <c r="W31" i="34"/>
  <c r="Y31" i="34" s="1"/>
  <c r="W30" i="34"/>
  <c r="W28" i="34"/>
  <c r="Y28" i="34" s="1"/>
  <c r="W26" i="34"/>
  <c r="Y26" i="34" s="1"/>
  <c r="W25" i="34"/>
  <c r="W24" i="34"/>
  <c r="W23" i="34"/>
  <c r="W22" i="34"/>
  <c r="Q47" i="34"/>
  <c r="AA30" i="34" l="1"/>
  <c r="AA28" i="34"/>
  <c r="AN80" i="34" s="1"/>
  <c r="AO80" i="34" s="1"/>
  <c r="AA24" i="34"/>
  <c r="AC24" i="34" s="1"/>
  <c r="AA34" i="34"/>
  <c r="AN84" i="34" s="1"/>
  <c r="AO84" i="34" s="1"/>
  <c r="AA25" i="34"/>
  <c r="AN86" i="34"/>
  <c r="AO86" i="34" s="1"/>
  <c r="AE22" i="34"/>
  <c r="AP75" i="34" s="1"/>
  <c r="AQ75" i="34" s="1"/>
  <c r="AS30" i="34"/>
  <c r="AE33" i="34" s="1"/>
  <c r="AG33" i="34" s="1"/>
  <c r="AS26" i="34"/>
  <c r="AE26" i="34" s="1"/>
  <c r="AS32" i="34"/>
  <c r="AP85" i="34" s="1"/>
  <c r="AQ85" i="34" s="1"/>
  <c r="AP86" i="34"/>
  <c r="AQ86" i="34" s="1"/>
  <c r="AL86" i="34"/>
  <c r="AM86" i="34" s="1"/>
  <c r="AJ86" i="34"/>
  <c r="AK86" i="34" s="1"/>
  <c r="AN85" i="34"/>
  <c r="AO85" i="34" s="1"/>
  <c r="AL85" i="34"/>
  <c r="AM85" i="34" s="1"/>
  <c r="AJ85" i="34"/>
  <c r="AK85" i="34" s="1"/>
  <c r="L85" i="34"/>
  <c r="AP84" i="34"/>
  <c r="AQ84" i="34" s="1"/>
  <c r="AL84" i="34"/>
  <c r="AM84" i="34" s="1"/>
  <c r="AJ84" i="34"/>
  <c r="AK84" i="34" s="1"/>
  <c r="AN83" i="34"/>
  <c r="AO83" i="34" s="1"/>
  <c r="AA41" i="34" s="1"/>
  <c r="AL83" i="34"/>
  <c r="AM83" i="34" s="1"/>
  <c r="W41" i="34" s="1"/>
  <c r="AJ83" i="34"/>
  <c r="AK83" i="34" s="1"/>
  <c r="AP82" i="34"/>
  <c r="AQ82" i="34" s="1"/>
  <c r="AN82" i="34"/>
  <c r="AO82" i="34" s="1"/>
  <c r="AL82" i="34"/>
  <c r="AM82" i="34" s="1"/>
  <c r="AJ82" i="34"/>
  <c r="AK82" i="34" s="1"/>
  <c r="AP81" i="34"/>
  <c r="AQ81" i="34" s="1"/>
  <c r="AN81" i="34"/>
  <c r="AO81" i="34" s="1"/>
  <c r="AL81" i="34"/>
  <c r="AM81" i="34" s="1"/>
  <c r="AJ81" i="34"/>
  <c r="AK81" i="34" s="1"/>
  <c r="AP80" i="34"/>
  <c r="AQ80" i="34" s="1"/>
  <c r="AL80" i="34"/>
  <c r="AM80" i="34" s="1"/>
  <c r="AJ80" i="34"/>
  <c r="AK80" i="34" s="1"/>
  <c r="AP79" i="34"/>
  <c r="AQ79" i="34" s="1"/>
  <c r="AD40" i="34" s="1"/>
  <c r="AN79" i="34"/>
  <c r="AO79" i="34" s="1"/>
  <c r="AA40" i="34" s="1"/>
  <c r="AL79" i="34"/>
  <c r="AM79" i="34" s="1"/>
  <c r="W40" i="34" s="1"/>
  <c r="AJ79" i="34"/>
  <c r="AK79" i="34" s="1"/>
  <c r="AP78" i="34"/>
  <c r="AQ78" i="34" s="1"/>
  <c r="AN78" i="34"/>
  <c r="AO78" i="34" s="1"/>
  <c r="AL78" i="34"/>
  <c r="AM78" i="34" s="1"/>
  <c r="AJ78" i="34"/>
  <c r="AK78" i="34" s="1"/>
  <c r="D78" i="34"/>
  <c r="AP77" i="34"/>
  <c r="AQ77" i="34" s="1"/>
  <c r="AL77" i="34"/>
  <c r="AM77" i="34" s="1"/>
  <c r="AJ77" i="34"/>
  <c r="AK77" i="34" s="1"/>
  <c r="AP76" i="34"/>
  <c r="AQ76" i="34" s="1"/>
  <c r="AN76" i="34"/>
  <c r="AO76" i="34" s="1"/>
  <c r="AL76" i="34"/>
  <c r="AM76" i="34" s="1"/>
  <c r="AJ76" i="34"/>
  <c r="AK76" i="34" s="1"/>
  <c r="AN75" i="34"/>
  <c r="AO75" i="34" s="1"/>
  <c r="AL75" i="34"/>
  <c r="AM75" i="34" s="1"/>
  <c r="AJ75" i="34"/>
  <c r="AK75" i="34" s="1"/>
  <c r="AH47" i="34"/>
  <c r="AH48" i="34" s="1"/>
  <c r="AG47" i="34"/>
  <c r="AG48" i="34" s="1"/>
  <c r="AF47" i="34"/>
  <c r="AF48" i="34" s="1"/>
  <c r="X47" i="34"/>
  <c r="S47" i="34"/>
  <c r="R47" i="34"/>
  <c r="M42" i="34"/>
  <c r="S92" i="34" s="1"/>
  <c r="S40" i="34"/>
  <c r="R40" i="34"/>
  <c r="Q40" i="34"/>
  <c r="AD39" i="34"/>
  <c r="AA39" i="34"/>
  <c r="W39" i="34"/>
  <c r="AG37" i="34"/>
  <c r="AC37" i="34"/>
  <c r="Y37" i="34"/>
  <c r="V37" i="34"/>
  <c r="AG35" i="34"/>
  <c r="AC35" i="34"/>
  <c r="Y35" i="34"/>
  <c r="V35" i="34"/>
  <c r="AG34" i="34"/>
  <c r="Y34" i="34"/>
  <c r="V34" i="34"/>
  <c r="H34" i="34"/>
  <c r="J84" i="34" s="1"/>
  <c r="J83" i="34" s="1"/>
  <c r="G34" i="34"/>
  <c r="I84" i="34" s="1"/>
  <c r="I83" i="34" s="1"/>
  <c r="F34" i="34"/>
  <c r="E34" i="34"/>
  <c r="G84" i="34" s="1"/>
  <c r="G83" i="34" s="1"/>
  <c r="AC33" i="34"/>
  <c r="Y33" i="34"/>
  <c r="V33" i="34"/>
  <c r="M33" i="34"/>
  <c r="AG31" i="34"/>
  <c r="AC31" i="34"/>
  <c r="V31" i="34"/>
  <c r="M31" i="34"/>
  <c r="AG30" i="34"/>
  <c r="AC30" i="34"/>
  <c r="Y30" i="34"/>
  <c r="V30" i="34"/>
  <c r="AG28" i="34"/>
  <c r="AC28" i="34"/>
  <c r="V28" i="34"/>
  <c r="S28" i="34"/>
  <c r="R28" i="34"/>
  <c r="Q28" i="34"/>
  <c r="S27" i="34"/>
  <c r="R27" i="34"/>
  <c r="Q27" i="34"/>
  <c r="AG26" i="34"/>
  <c r="AC26" i="34"/>
  <c r="V26" i="34"/>
  <c r="M28" i="34"/>
  <c r="AG25" i="34"/>
  <c r="AC25" i="34"/>
  <c r="Y25" i="34"/>
  <c r="V25" i="34"/>
  <c r="E25" i="34"/>
  <c r="E36" i="34" s="1"/>
  <c r="AG24" i="34"/>
  <c r="Y24" i="34"/>
  <c r="V24" i="34"/>
  <c r="F24" i="34"/>
  <c r="G24" i="34" s="1"/>
  <c r="H24" i="34" s="1"/>
  <c r="AG23" i="34"/>
  <c r="AC23" i="34"/>
  <c r="Y23" i="34"/>
  <c r="V23" i="34"/>
  <c r="F23" i="34"/>
  <c r="F25" i="34" s="1"/>
  <c r="AC22" i="34"/>
  <c r="Y22" i="34"/>
  <c r="V22" i="34"/>
  <c r="F21" i="34"/>
  <c r="G21" i="34" s="1"/>
  <c r="H21" i="34" s="1"/>
  <c r="M20" i="34"/>
  <c r="F20" i="34"/>
  <c r="G20" i="34" s="1"/>
  <c r="H20" i="34" s="1"/>
  <c r="Q13" i="34"/>
  <c r="AF12" i="34"/>
  <c r="AC12" i="34"/>
  <c r="V12" i="34"/>
  <c r="W10" i="34"/>
  <c r="Q10" i="34"/>
  <c r="O10" i="34"/>
  <c r="AB10" i="34"/>
  <c r="W9" i="34"/>
  <c r="Q9" i="34"/>
  <c r="O9" i="34"/>
  <c r="AV8" i="34"/>
  <c r="AB8" i="34"/>
  <c r="W8" i="34"/>
  <c r="Q8" i="34"/>
  <c r="O8" i="34"/>
  <c r="AB7" i="34"/>
  <c r="W7" i="34"/>
  <c r="Q7" i="34"/>
  <c r="O7" i="34"/>
  <c r="AB6" i="34"/>
  <c r="W6" i="34"/>
  <c r="Q6" i="34"/>
  <c r="O6" i="34"/>
  <c r="R1" i="34"/>
  <c r="W19" i="34"/>
  <c r="AA19" i="34"/>
  <c r="Q12" i="34"/>
  <c r="AE19" i="34"/>
  <c r="AB9" i="34"/>
  <c r="AG22" i="34" l="1"/>
  <c r="AN77" i="34"/>
  <c r="AO77" i="34" s="1"/>
  <c r="AC34" i="34"/>
  <c r="AP83" i="34"/>
  <c r="AQ83" i="34" s="1"/>
  <c r="AD41" i="34" s="1"/>
  <c r="AD42" i="34" s="1"/>
  <c r="AL94" i="34" s="1"/>
  <c r="G23" i="34"/>
  <c r="G25" i="34" s="1"/>
  <c r="AJ90" i="34"/>
  <c r="AK90" i="34"/>
  <c r="AB52" i="34"/>
  <c r="AB53" i="34"/>
  <c r="AL90" i="34"/>
  <c r="W42" i="34"/>
  <c r="AJ94" i="34" s="1"/>
  <c r="R30" i="34"/>
  <c r="R31" i="34" s="1"/>
  <c r="AK91" i="34" s="1"/>
  <c r="Q30" i="34"/>
  <c r="Q31" i="34" s="1"/>
  <c r="AJ91" i="34" s="1"/>
  <c r="AA42" i="34"/>
  <c r="AK94" i="34" s="1"/>
  <c r="S30" i="34"/>
  <c r="S31" i="34" s="1"/>
  <c r="AL91" i="34" s="1"/>
  <c r="AB51" i="34"/>
  <c r="M37" i="34"/>
  <c r="E83" i="34"/>
  <c r="E37" i="34"/>
  <c r="G36" i="34"/>
  <c r="G37" i="34" s="1"/>
  <c r="F36" i="34"/>
  <c r="F37" i="34" s="1"/>
  <c r="H23" i="34"/>
  <c r="H25" i="34" s="1"/>
  <c r="H36" i="34" s="1"/>
  <c r="H37" i="34" s="1"/>
  <c r="H84" i="34"/>
  <c r="H83" i="34" s="1"/>
  <c r="M40" i="34" l="1"/>
  <c r="M30" i="34"/>
  <c r="M41" i="34" s="1"/>
  <c r="M43" i="34" l="1"/>
  <c r="X46" i="34" s="1"/>
  <c r="M39" i="34"/>
  <c r="X45" i="34" s="1"/>
  <c r="Y24" i="6" l="1"/>
  <c r="Y23" i="6"/>
  <c r="Y22" i="6"/>
  <c r="AG37" i="6"/>
  <c r="AG35" i="6"/>
  <c r="AG34" i="6"/>
  <c r="AG33" i="6"/>
  <c r="AG31" i="6"/>
  <c r="AG30" i="6"/>
  <c r="AG28" i="6"/>
  <c r="AG26" i="6"/>
  <c r="AG25" i="6"/>
  <c r="AG24" i="6"/>
  <c r="AG23" i="6"/>
  <c r="AG22" i="6"/>
  <c r="AC37" i="6"/>
  <c r="AC35" i="6"/>
  <c r="AC34" i="6"/>
  <c r="AC33" i="6"/>
  <c r="AC31" i="6"/>
  <c r="AC30" i="6"/>
  <c r="AC28" i="6"/>
  <c r="AC26" i="6"/>
  <c r="AC25" i="6"/>
  <c r="AC24" i="6"/>
  <c r="AC23" i="6"/>
  <c r="AC22" i="6"/>
  <c r="AD39" i="6"/>
  <c r="AA39" i="6"/>
  <c r="W39" i="6"/>
  <c r="Q47" i="6"/>
  <c r="S27" i="6"/>
  <c r="R27" i="6"/>
  <c r="Q27" i="6"/>
  <c r="F21" i="6" l="1"/>
  <c r="G21" i="6" s="1"/>
  <c r="H21" i="6" s="1"/>
  <c r="F20" i="6"/>
  <c r="G20" i="6" s="1"/>
  <c r="H20" i="6" s="1"/>
  <c r="F23" i="6"/>
  <c r="G23" i="6" s="1"/>
  <c r="H23" i="6" s="1"/>
  <c r="F24" i="6"/>
  <c r="G24" i="6" s="1"/>
  <c r="H24" i="6" s="1"/>
  <c r="AF47" i="6"/>
  <c r="AF48" i="6" s="1"/>
  <c r="Q40" i="6"/>
  <c r="AP86" i="6"/>
  <c r="AQ86" i="6" s="1"/>
  <c r="AP84" i="6"/>
  <c r="AQ84" i="6" s="1"/>
  <c r="AP85" i="6"/>
  <c r="AQ85" i="6" s="1"/>
  <c r="AP83" i="6"/>
  <c r="AQ83" i="6" s="1"/>
  <c r="AD41" i="6" s="1"/>
  <c r="AP82" i="6"/>
  <c r="AQ82" i="6" s="1"/>
  <c r="AP81" i="6"/>
  <c r="AQ81" i="6" s="1"/>
  <c r="AP80" i="6"/>
  <c r="AQ80" i="6" s="1"/>
  <c r="AP76" i="6"/>
  <c r="AQ76" i="6" s="1"/>
  <c r="AP77" i="6"/>
  <c r="AP78" i="6"/>
  <c r="AQ78" i="6" s="1"/>
  <c r="AP79" i="6"/>
  <c r="AQ79" i="6" s="1"/>
  <c r="AD40" i="6" s="1"/>
  <c r="AP75" i="6"/>
  <c r="AQ75" i="6" s="1"/>
  <c r="AN86" i="6"/>
  <c r="AO86" i="6" s="1"/>
  <c r="AN84" i="6"/>
  <c r="AO84" i="6" s="1"/>
  <c r="AN85" i="6"/>
  <c r="AO85" i="6" s="1"/>
  <c r="AN83" i="6"/>
  <c r="AO83" i="6" s="1"/>
  <c r="AA41" i="6" s="1"/>
  <c r="AN82" i="6"/>
  <c r="AO82" i="6" s="1"/>
  <c r="AN81" i="6"/>
  <c r="AO81" i="6" s="1"/>
  <c r="AN80" i="6"/>
  <c r="AO80" i="6" s="1"/>
  <c r="AN76" i="6"/>
  <c r="AO76" i="6" s="1"/>
  <c r="AN77" i="6"/>
  <c r="AO77" i="6" s="1"/>
  <c r="AN78" i="6"/>
  <c r="AO78" i="6" s="1"/>
  <c r="AN79" i="6"/>
  <c r="AO79" i="6" s="1"/>
  <c r="AA40" i="6" s="1"/>
  <c r="AN75" i="6"/>
  <c r="AO75" i="6" s="1"/>
  <c r="AL86" i="6"/>
  <c r="AM86" i="6" s="1"/>
  <c r="AL84" i="6"/>
  <c r="AM84" i="6" s="1"/>
  <c r="AL85" i="6"/>
  <c r="AM85" i="6" s="1"/>
  <c r="AL83" i="6"/>
  <c r="AM83" i="6" s="1"/>
  <c r="W41" i="6" s="1"/>
  <c r="AL82" i="6"/>
  <c r="AM82" i="6" s="1"/>
  <c r="AL81" i="6"/>
  <c r="AM81" i="6" s="1"/>
  <c r="AL80" i="6"/>
  <c r="AM80" i="6" s="1"/>
  <c r="AL76" i="6"/>
  <c r="AM76" i="6" s="1"/>
  <c r="AL77" i="6"/>
  <c r="AM77" i="6" s="1"/>
  <c r="AL78" i="6"/>
  <c r="AM78" i="6" s="1"/>
  <c r="AL79" i="6"/>
  <c r="AM79" i="6" s="1"/>
  <c r="W40" i="6" s="1"/>
  <c r="AL75" i="6"/>
  <c r="AM75" i="6" s="1"/>
  <c r="AJ86" i="6"/>
  <c r="AK86" i="6" s="1"/>
  <c r="AJ84" i="6"/>
  <c r="AK84" i="6" s="1"/>
  <c r="AJ85" i="6"/>
  <c r="AK85" i="6" s="1"/>
  <c r="AJ83" i="6"/>
  <c r="AK83" i="6" s="1"/>
  <c r="AJ82" i="6"/>
  <c r="AJ81" i="6"/>
  <c r="AK81" i="6" s="1"/>
  <c r="AJ80" i="6"/>
  <c r="AK80" i="6" s="1"/>
  <c r="AJ76" i="6"/>
  <c r="AK76" i="6" s="1"/>
  <c r="AJ77" i="6"/>
  <c r="AK77" i="6" s="1"/>
  <c r="AJ78" i="6"/>
  <c r="AK78" i="6" s="1"/>
  <c r="AJ79" i="6"/>
  <c r="AK79" i="6" s="1"/>
  <c r="AJ75" i="6"/>
  <c r="AK75" i="6" s="1"/>
  <c r="AK82" i="6"/>
  <c r="AQ77" i="6"/>
  <c r="Y28" i="6"/>
  <c r="Y26" i="6"/>
  <c r="M37" i="6"/>
  <c r="M40" i="6" s="1"/>
  <c r="M20" i="6"/>
  <c r="K10" i="6"/>
  <c r="Y25" i="6"/>
  <c r="Y30" i="6"/>
  <c r="Y31" i="6"/>
  <c r="Y33" i="6"/>
  <c r="Y34" i="6"/>
  <c r="Y35" i="6"/>
  <c r="Y37" i="6"/>
  <c r="AH47" i="6"/>
  <c r="AH48" i="6" s="1"/>
  <c r="AG47" i="6"/>
  <c r="AG48" i="6" s="1"/>
  <c r="Q12" i="6"/>
  <c r="AA42" i="6" l="1"/>
  <c r="AD42" i="6"/>
  <c r="W42" i="6"/>
  <c r="AJ94" i="6" s="1"/>
  <c r="AE19" i="6"/>
  <c r="AA19" i="6"/>
  <c r="AB9" i="6"/>
  <c r="AB52" i="6" l="1"/>
  <c r="AK90" i="6"/>
  <c r="AB53" i="6"/>
  <c r="AL90" i="6"/>
  <c r="AC12" i="6"/>
  <c r="X47" i="6"/>
  <c r="V37" i="6"/>
  <c r="V35" i="6"/>
  <c r="V34" i="6"/>
  <c r="V33" i="6"/>
  <c r="V31" i="6"/>
  <c r="V30" i="6"/>
  <c r="V28" i="6"/>
  <c r="V26" i="6"/>
  <c r="V25" i="6"/>
  <c r="V24" i="6"/>
  <c r="V23" i="6"/>
  <c r="V22" i="6"/>
  <c r="R28" i="6"/>
  <c r="R30" i="6" s="1"/>
  <c r="S28" i="6"/>
  <c r="S30" i="6" s="1"/>
  <c r="Q28" i="6"/>
  <c r="Q30" i="6" s="1"/>
  <c r="S47" i="6"/>
  <c r="R47" i="6"/>
  <c r="S40" i="6"/>
  <c r="R40" i="6"/>
  <c r="L85" i="6"/>
  <c r="M31" i="6"/>
  <c r="M33" i="6"/>
  <c r="M26" i="6"/>
  <c r="M28" i="6" s="1"/>
  <c r="M42" i="6"/>
  <c r="E83" i="6" s="1"/>
  <c r="E25" i="6"/>
  <c r="AL94" i="6" l="1"/>
  <c r="AK94" i="6"/>
  <c r="Q31" i="6"/>
  <c r="AJ91" i="6" s="1"/>
  <c r="R31" i="6"/>
  <c r="AK91" i="6" s="1"/>
  <c r="S31" i="6"/>
  <c r="AL91" i="6" s="1"/>
  <c r="S92" i="6"/>
  <c r="M30" i="6" l="1"/>
  <c r="AB10" i="6"/>
  <c r="D78" i="6"/>
  <c r="M34" i="6" s="1"/>
  <c r="G25" i="6"/>
  <c r="M41" i="6" l="1"/>
  <c r="M39" i="6" s="1"/>
  <c r="X45" i="6" s="1"/>
  <c r="M43" i="6" l="1"/>
  <c r="X46" i="6" s="1"/>
  <c r="H34" i="6"/>
  <c r="J84" i="6" s="1"/>
  <c r="J83" i="6" s="1"/>
  <c r="G34" i="6"/>
  <c r="I84" i="6" s="1"/>
  <c r="I83" i="6" s="1"/>
  <c r="F34" i="6"/>
  <c r="H84" i="6" s="1"/>
  <c r="H83" i="6" s="1"/>
  <c r="E34" i="6"/>
  <c r="G84" i="6" s="1"/>
  <c r="G83" i="6" s="1"/>
  <c r="H25" i="6"/>
  <c r="H36" i="6" s="1"/>
  <c r="G36" i="6"/>
  <c r="F25" i="6"/>
  <c r="F36" i="6" s="1"/>
  <c r="E36" i="6"/>
  <c r="E37" i="6" l="1"/>
  <c r="H37" i="6"/>
  <c r="F37" i="6"/>
  <c r="G37" i="6"/>
  <c r="Q13" i="6"/>
  <c r="AF12" i="6"/>
  <c r="V12" i="6"/>
  <c r="W10" i="6"/>
  <c r="Q10" i="6"/>
  <c r="O10" i="6"/>
  <c r="W9" i="6"/>
  <c r="Q9" i="6"/>
  <c r="O9" i="6"/>
  <c r="AV8" i="6"/>
  <c r="AB8" i="6"/>
  <c r="W8" i="6"/>
  <c r="Q8" i="6"/>
  <c r="O8" i="6"/>
  <c r="AB7" i="6"/>
  <c r="W7" i="6"/>
  <c r="Q7" i="6"/>
  <c r="O7" i="6"/>
  <c r="AB6" i="6"/>
  <c r="W6" i="6"/>
  <c r="Q6" i="6"/>
  <c r="O6" i="6"/>
  <c r="R1" i="6"/>
  <c r="W19" i="6"/>
  <c r="AJ90" i="6" l="1"/>
  <c r="AB5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000-000001000000}">
      <text>
        <r>
          <rPr>
            <sz val="9"/>
            <color indexed="81"/>
            <rFont val="Tahoma"/>
            <family val="2"/>
          </rPr>
          <t>CONSECUTIVO DE INGRESO</t>
        </r>
      </text>
    </comment>
    <comment ref="M9" authorId="0" shapeId="0" xr:uid="{00000000-0006-0000-0000-000002000000}">
      <text>
        <r>
          <rPr>
            <sz val="9"/>
            <color indexed="81"/>
            <rFont val="Tahoma"/>
            <family val="2"/>
          </rPr>
          <t>DOS ÚLTIMOS DÍGITOS DEL AÑO DE INGRESO</t>
        </r>
      </text>
    </comment>
    <comment ref="F12" authorId="0" shapeId="0" xr:uid="{00000000-0006-0000-0000-000003000000}">
      <text>
        <r>
          <rPr>
            <b/>
            <sz val="9"/>
            <color indexed="81"/>
            <rFont val="Tahoma"/>
            <family val="2"/>
          </rPr>
          <t xml:space="preserve"># DE LA PERFORACIÓN
</t>
        </r>
      </text>
    </comment>
    <comment ref="M34" authorId="0" shapeId="0" xr:uid="{00000000-0006-0000-0000-000004000000}">
      <text>
        <r>
          <rPr>
            <b/>
            <sz val="9"/>
            <color indexed="81"/>
            <rFont val="Tahoma"/>
            <family val="2"/>
          </rPr>
          <t>GRAVEDAD ESPECIFICA CELDA B71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100-000001000000}">
      <text>
        <r>
          <rPr>
            <sz val="9"/>
            <color indexed="81"/>
            <rFont val="Tahoma"/>
            <family val="2"/>
          </rPr>
          <t>CONSECUTIVO DE INGRESO</t>
        </r>
      </text>
    </comment>
    <comment ref="M9" authorId="0" shapeId="0" xr:uid="{00000000-0006-0000-0100-000002000000}">
      <text>
        <r>
          <rPr>
            <sz val="9"/>
            <color indexed="81"/>
            <rFont val="Tahoma"/>
            <family val="2"/>
          </rPr>
          <t>DOS ÚLTIMOS DÍGITOS DEL AÑO DE INGRESO</t>
        </r>
      </text>
    </comment>
    <comment ref="F12" authorId="0" shapeId="0" xr:uid="{00000000-0006-0000-0100-000003000000}">
      <text>
        <r>
          <rPr>
            <b/>
            <sz val="9"/>
            <color indexed="81"/>
            <rFont val="Tahoma"/>
            <family val="2"/>
          </rPr>
          <t xml:space="preserve"># DE LA PERFORACIÓN
</t>
        </r>
      </text>
    </comment>
    <comment ref="M34" authorId="0" shapeId="0" xr:uid="{00000000-0006-0000-0100-000004000000}">
      <text>
        <r>
          <rPr>
            <b/>
            <sz val="9"/>
            <color indexed="81"/>
            <rFont val="Tahoma"/>
            <family val="2"/>
          </rPr>
          <t>GRAVEDAD ESPECIFICA CELDA B71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200-000001000000}">
      <text>
        <r>
          <rPr>
            <sz val="9"/>
            <color indexed="81"/>
            <rFont val="Tahoma"/>
            <family val="2"/>
          </rPr>
          <t>CONSECUTIVO DE INGRESO</t>
        </r>
      </text>
    </comment>
    <comment ref="M9" authorId="0" shapeId="0" xr:uid="{00000000-0006-0000-0200-000002000000}">
      <text>
        <r>
          <rPr>
            <sz val="9"/>
            <color indexed="81"/>
            <rFont val="Tahoma"/>
            <family val="2"/>
          </rPr>
          <t>DOS ÚLTIMOS DÍGITOS DEL AÑO DE INGRESO</t>
        </r>
      </text>
    </comment>
    <comment ref="F12" authorId="0" shapeId="0" xr:uid="{00000000-0006-0000-0200-000003000000}">
      <text>
        <r>
          <rPr>
            <b/>
            <sz val="9"/>
            <color indexed="81"/>
            <rFont val="Tahoma"/>
            <family val="2"/>
          </rPr>
          <t xml:space="preserve"># DE LA PERFORACIÓN
</t>
        </r>
      </text>
    </comment>
    <comment ref="M34" authorId="0" shapeId="0" xr:uid="{00000000-0006-0000-0200-000004000000}">
      <text>
        <r>
          <rPr>
            <b/>
            <sz val="9"/>
            <color indexed="81"/>
            <rFont val="Tahoma"/>
            <family val="2"/>
          </rPr>
          <t>GRAVEDAD ESPECIFICA CELDA B71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300-000001000000}">
      <text>
        <r>
          <rPr>
            <sz val="9"/>
            <color indexed="81"/>
            <rFont val="Tahoma"/>
            <family val="2"/>
          </rPr>
          <t>CONSECUTIVO DE INGRESO</t>
        </r>
      </text>
    </comment>
    <comment ref="M9" authorId="0" shapeId="0" xr:uid="{00000000-0006-0000-0300-000002000000}">
      <text>
        <r>
          <rPr>
            <sz val="9"/>
            <color indexed="81"/>
            <rFont val="Tahoma"/>
            <family val="2"/>
          </rPr>
          <t>DOS ÚLTIMOS DÍGITOS DEL AÑO DE INGRESO</t>
        </r>
      </text>
    </comment>
    <comment ref="F12" authorId="0" shapeId="0" xr:uid="{00000000-0006-0000-0300-000003000000}">
      <text>
        <r>
          <rPr>
            <b/>
            <sz val="9"/>
            <color indexed="81"/>
            <rFont val="Tahoma"/>
            <family val="2"/>
          </rPr>
          <t xml:space="preserve"># DE LA PERFORACIÓN
</t>
        </r>
      </text>
    </comment>
    <comment ref="M34" authorId="0" shapeId="0" xr:uid="{00000000-0006-0000-0300-000004000000}">
      <text>
        <r>
          <rPr>
            <b/>
            <sz val="9"/>
            <color indexed="81"/>
            <rFont val="Tahoma"/>
            <family val="2"/>
          </rPr>
          <t>GRAVEDAD ESPECIFICA CELDA B71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400-000001000000}">
      <text>
        <r>
          <rPr>
            <sz val="9"/>
            <color indexed="81"/>
            <rFont val="Tahoma"/>
            <family val="2"/>
          </rPr>
          <t>CONSECUTIVO DE INGRESO</t>
        </r>
      </text>
    </comment>
    <comment ref="M9" authorId="0" shapeId="0" xr:uid="{00000000-0006-0000-0400-000002000000}">
      <text>
        <r>
          <rPr>
            <sz val="9"/>
            <color indexed="81"/>
            <rFont val="Tahoma"/>
            <family val="2"/>
          </rPr>
          <t>DOS ÚLTIMOS DÍGITOS DEL AÑO DE INGRESO</t>
        </r>
      </text>
    </comment>
    <comment ref="F12" authorId="0" shapeId="0" xr:uid="{00000000-0006-0000-0400-000003000000}">
      <text>
        <r>
          <rPr>
            <b/>
            <sz val="9"/>
            <color indexed="81"/>
            <rFont val="Tahoma"/>
            <family val="2"/>
          </rPr>
          <t xml:space="preserve"># DE LA PERFORACIÓN
</t>
        </r>
      </text>
    </comment>
    <comment ref="M34" authorId="0" shapeId="0" xr:uid="{00000000-0006-0000-0400-000004000000}">
      <text>
        <r>
          <rPr>
            <b/>
            <sz val="9"/>
            <color indexed="81"/>
            <rFont val="Tahoma"/>
            <family val="2"/>
          </rPr>
          <t>GRAVEDAD ESPECIFICA CELDA B71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500-000001000000}">
      <text>
        <r>
          <rPr>
            <sz val="9"/>
            <color indexed="81"/>
            <rFont val="Tahoma"/>
            <family val="2"/>
          </rPr>
          <t>CONSECUTIVO DE INGRESO</t>
        </r>
      </text>
    </comment>
    <comment ref="M9" authorId="0" shapeId="0" xr:uid="{00000000-0006-0000-0500-000002000000}">
      <text>
        <r>
          <rPr>
            <sz val="9"/>
            <color indexed="81"/>
            <rFont val="Tahoma"/>
            <family val="2"/>
          </rPr>
          <t>DOS ÚLTIMOS DÍGITOS DEL AÑO DE INGRESO</t>
        </r>
      </text>
    </comment>
    <comment ref="F12" authorId="0" shapeId="0" xr:uid="{00000000-0006-0000-0500-000003000000}">
      <text>
        <r>
          <rPr>
            <b/>
            <sz val="9"/>
            <color indexed="81"/>
            <rFont val="Tahoma"/>
            <family val="2"/>
          </rPr>
          <t xml:space="preserve"># DE LA PERFORACIÓN
</t>
        </r>
      </text>
    </comment>
    <comment ref="M34" authorId="0" shapeId="0" xr:uid="{00000000-0006-0000-0500-000004000000}">
      <text>
        <r>
          <rPr>
            <b/>
            <sz val="9"/>
            <color indexed="81"/>
            <rFont val="Tahoma"/>
            <family val="2"/>
          </rPr>
          <t>GRAVEDAD ESPECIFICA CELDA B71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600-000001000000}">
      <text>
        <r>
          <rPr>
            <sz val="9"/>
            <color indexed="81"/>
            <rFont val="Tahoma"/>
            <family val="2"/>
          </rPr>
          <t>CONSECUTIVO DE INGRESO</t>
        </r>
      </text>
    </comment>
    <comment ref="M9" authorId="0" shapeId="0" xr:uid="{00000000-0006-0000-0600-000002000000}">
      <text>
        <r>
          <rPr>
            <sz val="9"/>
            <color indexed="81"/>
            <rFont val="Tahoma"/>
            <family val="2"/>
          </rPr>
          <t>DOS ÚLTIMOS DÍGITOS DEL AÑO DE INGRESO</t>
        </r>
      </text>
    </comment>
    <comment ref="F12" authorId="0" shapeId="0" xr:uid="{00000000-0006-0000-0600-000003000000}">
      <text>
        <r>
          <rPr>
            <b/>
            <sz val="9"/>
            <color indexed="81"/>
            <rFont val="Tahoma"/>
            <family val="2"/>
          </rPr>
          <t xml:space="preserve"># DE LA PERFORACIÓN
</t>
        </r>
      </text>
    </comment>
    <comment ref="M34" authorId="0" shapeId="0" xr:uid="{00000000-0006-0000-0600-000004000000}">
      <text>
        <r>
          <rPr>
            <b/>
            <sz val="9"/>
            <color indexed="81"/>
            <rFont val="Tahoma"/>
            <family val="2"/>
          </rPr>
          <t>GRAVEDAD ESPECIFICA CELDA B71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700-000001000000}">
      <text>
        <r>
          <rPr>
            <sz val="9"/>
            <color indexed="81"/>
            <rFont val="Tahoma"/>
            <family val="2"/>
          </rPr>
          <t>CONSECUTIVO DE INGRESO</t>
        </r>
      </text>
    </comment>
    <comment ref="M9" authorId="0" shapeId="0" xr:uid="{00000000-0006-0000-0700-000002000000}">
      <text>
        <r>
          <rPr>
            <sz val="9"/>
            <color indexed="81"/>
            <rFont val="Tahoma"/>
            <family val="2"/>
          </rPr>
          <t>DOS ÚLTIMOS DÍGITOS DEL AÑO DE INGRESO</t>
        </r>
      </text>
    </comment>
    <comment ref="F12" authorId="0" shapeId="0" xr:uid="{00000000-0006-0000-0700-000003000000}">
      <text>
        <r>
          <rPr>
            <b/>
            <sz val="9"/>
            <color indexed="81"/>
            <rFont val="Tahoma"/>
            <family val="2"/>
          </rPr>
          <t xml:space="preserve"># DE LA PERFORACIÓN
</t>
        </r>
      </text>
    </comment>
    <comment ref="M34" authorId="0" shapeId="0" xr:uid="{00000000-0006-0000-0700-000004000000}">
      <text>
        <r>
          <rPr>
            <b/>
            <sz val="9"/>
            <color indexed="81"/>
            <rFont val="Tahoma"/>
            <family val="2"/>
          </rPr>
          <t>GRAVEDAD ESPECIFICA CELDA B71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900-000001000000}">
      <text>
        <r>
          <rPr>
            <sz val="9"/>
            <color indexed="81"/>
            <rFont val="Tahoma"/>
            <family val="2"/>
          </rPr>
          <t>CONSECUTIVO DE INGRESO</t>
        </r>
      </text>
    </comment>
    <comment ref="M9" authorId="0" shapeId="0" xr:uid="{00000000-0006-0000-0900-000002000000}">
      <text>
        <r>
          <rPr>
            <sz val="9"/>
            <color indexed="81"/>
            <rFont val="Tahoma"/>
            <family val="2"/>
          </rPr>
          <t>DOS ÚLTIMOS DÍGITOS DEL AÑO DE INGRESO</t>
        </r>
      </text>
    </comment>
    <comment ref="F12" authorId="0" shapeId="0" xr:uid="{00000000-0006-0000-0900-000003000000}">
      <text>
        <r>
          <rPr>
            <b/>
            <sz val="9"/>
            <color indexed="81"/>
            <rFont val="Tahoma"/>
            <family val="2"/>
          </rPr>
          <t xml:space="preserve"># DE LA PERFORACIÓN
</t>
        </r>
      </text>
    </comment>
    <comment ref="M34" authorId="0" shapeId="0" xr:uid="{00000000-0006-0000-0900-000004000000}">
      <text>
        <r>
          <rPr>
            <b/>
            <sz val="9"/>
            <color indexed="81"/>
            <rFont val="Tahoma"/>
            <family val="2"/>
          </rPr>
          <t>GRAVEDAD ESPECIFICA CELDA B71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A00-000001000000}">
      <text>
        <r>
          <rPr>
            <sz val="9"/>
            <color indexed="81"/>
            <rFont val="Tahoma"/>
            <family val="2"/>
          </rPr>
          <t>CONSECUTIVO DE INGRESO</t>
        </r>
      </text>
    </comment>
    <comment ref="M9" authorId="0" shapeId="0" xr:uid="{00000000-0006-0000-0A00-000002000000}">
      <text>
        <r>
          <rPr>
            <sz val="9"/>
            <color indexed="81"/>
            <rFont val="Tahoma"/>
            <family val="2"/>
          </rPr>
          <t>DOS ÚLTIMOS DÍGITOS DEL AÑO DE INGRESO</t>
        </r>
      </text>
    </comment>
    <comment ref="F12" authorId="0" shapeId="0" xr:uid="{00000000-0006-0000-0A00-000003000000}">
      <text>
        <r>
          <rPr>
            <b/>
            <sz val="9"/>
            <color indexed="81"/>
            <rFont val="Tahoma"/>
            <family val="2"/>
          </rPr>
          <t xml:space="preserve"># DE LA PERFORACIÓN
</t>
        </r>
      </text>
    </comment>
    <comment ref="M34" authorId="0" shapeId="0" xr:uid="{00000000-0006-0000-0A00-000004000000}">
      <text>
        <r>
          <rPr>
            <b/>
            <sz val="9"/>
            <color indexed="81"/>
            <rFont val="Tahoma"/>
            <family val="2"/>
          </rPr>
          <t>GRAVEDAD ESPECIFICA CELDA B71</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B00-000001000000}">
      <text>
        <r>
          <rPr>
            <sz val="9"/>
            <color indexed="81"/>
            <rFont val="Tahoma"/>
            <family val="2"/>
          </rPr>
          <t>CONSECUTIVO DE INGRESO</t>
        </r>
      </text>
    </comment>
    <comment ref="M9" authorId="0" shapeId="0" xr:uid="{00000000-0006-0000-0B00-000002000000}">
      <text>
        <r>
          <rPr>
            <sz val="9"/>
            <color indexed="81"/>
            <rFont val="Tahoma"/>
            <family val="2"/>
          </rPr>
          <t>DOS ÚLTIMOS DÍGITOS DEL AÑO DE INGRESO</t>
        </r>
      </text>
    </comment>
    <comment ref="F12" authorId="0" shapeId="0" xr:uid="{00000000-0006-0000-0B00-000003000000}">
      <text>
        <r>
          <rPr>
            <b/>
            <sz val="9"/>
            <color indexed="81"/>
            <rFont val="Tahoma"/>
            <family val="2"/>
          </rPr>
          <t xml:space="preserve"># DE LA PERFORACIÓN
</t>
        </r>
      </text>
    </comment>
    <comment ref="M34" authorId="0" shapeId="0" xr:uid="{00000000-0006-0000-0B00-000004000000}">
      <text>
        <r>
          <rPr>
            <b/>
            <sz val="9"/>
            <color indexed="81"/>
            <rFont val="Tahoma"/>
            <family val="2"/>
          </rPr>
          <t>GRAVEDAD ESPECIFICA CELDA B71</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C00-000001000000}">
      <text>
        <r>
          <rPr>
            <sz val="9"/>
            <color indexed="81"/>
            <rFont val="Tahoma"/>
            <family val="2"/>
          </rPr>
          <t>CONSECUTIVO DE INGRESO</t>
        </r>
      </text>
    </comment>
    <comment ref="M9" authorId="0" shapeId="0" xr:uid="{00000000-0006-0000-0C00-000002000000}">
      <text>
        <r>
          <rPr>
            <sz val="9"/>
            <color indexed="81"/>
            <rFont val="Tahoma"/>
            <family val="2"/>
          </rPr>
          <t>DOS ÚLTIMOS DÍGITOS DEL AÑO DE INGRESO</t>
        </r>
      </text>
    </comment>
    <comment ref="F12" authorId="0" shapeId="0" xr:uid="{00000000-0006-0000-0C00-000003000000}">
      <text>
        <r>
          <rPr>
            <b/>
            <sz val="9"/>
            <color indexed="81"/>
            <rFont val="Tahoma"/>
            <family val="2"/>
          </rPr>
          <t xml:space="preserve"># DE LA PERFORACIÓN
</t>
        </r>
      </text>
    </comment>
    <comment ref="M34" authorId="0" shapeId="0" xr:uid="{00000000-0006-0000-0C00-000004000000}">
      <text>
        <r>
          <rPr>
            <b/>
            <sz val="9"/>
            <color indexed="81"/>
            <rFont val="Tahoma"/>
            <family val="2"/>
          </rPr>
          <t>GRAVEDAD ESPECIFICA CELDA B71</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E00-000001000000}">
      <text>
        <r>
          <rPr>
            <sz val="9"/>
            <color indexed="81"/>
            <rFont val="Tahoma"/>
            <family val="2"/>
          </rPr>
          <t>CONSECUTIVO DE INGRESO</t>
        </r>
      </text>
    </comment>
    <comment ref="M9" authorId="0" shapeId="0" xr:uid="{00000000-0006-0000-0E00-000002000000}">
      <text>
        <r>
          <rPr>
            <sz val="9"/>
            <color indexed="81"/>
            <rFont val="Tahoma"/>
            <family val="2"/>
          </rPr>
          <t>DOS ÚLTIMOS DÍGITOS DEL AÑO DE INGRESO</t>
        </r>
      </text>
    </comment>
    <comment ref="F12" authorId="0" shapeId="0" xr:uid="{00000000-0006-0000-0E00-000003000000}">
      <text>
        <r>
          <rPr>
            <b/>
            <sz val="9"/>
            <color indexed="81"/>
            <rFont val="Tahoma"/>
            <family val="2"/>
          </rPr>
          <t xml:space="preserve"># DE LA PERFORACIÓN
</t>
        </r>
      </text>
    </comment>
    <comment ref="M34" authorId="0" shapeId="0" xr:uid="{00000000-0006-0000-0E00-000004000000}">
      <text>
        <r>
          <rPr>
            <b/>
            <sz val="9"/>
            <color indexed="81"/>
            <rFont val="Tahoma"/>
            <family val="2"/>
          </rPr>
          <t>GRAVEDAD ESPECIFICA CELDA B71</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0F00-000001000000}">
      <text>
        <r>
          <rPr>
            <sz val="9"/>
            <color indexed="81"/>
            <rFont val="Tahoma"/>
            <family val="2"/>
          </rPr>
          <t>CONSECUTIVO DE INGRESO</t>
        </r>
      </text>
    </comment>
    <comment ref="M9" authorId="0" shapeId="0" xr:uid="{00000000-0006-0000-0F00-000002000000}">
      <text>
        <r>
          <rPr>
            <sz val="9"/>
            <color indexed="81"/>
            <rFont val="Tahoma"/>
            <family val="2"/>
          </rPr>
          <t>DOS ÚLTIMOS DÍGITOS DEL AÑO DE INGRESO</t>
        </r>
      </text>
    </comment>
    <comment ref="F12" authorId="0" shapeId="0" xr:uid="{00000000-0006-0000-0F00-000003000000}">
      <text>
        <r>
          <rPr>
            <b/>
            <sz val="9"/>
            <color indexed="81"/>
            <rFont val="Tahoma"/>
            <family val="2"/>
          </rPr>
          <t xml:space="preserve"># DE LA PERFORACIÓN
</t>
        </r>
      </text>
    </comment>
    <comment ref="M34" authorId="0" shapeId="0" xr:uid="{00000000-0006-0000-0F00-000004000000}">
      <text>
        <r>
          <rPr>
            <b/>
            <sz val="9"/>
            <color indexed="81"/>
            <rFont val="Tahoma"/>
            <family val="2"/>
          </rPr>
          <t>GRAVEDAD ESPECIFICA CELDA B71</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000-000001000000}">
      <text>
        <r>
          <rPr>
            <sz val="9"/>
            <color indexed="81"/>
            <rFont val="Tahoma"/>
            <family val="2"/>
          </rPr>
          <t>CONSECUTIVO DE INGRESO</t>
        </r>
      </text>
    </comment>
    <comment ref="M9" authorId="0" shapeId="0" xr:uid="{00000000-0006-0000-1000-000002000000}">
      <text>
        <r>
          <rPr>
            <sz val="9"/>
            <color indexed="81"/>
            <rFont val="Tahoma"/>
            <family val="2"/>
          </rPr>
          <t>DOS ÚLTIMOS DÍGITOS DEL AÑO DE INGRESO</t>
        </r>
      </text>
    </comment>
    <comment ref="F12" authorId="0" shapeId="0" xr:uid="{00000000-0006-0000-1000-000003000000}">
      <text>
        <r>
          <rPr>
            <b/>
            <sz val="9"/>
            <color indexed="81"/>
            <rFont val="Tahoma"/>
            <family val="2"/>
          </rPr>
          <t xml:space="preserve"># DE LA PERFORACIÓN
</t>
        </r>
      </text>
    </comment>
    <comment ref="M34" authorId="0" shapeId="0" xr:uid="{00000000-0006-0000-1000-000004000000}">
      <text>
        <r>
          <rPr>
            <b/>
            <sz val="9"/>
            <color indexed="81"/>
            <rFont val="Tahoma"/>
            <family val="2"/>
          </rPr>
          <t>GRAVEDAD ESPECIFICA CELDA B71</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100-000001000000}">
      <text>
        <r>
          <rPr>
            <sz val="9"/>
            <color indexed="81"/>
            <rFont val="Tahoma"/>
            <family val="2"/>
          </rPr>
          <t>CONSECUTIVO DE INGRESO</t>
        </r>
      </text>
    </comment>
    <comment ref="M9" authorId="0" shapeId="0" xr:uid="{00000000-0006-0000-1100-000002000000}">
      <text>
        <r>
          <rPr>
            <sz val="9"/>
            <color indexed="81"/>
            <rFont val="Tahoma"/>
            <family val="2"/>
          </rPr>
          <t>DOS ÚLTIMOS DÍGITOS DEL AÑO DE INGRESO</t>
        </r>
      </text>
    </comment>
    <comment ref="F12" authorId="0" shapeId="0" xr:uid="{00000000-0006-0000-1100-000003000000}">
      <text>
        <r>
          <rPr>
            <b/>
            <sz val="9"/>
            <color indexed="81"/>
            <rFont val="Tahoma"/>
            <family val="2"/>
          </rPr>
          <t xml:space="preserve"># DE LA PERFORACIÓN
</t>
        </r>
      </text>
    </comment>
    <comment ref="M34" authorId="0" shapeId="0" xr:uid="{00000000-0006-0000-1100-000004000000}">
      <text>
        <r>
          <rPr>
            <b/>
            <sz val="9"/>
            <color indexed="81"/>
            <rFont val="Tahoma"/>
            <family val="2"/>
          </rPr>
          <t>GRAVEDAD ESPECIFICA CELDA B71</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200-000001000000}">
      <text>
        <r>
          <rPr>
            <sz val="9"/>
            <color indexed="81"/>
            <rFont val="Tahoma"/>
            <family val="2"/>
          </rPr>
          <t>CONSECUTIVO DE INGRESO</t>
        </r>
      </text>
    </comment>
    <comment ref="M9" authorId="0" shapeId="0" xr:uid="{00000000-0006-0000-1200-000002000000}">
      <text>
        <r>
          <rPr>
            <sz val="9"/>
            <color indexed="81"/>
            <rFont val="Tahoma"/>
            <family val="2"/>
          </rPr>
          <t>DOS ÚLTIMOS DÍGITOS DEL AÑO DE INGRESO</t>
        </r>
      </text>
    </comment>
    <comment ref="F12" authorId="0" shapeId="0" xr:uid="{00000000-0006-0000-1200-000003000000}">
      <text>
        <r>
          <rPr>
            <b/>
            <sz val="9"/>
            <color indexed="81"/>
            <rFont val="Tahoma"/>
            <family val="2"/>
          </rPr>
          <t xml:space="preserve"># DE LA PERFORACIÓN
</t>
        </r>
      </text>
    </comment>
    <comment ref="M34" authorId="0" shapeId="0" xr:uid="{00000000-0006-0000-1200-000004000000}">
      <text>
        <r>
          <rPr>
            <b/>
            <sz val="9"/>
            <color indexed="81"/>
            <rFont val="Tahoma"/>
            <family val="2"/>
          </rPr>
          <t>GRAVEDAD ESPECIFICA CELDA B71</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400-000001000000}">
      <text>
        <r>
          <rPr>
            <sz val="9"/>
            <color indexed="81"/>
            <rFont val="Tahoma"/>
            <family val="2"/>
          </rPr>
          <t>CONSECUTIVO DE INGRESO</t>
        </r>
      </text>
    </comment>
    <comment ref="M9" authorId="0" shapeId="0" xr:uid="{00000000-0006-0000-1400-000002000000}">
      <text>
        <r>
          <rPr>
            <sz val="9"/>
            <color indexed="81"/>
            <rFont val="Tahoma"/>
            <family val="2"/>
          </rPr>
          <t>DOS ÚLTIMOS DÍGITOS DEL AÑO DE INGRESO</t>
        </r>
      </text>
    </comment>
    <comment ref="F12" authorId="0" shapeId="0" xr:uid="{00000000-0006-0000-1400-000003000000}">
      <text>
        <r>
          <rPr>
            <b/>
            <sz val="9"/>
            <color indexed="81"/>
            <rFont val="Tahoma"/>
            <family val="2"/>
          </rPr>
          <t xml:space="preserve"># DE LA PERFORACIÓN
</t>
        </r>
      </text>
    </comment>
    <comment ref="M34" authorId="0" shapeId="0" xr:uid="{00000000-0006-0000-1400-000004000000}">
      <text>
        <r>
          <rPr>
            <b/>
            <sz val="9"/>
            <color indexed="81"/>
            <rFont val="Tahoma"/>
            <family val="2"/>
          </rPr>
          <t>GRAVEDAD ESPECIFICA CELDA B71</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500-000001000000}">
      <text>
        <r>
          <rPr>
            <sz val="9"/>
            <color indexed="81"/>
            <rFont val="Tahoma"/>
            <family val="2"/>
          </rPr>
          <t>CONSECUTIVO DE INGRESO</t>
        </r>
      </text>
    </comment>
    <comment ref="M9" authorId="0" shapeId="0" xr:uid="{00000000-0006-0000-1500-000002000000}">
      <text>
        <r>
          <rPr>
            <sz val="9"/>
            <color indexed="81"/>
            <rFont val="Tahoma"/>
            <family val="2"/>
          </rPr>
          <t>DOS ÚLTIMOS DÍGITOS DEL AÑO DE INGRESO</t>
        </r>
      </text>
    </comment>
    <comment ref="F12" authorId="0" shapeId="0" xr:uid="{00000000-0006-0000-1500-000003000000}">
      <text>
        <r>
          <rPr>
            <b/>
            <sz val="9"/>
            <color indexed="81"/>
            <rFont val="Tahoma"/>
            <family val="2"/>
          </rPr>
          <t xml:space="preserve"># DE LA PERFORACIÓN
</t>
        </r>
      </text>
    </comment>
    <comment ref="M34" authorId="0" shapeId="0" xr:uid="{00000000-0006-0000-1500-000004000000}">
      <text>
        <r>
          <rPr>
            <b/>
            <sz val="9"/>
            <color indexed="81"/>
            <rFont val="Tahoma"/>
            <family val="2"/>
          </rPr>
          <t>GRAVEDAD ESPECIFICA CELDA B71</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600-000001000000}">
      <text>
        <r>
          <rPr>
            <sz val="9"/>
            <color indexed="81"/>
            <rFont val="Tahoma"/>
            <family val="2"/>
          </rPr>
          <t>CONSECUTIVO DE INGRESO</t>
        </r>
      </text>
    </comment>
    <comment ref="M9" authorId="0" shapeId="0" xr:uid="{00000000-0006-0000-1600-000002000000}">
      <text>
        <r>
          <rPr>
            <sz val="9"/>
            <color indexed="81"/>
            <rFont val="Tahoma"/>
            <family val="2"/>
          </rPr>
          <t>DOS ÚLTIMOS DÍGITOS DEL AÑO DE INGRESO</t>
        </r>
      </text>
    </comment>
    <comment ref="F12" authorId="0" shapeId="0" xr:uid="{00000000-0006-0000-1600-000003000000}">
      <text>
        <r>
          <rPr>
            <b/>
            <sz val="9"/>
            <color indexed="81"/>
            <rFont val="Tahoma"/>
            <family val="2"/>
          </rPr>
          <t xml:space="preserve"># DE LA PERFORACIÓN
</t>
        </r>
      </text>
    </comment>
    <comment ref="M34" authorId="0" shapeId="0" xr:uid="{00000000-0006-0000-1600-000004000000}">
      <text>
        <r>
          <rPr>
            <b/>
            <sz val="9"/>
            <color indexed="81"/>
            <rFont val="Tahoma"/>
            <family val="2"/>
          </rPr>
          <t>GRAVEDAD ESPECIFICA CELDA B71</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700-000001000000}">
      <text>
        <r>
          <rPr>
            <sz val="9"/>
            <color indexed="81"/>
            <rFont val="Tahoma"/>
            <family val="2"/>
          </rPr>
          <t>CONSECUTIVO DE INGRESO</t>
        </r>
      </text>
    </comment>
    <comment ref="M9" authorId="0" shapeId="0" xr:uid="{00000000-0006-0000-1700-000002000000}">
      <text>
        <r>
          <rPr>
            <sz val="9"/>
            <color indexed="81"/>
            <rFont val="Tahoma"/>
            <family val="2"/>
          </rPr>
          <t>DOS ÚLTIMOS DÍGITOS DEL AÑO DE INGRESO</t>
        </r>
      </text>
    </comment>
    <comment ref="F12" authorId="0" shapeId="0" xr:uid="{00000000-0006-0000-1700-000003000000}">
      <text>
        <r>
          <rPr>
            <b/>
            <sz val="9"/>
            <color indexed="81"/>
            <rFont val="Tahoma"/>
            <family val="2"/>
          </rPr>
          <t xml:space="preserve"># DE LA PERFORACIÓN
</t>
        </r>
      </text>
    </comment>
    <comment ref="M34" authorId="0" shapeId="0" xr:uid="{00000000-0006-0000-1700-000004000000}">
      <text>
        <r>
          <rPr>
            <b/>
            <sz val="9"/>
            <color indexed="81"/>
            <rFont val="Tahoma"/>
            <family val="2"/>
          </rPr>
          <t>GRAVEDAD ESPECIFICA CELDA B71</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800-000001000000}">
      <text>
        <r>
          <rPr>
            <sz val="9"/>
            <color indexed="81"/>
            <rFont val="Tahoma"/>
            <family val="2"/>
          </rPr>
          <t>CONSECUTIVO DE INGRESO</t>
        </r>
      </text>
    </comment>
    <comment ref="M9" authorId="0" shapeId="0" xr:uid="{00000000-0006-0000-1800-000002000000}">
      <text>
        <r>
          <rPr>
            <sz val="9"/>
            <color indexed="81"/>
            <rFont val="Tahoma"/>
            <family val="2"/>
          </rPr>
          <t>DOS ÚLTIMOS DÍGITOS DEL AÑO DE INGRESO</t>
        </r>
      </text>
    </comment>
    <comment ref="F12" authorId="0" shapeId="0" xr:uid="{00000000-0006-0000-1800-000003000000}">
      <text>
        <r>
          <rPr>
            <b/>
            <sz val="9"/>
            <color indexed="81"/>
            <rFont val="Tahoma"/>
            <family val="2"/>
          </rPr>
          <t xml:space="preserve"># DE LA PERFORACIÓN
</t>
        </r>
      </text>
    </comment>
    <comment ref="M34" authorId="0" shapeId="0" xr:uid="{00000000-0006-0000-1800-000004000000}">
      <text>
        <r>
          <rPr>
            <b/>
            <sz val="9"/>
            <color indexed="81"/>
            <rFont val="Tahoma"/>
            <family val="2"/>
          </rPr>
          <t>GRAVEDAD ESPECIFICA CELDA B71</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900-000001000000}">
      <text>
        <r>
          <rPr>
            <sz val="9"/>
            <color indexed="81"/>
            <rFont val="Tahoma"/>
            <family val="2"/>
          </rPr>
          <t>CONSECUTIVO DE INGRESO</t>
        </r>
      </text>
    </comment>
    <comment ref="M9" authorId="0" shapeId="0" xr:uid="{00000000-0006-0000-1900-000002000000}">
      <text>
        <r>
          <rPr>
            <sz val="9"/>
            <color indexed="81"/>
            <rFont val="Tahoma"/>
            <family val="2"/>
          </rPr>
          <t>DOS ÚLTIMOS DÍGITOS DEL AÑO DE INGRESO</t>
        </r>
      </text>
    </comment>
    <comment ref="F12" authorId="0" shapeId="0" xr:uid="{00000000-0006-0000-1900-000003000000}">
      <text>
        <r>
          <rPr>
            <b/>
            <sz val="9"/>
            <color indexed="81"/>
            <rFont val="Tahoma"/>
            <family val="2"/>
          </rPr>
          <t xml:space="preserve"># DE LA PERFORACIÓN
</t>
        </r>
      </text>
    </comment>
    <comment ref="M34" authorId="0" shapeId="0" xr:uid="{00000000-0006-0000-1900-000004000000}">
      <text>
        <r>
          <rPr>
            <b/>
            <sz val="9"/>
            <color indexed="81"/>
            <rFont val="Tahoma"/>
            <family val="2"/>
          </rPr>
          <t>GRAVEDAD ESPECIFICA CELDA B71</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A00-000001000000}">
      <text>
        <r>
          <rPr>
            <sz val="9"/>
            <color indexed="81"/>
            <rFont val="Tahoma"/>
            <family val="2"/>
          </rPr>
          <t>CONSECUTIVO DE INGRESO</t>
        </r>
      </text>
    </comment>
    <comment ref="M9" authorId="0" shapeId="0" xr:uid="{00000000-0006-0000-1A00-000002000000}">
      <text>
        <r>
          <rPr>
            <sz val="9"/>
            <color indexed="81"/>
            <rFont val="Tahoma"/>
            <family val="2"/>
          </rPr>
          <t>DOS ÚLTIMOS DÍGITOS DEL AÑO DE INGRESO</t>
        </r>
      </text>
    </comment>
    <comment ref="F12" authorId="0" shapeId="0" xr:uid="{00000000-0006-0000-1A00-000003000000}">
      <text>
        <r>
          <rPr>
            <b/>
            <sz val="9"/>
            <color indexed="81"/>
            <rFont val="Tahoma"/>
            <family val="2"/>
          </rPr>
          <t xml:space="preserve"># DE LA PERFORACIÓN
</t>
        </r>
      </text>
    </comment>
    <comment ref="M34" authorId="0" shapeId="0" xr:uid="{00000000-0006-0000-1A00-000004000000}">
      <text>
        <r>
          <rPr>
            <b/>
            <sz val="9"/>
            <color indexed="81"/>
            <rFont val="Tahoma"/>
            <family val="2"/>
          </rPr>
          <t>GRAVEDAD ESPECIFICA CELDA B71</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B00-000001000000}">
      <text>
        <r>
          <rPr>
            <sz val="9"/>
            <color indexed="81"/>
            <rFont val="Tahoma"/>
            <family val="2"/>
          </rPr>
          <t>CONSECUTIVO DE INGRESO</t>
        </r>
      </text>
    </comment>
    <comment ref="M9" authorId="0" shapeId="0" xr:uid="{00000000-0006-0000-1B00-000002000000}">
      <text>
        <r>
          <rPr>
            <sz val="9"/>
            <color indexed="81"/>
            <rFont val="Tahoma"/>
            <family val="2"/>
          </rPr>
          <t>DOS ÚLTIMOS DÍGITOS DEL AÑO DE INGRESO</t>
        </r>
      </text>
    </comment>
    <comment ref="F12" authorId="0" shapeId="0" xr:uid="{00000000-0006-0000-1B00-000003000000}">
      <text>
        <r>
          <rPr>
            <b/>
            <sz val="9"/>
            <color indexed="81"/>
            <rFont val="Tahoma"/>
            <family val="2"/>
          </rPr>
          <t xml:space="preserve"># DE LA PERFORACIÓN
</t>
        </r>
      </text>
    </comment>
    <comment ref="M34" authorId="0" shapeId="0" xr:uid="{00000000-0006-0000-1B00-000004000000}">
      <text>
        <r>
          <rPr>
            <b/>
            <sz val="9"/>
            <color indexed="81"/>
            <rFont val="Tahoma"/>
            <family val="2"/>
          </rPr>
          <t>GRAVEDAD ESPECIFICA CELDA B71</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C00-000001000000}">
      <text>
        <r>
          <rPr>
            <sz val="9"/>
            <color indexed="81"/>
            <rFont val="Tahoma"/>
            <family val="2"/>
          </rPr>
          <t>CONSECUTIVO DE INGRESO</t>
        </r>
      </text>
    </comment>
    <comment ref="M9" authorId="0" shapeId="0" xr:uid="{00000000-0006-0000-1C00-000002000000}">
      <text>
        <r>
          <rPr>
            <sz val="9"/>
            <color indexed="81"/>
            <rFont val="Tahoma"/>
            <family val="2"/>
          </rPr>
          <t>DOS ÚLTIMOS DÍGITOS DEL AÑO DE INGRESO</t>
        </r>
      </text>
    </comment>
    <comment ref="F12" authorId="0" shapeId="0" xr:uid="{00000000-0006-0000-1C00-000003000000}">
      <text>
        <r>
          <rPr>
            <b/>
            <sz val="9"/>
            <color indexed="81"/>
            <rFont val="Tahoma"/>
            <family val="2"/>
          </rPr>
          <t xml:space="preserve"># DE LA PERFORACIÓN
</t>
        </r>
      </text>
    </comment>
    <comment ref="M34" authorId="0" shapeId="0" xr:uid="{00000000-0006-0000-1C00-000004000000}">
      <text>
        <r>
          <rPr>
            <b/>
            <sz val="9"/>
            <color indexed="81"/>
            <rFont val="Tahoma"/>
            <family val="2"/>
          </rPr>
          <t>GRAVEDAD ESPECIFICA CELDA B71</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D00-000001000000}">
      <text>
        <r>
          <rPr>
            <sz val="9"/>
            <color indexed="81"/>
            <rFont val="Tahoma"/>
            <family val="2"/>
          </rPr>
          <t>CONSECUTIVO DE INGRESO</t>
        </r>
      </text>
    </comment>
    <comment ref="M9" authorId="0" shapeId="0" xr:uid="{00000000-0006-0000-1D00-000002000000}">
      <text>
        <r>
          <rPr>
            <sz val="9"/>
            <color indexed="81"/>
            <rFont val="Tahoma"/>
            <family val="2"/>
          </rPr>
          <t>DOS ÚLTIMOS DÍGITOS DEL AÑO DE INGRESO</t>
        </r>
      </text>
    </comment>
    <comment ref="F12" authorId="0" shapeId="0" xr:uid="{00000000-0006-0000-1D00-000003000000}">
      <text>
        <r>
          <rPr>
            <b/>
            <sz val="9"/>
            <color indexed="81"/>
            <rFont val="Tahoma"/>
            <family val="2"/>
          </rPr>
          <t xml:space="preserve"># DE LA PERFORACIÓN
</t>
        </r>
      </text>
    </comment>
    <comment ref="M34" authorId="0" shapeId="0" xr:uid="{00000000-0006-0000-1D00-000004000000}">
      <text>
        <r>
          <rPr>
            <b/>
            <sz val="9"/>
            <color indexed="81"/>
            <rFont val="Tahoma"/>
            <family val="2"/>
          </rPr>
          <t>GRAVEDAD ESPECIFICA CELDA B71</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E00-000001000000}">
      <text>
        <r>
          <rPr>
            <sz val="9"/>
            <color indexed="81"/>
            <rFont val="Tahoma"/>
            <family val="2"/>
          </rPr>
          <t>CONSECUTIVO DE INGRESO</t>
        </r>
      </text>
    </comment>
    <comment ref="M9" authorId="0" shapeId="0" xr:uid="{00000000-0006-0000-1E00-000002000000}">
      <text>
        <r>
          <rPr>
            <sz val="9"/>
            <color indexed="81"/>
            <rFont val="Tahoma"/>
            <family val="2"/>
          </rPr>
          <t>DOS ÚLTIMOS DÍGITOS DEL AÑO DE INGRESO</t>
        </r>
      </text>
    </comment>
    <comment ref="F12" authorId="0" shapeId="0" xr:uid="{00000000-0006-0000-1E00-000003000000}">
      <text>
        <r>
          <rPr>
            <b/>
            <sz val="9"/>
            <color indexed="81"/>
            <rFont val="Tahoma"/>
            <family val="2"/>
          </rPr>
          <t xml:space="preserve"># DE LA PERFORACIÓN
</t>
        </r>
      </text>
    </comment>
    <comment ref="M34" authorId="0" shapeId="0" xr:uid="{00000000-0006-0000-1E00-000004000000}">
      <text>
        <r>
          <rPr>
            <b/>
            <sz val="9"/>
            <color indexed="81"/>
            <rFont val="Tahoma"/>
            <family val="2"/>
          </rPr>
          <t>GRAVEDAD ESPECIFICA CELDA B71</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1F00-000001000000}">
      <text>
        <r>
          <rPr>
            <sz val="9"/>
            <color indexed="81"/>
            <rFont val="Tahoma"/>
            <family val="2"/>
          </rPr>
          <t>CONSECUTIVO DE INGRESO</t>
        </r>
      </text>
    </comment>
    <comment ref="M9" authorId="0" shapeId="0" xr:uid="{00000000-0006-0000-1F00-000002000000}">
      <text>
        <r>
          <rPr>
            <sz val="9"/>
            <color indexed="81"/>
            <rFont val="Tahoma"/>
            <family val="2"/>
          </rPr>
          <t>DOS ÚLTIMOS DÍGITOS DEL AÑO DE INGRESO</t>
        </r>
      </text>
    </comment>
    <comment ref="F12" authorId="0" shapeId="0" xr:uid="{00000000-0006-0000-1F00-000003000000}">
      <text>
        <r>
          <rPr>
            <b/>
            <sz val="9"/>
            <color indexed="81"/>
            <rFont val="Tahoma"/>
            <family val="2"/>
          </rPr>
          <t xml:space="preserve"># DE LA PERFORACIÓN
</t>
        </r>
      </text>
    </comment>
    <comment ref="M34" authorId="0" shapeId="0" xr:uid="{00000000-0006-0000-1F00-000004000000}">
      <text>
        <r>
          <rPr>
            <b/>
            <sz val="9"/>
            <color indexed="81"/>
            <rFont val="Tahoma"/>
            <family val="2"/>
          </rPr>
          <t>GRAVEDAD ESPECIFICA CELDA B71</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000-000001000000}">
      <text>
        <r>
          <rPr>
            <sz val="9"/>
            <color indexed="81"/>
            <rFont val="Tahoma"/>
            <family val="2"/>
          </rPr>
          <t>CONSECUTIVO DE INGRESO</t>
        </r>
      </text>
    </comment>
    <comment ref="M9" authorId="0" shapeId="0" xr:uid="{00000000-0006-0000-2000-000002000000}">
      <text>
        <r>
          <rPr>
            <sz val="9"/>
            <color indexed="81"/>
            <rFont val="Tahoma"/>
            <family val="2"/>
          </rPr>
          <t>DOS ÚLTIMOS DÍGITOS DEL AÑO DE INGRESO</t>
        </r>
      </text>
    </comment>
    <comment ref="F12" authorId="0" shapeId="0" xr:uid="{00000000-0006-0000-2000-000003000000}">
      <text>
        <r>
          <rPr>
            <b/>
            <sz val="9"/>
            <color indexed="81"/>
            <rFont val="Tahoma"/>
            <family val="2"/>
          </rPr>
          <t xml:space="preserve"># DE LA PERFORACIÓN
</t>
        </r>
      </text>
    </comment>
    <comment ref="M34" authorId="0" shapeId="0" xr:uid="{00000000-0006-0000-2000-000004000000}">
      <text>
        <r>
          <rPr>
            <b/>
            <sz val="9"/>
            <color indexed="81"/>
            <rFont val="Tahoma"/>
            <family val="2"/>
          </rPr>
          <t>GRAVEDAD ESPECIFICA CELDA B71</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100-000001000000}">
      <text>
        <r>
          <rPr>
            <sz val="9"/>
            <color indexed="81"/>
            <rFont val="Tahoma"/>
            <family val="2"/>
          </rPr>
          <t>CONSECUTIVO DE INGRESO</t>
        </r>
      </text>
    </comment>
    <comment ref="M9" authorId="0" shapeId="0" xr:uid="{00000000-0006-0000-2100-000002000000}">
      <text>
        <r>
          <rPr>
            <sz val="9"/>
            <color indexed="81"/>
            <rFont val="Tahoma"/>
            <family val="2"/>
          </rPr>
          <t>DOS ÚLTIMOS DÍGITOS DEL AÑO DE INGRESO</t>
        </r>
      </text>
    </comment>
    <comment ref="F12" authorId="0" shapeId="0" xr:uid="{00000000-0006-0000-2100-000003000000}">
      <text>
        <r>
          <rPr>
            <b/>
            <sz val="9"/>
            <color indexed="81"/>
            <rFont val="Tahoma"/>
            <family val="2"/>
          </rPr>
          <t xml:space="preserve"># DE LA PERFORACIÓN
</t>
        </r>
      </text>
    </comment>
    <comment ref="M34" authorId="0" shapeId="0" xr:uid="{00000000-0006-0000-2100-000004000000}">
      <text>
        <r>
          <rPr>
            <b/>
            <sz val="9"/>
            <color indexed="81"/>
            <rFont val="Tahoma"/>
            <family val="2"/>
          </rPr>
          <t>GRAVEDAD ESPECIFICA CELDA B71</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200-000001000000}">
      <text>
        <r>
          <rPr>
            <sz val="9"/>
            <color indexed="81"/>
            <rFont val="Tahoma"/>
            <family val="2"/>
          </rPr>
          <t>CONSECUTIVO DE INGRESO</t>
        </r>
      </text>
    </comment>
    <comment ref="M9" authorId="0" shapeId="0" xr:uid="{00000000-0006-0000-2200-000002000000}">
      <text>
        <r>
          <rPr>
            <sz val="9"/>
            <color indexed="81"/>
            <rFont val="Tahoma"/>
            <family val="2"/>
          </rPr>
          <t>DOS ÚLTIMOS DÍGITOS DEL AÑO DE INGRESO</t>
        </r>
      </text>
    </comment>
    <comment ref="F12" authorId="0" shapeId="0" xr:uid="{00000000-0006-0000-2200-000003000000}">
      <text>
        <r>
          <rPr>
            <b/>
            <sz val="9"/>
            <color indexed="81"/>
            <rFont val="Tahoma"/>
            <family val="2"/>
          </rPr>
          <t xml:space="preserve"># DE LA PERFORACIÓN
</t>
        </r>
      </text>
    </comment>
    <comment ref="M34" authorId="0" shapeId="0" xr:uid="{00000000-0006-0000-2200-000004000000}">
      <text>
        <r>
          <rPr>
            <b/>
            <sz val="9"/>
            <color indexed="81"/>
            <rFont val="Tahoma"/>
            <family val="2"/>
          </rPr>
          <t>GRAVEDAD ESPECIFICA CELDA B71</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300-000001000000}">
      <text>
        <r>
          <rPr>
            <sz val="9"/>
            <color indexed="81"/>
            <rFont val="Tahoma"/>
            <family val="2"/>
          </rPr>
          <t>CONSECUTIVO DE INGRESO</t>
        </r>
      </text>
    </comment>
    <comment ref="M9" authorId="0" shapeId="0" xr:uid="{00000000-0006-0000-2300-000002000000}">
      <text>
        <r>
          <rPr>
            <sz val="9"/>
            <color indexed="81"/>
            <rFont val="Tahoma"/>
            <family val="2"/>
          </rPr>
          <t>DOS ÚLTIMOS DÍGITOS DEL AÑO DE INGRESO</t>
        </r>
      </text>
    </comment>
    <comment ref="F12" authorId="0" shapeId="0" xr:uid="{00000000-0006-0000-2300-000003000000}">
      <text>
        <r>
          <rPr>
            <b/>
            <sz val="9"/>
            <color indexed="81"/>
            <rFont val="Tahoma"/>
            <family val="2"/>
          </rPr>
          <t xml:space="preserve"># DE LA PERFORACIÓN
</t>
        </r>
      </text>
    </comment>
    <comment ref="M34" authorId="0" shapeId="0" xr:uid="{00000000-0006-0000-2300-000004000000}">
      <text>
        <r>
          <rPr>
            <b/>
            <sz val="9"/>
            <color indexed="81"/>
            <rFont val="Tahoma"/>
            <family val="2"/>
          </rPr>
          <t>GRAVEDAD ESPECIFICA CELDA B71</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400-000001000000}">
      <text>
        <r>
          <rPr>
            <sz val="9"/>
            <color indexed="81"/>
            <rFont val="Tahoma"/>
            <family val="2"/>
          </rPr>
          <t>CONSECUTIVO DE INGRESO</t>
        </r>
      </text>
    </comment>
    <comment ref="M9" authorId="0" shapeId="0" xr:uid="{00000000-0006-0000-2400-000002000000}">
      <text>
        <r>
          <rPr>
            <sz val="9"/>
            <color indexed="81"/>
            <rFont val="Tahoma"/>
            <family val="2"/>
          </rPr>
          <t>DOS ÚLTIMOS DÍGITOS DEL AÑO DE INGRESO</t>
        </r>
      </text>
    </comment>
    <comment ref="F12" authorId="0" shapeId="0" xr:uid="{00000000-0006-0000-2400-000003000000}">
      <text>
        <r>
          <rPr>
            <b/>
            <sz val="9"/>
            <color indexed="81"/>
            <rFont val="Tahoma"/>
            <family val="2"/>
          </rPr>
          <t xml:space="preserve"># DE LA PERFORACIÓN
</t>
        </r>
      </text>
    </comment>
    <comment ref="M34" authorId="0" shapeId="0" xr:uid="{00000000-0006-0000-2400-000004000000}">
      <text>
        <r>
          <rPr>
            <b/>
            <sz val="9"/>
            <color indexed="81"/>
            <rFont val="Tahoma"/>
            <family val="2"/>
          </rPr>
          <t>GRAVEDAD ESPECIFICA CELDA B71</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500-000001000000}">
      <text>
        <r>
          <rPr>
            <sz val="9"/>
            <color indexed="81"/>
            <rFont val="Tahoma"/>
            <family val="2"/>
          </rPr>
          <t>CONSECUTIVO DE INGRESO</t>
        </r>
      </text>
    </comment>
    <comment ref="M9" authorId="0" shapeId="0" xr:uid="{00000000-0006-0000-2500-000002000000}">
      <text>
        <r>
          <rPr>
            <sz val="9"/>
            <color indexed="81"/>
            <rFont val="Tahoma"/>
            <family val="2"/>
          </rPr>
          <t>DOS ÚLTIMOS DÍGITOS DEL AÑO DE INGRESO</t>
        </r>
      </text>
    </comment>
    <comment ref="F12" authorId="0" shapeId="0" xr:uid="{00000000-0006-0000-2500-000003000000}">
      <text>
        <r>
          <rPr>
            <b/>
            <sz val="9"/>
            <color indexed="81"/>
            <rFont val="Tahoma"/>
            <family val="2"/>
          </rPr>
          <t xml:space="preserve"># DE LA PERFORACIÓN
</t>
        </r>
      </text>
    </comment>
    <comment ref="M34" authorId="0" shapeId="0" xr:uid="{00000000-0006-0000-2500-000004000000}">
      <text>
        <r>
          <rPr>
            <b/>
            <sz val="9"/>
            <color indexed="81"/>
            <rFont val="Tahoma"/>
            <family val="2"/>
          </rPr>
          <t>GRAVEDAD ESPECIFICA CELDA B71</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600-000001000000}">
      <text>
        <r>
          <rPr>
            <sz val="9"/>
            <color indexed="81"/>
            <rFont val="Tahoma"/>
            <family val="2"/>
          </rPr>
          <t>CONSECUTIVO DE INGRESO</t>
        </r>
      </text>
    </comment>
    <comment ref="M9" authorId="0" shapeId="0" xr:uid="{00000000-0006-0000-2600-000002000000}">
      <text>
        <r>
          <rPr>
            <sz val="9"/>
            <color indexed="81"/>
            <rFont val="Tahoma"/>
            <family val="2"/>
          </rPr>
          <t>DOS ÚLTIMOS DÍGITOS DEL AÑO DE INGRESO</t>
        </r>
      </text>
    </comment>
    <comment ref="F12" authorId="0" shapeId="0" xr:uid="{00000000-0006-0000-2600-000003000000}">
      <text>
        <r>
          <rPr>
            <b/>
            <sz val="9"/>
            <color indexed="81"/>
            <rFont val="Tahoma"/>
            <family val="2"/>
          </rPr>
          <t xml:space="preserve"># DE LA PERFORACIÓN
</t>
        </r>
      </text>
    </comment>
    <comment ref="M34" authorId="0" shapeId="0" xr:uid="{00000000-0006-0000-2600-000004000000}">
      <text>
        <r>
          <rPr>
            <b/>
            <sz val="9"/>
            <color indexed="81"/>
            <rFont val="Tahoma"/>
            <family val="2"/>
          </rPr>
          <t>GRAVEDAD ESPECIFICA CELDA B71</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700-000001000000}">
      <text>
        <r>
          <rPr>
            <sz val="9"/>
            <color indexed="81"/>
            <rFont val="Tahoma"/>
            <family val="2"/>
          </rPr>
          <t>CONSECUTIVO DE INGRESO</t>
        </r>
      </text>
    </comment>
    <comment ref="M9" authorId="0" shapeId="0" xr:uid="{00000000-0006-0000-2700-000002000000}">
      <text>
        <r>
          <rPr>
            <sz val="9"/>
            <color indexed="81"/>
            <rFont val="Tahoma"/>
            <family val="2"/>
          </rPr>
          <t>DOS ÚLTIMOS DÍGITOS DEL AÑO DE INGRESO</t>
        </r>
      </text>
    </comment>
    <comment ref="F12" authorId="0" shapeId="0" xr:uid="{00000000-0006-0000-2700-000003000000}">
      <text>
        <r>
          <rPr>
            <b/>
            <sz val="9"/>
            <color indexed="81"/>
            <rFont val="Tahoma"/>
            <family val="2"/>
          </rPr>
          <t xml:space="preserve"># DE LA PERFORACIÓN
</t>
        </r>
      </text>
    </comment>
    <comment ref="M34" authorId="0" shapeId="0" xr:uid="{00000000-0006-0000-2700-000004000000}">
      <text>
        <r>
          <rPr>
            <b/>
            <sz val="9"/>
            <color indexed="81"/>
            <rFont val="Tahoma"/>
            <family val="2"/>
          </rPr>
          <t>GRAVEDAD ESPECIFICA CELDA B71</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800-000001000000}">
      <text>
        <r>
          <rPr>
            <sz val="9"/>
            <color indexed="81"/>
            <rFont val="Tahoma"/>
            <family val="2"/>
          </rPr>
          <t>CONSECUTIVO DE INGRESO</t>
        </r>
      </text>
    </comment>
    <comment ref="M9" authorId="0" shapeId="0" xr:uid="{00000000-0006-0000-2800-000002000000}">
      <text>
        <r>
          <rPr>
            <sz val="9"/>
            <color indexed="81"/>
            <rFont val="Tahoma"/>
            <family val="2"/>
          </rPr>
          <t>DOS ÚLTIMOS DÍGITOS DEL AÑO DE INGRESO</t>
        </r>
      </text>
    </comment>
    <comment ref="F12" authorId="0" shapeId="0" xr:uid="{00000000-0006-0000-2800-000003000000}">
      <text>
        <r>
          <rPr>
            <b/>
            <sz val="9"/>
            <color indexed="81"/>
            <rFont val="Tahoma"/>
            <family val="2"/>
          </rPr>
          <t xml:space="preserve"># DE LA PERFORACIÓN
</t>
        </r>
      </text>
    </comment>
    <comment ref="M34" authorId="0" shapeId="0" xr:uid="{00000000-0006-0000-2800-000004000000}">
      <text>
        <r>
          <rPr>
            <b/>
            <sz val="9"/>
            <color indexed="81"/>
            <rFont val="Tahoma"/>
            <family val="2"/>
          </rPr>
          <t>GRAVEDAD ESPECIFICA CELDA B71</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900-000001000000}">
      <text>
        <r>
          <rPr>
            <sz val="9"/>
            <color indexed="81"/>
            <rFont val="Tahoma"/>
            <family val="2"/>
          </rPr>
          <t>CONSECUTIVO DE INGRESO</t>
        </r>
      </text>
    </comment>
    <comment ref="M9" authorId="0" shapeId="0" xr:uid="{00000000-0006-0000-2900-000002000000}">
      <text>
        <r>
          <rPr>
            <sz val="9"/>
            <color indexed="81"/>
            <rFont val="Tahoma"/>
            <family val="2"/>
          </rPr>
          <t>DOS ÚLTIMOS DÍGITOS DEL AÑO DE INGRESO</t>
        </r>
      </text>
    </comment>
    <comment ref="F12" authorId="0" shapeId="0" xr:uid="{00000000-0006-0000-2900-000003000000}">
      <text>
        <r>
          <rPr>
            <b/>
            <sz val="9"/>
            <color indexed="81"/>
            <rFont val="Tahoma"/>
            <family val="2"/>
          </rPr>
          <t xml:space="preserve"># DE LA PERFORACIÓN
</t>
        </r>
      </text>
    </comment>
    <comment ref="M34" authorId="0" shapeId="0" xr:uid="{00000000-0006-0000-2900-000004000000}">
      <text>
        <r>
          <rPr>
            <b/>
            <sz val="9"/>
            <color indexed="81"/>
            <rFont val="Tahoma"/>
            <family val="2"/>
          </rPr>
          <t>GRAVEDAD ESPECIFICA CELDA B71</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A00-000001000000}">
      <text>
        <r>
          <rPr>
            <sz val="9"/>
            <color indexed="81"/>
            <rFont val="Tahoma"/>
            <family val="2"/>
          </rPr>
          <t>CONSECUTIVO DE INGRESO</t>
        </r>
      </text>
    </comment>
    <comment ref="M9" authorId="0" shapeId="0" xr:uid="{00000000-0006-0000-2A00-000002000000}">
      <text>
        <r>
          <rPr>
            <sz val="9"/>
            <color indexed="81"/>
            <rFont val="Tahoma"/>
            <family val="2"/>
          </rPr>
          <t>DOS ÚLTIMOS DÍGITOS DEL AÑO DE INGRESO</t>
        </r>
      </text>
    </comment>
    <comment ref="F12" authorId="0" shapeId="0" xr:uid="{00000000-0006-0000-2A00-000003000000}">
      <text>
        <r>
          <rPr>
            <b/>
            <sz val="9"/>
            <color indexed="81"/>
            <rFont val="Tahoma"/>
            <family val="2"/>
          </rPr>
          <t xml:space="preserve"># DE LA PERFORACIÓN
</t>
        </r>
      </text>
    </comment>
    <comment ref="M34" authorId="0" shapeId="0" xr:uid="{00000000-0006-0000-2A00-000004000000}">
      <text>
        <r>
          <rPr>
            <b/>
            <sz val="9"/>
            <color indexed="81"/>
            <rFont val="Tahoma"/>
            <family val="2"/>
          </rPr>
          <t>GRAVEDAD ESPECIFICA CELDA B71</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B00-000001000000}">
      <text>
        <r>
          <rPr>
            <sz val="9"/>
            <color indexed="81"/>
            <rFont val="Tahoma"/>
            <family val="2"/>
          </rPr>
          <t>CONSECUTIVO DE INGRESO</t>
        </r>
      </text>
    </comment>
    <comment ref="M9" authorId="0" shapeId="0" xr:uid="{00000000-0006-0000-2B00-000002000000}">
      <text>
        <r>
          <rPr>
            <sz val="9"/>
            <color indexed="81"/>
            <rFont val="Tahoma"/>
            <family val="2"/>
          </rPr>
          <t>DOS ÚLTIMOS DÍGITOS DEL AÑO DE INGRESO</t>
        </r>
      </text>
    </comment>
    <comment ref="F12" authorId="0" shapeId="0" xr:uid="{00000000-0006-0000-2B00-000003000000}">
      <text>
        <r>
          <rPr>
            <b/>
            <sz val="9"/>
            <color indexed="81"/>
            <rFont val="Tahoma"/>
            <family val="2"/>
          </rPr>
          <t xml:space="preserve"># DE LA PERFORACIÓN
</t>
        </r>
      </text>
    </comment>
    <comment ref="M34" authorId="0" shapeId="0" xr:uid="{00000000-0006-0000-2B00-000004000000}">
      <text>
        <r>
          <rPr>
            <b/>
            <sz val="9"/>
            <color indexed="81"/>
            <rFont val="Tahoma"/>
            <family val="2"/>
          </rPr>
          <t>GRAVEDAD ESPECIFICA CELDA B71</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C00-000001000000}">
      <text>
        <r>
          <rPr>
            <sz val="9"/>
            <color indexed="81"/>
            <rFont val="Tahoma"/>
            <family val="2"/>
          </rPr>
          <t>CONSECUTIVO DE INGRESO</t>
        </r>
      </text>
    </comment>
    <comment ref="M9" authorId="0" shapeId="0" xr:uid="{00000000-0006-0000-2C00-000002000000}">
      <text>
        <r>
          <rPr>
            <sz val="9"/>
            <color indexed="81"/>
            <rFont val="Tahoma"/>
            <family val="2"/>
          </rPr>
          <t>DOS ÚLTIMOS DÍGITOS DEL AÑO DE INGRESO</t>
        </r>
      </text>
    </comment>
    <comment ref="F12" authorId="0" shapeId="0" xr:uid="{00000000-0006-0000-2C00-000003000000}">
      <text>
        <r>
          <rPr>
            <b/>
            <sz val="9"/>
            <color indexed="81"/>
            <rFont val="Tahoma"/>
            <family val="2"/>
          </rPr>
          <t xml:space="preserve"># DE LA PERFORACIÓN
</t>
        </r>
      </text>
    </comment>
    <comment ref="M34" authorId="0" shapeId="0" xr:uid="{00000000-0006-0000-2C00-000004000000}">
      <text>
        <r>
          <rPr>
            <b/>
            <sz val="9"/>
            <color indexed="81"/>
            <rFont val="Tahoma"/>
            <family val="2"/>
          </rPr>
          <t>GRAVEDAD ESPECIFICA CELDA B71</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D00-000001000000}">
      <text>
        <r>
          <rPr>
            <sz val="9"/>
            <color indexed="81"/>
            <rFont val="Tahoma"/>
            <family val="2"/>
          </rPr>
          <t>CONSECUTIVO DE INGRESO</t>
        </r>
      </text>
    </comment>
    <comment ref="M9" authorId="0" shapeId="0" xr:uid="{00000000-0006-0000-2D00-000002000000}">
      <text>
        <r>
          <rPr>
            <sz val="9"/>
            <color indexed="81"/>
            <rFont val="Tahoma"/>
            <family val="2"/>
          </rPr>
          <t>DOS ÚLTIMOS DÍGITOS DEL AÑO DE INGRESO</t>
        </r>
      </text>
    </comment>
    <comment ref="F12" authorId="0" shapeId="0" xr:uid="{00000000-0006-0000-2D00-000003000000}">
      <text>
        <r>
          <rPr>
            <b/>
            <sz val="9"/>
            <color indexed="81"/>
            <rFont val="Tahoma"/>
            <family val="2"/>
          </rPr>
          <t xml:space="preserve"># DE LA PERFORACIÓN
</t>
        </r>
      </text>
    </comment>
    <comment ref="M34" authorId="0" shapeId="0" xr:uid="{00000000-0006-0000-2D00-000004000000}">
      <text>
        <r>
          <rPr>
            <b/>
            <sz val="9"/>
            <color indexed="81"/>
            <rFont val="Tahoma"/>
            <family val="2"/>
          </rPr>
          <t>GRAVEDAD ESPECIFICA CELDA B71</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E00-000001000000}">
      <text>
        <r>
          <rPr>
            <sz val="9"/>
            <color indexed="81"/>
            <rFont val="Tahoma"/>
            <family val="2"/>
          </rPr>
          <t>CONSECUTIVO DE INGRESO</t>
        </r>
      </text>
    </comment>
    <comment ref="M9" authorId="0" shapeId="0" xr:uid="{00000000-0006-0000-2E00-000002000000}">
      <text>
        <r>
          <rPr>
            <sz val="9"/>
            <color indexed="81"/>
            <rFont val="Tahoma"/>
            <family val="2"/>
          </rPr>
          <t>DOS ÚLTIMOS DÍGITOS DEL AÑO DE INGRESO</t>
        </r>
      </text>
    </comment>
    <comment ref="F12" authorId="0" shapeId="0" xr:uid="{00000000-0006-0000-2E00-000003000000}">
      <text>
        <r>
          <rPr>
            <b/>
            <sz val="9"/>
            <color indexed="81"/>
            <rFont val="Tahoma"/>
            <family val="2"/>
          </rPr>
          <t xml:space="preserve"># DE LA PERFORACIÓN
</t>
        </r>
      </text>
    </comment>
    <comment ref="M34" authorId="0" shapeId="0" xr:uid="{00000000-0006-0000-2E00-000004000000}">
      <text>
        <r>
          <rPr>
            <b/>
            <sz val="9"/>
            <color indexed="81"/>
            <rFont val="Tahoma"/>
            <family val="2"/>
          </rPr>
          <t>GRAVEDAD ESPECIFICA CELDA B71</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2F00-000001000000}">
      <text>
        <r>
          <rPr>
            <sz val="9"/>
            <color indexed="81"/>
            <rFont val="Tahoma"/>
            <family val="2"/>
          </rPr>
          <t>CONSECUTIVO DE INGRESO</t>
        </r>
      </text>
    </comment>
    <comment ref="M9" authorId="0" shapeId="0" xr:uid="{00000000-0006-0000-2F00-000002000000}">
      <text>
        <r>
          <rPr>
            <sz val="9"/>
            <color indexed="81"/>
            <rFont val="Tahoma"/>
            <family val="2"/>
          </rPr>
          <t>DOS ÚLTIMOS DÍGITOS DEL AÑO DE INGRESO</t>
        </r>
      </text>
    </comment>
    <comment ref="F12" authorId="0" shapeId="0" xr:uid="{00000000-0006-0000-2F00-000003000000}">
      <text>
        <r>
          <rPr>
            <b/>
            <sz val="9"/>
            <color indexed="81"/>
            <rFont val="Tahoma"/>
            <family val="2"/>
          </rPr>
          <t xml:space="preserve"># DE LA PERFORACIÓN
</t>
        </r>
      </text>
    </comment>
    <comment ref="M34" authorId="0" shapeId="0" xr:uid="{00000000-0006-0000-2F00-000004000000}">
      <text>
        <r>
          <rPr>
            <b/>
            <sz val="9"/>
            <color indexed="81"/>
            <rFont val="Tahoma"/>
            <family val="2"/>
          </rPr>
          <t>GRAVEDAD ESPECIFICA CELDA B71</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000-000001000000}">
      <text>
        <r>
          <rPr>
            <sz val="9"/>
            <color indexed="81"/>
            <rFont val="Tahoma"/>
            <family val="2"/>
          </rPr>
          <t>CONSECUTIVO DE INGRESO</t>
        </r>
      </text>
    </comment>
    <comment ref="M9" authorId="0" shapeId="0" xr:uid="{00000000-0006-0000-3000-000002000000}">
      <text>
        <r>
          <rPr>
            <sz val="9"/>
            <color indexed="81"/>
            <rFont val="Tahoma"/>
            <family val="2"/>
          </rPr>
          <t>DOS ÚLTIMOS DÍGITOS DEL AÑO DE INGRESO</t>
        </r>
      </text>
    </comment>
    <comment ref="F12" authorId="0" shapeId="0" xr:uid="{00000000-0006-0000-3000-000003000000}">
      <text>
        <r>
          <rPr>
            <b/>
            <sz val="9"/>
            <color indexed="81"/>
            <rFont val="Tahoma"/>
            <family val="2"/>
          </rPr>
          <t xml:space="preserve"># DE LA PERFORACIÓN
</t>
        </r>
      </text>
    </comment>
    <comment ref="M34" authorId="0" shapeId="0" xr:uid="{00000000-0006-0000-3000-000004000000}">
      <text>
        <r>
          <rPr>
            <b/>
            <sz val="9"/>
            <color indexed="81"/>
            <rFont val="Tahoma"/>
            <family val="2"/>
          </rPr>
          <t>GRAVEDAD ESPECIFICA CELDA B71</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100-000001000000}">
      <text>
        <r>
          <rPr>
            <sz val="9"/>
            <color indexed="81"/>
            <rFont val="Tahoma"/>
            <family val="2"/>
          </rPr>
          <t>CONSECUTIVO DE INGRESO</t>
        </r>
      </text>
    </comment>
    <comment ref="M9" authorId="0" shapeId="0" xr:uid="{00000000-0006-0000-3100-000002000000}">
      <text>
        <r>
          <rPr>
            <sz val="9"/>
            <color indexed="81"/>
            <rFont val="Tahoma"/>
            <family val="2"/>
          </rPr>
          <t>DOS ÚLTIMOS DÍGITOS DEL AÑO DE INGRESO</t>
        </r>
      </text>
    </comment>
    <comment ref="F12" authorId="0" shapeId="0" xr:uid="{00000000-0006-0000-3100-000003000000}">
      <text>
        <r>
          <rPr>
            <b/>
            <sz val="9"/>
            <color indexed="81"/>
            <rFont val="Tahoma"/>
            <family val="2"/>
          </rPr>
          <t xml:space="preserve"># DE LA PERFORACIÓN
</t>
        </r>
      </text>
    </comment>
    <comment ref="M34" authorId="0" shapeId="0" xr:uid="{00000000-0006-0000-3100-000004000000}">
      <text>
        <r>
          <rPr>
            <b/>
            <sz val="9"/>
            <color indexed="81"/>
            <rFont val="Tahoma"/>
            <family val="2"/>
          </rPr>
          <t>GRAVEDAD ESPECIFICA CELDA B71</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200-000001000000}">
      <text>
        <r>
          <rPr>
            <sz val="9"/>
            <color indexed="81"/>
            <rFont val="Tahoma"/>
            <family val="2"/>
          </rPr>
          <t>CONSECUTIVO DE INGRESO</t>
        </r>
      </text>
    </comment>
    <comment ref="M9" authorId="0" shapeId="0" xr:uid="{00000000-0006-0000-3200-000002000000}">
      <text>
        <r>
          <rPr>
            <sz val="9"/>
            <color indexed="81"/>
            <rFont val="Tahoma"/>
            <family val="2"/>
          </rPr>
          <t>DOS ÚLTIMOS DÍGITOS DEL AÑO DE INGRESO</t>
        </r>
      </text>
    </comment>
    <comment ref="F12" authorId="0" shapeId="0" xr:uid="{00000000-0006-0000-3200-000003000000}">
      <text>
        <r>
          <rPr>
            <b/>
            <sz val="9"/>
            <color indexed="81"/>
            <rFont val="Tahoma"/>
            <family val="2"/>
          </rPr>
          <t xml:space="preserve"># DE LA PERFORACIÓN
</t>
        </r>
      </text>
    </comment>
    <comment ref="M34" authorId="0" shapeId="0" xr:uid="{00000000-0006-0000-3200-000004000000}">
      <text>
        <r>
          <rPr>
            <b/>
            <sz val="9"/>
            <color indexed="81"/>
            <rFont val="Tahoma"/>
            <family val="2"/>
          </rPr>
          <t>GRAVEDAD ESPECIFICA CELDA B71</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300-000001000000}">
      <text>
        <r>
          <rPr>
            <sz val="9"/>
            <color indexed="81"/>
            <rFont val="Tahoma"/>
            <family val="2"/>
          </rPr>
          <t>CONSECUTIVO DE INGRESO</t>
        </r>
      </text>
    </comment>
    <comment ref="M9" authorId="0" shapeId="0" xr:uid="{00000000-0006-0000-3300-000002000000}">
      <text>
        <r>
          <rPr>
            <sz val="9"/>
            <color indexed="81"/>
            <rFont val="Tahoma"/>
            <family val="2"/>
          </rPr>
          <t>DOS ÚLTIMOS DÍGITOS DEL AÑO DE INGRESO</t>
        </r>
      </text>
    </comment>
    <comment ref="F12" authorId="0" shapeId="0" xr:uid="{00000000-0006-0000-3300-000003000000}">
      <text>
        <r>
          <rPr>
            <b/>
            <sz val="9"/>
            <color indexed="81"/>
            <rFont val="Tahoma"/>
            <family val="2"/>
          </rPr>
          <t xml:space="preserve"># DE LA PERFORACIÓN
</t>
        </r>
      </text>
    </comment>
    <comment ref="M34" authorId="0" shapeId="0" xr:uid="{00000000-0006-0000-3300-000004000000}">
      <text>
        <r>
          <rPr>
            <b/>
            <sz val="9"/>
            <color indexed="81"/>
            <rFont val="Tahoma"/>
            <family val="2"/>
          </rPr>
          <t>GRAVEDAD ESPECIFICA CELDA B71</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400-000001000000}">
      <text>
        <r>
          <rPr>
            <sz val="9"/>
            <color indexed="81"/>
            <rFont val="Tahoma"/>
            <family val="2"/>
          </rPr>
          <t>CONSECUTIVO DE INGRESO</t>
        </r>
      </text>
    </comment>
    <comment ref="M9" authorId="0" shapeId="0" xr:uid="{00000000-0006-0000-3400-000002000000}">
      <text>
        <r>
          <rPr>
            <sz val="9"/>
            <color indexed="81"/>
            <rFont val="Tahoma"/>
            <family val="2"/>
          </rPr>
          <t>DOS ÚLTIMOS DÍGITOS DEL AÑO DE INGRESO</t>
        </r>
      </text>
    </comment>
    <comment ref="F12" authorId="0" shapeId="0" xr:uid="{00000000-0006-0000-3400-000003000000}">
      <text>
        <r>
          <rPr>
            <b/>
            <sz val="9"/>
            <color indexed="81"/>
            <rFont val="Tahoma"/>
            <family val="2"/>
          </rPr>
          <t xml:space="preserve"># DE LA PERFORACIÓN
</t>
        </r>
      </text>
    </comment>
    <comment ref="M34" authorId="0" shapeId="0" xr:uid="{00000000-0006-0000-3400-000004000000}">
      <text>
        <r>
          <rPr>
            <b/>
            <sz val="9"/>
            <color indexed="81"/>
            <rFont val="Tahoma"/>
            <family val="2"/>
          </rPr>
          <t>GRAVEDAD ESPECIFICA CELDA B71</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500-000001000000}">
      <text>
        <r>
          <rPr>
            <sz val="9"/>
            <color indexed="81"/>
            <rFont val="Tahoma"/>
            <family val="2"/>
          </rPr>
          <t>CONSECUTIVO DE INGRESO</t>
        </r>
      </text>
    </comment>
    <comment ref="M9" authorId="0" shapeId="0" xr:uid="{00000000-0006-0000-3500-000002000000}">
      <text>
        <r>
          <rPr>
            <sz val="9"/>
            <color indexed="81"/>
            <rFont val="Tahoma"/>
            <family val="2"/>
          </rPr>
          <t>DOS ÚLTIMOS DÍGITOS DEL AÑO DE INGRESO</t>
        </r>
      </text>
    </comment>
    <comment ref="F12" authorId="0" shapeId="0" xr:uid="{00000000-0006-0000-3500-000003000000}">
      <text>
        <r>
          <rPr>
            <b/>
            <sz val="9"/>
            <color indexed="81"/>
            <rFont val="Tahoma"/>
            <family val="2"/>
          </rPr>
          <t xml:space="preserve"># DE LA PERFORACIÓN
</t>
        </r>
      </text>
    </comment>
    <comment ref="M34" authorId="0" shapeId="0" xr:uid="{00000000-0006-0000-3500-000004000000}">
      <text>
        <r>
          <rPr>
            <b/>
            <sz val="9"/>
            <color indexed="81"/>
            <rFont val="Tahoma"/>
            <family val="2"/>
          </rPr>
          <t>GRAVEDAD ESPECIFICA CELDA B71</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600-000001000000}">
      <text>
        <r>
          <rPr>
            <sz val="9"/>
            <color indexed="81"/>
            <rFont val="Tahoma"/>
            <family val="2"/>
          </rPr>
          <t>CONSECUTIVO DE INGRESO</t>
        </r>
      </text>
    </comment>
    <comment ref="M9" authorId="0" shapeId="0" xr:uid="{00000000-0006-0000-3600-000002000000}">
      <text>
        <r>
          <rPr>
            <sz val="9"/>
            <color indexed="81"/>
            <rFont val="Tahoma"/>
            <family val="2"/>
          </rPr>
          <t>DOS ÚLTIMOS DÍGITOS DEL AÑO DE INGRESO</t>
        </r>
      </text>
    </comment>
    <comment ref="F12" authorId="0" shapeId="0" xr:uid="{00000000-0006-0000-3600-000003000000}">
      <text>
        <r>
          <rPr>
            <b/>
            <sz val="9"/>
            <color indexed="81"/>
            <rFont val="Tahoma"/>
            <family val="2"/>
          </rPr>
          <t xml:space="preserve"># DE LA PERFORACIÓN
</t>
        </r>
      </text>
    </comment>
    <comment ref="M34" authorId="0" shapeId="0" xr:uid="{00000000-0006-0000-3600-000004000000}">
      <text>
        <r>
          <rPr>
            <b/>
            <sz val="9"/>
            <color indexed="81"/>
            <rFont val="Tahoma"/>
            <family val="2"/>
          </rPr>
          <t>GRAVEDAD ESPECIFICA CELDA B71</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700-000001000000}">
      <text>
        <r>
          <rPr>
            <sz val="9"/>
            <color indexed="81"/>
            <rFont val="Tahoma"/>
            <family val="2"/>
          </rPr>
          <t>CONSECUTIVO DE INGRESO</t>
        </r>
      </text>
    </comment>
    <comment ref="M9" authorId="0" shapeId="0" xr:uid="{00000000-0006-0000-3700-000002000000}">
      <text>
        <r>
          <rPr>
            <sz val="9"/>
            <color indexed="81"/>
            <rFont val="Tahoma"/>
            <family val="2"/>
          </rPr>
          <t>DOS ÚLTIMOS DÍGITOS DEL AÑO DE INGRESO</t>
        </r>
      </text>
    </comment>
    <comment ref="F12" authorId="0" shapeId="0" xr:uid="{00000000-0006-0000-3700-000003000000}">
      <text>
        <r>
          <rPr>
            <b/>
            <sz val="9"/>
            <color indexed="81"/>
            <rFont val="Tahoma"/>
            <family val="2"/>
          </rPr>
          <t xml:space="preserve"># DE LA PERFORACIÓN
</t>
        </r>
      </text>
    </comment>
    <comment ref="M34" authorId="0" shapeId="0" xr:uid="{00000000-0006-0000-3700-000004000000}">
      <text>
        <r>
          <rPr>
            <b/>
            <sz val="9"/>
            <color indexed="81"/>
            <rFont val="Tahoma"/>
            <family val="2"/>
          </rPr>
          <t>GRAVEDAD ESPECIFICA CELDA B71</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800-000001000000}">
      <text>
        <r>
          <rPr>
            <sz val="9"/>
            <color indexed="81"/>
            <rFont val="Tahoma"/>
            <family val="2"/>
          </rPr>
          <t>CONSECUTIVO DE INGRESO</t>
        </r>
      </text>
    </comment>
    <comment ref="M9" authorId="0" shapeId="0" xr:uid="{00000000-0006-0000-3800-000002000000}">
      <text>
        <r>
          <rPr>
            <sz val="9"/>
            <color indexed="81"/>
            <rFont val="Tahoma"/>
            <family val="2"/>
          </rPr>
          <t>DOS ÚLTIMOS DÍGITOS DEL AÑO DE INGRESO</t>
        </r>
      </text>
    </comment>
    <comment ref="F12" authorId="0" shapeId="0" xr:uid="{00000000-0006-0000-3800-000003000000}">
      <text>
        <r>
          <rPr>
            <b/>
            <sz val="9"/>
            <color indexed="81"/>
            <rFont val="Tahoma"/>
            <family val="2"/>
          </rPr>
          <t xml:space="preserve"># DE LA PERFORACIÓN
</t>
        </r>
      </text>
    </comment>
    <comment ref="M34" authorId="0" shapeId="0" xr:uid="{00000000-0006-0000-3800-000004000000}">
      <text>
        <r>
          <rPr>
            <b/>
            <sz val="9"/>
            <color indexed="81"/>
            <rFont val="Tahoma"/>
            <family val="2"/>
          </rPr>
          <t>GRAVEDAD ESPECIFICA CELDA B71</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900-000001000000}">
      <text>
        <r>
          <rPr>
            <sz val="9"/>
            <color indexed="81"/>
            <rFont val="Tahoma"/>
            <family val="2"/>
          </rPr>
          <t>CONSECUTIVO DE INGRESO</t>
        </r>
      </text>
    </comment>
    <comment ref="M9" authorId="0" shapeId="0" xr:uid="{00000000-0006-0000-3900-000002000000}">
      <text>
        <r>
          <rPr>
            <sz val="9"/>
            <color indexed="81"/>
            <rFont val="Tahoma"/>
            <family val="2"/>
          </rPr>
          <t>DOS ÚLTIMOS DÍGITOS DEL AÑO DE INGRESO</t>
        </r>
      </text>
    </comment>
    <comment ref="F12" authorId="0" shapeId="0" xr:uid="{00000000-0006-0000-3900-000003000000}">
      <text>
        <r>
          <rPr>
            <b/>
            <sz val="9"/>
            <color indexed="81"/>
            <rFont val="Tahoma"/>
            <family val="2"/>
          </rPr>
          <t xml:space="preserve"># DE LA PERFORACIÓN
</t>
        </r>
      </text>
    </comment>
    <comment ref="M34" authorId="0" shapeId="0" xr:uid="{00000000-0006-0000-3900-000004000000}">
      <text>
        <r>
          <rPr>
            <b/>
            <sz val="9"/>
            <color indexed="81"/>
            <rFont val="Tahoma"/>
            <family val="2"/>
          </rPr>
          <t>GRAVEDAD ESPECIFICA CELDA B71</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A00-000001000000}">
      <text>
        <r>
          <rPr>
            <sz val="9"/>
            <color indexed="81"/>
            <rFont val="Tahoma"/>
            <family val="2"/>
          </rPr>
          <t>CONSECUTIVO DE INGRESO</t>
        </r>
      </text>
    </comment>
    <comment ref="M9" authorId="0" shapeId="0" xr:uid="{00000000-0006-0000-3A00-000002000000}">
      <text>
        <r>
          <rPr>
            <sz val="9"/>
            <color indexed="81"/>
            <rFont val="Tahoma"/>
            <family val="2"/>
          </rPr>
          <t>DOS ÚLTIMOS DÍGITOS DEL AÑO DE INGRESO</t>
        </r>
      </text>
    </comment>
    <comment ref="F12" authorId="0" shapeId="0" xr:uid="{00000000-0006-0000-3A00-000003000000}">
      <text>
        <r>
          <rPr>
            <b/>
            <sz val="9"/>
            <color indexed="81"/>
            <rFont val="Tahoma"/>
            <family val="2"/>
          </rPr>
          <t xml:space="preserve"># DE LA PERFORACIÓN
</t>
        </r>
      </text>
    </comment>
    <comment ref="M34" authorId="0" shapeId="0" xr:uid="{00000000-0006-0000-3A00-000004000000}">
      <text>
        <r>
          <rPr>
            <b/>
            <sz val="9"/>
            <color indexed="81"/>
            <rFont val="Tahoma"/>
            <family val="2"/>
          </rPr>
          <t>GRAVEDAD ESPECIFICA CELDA B71</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9" authorId="0" shapeId="0" xr:uid="{00000000-0006-0000-3B00-000001000000}">
      <text>
        <r>
          <rPr>
            <sz val="9"/>
            <color indexed="81"/>
            <rFont val="Tahoma"/>
            <family val="2"/>
          </rPr>
          <t>CONSECUTIVO DE INGRESO</t>
        </r>
      </text>
    </comment>
    <comment ref="M9" authorId="0" shapeId="0" xr:uid="{00000000-0006-0000-3B00-000002000000}">
      <text>
        <r>
          <rPr>
            <sz val="9"/>
            <color indexed="81"/>
            <rFont val="Tahoma"/>
            <family val="2"/>
          </rPr>
          <t>DOS ÚLTIMOS DÍGITOS DEL AÑO DE INGRESO</t>
        </r>
      </text>
    </comment>
    <comment ref="F12" authorId="0" shapeId="0" xr:uid="{00000000-0006-0000-3B00-000003000000}">
      <text>
        <r>
          <rPr>
            <b/>
            <sz val="9"/>
            <color indexed="81"/>
            <rFont val="Tahoma"/>
            <family val="2"/>
          </rPr>
          <t xml:space="preserve"># DE LA PERFORACIÓN
</t>
        </r>
      </text>
    </comment>
    <comment ref="M34" authorId="0" shapeId="0" xr:uid="{00000000-0006-0000-3B00-000004000000}">
      <text>
        <r>
          <rPr>
            <b/>
            <sz val="9"/>
            <color indexed="81"/>
            <rFont val="Tahoma"/>
            <family val="2"/>
          </rPr>
          <t>GRAVEDAD ESPECIFICA CELDA B71</t>
        </r>
      </text>
    </comment>
  </commentList>
</comments>
</file>

<file path=xl/sharedStrings.xml><?xml version="1.0" encoding="utf-8"?>
<sst xmlns="http://schemas.openxmlformats.org/spreadsheetml/2006/main" count="15040" uniqueCount="347">
  <si>
    <t>Página: 1 de 1</t>
  </si>
  <si>
    <t>CLIENTE:</t>
  </si>
  <si>
    <t>PROYECTO:</t>
  </si>
  <si>
    <t>PERFORACIÓN:</t>
  </si>
  <si>
    <t>MUESTRA No. :</t>
  </si>
  <si>
    <t xml:space="preserve">PROFUNDIDAD: </t>
  </si>
  <si>
    <t>-</t>
  </si>
  <si>
    <t xml:space="preserve">No. GOLPES </t>
  </si>
  <si>
    <t xml:space="preserve">No. CAPAS  </t>
  </si>
  <si>
    <t>RECIPIENTE No.</t>
  </si>
  <si>
    <t xml:space="preserve">% HUMEDAD </t>
  </si>
  <si>
    <t>A</t>
  </si>
  <si>
    <t>B</t>
  </si>
  <si>
    <t>C</t>
  </si>
  <si>
    <t xml:space="preserve">Penetración </t>
  </si>
  <si>
    <t xml:space="preserve">Fuerza </t>
  </si>
  <si>
    <t>Esfuerzo</t>
  </si>
  <si>
    <t>Fuerza</t>
  </si>
  <si>
    <t>(in)</t>
  </si>
  <si>
    <t>(mm)</t>
  </si>
  <si>
    <t>kN</t>
  </si>
  <si>
    <t>MPa</t>
  </si>
  <si>
    <t>26 GOLPES</t>
  </si>
  <si>
    <t xml:space="preserve">56 GOLPES </t>
  </si>
  <si>
    <t>MOLDE No.</t>
  </si>
  <si>
    <t xml:space="preserve">HUMEDAD DE COMPACTACIÓN </t>
  </si>
  <si>
    <t xml:space="preserve">DATOS INICIALES </t>
  </si>
  <si>
    <t>MASA DEL MOLDE (g)</t>
  </si>
  <si>
    <t>MASA SECA Y RECIPIENTE (g)</t>
  </si>
  <si>
    <t>MASA  RECIPIENTE (g)</t>
  </si>
  <si>
    <t xml:space="preserve">DATOS DE EXPANSIÓN </t>
  </si>
  <si>
    <t>LECTURA INICIAL (in)</t>
  </si>
  <si>
    <t>LECTURA FINAL (in)</t>
  </si>
  <si>
    <t>EXPANSIÓN TOTAL (cm)</t>
  </si>
  <si>
    <t>EXPANSIÓN TOTAL %</t>
  </si>
  <si>
    <t>ALTURA DE LA MUESTRA (cm)</t>
  </si>
  <si>
    <t xml:space="preserve">HUMEDAD DE PENETRACIÓN </t>
  </si>
  <si>
    <t>RANGO</t>
  </si>
  <si>
    <t>50  KN</t>
  </si>
  <si>
    <t xml:space="preserve">VELOCIDAD </t>
  </si>
  <si>
    <t>1,27 mm/min</t>
  </si>
  <si>
    <t>%</t>
  </si>
  <si>
    <t>C.B.R.</t>
  </si>
  <si>
    <t xml:space="preserve">12 GOLPES </t>
  </si>
  <si>
    <t>¾</t>
  </si>
  <si>
    <t>ALTURA DE CAÍDA</t>
  </si>
  <si>
    <t>DIÁMETRO DE LA MUESTRA (cm)</t>
  </si>
  <si>
    <t xml:space="preserve">DIÁMETRO DEL MOLDE </t>
  </si>
  <si>
    <t xml:space="preserve">PESO ESPECIFICO FRACCIÓN GRUESA </t>
  </si>
  <si>
    <t>MASA HÚMEDA Y RECIPIENTE (g)</t>
  </si>
  <si>
    <t>ENSAYO PARA LA DETERMINACIÓN DEL CBR DE LOS SUELOS COMPACTADOS EN EL LABORATORIO Y SOBRE MUESTRA INALTERADA INV.- E - 148-13</t>
  </si>
  <si>
    <t>INFORME DE RESULTADOS</t>
  </si>
  <si>
    <t xml:space="preserve">tipo de perforación </t>
  </si>
  <si>
    <t>FECHA DE RECEPCIÓN:</t>
  </si>
  <si>
    <t>SONDEO</t>
  </si>
  <si>
    <t xml:space="preserve">FECHA DE EJECUCIÓN: </t>
  </si>
  <si>
    <t>APIQUE</t>
  </si>
  <si>
    <t>CORREO ELECTRÓNICO:</t>
  </si>
  <si>
    <t>FECHA DE EMISIÓN:</t>
  </si>
  <si>
    <t>TRINCHERA</t>
  </si>
  <si>
    <t>LOCALIZACIÓN:</t>
  </si>
  <si>
    <t xml:space="preserve">ORDEN INTERNA: </t>
  </si>
  <si>
    <t>GDA</t>
  </si>
  <si>
    <t>NQ</t>
  </si>
  <si>
    <t>MUESTRA TOMADA POR:</t>
  </si>
  <si>
    <t>INFORME ID No:</t>
  </si>
  <si>
    <t>N/A</t>
  </si>
  <si>
    <t>MASA MUESTRA HÚMEDA + MOLDE (g)</t>
  </si>
  <si>
    <t>MASA MOLDE  (g)</t>
  </si>
  <si>
    <t>MASA MUESTRA HÚMEDA  (g)</t>
  </si>
  <si>
    <t>VOLUMEN MOLDE (cm³)</t>
  </si>
  <si>
    <t>DENSIDAD MUESTRA HÚMEDA  (g/cm³)</t>
  </si>
  <si>
    <t>DENSIDAD MUESTRA SECA  (g/cm³)</t>
  </si>
  <si>
    <t>MASA HUMEDAD + RECIPIENTE (g)</t>
  </si>
  <si>
    <t>MASA SECA + RECIPIENTE  (g)</t>
  </si>
  <si>
    <t>MASA RECIPIENTE  (g)</t>
  </si>
  <si>
    <t xml:space="preserve">   VÍA SECA</t>
  </si>
  <si>
    <t xml:space="preserve">MARTILLOS DE COMPACTACIÓN </t>
  </si>
  <si>
    <t>4,536 Kg</t>
  </si>
  <si>
    <t>2,495 Kg</t>
  </si>
  <si>
    <t>12 ± 0,05 in</t>
  </si>
  <si>
    <t>18 ± 0,05 in</t>
  </si>
  <si>
    <t xml:space="preserve">MOLDE USADO </t>
  </si>
  <si>
    <t>4,00 in</t>
  </si>
  <si>
    <t>6,00 in</t>
  </si>
  <si>
    <t xml:space="preserve">corrección </t>
  </si>
  <si>
    <t>SI</t>
  </si>
  <si>
    <t xml:space="preserve">NO </t>
  </si>
  <si>
    <t xml:space="preserve">PASA TAMIZ </t>
  </si>
  <si>
    <t>⅜</t>
  </si>
  <si>
    <t>N.4</t>
  </si>
  <si>
    <t xml:space="preserve">VALORES GRAVEDAD ESPECIFICA </t>
  </si>
  <si>
    <t>GRAVEDAD ESPECÍFICA</t>
  </si>
  <si>
    <t xml:space="preserve">MÉTODO DE COMPACTACIÓN </t>
  </si>
  <si>
    <t xml:space="preserve">MÉTODO PREPARACIÓN MUESTRA </t>
  </si>
  <si>
    <t xml:space="preserve">  VÍA HÚMEDA</t>
  </si>
  <si>
    <t xml:space="preserve">ALTURA DE CAÍDA </t>
  </si>
  <si>
    <t xml:space="preserve"> --------------------FIN DEL INFORME--------------------</t>
  </si>
  <si>
    <t>Ing. SERGIO DURAN NÚÑEZ</t>
  </si>
  <si>
    <t>Director Técnico</t>
  </si>
  <si>
    <t xml:space="preserve">                                                   </t>
  </si>
  <si>
    <t xml:space="preserve">MUESTRAS TOTALES </t>
  </si>
  <si>
    <t xml:space="preserve">RESULTADOS DEL ENSAYO </t>
  </si>
  <si>
    <t>Ƴw (Peso unitario del agua,  999,52 Kg/m3)</t>
  </si>
  <si>
    <t>%  RETENIDO EN EL TAMIZ 3/8".</t>
  </si>
  <si>
    <t>Gm</t>
  </si>
  <si>
    <t xml:space="preserve">FRACCIÓN GRUESA </t>
  </si>
  <si>
    <t xml:space="preserve">FRACCIÓN DE ENSAYO </t>
  </si>
  <si>
    <t xml:space="preserve">PESO UNITARIO SECO DE LA FRACCIÓN FINA  </t>
  </si>
  <si>
    <t xml:space="preserve">PESO UNITARIO DEL AGUA </t>
  </si>
  <si>
    <r>
      <rPr>
        <b/>
        <sz val="12"/>
        <rFont val="Arial"/>
        <family val="2"/>
      </rPr>
      <t>A:</t>
    </r>
    <r>
      <rPr>
        <sz val="12"/>
        <rFont val="Arial"/>
        <family val="2"/>
      </rPr>
      <t xml:space="preserve"> Peso al aire de la muestra seca (g)</t>
    </r>
  </si>
  <si>
    <r>
      <rPr>
        <b/>
        <sz val="12"/>
        <rFont val="Arial"/>
        <family val="2"/>
      </rPr>
      <t xml:space="preserve">B: </t>
    </r>
    <r>
      <rPr>
        <sz val="12"/>
        <rFont val="Arial"/>
        <family val="2"/>
      </rPr>
      <t>Peso picnómetro aforado lleno de agua (g)</t>
    </r>
  </si>
  <si>
    <r>
      <rPr>
        <b/>
        <sz val="12"/>
        <rFont val="Arial"/>
        <family val="2"/>
      </rPr>
      <t>C:</t>
    </r>
    <r>
      <rPr>
        <sz val="12"/>
        <rFont val="Arial"/>
        <family val="2"/>
      </rPr>
      <t xml:space="preserve"> Peso picnómetro aforado + agua + muestra (g)</t>
    </r>
  </si>
  <si>
    <r>
      <rPr>
        <b/>
        <sz val="12"/>
        <rFont val="Arial"/>
        <family val="2"/>
      </rPr>
      <t xml:space="preserve">T: </t>
    </r>
    <r>
      <rPr>
        <sz val="12"/>
        <rFont val="Arial"/>
        <family val="2"/>
      </rPr>
      <t>Temperatura de ensayo   °C</t>
    </r>
  </si>
  <si>
    <r>
      <rPr>
        <b/>
        <sz val="12"/>
        <rFont val="Arial"/>
        <family val="2"/>
      </rPr>
      <t>D:</t>
    </r>
    <r>
      <rPr>
        <sz val="12"/>
        <rFont val="Arial"/>
        <family val="2"/>
      </rPr>
      <t xml:space="preserve"> Peso específico del agua</t>
    </r>
  </si>
  <si>
    <r>
      <rPr>
        <b/>
        <sz val="12"/>
        <rFont val="Arial"/>
        <family val="2"/>
      </rPr>
      <t>V:</t>
    </r>
    <r>
      <rPr>
        <sz val="12"/>
        <rFont val="Arial"/>
        <family val="2"/>
      </rPr>
      <t xml:space="preserve"> Volumen probeta (cm</t>
    </r>
    <r>
      <rPr>
        <vertAlign val="superscript"/>
        <sz val="12"/>
        <rFont val="Arial"/>
        <family val="2"/>
      </rPr>
      <t>3</t>
    </r>
    <r>
      <rPr>
        <sz val="12"/>
        <rFont val="Arial"/>
        <family val="2"/>
      </rPr>
      <t>)</t>
    </r>
  </si>
  <si>
    <r>
      <t>G</t>
    </r>
    <r>
      <rPr>
        <b/>
        <vertAlign val="subscript"/>
        <sz val="12"/>
        <color theme="1"/>
        <rFont val="Arial"/>
        <family val="2"/>
      </rPr>
      <t>M</t>
    </r>
  </si>
  <si>
    <r>
      <t>D</t>
    </r>
    <r>
      <rPr>
        <b/>
        <vertAlign val="subscript"/>
        <sz val="12"/>
        <color theme="1"/>
        <rFont val="Arial"/>
        <family val="2"/>
      </rPr>
      <t>W</t>
    </r>
  </si>
  <si>
    <t>PESO UNITARIO DEL AGUA kN/m³</t>
  </si>
  <si>
    <t>PFE           %</t>
  </si>
  <si>
    <t>PFG             %</t>
  </si>
  <si>
    <t>g/cm³</t>
  </si>
  <si>
    <t xml:space="preserve"> g/cm³</t>
  </si>
  <si>
    <t xml:space="preserve">HUMEDAD OPTIMA </t>
  </si>
  <si>
    <r>
      <t xml:space="preserve">HUMEDAD OPTIMA </t>
    </r>
    <r>
      <rPr>
        <b/>
        <vertAlign val="subscript"/>
        <sz val="12"/>
        <color theme="1"/>
        <rFont val="Arial"/>
        <family val="2"/>
      </rPr>
      <t>CORREGIDA</t>
    </r>
  </si>
  <si>
    <t xml:space="preserve">VALOR DE LA GRAVEDAD ESPECIFICA </t>
  </si>
  <si>
    <r>
      <t>G</t>
    </r>
    <r>
      <rPr>
        <b/>
        <vertAlign val="subscript"/>
        <sz val="12"/>
        <rFont val="Arial"/>
        <family val="2"/>
      </rPr>
      <t>S</t>
    </r>
  </si>
  <si>
    <t xml:space="preserve">% RETENIDO EN EL TAMIZ  </t>
  </si>
  <si>
    <t>¾ "</t>
  </si>
  <si>
    <t>⅜ "</t>
  </si>
  <si>
    <t xml:space="preserve">DESCRIPCIÓN VISUAL: </t>
  </si>
  <si>
    <t xml:space="preserve">No. CAPAS </t>
  </si>
  <si>
    <t>MASA MUESTRA + MOLDE (g)</t>
  </si>
  <si>
    <t>VOLUMEN DEL MOLDE cm³</t>
  </si>
  <si>
    <t xml:space="preserve">DENSIDAD  MUESTRA HÚMEDA (g/cm³) </t>
  </si>
  <si>
    <t>DENSIDAD MUESTRA  SECA (g/cm³)</t>
  </si>
  <si>
    <t>MASA DE LA MUESTRA (g)</t>
  </si>
  <si>
    <t>DF       kN/m³</t>
  </si>
  <si>
    <t xml:space="preserve">GRAVEDAD ESPECIFICA DE SOBRE TAMAÑOS </t>
  </si>
  <si>
    <t xml:space="preserve">DENSIDAD MÁXIMA </t>
  </si>
  <si>
    <r>
      <t xml:space="preserve">DENSIDAD MÁXIMA </t>
    </r>
    <r>
      <rPr>
        <b/>
        <vertAlign val="subscript"/>
        <sz val="12"/>
        <color theme="1"/>
        <rFont val="Arial"/>
        <family val="2"/>
      </rPr>
      <t>CORREGIDA</t>
    </r>
  </si>
  <si>
    <t>DENSIDAD MÁXIMA</t>
  </si>
  <si>
    <r>
      <t xml:space="preserve">DENSIDAD MÁXIMA </t>
    </r>
    <r>
      <rPr>
        <vertAlign val="subscript"/>
        <sz val="12"/>
        <color theme="1"/>
        <rFont val="Arial"/>
        <family val="2"/>
      </rPr>
      <t>CORREGIDA</t>
    </r>
  </si>
  <si>
    <t>OBSERVACIONES:</t>
  </si>
  <si>
    <t>CORRECCIÓN</t>
  </si>
  <si>
    <t>GM (Gravedad especifica de fracción gruesa tomada en el laboratorio en Kg/m3)</t>
  </si>
  <si>
    <t>ƳF (Peso unitario seco de la fracción fina, determinado en el ensayo de compactación en el laboratorio en Kg/m3)</t>
  </si>
  <si>
    <t>Wf (Contenido de agua de la fracción Fina ó Humedad del Proctor sin corregir)</t>
  </si>
  <si>
    <t>Wc (Contenido de agua de la fracción Gruesa ó Humedad del agregado grueso tomada en el laboratorio)</t>
  </si>
  <si>
    <t>PFE (Porcentaje de la fracción fina por masa)</t>
  </si>
  <si>
    <t>PFG (Porcentaje de la fracción fina por masa)</t>
  </si>
  <si>
    <t>C.B.R 0,100 plg      %</t>
  </si>
  <si>
    <t>C.B.R 0,200 plg      %</t>
  </si>
  <si>
    <t xml:space="preserve">DATOS DE COMPACTACIÓN </t>
  </si>
  <si>
    <t xml:space="preserve">NORMA APLICADA PARA LA COMPACTACIÓN </t>
  </si>
  <si>
    <t>49,63 (mm)</t>
  </si>
  <si>
    <t>023</t>
  </si>
  <si>
    <t>23</t>
  </si>
  <si>
    <r>
      <rPr>
        <sz val="18"/>
        <color rgb="FF002060"/>
        <rFont val="Arial"/>
        <family val="2"/>
      </rPr>
      <t>ø</t>
    </r>
    <r>
      <rPr>
        <sz val="12"/>
        <color rgb="FF002060"/>
        <rFont val="Arial"/>
        <family val="2"/>
      </rPr>
      <t xml:space="preserve">   PISTÓN </t>
    </r>
  </si>
  <si>
    <t>DATOS SATURACIÓN 100%</t>
  </si>
  <si>
    <t xml:space="preserve">GOLPES </t>
  </si>
  <si>
    <t>PESAS DE SOBRE CARGA (g)</t>
  </si>
  <si>
    <r>
      <t xml:space="preserve">RETENIDO EN EL TAMIZ </t>
    </r>
    <r>
      <rPr>
        <sz val="18"/>
        <color theme="1"/>
        <rFont val="Arial"/>
        <family val="2"/>
      </rPr>
      <t xml:space="preserve">  </t>
    </r>
    <r>
      <rPr>
        <sz val="18"/>
        <color theme="1"/>
        <rFont val="Calibri"/>
        <family val="2"/>
      </rPr>
      <t>¾</t>
    </r>
  </si>
  <si>
    <t>CBR CORREGIDO</t>
  </si>
  <si>
    <t xml:space="preserve">  A                    B                    C</t>
  </si>
  <si>
    <t>CORRECCIÓN DEL PESO UNITARIO Y CONTENIDO DE AGUA DE SOBRE TAMAÑOS                                INV. E - 143 -13</t>
  </si>
  <si>
    <t xml:space="preserve">           A                   B                    C</t>
  </si>
  <si>
    <t xml:space="preserve">INV. - E - 141-13                    INV. - E - 142-13  </t>
  </si>
  <si>
    <t xml:space="preserve">TIEMPO DE INMERSIÓN (Días) </t>
  </si>
  <si>
    <t xml:space="preserve"> kN/m³</t>
  </si>
  <si>
    <t xml:space="preserve"> El presente ensayo no podrá ser reproducido ni parcial ni totalmente sin previa autorización escrita del laboratorio que lo emite. Los resultados de este ensayo solo son aplicables a las muestras ensayadas. Este informe es valido únicamente si presenta firma de quien Reviso y/o Aprobó. El laboratorio es reponsable de toda la información suministrada en es presente inform, excepto cuando la información es suministrada por el cliente. El laboraorio no es responsable por la inforcaión suministrada por el cliente, misma que puede afectar la validez de los resultados. (DATOS SUMINISTRADOS POR EL CLIENTE: PROCEDENCIA, PROFUNDIDAD, NUMERO DE PERFORACIÓN Y FECHA DE TOMA)</t>
  </si>
  <si>
    <t>DESCARGO DE RESPONSABILIDADES  GEODELTA INGENIERIA S.A.S.</t>
  </si>
  <si>
    <t>Version :01</t>
  </si>
  <si>
    <t>Código: GDA-FLC-002</t>
  </si>
  <si>
    <t>Fecha: 30-11-2023</t>
  </si>
  <si>
    <t>Código: GDA-FLC-002 A</t>
  </si>
  <si>
    <t>APROBÓ</t>
  </si>
  <si>
    <t>REVISÓ</t>
  </si>
  <si>
    <t>ZULMA CASTILLO</t>
  </si>
  <si>
    <t xml:space="preserve">Jefe laboratorio </t>
  </si>
  <si>
    <t>TPF GETINSA EURO ESTUDIOS COLOMBIA</t>
  </si>
  <si>
    <t xml:space="preserve">ESTUDIOS Y DISEÑOS  DE LA CALZADAS DE LAS CUATRO UNIDADES FUNCIONALES  AUTOPISTAS AL RIO MAGDALENA 2 </t>
  </si>
  <si>
    <t>BRYAN.ALARCON@CO.TPFINGENIERIA.COM</t>
  </si>
  <si>
    <t xml:space="preserve">RUTA DEL SOL UF1, 2, 3 Y 4 </t>
  </si>
  <si>
    <t>CLIENTE</t>
  </si>
  <si>
    <t xml:space="preserve"> MARTILLO USADO</t>
  </si>
  <si>
    <t>DESCARGO DE RESPONSABILIDADES  GEODELTA INGENIERÍA S.A.S.</t>
  </si>
  <si>
    <t>Versión :01</t>
  </si>
  <si>
    <t>ENSAYO PARA LA RELACIÓN DE HUMEDAD - PESO UNITARIO SECO DE LOS SUELOS (ENSAYO MODIFICADO DE COMPACTACIÓN)                                                                                             INV.- E- 142-13</t>
  </si>
  <si>
    <t xml:space="preserve"> </t>
  </si>
  <si>
    <t>&lt;</t>
  </si>
  <si>
    <t>ESTUDIO DE ESTRUCTURA EXISTENTE CONFORMADA PARA LA CONSTRUCCIÓN DEL SISTEMA DE ESPACIO PUBLICO, COMPUESTO POR VÍAS, ANDENES, ALAMEDAS, CICLO RUTA Y DEMAS ESTABILIZADOS DENTRO DEL CONTRATO DE CONSULTORÍA No C.CONSUL-002-2024</t>
  </si>
  <si>
    <t>utvias25@gmail.com</t>
  </si>
  <si>
    <t>MOSQUERA CUNDINAMARCA-EL DORADO</t>
  </si>
  <si>
    <t>053</t>
  </si>
  <si>
    <t>25</t>
  </si>
  <si>
    <t xml:space="preserve"> El presente ensayo no podrá ser reproducido ni parcial ni totalmente sin previa autorización escrita del laboratorio que lo emite. Los resultados de este ensayo solo son aplicables a las muestras ensayadas. Este informe es valido únicamente si presenta firma de quien Reviso y/o Aprobó. El laboratorio es responsable de toda la información suministrada en es presente informa, excepto cuando la información es suministrada por el cliente. El laboratorio no es responsable por la información suministrada por el cliente, misma que puede afectar la validez de los resultados. (DATOS SUMINISTRADOS POR EL CLIENTE: PROCEDENCIA, PROFUNDIDAD, NUMERO DE PERFORACIÓN Y FECHA DE TOMA)</t>
  </si>
  <si>
    <t>MIGUEL BARÓN</t>
  </si>
  <si>
    <t>MARTILLO USADO</t>
  </si>
  <si>
    <t>total</t>
  </si>
  <si>
    <t>sumatoria</t>
  </si>
  <si>
    <t>platon mas suelo</t>
  </si>
  <si>
    <t>plaon</t>
  </si>
  <si>
    <t>GRAVA BIEN GRADADA DE FORMA ANGULOSA, CON FINOS ARENO LIMOSOS, COLOR AMARILLO OSCURO, CEMENTACIÓN DÉBIL, EN CONDICIÓN HÚMEDA</t>
  </si>
  <si>
    <t>054</t>
  </si>
  <si>
    <t>Fecha: 19-04-2024</t>
  </si>
  <si>
    <t>Versión :02</t>
  </si>
  <si>
    <t>CAV-S2-AP3</t>
  </si>
  <si>
    <t>Consorcio constructor nueva malla vial del valle</t>
  </si>
  <si>
    <t>Exploración geotécnica sectores paraderos y puentes peatonales Cali</t>
  </si>
  <si>
    <t>GERENCIA.DCMING@GMAIL.COM</t>
  </si>
  <si>
    <t>Cali</t>
  </si>
  <si>
    <t>CAV-S1-AP2</t>
  </si>
  <si>
    <t>CAV-S2-AP4</t>
  </si>
  <si>
    <t>CAV-S1-AP1</t>
  </si>
  <si>
    <t>GRAVAS FINAS CON ARENA Y LIMO, COLOR GRIS, DE COMPACIDAD SUELTA, EN CONDICIÓN HÚMEDA.</t>
  </si>
  <si>
    <t>ARENA CON LIMO COLOR MARRÓN DE CONSISTENCIA FIRME EN CONDICIÓN HÚMEDA.</t>
  </si>
  <si>
    <t>LIMO CON ARENA Y ALGO DE GRAVA, COLOR MARRÓN, DE CONSISTENCIA BLANDA, EN CONDICIÓN HÚMEDA.</t>
  </si>
  <si>
    <t>LIMO CON ALGUNAS GRAVAS, COLOR MARRÓN, DE ESTADO SUELTO, EN CONDICIÓN HÚMEDA.</t>
  </si>
  <si>
    <t>056</t>
  </si>
  <si>
    <t>CAV-AP1</t>
  </si>
  <si>
    <t>56</t>
  </si>
  <si>
    <t>CAV-AP3</t>
  </si>
  <si>
    <t>CAV-AP4</t>
  </si>
  <si>
    <t>ARENA DE CEMENTACIÓN DÉBIL, EN CONDICIÓN HÚMEDA.</t>
  </si>
  <si>
    <t>LIMO CON ARENA FINA, COLOR MARRÓN DE CONSISTENCIA FIRME EN CONDICIÓN HÚMEDA.</t>
  </si>
  <si>
    <t>GRAVAS CON ARENA Y ALGO DE LIMO, COLOR GRIS, EN CONDICIÓN HÚMEDA.</t>
  </si>
  <si>
    <t>ARENA CON ALGO DE LIMO, CEMENTACIÓN DÉBIL, EN CONDICIÓN HÚMEDA.</t>
  </si>
  <si>
    <t>CAV-AP5</t>
  </si>
  <si>
    <t>ARCILLA CON ALGO LIMO, COLOR GRIS, CONSISTENCIA DURA, EN CONDICIÓN HÚMEDA.</t>
  </si>
  <si>
    <t>ARCILLA CON ALGO DE LIMO, COLOR GRIS, DE CONSISTENCIA FIRME, EN CONDICIÓN HÚMEDA.</t>
  </si>
  <si>
    <t>GRAVAS CON ARENA, COLOR GRIS, CEMENTACION DEBIL, EN CONDICIÓN HÚMEDA.</t>
  </si>
  <si>
    <t>ARCILLA DE BAJA PLASTICIDAD, DE COLOR GRIS VERDOSO, DE CONSISTENCIA MUY DURA, EN CONDICIÓN HÚMEDA.</t>
  </si>
  <si>
    <t>P-VILLA RICA AP1</t>
  </si>
  <si>
    <t>APIQUE:</t>
  </si>
  <si>
    <t>PALMASECA-AP1</t>
  </si>
  <si>
    <t>PALMASECA-AP2</t>
  </si>
  <si>
    <t>PALMASECA-AP3</t>
  </si>
  <si>
    <t>APIQUE::</t>
  </si>
  <si>
    <t>PALMASECA-AP4</t>
  </si>
  <si>
    <t>P-VILLA RICA AP2</t>
  </si>
  <si>
    <t>P-VILLA RICA AP3</t>
  </si>
  <si>
    <t>P-VILLA RICA AP4</t>
  </si>
  <si>
    <t>P-VILLA RICA AP5</t>
  </si>
  <si>
    <t>P-VILLA RICA AP6</t>
  </si>
  <si>
    <t>P-CIAT AP1</t>
  </si>
  <si>
    <t>P-ESTAMBUL AP1</t>
  </si>
  <si>
    <t>P-ESTAMBUL AP2</t>
  </si>
  <si>
    <t>P-ESTAMBUL AP3</t>
  </si>
  <si>
    <t>GRAVAS CON ARENA Y ALGO DE LIMO COLOR MARRON EN CONDICION HUMEDA.</t>
  </si>
  <si>
    <t>P-CIAT AP3</t>
  </si>
  <si>
    <t>GRAVAS CON ARCILLA Y ALGO DE ARENA DE COLOR MARRÓN CLARO, EN CONDICIÓN HÚMEDA.</t>
  </si>
  <si>
    <t>ARENA ARCILLOSA Y ALGUNAS GRAVAS, DE COLOR MARRÓN, EN CONDICIÓN HÚMEDA.</t>
  </si>
  <si>
    <t>GRAVAS CON ALGO DE ARCILLA, DE COLOR MARRÓN EN CONDICIÓN SECA.</t>
  </si>
  <si>
    <t>ARCILLA DE ALTA PLASTICIDAD, CON VETAS DE OXIDACIÓN, DE COLOR GRIS OSCURO, CONSISTENCIA FIRME, EN CONDICIÓN HÚMEDA.</t>
  </si>
  <si>
    <t>ARCILLA DE BAJA PLASTICIDAD, CON ALGO DE ARENA, COLOR MARRÓN, CONSISTENCIA DURA, EN CONDICIÓN HÚMEDA.</t>
  </si>
  <si>
    <t>LIMO DE ALTA PLASTICIDAD CON VETAS DE OXIDACIÓN, DE COLOR MARRÓN, CONSISTENCIA MUY DURA, EN CONDICIÓN HÚMEDA.</t>
  </si>
  <si>
    <t>ARCILLA DE ALTA PLASTICIDAD, DE COLOR MARRÓN AMARILLENTO, CONSISTENCIA DURA, EN CONDICIÓN HÚMEDA.</t>
  </si>
  <si>
    <t>ARCILLA DE ALTA PLASTICIDAD CON ALGO DE ARENA, DE COLOR MARRÓN, CONSISTENCIA BLANDA, EN CONDICIÓN HÚMEDA.</t>
  </si>
  <si>
    <t>025</t>
  </si>
  <si>
    <t>ARCILLA COLOR GRIS DE CONSISTENCIA DURA EN CONDICIÓN HÚMEDA.</t>
  </si>
  <si>
    <t>GRAVAS CON ARENA Y ALGO DE LIMO, COLOR MARRÓN EN CONDICIÓN HÚMEDA.</t>
  </si>
  <si>
    <t>P-CIAT AP2</t>
  </si>
  <si>
    <t xml:space="preserve">P-MEDIACANOA AP1 </t>
  </si>
  <si>
    <t xml:space="preserve">P-LA TORRE AP2 </t>
  </si>
  <si>
    <t>P-LA TORRE AP1</t>
  </si>
  <si>
    <t xml:space="preserve">P-MEDIACANOA AP3 </t>
  </si>
  <si>
    <t xml:space="preserve">P-MEDIACANOA AP4 </t>
  </si>
  <si>
    <t xml:space="preserve">P-MEDIACANOA AP2 </t>
  </si>
  <si>
    <t>ARCILLA, CON ALGUNAS GRAVAS ANGULARES, COLOR MARRÓN, CONSISTENCIA BLANDA, EN CONDICIÓN HÚMEDA.</t>
  </si>
  <si>
    <t>GRAVAS ANGULARES, CON ARCILLA Y ALGO DE ARENA, COLOR MARRÓN, EN CONDICIÓN HÚMEDA.</t>
  </si>
  <si>
    <t>GRAVAS ANGULOSAS, CON  ARCILLA Y ALGO DE ARENA, COLOR MARRÓN, EN CONDICIÓN HÚMEDA, CONSISTENCIA BLANDA.</t>
  </si>
  <si>
    <t>GRAVAS CON ARCILLA Y ALGO DE ARENA, COLOR MARRÓN CONSISTENCIA BLANDA, EN CONDICIÓN HÚMEDA.</t>
  </si>
  <si>
    <t>GRAVAS CON ARCILLA Y ALGO DE ARENA, COLOR MARRÓN. CONSISTENCIA BLANDA, EN CONDICIÓN HÚMEDA.</t>
  </si>
  <si>
    <t>GRAVAS ANGULARES, CON LIMO Y ARENA , COLOR MARRÓN, CEMENTACIÓN MODERADA, EN CONDICIÓN SECA</t>
  </si>
  <si>
    <t>ARENA ARCILLOSA CON ALGUNAS GRAVAS, COLOR MARRÓN, EN CONDICIÓN SECA.</t>
  </si>
  <si>
    <t xml:space="preserve">P-CERRITO AP1 </t>
  </si>
  <si>
    <t xml:space="preserve">P-CERRITO AP2 </t>
  </si>
  <si>
    <t>GRAVAS CON ARCILLA Y ALGO DE ARENA, COLOR MARRÓN, EN CONDICIÓN HÚMEDA.</t>
  </si>
  <si>
    <t>ARCILLA LIMOSA CON ALGUNAS GRAVAS, COLOR MARRÓN AMARILLENTO, EN CONDICIÓN HÚMEDA.</t>
  </si>
  <si>
    <t>P-CERRITO AP3</t>
  </si>
  <si>
    <t>ARENA LIMOSA, COLOR MARRÓN CEMENTACIÓN FUERTE, EN CONDICIÓN HÚMEDA.</t>
  </si>
  <si>
    <t>LIMO  ORGÁNICO CON ALGO DE ARENA, COLOR MARRÓN OSCURO, CONSISTENCIA DURA EN CONDICIÓN HÚMEDA.</t>
  </si>
  <si>
    <t>P-CERRITO AP4</t>
  </si>
  <si>
    <t>P-CENCAR AP1</t>
  </si>
  <si>
    <t>GRAVAS ANGULARES CON ARCILLA Y ARENA, COLOR MARRÓN, EN CONDICIÓN HÚMEDA.</t>
  </si>
  <si>
    <t>P-CENCAR AP2</t>
  </si>
  <si>
    <t>ARENA LIMOSA CON GRAVAS ANGULARES, COLOR MARRÓN AMARILLENTO, EN CONDICIÓN HÚMEDA.</t>
  </si>
  <si>
    <t xml:space="preserve">P-LA TORRE AP3 </t>
  </si>
  <si>
    <t xml:space="preserve">P-LA TORRE AP4 </t>
  </si>
  <si>
    <t>P-CENCAR AP3</t>
  </si>
  <si>
    <t>GRAVAS ANGULARES, CON ARENA, COLOR MARRÓN, EN CONDICIÓN SECA.</t>
  </si>
  <si>
    <t xml:space="preserve">P-ROZO AP1 </t>
  </si>
  <si>
    <t>P-ROZO AP2</t>
  </si>
  <si>
    <t>ARENA CON GRAVAS Y ALGO DE LIMO, COLOR MARRÓN EN CONDICIÓN HÚMEDA.</t>
  </si>
  <si>
    <t>GRAVAS CON ARENA Y ALGO DE LIMO, COLOR GRIS EN CONDICIÓN SECA.</t>
  </si>
  <si>
    <t>LA T-V- ROZO AP2</t>
  </si>
  <si>
    <t>0,90m</t>
  </si>
  <si>
    <t>2,00m</t>
  </si>
  <si>
    <t>LA T-V- ROZO AP3</t>
  </si>
  <si>
    <t>1,60m</t>
  </si>
  <si>
    <t>ARENA FINA CON LIMO, COLOR GRIS VERDOSO, CEMENTACIÓN DÉBIL, EN CONDICIÓN HÚMEDA.</t>
  </si>
  <si>
    <t xml:space="preserve">GRAVAS ANGULARES CON ARCILLA Y ARENA, COLOR MARRÓN GRISÁCEO, CEMENTACIÓN DÉBIL, EN CONDICIÓN HÚMEDA. </t>
  </si>
  <si>
    <t>1,10m</t>
  </si>
  <si>
    <t>LA T-V- ROZO AP4</t>
  </si>
  <si>
    <t>GRAVAS CON ARENA Y ALGO DE LIMO, COLOR MARRÓN GRISÁCEO, CEMENTACIÓN DÉBIL, EN CONDICIÓN SECA.</t>
  </si>
  <si>
    <t>0,60m</t>
  </si>
  <si>
    <t>T- CALEÑAS AP2</t>
  </si>
  <si>
    <t>1,00m</t>
  </si>
  <si>
    <t>1,50m</t>
  </si>
  <si>
    <t>LIMO ARCILLOSO, COLOR MARRÓN GRISÁCEO , EN CONDICIÓN HÚMEDA.</t>
  </si>
  <si>
    <t>538C</t>
  </si>
  <si>
    <t>LIMO ARCILLOSO, COLOR MARRÓN, CONSISTENCIA FIRME, EN CONDICIÓN HÚMEDA.</t>
  </si>
  <si>
    <t>T-CALEÑAS AP3</t>
  </si>
  <si>
    <t>1,80m</t>
  </si>
  <si>
    <t>T-CALEÑAS AP4</t>
  </si>
  <si>
    <t>GRAVAS ANGULARES, CON ARENA, COLOR MARRÓN, EN CONDICIÓN HÚMEDA.</t>
  </si>
  <si>
    <t>0,00m</t>
  </si>
  <si>
    <t>1,20m</t>
  </si>
  <si>
    <t>UNI VALLE AP1</t>
  </si>
  <si>
    <t>0,65m</t>
  </si>
  <si>
    <t>LIMO DE ALTA PLASTICIDAD, COLOR MARRÓN DE CONSISTENCIA FIRME EN CONDICIÓN HÚMEDA, PRESENCIA DE RAÍCES.</t>
  </si>
  <si>
    <t>LIMO DE ALTA PLASTICIDAD, COLOR MARRÓN CON VETAS DE OXIDACIÓN, CONSISTENCIA DURA, EN CONDICIÓN HÚMEDA.</t>
  </si>
  <si>
    <t xml:space="preserve">  </t>
  </si>
  <si>
    <t>UNI VALLE AP4</t>
  </si>
  <si>
    <t>0,40m</t>
  </si>
  <si>
    <t>LIMO DE ALTA PLASTICIDAD COLOR MARRÓN CONSISTENCIA DURA, EN CONDICIÓN HÚMEDA.</t>
  </si>
  <si>
    <t>UNIVALLE AP4</t>
  </si>
  <si>
    <t>UNIVALLE AP3</t>
  </si>
  <si>
    <t>UNIVALLE AP2</t>
  </si>
  <si>
    <t>GRAVAS ANGULARES BIEN GRADUADA, CON ARENA, CEMENTACIÓN DÉBIL, COLOR GRIS, EN CONDICIÓN HÚMEDA.</t>
  </si>
  <si>
    <t>T-CALEÑAS AP1</t>
  </si>
  <si>
    <t>CONTROL DE CAMBIOS</t>
  </si>
  <si>
    <t>Versión No.</t>
  </si>
  <si>
    <t>Fecha del cambio</t>
  </si>
  <si>
    <t>Modificaciones</t>
  </si>
  <si>
    <t>Creación del documento</t>
  </si>
  <si>
    <t>Se cambia de versión por cambios en la estructura y nombre del formato</t>
  </si>
  <si>
    <t>Se cambia de versión por cambios en la estructura del formato</t>
  </si>
  <si>
    <t>Digitar codigo ensayo</t>
  </si>
  <si>
    <t>DIGITAR NUMERO ENSAYO</t>
  </si>
  <si>
    <t>CÓDIGO: GDA-FLC-002</t>
  </si>
  <si>
    <t>VERSIÓN: 02</t>
  </si>
  <si>
    <t>PÁGINA: 1 DE 1</t>
  </si>
  <si>
    <t>FECHA: 19-04-2024</t>
  </si>
  <si>
    <t>CÓDIGO: GDA-FLC-002 A</t>
  </si>
  <si>
    <t>VERSIÓN :02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</si>
</sst>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200A]d&quot; de &quot;mmmm&quot; de &quot;yyyy;@"/>
    <numFmt numFmtId="165" formatCode="0.00&quot; m&quot;"/>
    <numFmt numFmtId="166" formatCode="0.000"/>
    <numFmt numFmtId="167" formatCode="0.0000"/>
    <numFmt numFmtId="168" formatCode="@\ &quot;-&quot;"/>
    <numFmt numFmtId="169" formatCode="0.0"/>
    <numFmt numFmtId="170" formatCode="0.000000"/>
  </numFmts>
  <fonts count="38" x14ac:knownFonts="1">
    <font>
      <sz val="11"/>
      <color theme="1"/>
      <name val="Calibri"/>
      <family val="2"/>
      <scheme val="minor"/>
    </font>
    <font>
      <sz val="11"/>
      <color theme="1"/>
      <name val="Arial"/>
      <family val="2"/>
    </font>
    <font>
      <b/>
      <sz val="11"/>
      <color theme="1"/>
      <name val="Arial"/>
      <family val="2"/>
    </font>
    <font>
      <b/>
      <sz val="11"/>
      <color rgb="FF002060"/>
      <name val="Arial"/>
      <family val="2"/>
    </font>
    <font>
      <sz val="10"/>
      <name val="Arial"/>
      <family val="2"/>
    </font>
    <font>
      <sz val="9"/>
      <color theme="1"/>
      <name val="Arial"/>
      <family val="2"/>
    </font>
    <font>
      <sz val="11"/>
      <name val="Arial"/>
      <family val="2"/>
    </font>
    <font>
      <b/>
      <sz val="11"/>
      <name val="Arial"/>
      <family val="2"/>
    </font>
    <font>
      <sz val="14"/>
      <color rgb="FFFF0000"/>
      <name val="Arial"/>
      <family val="2"/>
    </font>
    <font>
      <sz val="11"/>
      <color theme="1"/>
      <name val="Calibri"/>
      <family val="2"/>
      <scheme val="minor"/>
    </font>
    <font>
      <sz val="9"/>
      <color indexed="81"/>
      <name val="Tahoma"/>
      <family val="2"/>
    </font>
    <font>
      <b/>
      <sz val="9"/>
      <color indexed="81"/>
      <name val="Tahoma"/>
      <family val="2"/>
    </font>
    <font>
      <sz val="8"/>
      <name val="Calibri"/>
      <family val="2"/>
      <scheme val="minor"/>
    </font>
    <font>
      <sz val="12"/>
      <color theme="1"/>
      <name val="Arial"/>
      <family val="2"/>
    </font>
    <font>
      <sz val="12"/>
      <name val="Arial"/>
      <family val="2"/>
    </font>
    <font>
      <b/>
      <sz val="12"/>
      <name val="Arial"/>
      <family val="2"/>
    </font>
    <font>
      <b/>
      <sz val="12"/>
      <color theme="0"/>
      <name val="Arial"/>
      <family val="2"/>
    </font>
    <font>
      <b/>
      <sz val="12"/>
      <color theme="1"/>
      <name val="Arial"/>
      <family val="2"/>
    </font>
    <font>
      <b/>
      <sz val="12"/>
      <color rgb="FF002060"/>
      <name val="Arial"/>
      <family val="2"/>
    </font>
    <font>
      <b/>
      <vertAlign val="subscript"/>
      <sz val="12"/>
      <color theme="1"/>
      <name val="Arial"/>
      <family val="2"/>
    </font>
    <font>
      <sz val="12"/>
      <color rgb="FFFF0000"/>
      <name val="Arial"/>
      <family val="2"/>
    </font>
    <font>
      <sz val="12"/>
      <color rgb="FF002060"/>
      <name val="Arial"/>
      <family val="2"/>
    </font>
    <font>
      <b/>
      <sz val="12"/>
      <color rgb="FFFF0000"/>
      <name val="Arial"/>
      <family val="2"/>
    </font>
    <font>
      <vertAlign val="subscript"/>
      <sz val="12"/>
      <color theme="1"/>
      <name val="Arial"/>
      <family val="2"/>
    </font>
    <font>
      <b/>
      <vertAlign val="subscript"/>
      <sz val="12"/>
      <name val="Arial"/>
      <family val="2"/>
    </font>
    <font>
      <vertAlign val="superscript"/>
      <sz val="12"/>
      <name val="Arial"/>
      <family val="2"/>
    </font>
    <font>
      <sz val="16"/>
      <color theme="1"/>
      <name val="Calibri"/>
      <family val="2"/>
    </font>
    <font>
      <sz val="12"/>
      <color rgb="FF040C28"/>
      <name val="Arial"/>
      <family val="2"/>
    </font>
    <font>
      <sz val="18"/>
      <color rgb="FF002060"/>
      <name val="Arial"/>
      <family val="2"/>
    </font>
    <font>
      <sz val="18"/>
      <color theme="1"/>
      <name val="Arial"/>
      <family val="2"/>
    </font>
    <font>
      <sz val="18"/>
      <color theme="1"/>
      <name val="Calibri"/>
      <family val="2"/>
    </font>
    <font>
      <b/>
      <sz val="14"/>
      <color theme="1"/>
      <name val="Arial"/>
      <family val="2"/>
    </font>
    <font>
      <b/>
      <sz val="14"/>
      <color rgb="FF002060"/>
      <name val="Arial"/>
      <family val="2"/>
    </font>
    <font>
      <sz val="14"/>
      <color theme="1"/>
      <name val="Arial"/>
      <family val="2"/>
    </font>
    <font>
      <u/>
      <sz val="11"/>
      <color theme="10"/>
      <name val="Calibri"/>
      <family val="2"/>
      <scheme val="minor"/>
    </font>
    <font>
      <sz val="11"/>
      <name val="Calibri"/>
      <family val="2"/>
      <scheme val="minor"/>
    </font>
    <font>
      <u/>
      <sz val="12"/>
      <color theme="1"/>
      <name val="Arial"/>
      <family val="2"/>
    </font>
    <font>
      <sz val="11"/>
      <color rgb="FF000000"/>
      <name val="Calibri"/>
      <family val="2"/>
    </font>
  </fonts>
  <fills count="1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rgb="FFFFFF00"/>
        <bgColor indexed="64"/>
      </patternFill>
    </fill>
    <fill>
      <patternFill patternType="solid">
        <fgColor rgb="FF92D050"/>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FF0000"/>
        <bgColor indexed="64"/>
      </patternFill>
    </fill>
    <fill>
      <patternFill patternType="solid">
        <fgColor theme="0" tint="-0.249977111117893"/>
        <bgColor indexed="64"/>
      </patternFill>
    </fill>
  </fills>
  <borders count="110">
    <border>
      <left/>
      <right/>
      <top/>
      <bottom/>
      <diagonal/>
    </border>
    <border>
      <left/>
      <right/>
      <top style="medium">
        <color theme="0" tint="-0.499984740745262"/>
      </top>
      <bottom/>
      <diagonal/>
    </border>
    <border>
      <left/>
      <right/>
      <top/>
      <bottom style="medium">
        <color theme="0" tint="-0.49998474074526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medium">
        <color indexed="64"/>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theme="0" tint="-0.499984740745262"/>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style="medium">
        <color theme="0" tint="-0.499984740745262"/>
      </right>
      <top/>
      <bottom style="medium">
        <color theme="0" tint="-0.499984740745262"/>
      </bottom>
      <diagonal/>
    </border>
    <border>
      <left/>
      <right/>
      <top style="medium">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top/>
      <bottom style="thin">
        <color theme="0" tint="-0.499984740745262"/>
      </bottom>
      <diagonal/>
    </border>
    <border>
      <left/>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right style="medium">
        <color theme="0" tint="-0.499984740745262"/>
      </right>
      <top style="medium">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double">
        <color indexed="64"/>
      </left>
      <right style="double">
        <color indexed="64"/>
      </right>
      <top style="double">
        <color indexed="64"/>
      </top>
      <bottom style="double">
        <color indexed="64"/>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right/>
      <top style="thin">
        <color theme="0" tint="-0.499984740745262"/>
      </top>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theme="0" tint="-0.499984740745262"/>
      </right>
      <top/>
      <bottom style="thin">
        <color theme="0" tint="-0.499984740745262"/>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medium">
        <color theme="0" tint="-0.499984740745262"/>
      </left>
      <right style="thin">
        <color indexed="64"/>
      </right>
      <top style="medium">
        <color theme="0" tint="-0.499984740745262"/>
      </top>
      <bottom style="medium">
        <color theme="0" tint="-0.499984740745262"/>
      </bottom>
      <diagonal/>
    </border>
    <border>
      <left style="thin">
        <color indexed="64"/>
      </left>
      <right style="medium">
        <color theme="0" tint="-0.499984740745262"/>
      </right>
      <top style="medium">
        <color theme="0" tint="-0.499984740745262"/>
      </top>
      <bottom style="medium">
        <color theme="0" tint="-0.499984740745262"/>
      </bottom>
      <diagonal/>
    </border>
    <border>
      <left style="thin">
        <color indexed="64"/>
      </left>
      <right style="thin">
        <color indexed="64"/>
      </right>
      <top style="medium">
        <color theme="0" tint="-0.499984740745262"/>
      </top>
      <bottom/>
      <diagonal/>
    </border>
    <border>
      <left style="thin">
        <color indexed="64"/>
      </left>
      <right style="medium">
        <color theme="0" tint="-0.499984740745262"/>
      </right>
      <top style="medium">
        <color theme="0" tint="-0.499984740745262"/>
      </top>
      <bottom/>
      <diagonal/>
    </border>
    <border>
      <left style="medium">
        <color theme="0" tint="-0.499984740745262"/>
      </left>
      <right style="thin">
        <color theme="0" tint="-0.499984740745262"/>
      </right>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theme="0" tint="-0.499984740745262"/>
      </right>
      <top style="thin">
        <color theme="0" tint="-0.499984740745262"/>
      </top>
      <bottom/>
      <diagonal/>
    </border>
    <border>
      <left style="medium">
        <color theme="0" tint="-0.499984740745262"/>
      </left>
      <right/>
      <top style="medium">
        <color theme="0" tint="-0.499984740745262"/>
      </top>
      <bottom style="thin">
        <color theme="0" tint="-0.499984740745262"/>
      </bottom>
      <diagonal/>
    </border>
    <border>
      <left/>
      <right style="thin">
        <color theme="0" tint="-0.499984740745262"/>
      </right>
      <top style="medium">
        <color theme="0" tint="-0.499984740745262"/>
      </top>
      <bottom style="thin">
        <color theme="0" tint="-0.499984740745262"/>
      </bottom>
      <diagonal/>
    </border>
    <border>
      <left style="medium">
        <color theme="0" tint="-0.499984740745262"/>
      </left>
      <right style="thin">
        <color indexed="64"/>
      </right>
      <top style="medium">
        <color theme="0" tint="-0.499984740745262"/>
      </top>
      <bottom/>
      <diagonal/>
    </border>
    <border>
      <left style="medium">
        <color theme="0" tint="-0.499984740745262"/>
      </left>
      <right/>
      <top style="thin">
        <color theme="0" tint="-0.499984740745262"/>
      </top>
      <bottom/>
      <diagonal/>
    </border>
    <border>
      <left/>
      <right style="thin">
        <color theme="0" tint="-0.499984740745262"/>
      </right>
      <top style="thin">
        <color theme="0" tint="-0.499984740745262"/>
      </top>
      <bottom/>
      <diagonal/>
    </border>
    <border>
      <left style="medium">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style="thin">
        <color indexed="64"/>
      </right>
      <top style="medium">
        <color theme="0" tint="-0.499984740745262"/>
      </top>
      <bottom style="thin">
        <color indexed="64"/>
      </bottom>
      <diagonal/>
    </border>
    <border>
      <left style="medium">
        <color theme="0" tint="-0.499984740745262"/>
      </left>
      <right style="thin">
        <color indexed="64"/>
      </right>
      <top style="thin">
        <color indexed="64"/>
      </top>
      <bottom/>
      <diagonal/>
    </border>
    <border>
      <left style="thin">
        <color indexed="64"/>
      </left>
      <right style="medium">
        <color theme="0" tint="-0.499984740745262"/>
      </right>
      <top style="medium">
        <color theme="0" tint="-0.499984740745262"/>
      </top>
      <bottom style="thin">
        <color indexed="64"/>
      </bottom>
      <diagonal/>
    </border>
    <border>
      <left style="thin">
        <color indexed="64"/>
      </left>
      <right style="medium">
        <color theme="0" tint="-0.499984740745262"/>
      </right>
      <top style="thin">
        <color indexed="64"/>
      </top>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diagonal/>
    </border>
    <border>
      <left/>
      <right style="medium">
        <color theme="0" tint="-0.499984740745262"/>
      </right>
      <top style="thin">
        <color theme="0" tint="-0.499984740745262"/>
      </top>
      <bottom style="medium">
        <color theme="0" tint="-0.499984740745262"/>
      </bottom>
      <diagonal/>
    </border>
    <border>
      <left/>
      <right/>
      <top style="thin">
        <color theme="0" tint="-0.499984740745262"/>
      </top>
      <bottom style="medium">
        <color theme="0" tint="-0.499984740745262"/>
      </bottom>
      <diagonal/>
    </border>
    <border>
      <left style="medium">
        <color theme="0" tint="-0.499984740745262"/>
      </left>
      <right style="thin">
        <color indexed="64"/>
      </right>
      <top style="thin">
        <color indexed="64"/>
      </top>
      <bottom style="thin">
        <color indexed="64"/>
      </bottom>
      <diagonal/>
    </border>
    <border>
      <left style="thin">
        <color indexed="64"/>
      </left>
      <right style="medium">
        <color theme="0" tint="-0.499984740745262"/>
      </right>
      <top style="thin">
        <color indexed="64"/>
      </top>
      <bottom style="thin">
        <color indexed="64"/>
      </bottom>
      <diagonal/>
    </border>
    <border>
      <left style="medium">
        <color theme="0" tint="-0.499984740745262"/>
      </left>
      <right style="thin">
        <color indexed="64"/>
      </right>
      <top style="thin">
        <color indexed="64"/>
      </top>
      <bottom style="medium">
        <color theme="0" tint="-0.499984740745262"/>
      </bottom>
      <diagonal/>
    </border>
    <border>
      <left style="thin">
        <color indexed="64"/>
      </left>
      <right style="thin">
        <color indexed="64"/>
      </right>
      <top style="thin">
        <color indexed="64"/>
      </top>
      <bottom style="medium">
        <color theme="0" tint="-0.499984740745262"/>
      </bottom>
      <diagonal/>
    </border>
    <border>
      <left style="thin">
        <color indexed="64"/>
      </left>
      <right style="medium">
        <color theme="0" tint="-0.499984740745262"/>
      </right>
      <top style="thin">
        <color indexed="64"/>
      </top>
      <bottom style="medium">
        <color theme="0" tint="-0.499984740745262"/>
      </bottom>
      <diagonal/>
    </border>
    <border>
      <left style="thin">
        <color indexed="64"/>
      </left>
      <right style="medium">
        <color theme="0" tint="-0.499984740745262"/>
      </right>
      <top/>
      <bottom style="thin">
        <color indexed="64"/>
      </bottom>
      <diagonal/>
    </border>
    <border>
      <left style="medium">
        <color theme="0" tint="-0.499984740745262"/>
      </left>
      <right style="thin">
        <color indexed="64"/>
      </right>
      <top/>
      <bottom style="thin">
        <color indexed="64"/>
      </bottom>
      <diagonal/>
    </border>
    <border>
      <left/>
      <right style="medium">
        <color theme="0" tint="-0.499984740745262"/>
      </right>
      <top style="thin">
        <color indexed="64"/>
      </top>
      <bottom/>
      <diagonal/>
    </border>
    <border>
      <left style="thin">
        <color theme="0" tint="-0.499984740745262"/>
      </left>
      <right/>
      <top style="medium">
        <color theme="0" tint="-0.499984740745262"/>
      </top>
      <bottom style="thin">
        <color indexed="64"/>
      </bottom>
      <diagonal/>
    </border>
    <border>
      <left/>
      <right style="medium">
        <color theme="0" tint="-0.499984740745262"/>
      </right>
      <top style="medium">
        <color theme="0" tint="-0.499984740745262"/>
      </top>
      <bottom style="thin">
        <color indexed="64"/>
      </bottom>
      <diagonal/>
    </border>
    <border>
      <left style="thin">
        <color theme="0" tint="-0.499984740745262"/>
      </left>
      <right/>
      <top style="thin">
        <color indexed="64"/>
      </top>
      <bottom style="thin">
        <color indexed="64"/>
      </bottom>
      <diagonal/>
    </border>
    <border>
      <left/>
      <right style="medium">
        <color theme="0" tint="-0.499984740745262"/>
      </right>
      <top style="thin">
        <color indexed="64"/>
      </top>
      <bottom style="thin">
        <color indexed="64"/>
      </bottom>
      <diagonal/>
    </border>
    <border>
      <left/>
      <right/>
      <top style="medium">
        <color theme="0" tint="-0.499984740745262"/>
      </top>
      <bottom style="thin">
        <color indexed="64"/>
      </bottom>
      <diagonal/>
    </border>
    <border>
      <left style="thin">
        <color theme="0" tint="-0.499984740745262"/>
      </left>
      <right/>
      <top/>
      <bottom style="thin">
        <color indexed="64"/>
      </bottom>
      <diagonal/>
    </border>
    <border>
      <left/>
      <right style="medium">
        <color theme="0" tint="-0.499984740745262"/>
      </right>
      <top/>
      <bottom style="thin">
        <color indexed="64"/>
      </bottom>
      <diagonal/>
    </border>
    <border>
      <left style="thin">
        <color indexed="64"/>
      </left>
      <right/>
      <top style="thin">
        <color theme="0" tint="-0.499984740745262"/>
      </top>
      <bottom style="thin">
        <color theme="0" tint="-0.499984740745262"/>
      </bottom>
      <diagonal/>
    </border>
    <border>
      <left/>
      <right style="thin">
        <color indexed="64"/>
      </right>
      <top style="thin">
        <color theme="0" tint="-0.499984740745262"/>
      </top>
      <bottom style="thin">
        <color theme="0" tint="-0.499984740745262"/>
      </bottom>
      <diagonal/>
    </border>
    <border>
      <left style="thin">
        <color indexed="64"/>
      </left>
      <right/>
      <top style="medium">
        <color theme="0" tint="-0.499984740745262"/>
      </top>
      <bottom/>
      <diagonal/>
    </border>
    <border>
      <left style="thin">
        <color theme="0" tint="-0.499984740745262"/>
      </left>
      <right style="thin">
        <color theme="0" tint="-0.499984740745262"/>
      </right>
      <top style="medium">
        <color theme="0" tint="-0.499984740745262"/>
      </top>
      <bottom style="medium">
        <color theme="0" tint="-0.499984740745262"/>
      </bottom>
      <diagonal/>
    </border>
    <border>
      <left style="medium">
        <color rgb="FFCCCCCC"/>
      </left>
      <right/>
      <top style="medium">
        <color rgb="FFCCCCCC"/>
      </top>
      <bottom style="medium">
        <color rgb="FF000000"/>
      </bottom>
      <diagonal/>
    </border>
    <border>
      <left/>
      <right/>
      <top style="medium">
        <color rgb="FFCCCCCC"/>
      </top>
      <bottom style="medium">
        <color rgb="FF000000"/>
      </bottom>
      <diagonal/>
    </border>
    <border>
      <left/>
      <right style="medium">
        <color rgb="FFCCCCCC"/>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7">
    <xf numFmtId="0" fontId="0" fillId="0" borderId="0"/>
    <xf numFmtId="0" fontId="4" fillId="0" borderId="0"/>
    <xf numFmtId="0" fontId="4" fillId="0" borderId="0"/>
    <xf numFmtId="0" fontId="9" fillId="0" borderId="0"/>
    <xf numFmtId="0" fontId="13" fillId="0" borderId="0"/>
    <xf numFmtId="0" fontId="14" fillId="0" borderId="0"/>
    <xf numFmtId="0" fontId="34" fillId="0" borderId="0" applyNumberFormat="0" applyFill="0" applyBorder="0" applyAlignment="0" applyProtection="0"/>
  </cellStyleXfs>
  <cellXfs count="820">
    <xf numFmtId="0" fontId="0" fillId="0" borderId="0" xfId="0"/>
    <xf numFmtId="0" fontId="1" fillId="0" borderId="6" xfId="0" applyFont="1" applyBorder="1" applyAlignment="1">
      <alignment horizontal="center" vertical="center"/>
    </xf>
    <xf numFmtId="0" fontId="1" fillId="0" borderId="8" xfId="0" applyFont="1" applyBorder="1" applyAlignment="1">
      <alignment horizontal="center" vertical="center"/>
    </xf>
    <xf numFmtId="166" fontId="1" fillId="3" borderId="3" xfId="0" applyNumberFormat="1" applyFont="1" applyFill="1" applyBorder="1" applyAlignment="1">
      <alignment horizontal="center" vertical="center"/>
    </xf>
    <xf numFmtId="166" fontId="1" fillId="5" borderId="3" xfId="0" applyNumberFormat="1" applyFont="1" applyFill="1" applyBorder="1" applyAlignment="1">
      <alignment horizontal="center" vertical="center"/>
    </xf>
    <xf numFmtId="166" fontId="1" fillId="2" borderId="3" xfId="0" applyNumberFormat="1" applyFont="1" applyFill="1" applyBorder="1" applyAlignment="1">
      <alignment horizontal="center" vertical="center"/>
    </xf>
    <xf numFmtId="0" fontId="1" fillId="3" borderId="12" xfId="0" applyFont="1" applyFill="1" applyBorder="1" applyAlignment="1">
      <alignment horizontal="center" vertical="center"/>
    </xf>
    <xf numFmtId="0" fontId="1" fillId="0" borderId="7" xfId="0" applyFont="1" applyBorder="1" applyAlignment="1">
      <alignment horizontal="center" vertical="center"/>
    </xf>
    <xf numFmtId="166" fontId="1" fillId="0" borderId="9" xfId="0" applyNumberFormat="1" applyFont="1" applyBorder="1" applyAlignment="1">
      <alignment horizontal="center" vertical="center"/>
    </xf>
    <xf numFmtId="166" fontId="1" fillId="0" borderId="10" xfId="0" applyNumberFormat="1" applyFont="1" applyBorder="1" applyAlignment="1">
      <alignment horizontal="center" vertical="center"/>
    </xf>
    <xf numFmtId="166" fontId="1" fillId="0" borderId="11" xfId="0" applyNumberFormat="1" applyFont="1" applyBorder="1" applyAlignment="1">
      <alignment horizontal="center" vertical="center"/>
    </xf>
    <xf numFmtId="0" fontId="14" fillId="0" borderId="21" xfId="4" applyFont="1" applyBorder="1" applyAlignment="1" applyProtection="1">
      <alignment vertical="center"/>
      <protection locked="0"/>
    </xf>
    <xf numFmtId="0" fontId="16" fillId="8" borderId="41" xfId="4" applyFont="1" applyFill="1" applyBorder="1" applyAlignment="1">
      <alignment horizontal="center" vertical="center"/>
    </xf>
    <xf numFmtId="0" fontId="15" fillId="0" borderId="21" xfId="4" applyFont="1" applyBorder="1" applyAlignment="1" applyProtection="1">
      <alignment vertical="center"/>
      <protection locked="0"/>
    </xf>
    <xf numFmtId="166" fontId="14" fillId="6" borderId="3" xfId="4" applyNumberFormat="1" applyFont="1" applyFill="1" applyBorder="1" applyAlignment="1" applyProtection="1">
      <alignment horizontal="center" vertical="center"/>
      <protection locked="0"/>
    </xf>
    <xf numFmtId="169" fontId="14" fillId="7" borderId="3" xfId="4" applyNumberFormat="1" applyFont="1" applyFill="1" applyBorder="1" applyAlignment="1" applyProtection="1">
      <alignment horizontal="center" vertical="center"/>
      <protection locked="0"/>
    </xf>
    <xf numFmtId="169" fontId="14" fillId="0" borderId="3" xfId="4" applyNumberFormat="1" applyFont="1" applyBorder="1" applyAlignment="1" applyProtection="1">
      <alignment horizontal="center" vertical="center"/>
      <protection locked="0"/>
    </xf>
    <xf numFmtId="169" fontId="14" fillId="7" borderId="12" xfId="4" applyNumberFormat="1" applyFont="1" applyFill="1" applyBorder="1" applyAlignment="1" applyProtection="1">
      <alignment horizontal="center" vertical="center"/>
      <protection locked="0"/>
    </xf>
    <xf numFmtId="169" fontId="14" fillId="7" borderId="14" xfId="4" applyNumberFormat="1" applyFont="1" applyFill="1" applyBorder="1" applyAlignment="1" applyProtection="1">
      <alignment horizontal="center" vertical="center"/>
      <protection locked="0"/>
    </xf>
    <xf numFmtId="1" fontId="14" fillId="7" borderId="14" xfId="4" applyNumberFormat="1" applyFont="1" applyFill="1" applyBorder="1" applyAlignment="1" applyProtection="1">
      <alignment horizontal="center" vertical="center"/>
      <protection locked="0"/>
    </xf>
    <xf numFmtId="170" fontId="14" fillId="0" borderId="14" xfId="4" applyNumberFormat="1" applyFont="1" applyBorder="1" applyAlignment="1" applyProtection="1">
      <alignment horizontal="center" vertical="center"/>
      <protection locked="0"/>
    </xf>
    <xf numFmtId="0" fontId="13" fillId="0" borderId="20" xfId="3" applyFont="1" applyBorder="1" applyAlignment="1" applyProtection="1">
      <alignment vertical="center"/>
      <protection hidden="1"/>
    </xf>
    <xf numFmtId="0" fontId="13" fillId="0" borderId="0" xfId="3" applyFont="1" applyAlignment="1" applyProtection="1">
      <alignment vertical="center"/>
      <protection locked="0"/>
    </xf>
    <xf numFmtId="0" fontId="13" fillId="0" borderId="26" xfId="3" applyFont="1" applyBorder="1" applyAlignment="1" applyProtection="1">
      <alignment vertical="center"/>
      <protection locked="0"/>
    </xf>
    <xf numFmtId="0" fontId="13" fillId="0" borderId="0" xfId="3" applyFont="1" applyAlignment="1" applyProtection="1">
      <alignment horizontal="center" vertical="center"/>
      <protection locked="0"/>
    </xf>
    <xf numFmtId="0" fontId="13" fillId="0" borderId="26" xfId="3" applyFont="1" applyBorder="1" applyAlignment="1" applyProtection="1">
      <alignment horizontal="center" vertical="center"/>
      <protection locked="0"/>
    </xf>
    <xf numFmtId="0" fontId="13" fillId="0" borderId="22" xfId="3" applyFont="1" applyBorder="1" applyAlignment="1" applyProtection="1">
      <alignment vertical="center"/>
      <protection hidden="1"/>
    </xf>
    <xf numFmtId="164" fontId="13" fillId="3" borderId="28" xfId="3" applyNumberFormat="1" applyFont="1" applyFill="1" applyBorder="1" applyAlignment="1" applyProtection="1">
      <alignment horizontal="right" vertical="center"/>
      <protection hidden="1"/>
    </xf>
    <xf numFmtId="168" fontId="13" fillId="0" borderId="27" xfId="3" applyNumberFormat="1" applyFont="1" applyBorder="1" applyAlignment="1" applyProtection="1">
      <alignment horizontal="center" vertical="center"/>
      <protection hidden="1"/>
    </xf>
    <xf numFmtId="0" fontId="13" fillId="0" borderId="2" xfId="3" applyFont="1" applyBorder="1" applyAlignment="1" applyProtection="1">
      <alignment horizontal="left" vertical="center"/>
      <protection hidden="1"/>
    </xf>
    <xf numFmtId="0" fontId="13" fillId="0" borderId="24" xfId="3" applyFont="1" applyBorder="1" applyAlignment="1" applyProtection="1">
      <alignment vertical="center"/>
      <protection hidden="1"/>
    </xf>
    <xf numFmtId="0" fontId="17" fillId="3" borderId="1" xfId="3" applyFont="1" applyFill="1" applyBorder="1" applyAlignment="1" applyProtection="1">
      <alignment vertical="center"/>
      <protection hidden="1"/>
    </xf>
    <xf numFmtId="165" fontId="13" fillId="3" borderId="25" xfId="3" applyNumberFormat="1" applyFont="1" applyFill="1" applyBorder="1" applyAlignment="1" applyProtection="1">
      <alignment horizontal="center" vertical="center"/>
      <protection hidden="1"/>
    </xf>
    <xf numFmtId="0" fontId="13" fillId="0" borderId="25" xfId="3" applyFont="1" applyBorder="1" applyAlignment="1" applyProtection="1">
      <alignment horizontal="center" vertical="center"/>
      <protection hidden="1"/>
    </xf>
    <xf numFmtId="165" fontId="13" fillId="0" borderId="25" xfId="3" applyNumberFormat="1" applyFont="1" applyBorder="1" applyAlignment="1" applyProtection="1">
      <alignment horizontal="center" vertical="center"/>
      <protection hidden="1"/>
    </xf>
    <xf numFmtId="165" fontId="13" fillId="0" borderId="25" xfId="3" applyNumberFormat="1" applyFont="1" applyBorder="1" applyAlignment="1" applyProtection="1">
      <alignment horizontal="left" vertical="center"/>
      <protection hidden="1"/>
    </xf>
    <xf numFmtId="0" fontId="13" fillId="0" borderId="2" xfId="3" applyFont="1" applyBorder="1" applyAlignment="1" applyProtection="1">
      <alignment vertical="center"/>
      <protection hidden="1"/>
    </xf>
    <xf numFmtId="165" fontId="13" fillId="0" borderId="1" xfId="3" applyNumberFormat="1" applyFont="1" applyBorder="1" applyAlignment="1" applyProtection="1">
      <alignment horizontal="left" vertical="center"/>
      <protection hidden="1"/>
    </xf>
    <xf numFmtId="0" fontId="13" fillId="0" borderId="51" xfId="0" applyFont="1" applyBorder="1" applyAlignment="1">
      <alignment horizontal="center" vertical="center"/>
    </xf>
    <xf numFmtId="0" fontId="13" fillId="0" borderId="51" xfId="0" applyFont="1" applyBorder="1" applyAlignment="1" applyProtection="1">
      <alignment horizontal="center" vertical="center"/>
      <protection hidden="1"/>
    </xf>
    <xf numFmtId="0" fontId="22" fillId="0" borderId="42" xfId="0" applyFont="1" applyBorder="1" applyAlignment="1">
      <alignment vertical="center"/>
    </xf>
    <xf numFmtId="0" fontId="17" fillId="0" borderId="2" xfId="0" applyFont="1" applyBorder="1" applyAlignment="1">
      <alignment vertical="center"/>
    </xf>
    <xf numFmtId="0" fontId="13" fillId="0" borderId="0" xfId="0" applyFont="1" applyAlignment="1">
      <alignment vertical="center"/>
    </xf>
    <xf numFmtId="0" fontId="13" fillId="0" borderId="26" xfId="0" applyFont="1" applyBorder="1" applyAlignment="1">
      <alignment horizontal="center" vertical="center"/>
    </xf>
    <xf numFmtId="0" fontId="13" fillId="0" borderId="0" xfId="4" applyAlignment="1">
      <alignment vertical="center"/>
    </xf>
    <xf numFmtId="170" fontId="13" fillId="0" borderId="41" xfId="4" applyNumberFormat="1" applyBorder="1" applyAlignment="1">
      <alignment horizontal="center" vertical="center"/>
    </xf>
    <xf numFmtId="0" fontId="20" fillId="0" borderId="0" xfId="3" applyFont="1" applyAlignment="1" applyProtection="1">
      <alignment horizontal="center" vertical="center"/>
      <protection locked="0"/>
    </xf>
    <xf numFmtId="0" fontId="13" fillId="0" borderId="40" xfId="3" applyFont="1" applyBorder="1" applyAlignment="1" applyProtection="1">
      <alignment horizontal="center" vertical="center"/>
      <protection locked="0"/>
    </xf>
    <xf numFmtId="0" fontId="17" fillId="3" borderId="2" xfId="3" applyFont="1" applyFill="1" applyBorder="1" applyAlignment="1" applyProtection="1">
      <alignment horizontal="left" vertical="center"/>
      <protection hidden="1"/>
    </xf>
    <xf numFmtId="0" fontId="13" fillId="0" borderId="0" xfId="0" applyFont="1" applyAlignment="1">
      <alignment horizontal="center" vertical="center"/>
    </xf>
    <xf numFmtId="2" fontId="13" fillId="0" borderId="0" xfId="0" applyNumberFormat="1" applyFont="1" applyAlignment="1">
      <alignment horizontal="center" vertical="center"/>
    </xf>
    <xf numFmtId="0" fontId="13" fillId="0" borderId="46" xfId="0" applyFont="1" applyBorder="1" applyAlignment="1">
      <alignment vertical="center"/>
    </xf>
    <xf numFmtId="2" fontId="15" fillId="0" borderId="30" xfId="4" applyNumberFormat="1" applyFont="1" applyBorder="1" applyAlignment="1">
      <alignment horizontal="center" vertical="center"/>
    </xf>
    <xf numFmtId="0" fontId="13" fillId="0" borderId="32" xfId="4" applyBorder="1" applyAlignment="1">
      <alignment vertical="center"/>
    </xf>
    <xf numFmtId="0" fontId="15" fillId="0" borderId="33" xfId="4" applyFont="1" applyBorder="1" applyAlignment="1">
      <alignment horizontal="center" vertical="center"/>
    </xf>
    <xf numFmtId="0" fontId="13" fillId="0" borderId="34" xfId="4" applyBorder="1" applyAlignment="1">
      <alignment vertical="center"/>
    </xf>
    <xf numFmtId="0" fontId="15" fillId="0" borderId="35" xfId="0" applyFont="1" applyBorder="1" applyAlignment="1">
      <alignment horizontal="center" vertical="center"/>
    </xf>
    <xf numFmtId="0" fontId="13" fillId="0" borderId="37" xfId="0" applyFont="1" applyBorder="1" applyAlignment="1">
      <alignment vertical="center"/>
    </xf>
    <xf numFmtId="0" fontId="20" fillId="9" borderId="11" xfId="5" applyFont="1" applyFill="1" applyBorder="1" applyAlignment="1" applyProtection="1">
      <alignment horizontal="center" vertical="center"/>
      <protection locked="0"/>
    </xf>
    <xf numFmtId="0" fontId="20" fillId="10" borderId="0" xfId="0" applyFont="1" applyFill="1" applyAlignment="1">
      <alignment vertical="center"/>
    </xf>
    <xf numFmtId="0" fontId="20" fillId="15" borderId="0" xfId="0" applyFont="1" applyFill="1" applyAlignment="1">
      <alignment vertical="center"/>
    </xf>
    <xf numFmtId="169" fontId="13" fillId="12" borderId="32" xfId="0" applyNumberFormat="1" applyFont="1" applyFill="1" applyBorder="1" applyAlignment="1">
      <alignment horizontal="center" vertical="center"/>
    </xf>
    <xf numFmtId="0" fontId="20" fillId="10" borderId="0" xfId="0" applyFont="1" applyFill="1" applyAlignment="1">
      <alignment horizontal="center" vertical="center"/>
    </xf>
    <xf numFmtId="2" fontId="20" fillId="14" borderId="0" xfId="0" applyNumberFormat="1" applyFont="1" applyFill="1" applyAlignment="1">
      <alignment vertical="center"/>
    </xf>
    <xf numFmtId="0" fontId="13" fillId="12" borderId="34" xfId="0" applyFont="1" applyFill="1" applyBorder="1" applyAlignment="1">
      <alignment horizontal="center" vertical="center"/>
    </xf>
    <xf numFmtId="0" fontId="20" fillId="12" borderId="0" xfId="0" applyFont="1" applyFill="1" applyAlignment="1">
      <alignment horizontal="center" vertical="center"/>
    </xf>
    <xf numFmtId="2" fontId="20" fillId="13" borderId="0" xfId="0" applyNumberFormat="1" applyFont="1" applyFill="1" applyAlignment="1">
      <alignment horizontal="center" vertical="center"/>
    </xf>
    <xf numFmtId="0" fontId="13" fillId="12" borderId="37" xfId="0" applyFont="1" applyFill="1" applyBorder="1" applyAlignment="1">
      <alignment horizontal="center" vertical="center"/>
    </xf>
    <xf numFmtId="0" fontId="20" fillId="13" borderId="0" xfId="0" applyFont="1" applyFill="1" applyAlignment="1">
      <alignment horizontal="center" vertical="center"/>
    </xf>
    <xf numFmtId="0" fontId="20" fillId="11" borderId="0" xfId="0" applyFont="1" applyFill="1" applyAlignment="1">
      <alignment horizontal="center" vertical="center"/>
    </xf>
    <xf numFmtId="0" fontId="13" fillId="0" borderId="26" xfId="0" applyFont="1" applyBorder="1" applyAlignment="1">
      <alignment vertical="center"/>
    </xf>
    <xf numFmtId="0" fontId="5" fillId="0" borderId="26" xfId="0" applyFont="1" applyBorder="1" applyAlignment="1">
      <alignment horizontal="center" vertical="center" wrapText="1"/>
    </xf>
    <xf numFmtId="0" fontId="13" fillId="0" borderId="0" xfId="0" applyFont="1" applyAlignment="1">
      <alignment horizontal="center" vertical="center" wrapText="1"/>
    </xf>
    <xf numFmtId="167" fontId="13" fillId="0" borderId="26" xfId="0" applyNumberFormat="1" applyFont="1" applyBorder="1" applyAlignment="1">
      <alignment horizontal="center" vertical="center"/>
    </xf>
    <xf numFmtId="0" fontId="13" fillId="0" borderId="53" xfId="4" applyBorder="1" applyAlignment="1">
      <alignment vertical="center"/>
    </xf>
    <xf numFmtId="0" fontId="13" fillId="0" borderId="42" xfId="4" applyBorder="1" applyAlignment="1">
      <alignment vertical="center"/>
    </xf>
    <xf numFmtId="0" fontId="26" fillId="0" borderId="0" xfId="0" applyFont="1" applyAlignment="1">
      <alignment vertical="center"/>
    </xf>
    <xf numFmtId="166" fontId="17" fillId="0" borderId="0" xfId="0" applyNumberFormat="1" applyFont="1" applyAlignment="1">
      <alignment horizontal="center" vertical="center"/>
    </xf>
    <xf numFmtId="165" fontId="13" fillId="0" borderId="19" xfId="3" applyNumberFormat="1" applyFont="1" applyBorder="1" applyAlignment="1" applyProtection="1">
      <alignment horizontal="left" vertical="center"/>
      <protection hidden="1"/>
    </xf>
    <xf numFmtId="0" fontId="13" fillId="0" borderId="0" xfId="3" applyFont="1" applyAlignment="1" applyProtection="1">
      <alignment vertical="center"/>
      <protection hidden="1"/>
    </xf>
    <xf numFmtId="0" fontId="13" fillId="0" borderId="23" xfId="3" applyFont="1" applyBorder="1" applyAlignment="1" applyProtection="1">
      <alignment horizontal="left" vertical="center"/>
      <protection hidden="1"/>
    </xf>
    <xf numFmtId="0" fontId="17" fillId="0" borderId="2" xfId="3" applyFont="1" applyBorder="1" applyAlignment="1" applyProtection="1">
      <alignment vertical="center"/>
      <protection hidden="1"/>
    </xf>
    <xf numFmtId="0" fontId="27" fillId="0" borderId="26" xfId="0" applyFont="1" applyBorder="1"/>
    <xf numFmtId="0" fontId="2" fillId="3" borderId="74" xfId="0" applyFont="1" applyFill="1" applyBorder="1" applyAlignment="1">
      <alignment horizontal="center" vertical="center"/>
    </xf>
    <xf numFmtId="0" fontId="7" fillId="3" borderId="56"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2" fillId="3" borderId="76" xfId="0" applyFont="1" applyFill="1" applyBorder="1" applyAlignment="1">
      <alignment horizontal="center" vertical="center"/>
    </xf>
    <xf numFmtId="164" fontId="13" fillId="0" borderId="1" xfId="3" applyNumberFormat="1" applyFont="1" applyBorder="1" applyAlignment="1" applyProtection="1">
      <alignment horizontal="center" vertical="center"/>
      <protection hidden="1"/>
    </xf>
    <xf numFmtId="14" fontId="13" fillId="0" borderId="19" xfId="3" applyNumberFormat="1" applyFont="1" applyBorder="1" applyAlignment="1" applyProtection="1">
      <alignment horizontal="center" vertical="center"/>
      <protection hidden="1"/>
    </xf>
    <xf numFmtId="14" fontId="13" fillId="0" borderId="21" xfId="3" applyNumberFormat="1" applyFont="1" applyBorder="1" applyAlignment="1" applyProtection="1">
      <alignment horizontal="center" vertical="center"/>
      <protection hidden="1"/>
    </xf>
    <xf numFmtId="0" fontId="13" fillId="0" borderId="21" xfId="3" applyFont="1" applyBorder="1" applyAlignment="1" applyProtection="1">
      <alignment vertical="center"/>
      <protection hidden="1"/>
    </xf>
    <xf numFmtId="0" fontId="13" fillId="0" borderId="24" xfId="3" applyFont="1" applyBorder="1" applyAlignment="1" applyProtection="1">
      <alignment horizontal="left" vertical="center"/>
      <protection hidden="1"/>
    </xf>
    <xf numFmtId="0" fontId="1" fillId="0" borderId="26" xfId="3" applyFont="1" applyBorder="1" applyAlignment="1" applyProtection="1">
      <alignment vertical="center"/>
      <protection locked="0"/>
    </xf>
    <xf numFmtId="0" fontId="1" fillId="0" borderId="0" xfId="3" applyFont="1" applyAlignment="1" applyProtection="1">
      <alignment horizontal="center" vertical="center"/>
      <protection locked="0"/>
    </xf>
    <xf numFmtId="0" fontId="8" fillId="0" borderId="0" xfId="3" applyFont="1" applyAlignment="1" applyProtection="1">
      <alignment vertical="center"/>
      <protection locked="0"/>
    </xf>
    <xf numFmtId="0" fontId="13" fillId="0" borderId="19" xfId="3" applyFont="1" applyBorder="1" applyAlignment="1" applyProtection="1">
      <alignment vertical="center"/>
      <protection hidden="1"/>
    </xf>
    <xf numFmtId="0" fontId="13" fillId="0" borderId="23" xfId="3" applyFont="1" applyBorder="1" applyAlignment="1" applyProtection="1">
      <alignment vertical="center"/>
      <protection hidden="1"/>
    </xf>
    <xf numFmtId="49" fontId="13" fillId="0" borderId="39" xfId="3" applyNumberFormat="1" applyFont="1" applyBorder="1" applyAlignment="1" applyProtection="1">
      <alignment vertical="center"/>
      <protection hidden="1"/>
    </xf>
    <xf numFmtId="0" fontId="13" fillId="3" borderId="24" xfId="3" applyFont="1" applyFill="1" applyBorder="1" applyAlignment="1" applyProtection="1">
      <alignment vertical="center"/>
      <protection hidden="1"/>
    </xf>
    <xf numFmtId="0" fontId="13" fillId="3" borderId="2" xfId="3" applyFont="1" applyFill="1" applyBorder="1" applyAlignment="1" applyProtection="1">
      <alignment horizontal="left" vertical="center"/>
      <protection hidden="1"/>
    </xf>
    <xf numFmtId="0" fontId="13" fillId="3" borderId="24" xfId="3" applyFont="1" applyFill="1" applyBorder="1" applyAlignment="1" applyProtection="1">
      <alignment horizontal="left" vertical="center"/>
      <protection hidden="1"/>
    </xf>
    <xf numFmtId="0" fontId="13" fillId="0" borderId="21" xfId="0" applyFont="1" applyBorder="1" applyAlignment="1" applyProtection="1">
      <alignment horizontal="center" vertical="center"/>
      <protection hidden="1"/>
    </xf>
    <xf numFmtId="0" fontId="13" fillId="0" borderId="22" xfId="0" applyFont="1" applyBorder="1" applyAlignment="1" applyProtection="1">
      <alignment horizontal="center" vertical="center"/>
      <protection hidden="1"/>
    </xf>
    <xf numFmtId="0" fontId="13" fillId="0" borderId="21" xfId="0" applyFont="1" applyBorder="1" applyAlignment="1" applyProtection="1">
      <alignment vertical="center"/>
      <protection hidden="1"/>
    </xf>
    <xf numFmtId="0" fontId="13" fillId="0" borderId="22" xfId="0" applyFont="1" applyBorder="1" applyAlignment="1" applyProtection="1">
      <alignment vertical="center"/>
      <protection hidden="1"/>
    </xf>
    <xf numFmtId="0" fontId="17" fillId="0" borderId="68" xfId="0" applyFont="1" applyBorder="1" applyAlignment="1" applyProtection="1">
      <alignment horizontal="center" vertical="center"/>
      <protection hidden="1"/>
    </xf>
    <xf numFmtId="0" fontId="17" fillId="0" borderId="58" xfId="0" applyFont="1" applyBorder="1" applyAlignment="1" applyProtection="1">
      <alignment horizontal="center" vertical="center"/>
      <protection hidden="1"/>
    </xf>
    <xf numFmtId="0" fontId="17" fillId="0" borderId="59" xfId="0" applyFont="1" applyBorder="1" applyAlignment="1" applyProtection="1">
      <alignment horizontal="center" vertical="center"/>
      <protection hidden="1"/>
    </xf>
    <xf numFmtId="0" fontId="1" fillId="3" borderId="52" xfId="0" applyFont="1" applyFill="1" applyBorder="1" applyAlignment="1" applyProtection="1">
      <alignment horizontal="center" vertical="center"/>
      <protection hidden="1"/>
    </xf>
    <xf numFmtId="0" fontId="1" fillId="3" borderId="30" xfId="0" applyFont="1" applyFill="1" applyBorder="1" applyAlignment="1" applyProtection="1">
      <alignment horizontal="center" vertical="center"/>
      <protection hidden="1"/>
    </xf>
    <xf numFmtId="0" fontId="1" fillId="3" borderId="31" xfId="0" applyFont="1" applyFill="1" applyBorder="1" applyAlignment="1" applyProtection="1">
      <alignment horizontal="center" vertical="center"/>
      <protection hidden="1"/>
    </xf>
    <xf numFmtId="0" fontId="1" fillId="3" borderId="32" xfId="0" applyFont="1" applyFill="1" applyBorder="1" applyAlignment="1" applyProtection="1">
      <alignment horizontal="center" vertical="center"/>
      <protection hidden="1"/>
    </xf>
    <xf numFmtId="166" fontId="1" fillId="3" borderId="33" xfId="0" applyNumberFormat="1" applyFont="1" applyFill="1" applyBorder="1" applyAlignment="1" applyProtection="1">
      <alignment horizontal="center" vertical="center"/>
      <protection hidden="1"/>
    </xf>
    <xf numFmtId="166" fontId="1" fillId="3" borderId="26" xfId="0" applyNumberFormat="1" applyFont="1" applyFill="1" applyBorder="1" applyAlignment="1" applyProtection="1">
      <alignment horizontal="center" vertical="center"/>
      <protection hidden="1"/>
    </xf>
    <xf numFmtId="166" fontId="1" fillId="3" borderId="39" xfId="0" applyNumberFormat="1" applyFont="1" applyFill="1" applyBorder="1" applyAlignment="1" applyProtection="1">
      <alignment horizontal="center" vertical="center"/>
      <protection hidden="1"/>
    </xf>
    <xf numFmtId="0" fontId="13" fillId="0" borderId="36" xfId="0" applyFont="1" applyBorder="1" applyAlignment="1" applyProtection="1">
      <alignment horizontal="center" vertical="center"/>
      <protection hidden="1"/>
    </xf>
    <xf numFmtId="0" fontId="13" fillId="0" borderId="37" xfId="0" applyFont="1" applyBorder="1" applyAlignment="1" applyProtection="1">
      <alignment horizontal="center" vertical="center"/>
      <protection hidden="1"/>
    </xf>
    <xf numFmtId="166" fontId="1" fillId="5" borderId="33" xfId="0" applyNumberFormat="1" applyFont="1" applyFill="1" applyBorder="1" applyAlignment="1" applyProtection="1">
      <alignment horizontal="center" vertical="center"/>
      <protection hidden="1"/>
    </xf>
    <xf numFmtId="0" fontId="17" fillId="5" borderId="20" xfId="0" applyFont="1" applyFill="1" applyBorder="1" applyAlignment="1" applyProtection="1">
      <alignment horizontal="center" vertical="center"/>
      <protection hidden="1"/>
    </xf>
    <xf numFmtId="2" fontId="17" fillId="5" borderId="44" xfId="0" applyNumberFormat="1" applyFont="1" applyFill="1" applyBorder="1" applyAlignment="1" applyProtection="1">
      <alignment horizontal="center" vertical="center"/>
      <protection hidden="1"/>
    </xf>
    <xf numFmtId="166" fontId="6" fillId="3" borderId="33" xfId="0" applyNumberFormat="1" applyFont="1" applyFill="1" applyBorder="1" applyAlignment="1" applyProtection="1">
      <alignment horizontal="center" vertical="center"/>
      <protection hidden="1"/>
    </xf>
    <xf numFmtId="0" fontId="17" fillId="0" borderId="21" xfId="0" applyFont="1" applyBorder="1" applyAlignment="1" applyProtection="1">
      <alignment horizontal="center" vertical="center"/>
      <protection hidden="1"/>
    </xf>
    <xf numFmtId="167" fontId="13" fillId="0" borderId="36" xfId="0" applyNumberFormat="1" applyFont="1" applyBorder="1" applyAlignment="1" applyProtection="1">
      <alignment horizontal="center" vertical="center"/>
      <protection hidden="1"/>
    </xf>
    <xf numFmtId="167" fontId="13" fillId="0" borderId="37" xfId="0" applyNumberFormat="1" applyFont="1" applyBorder="1" applyAlignment="1" applyProtection="1">
      <alignment horizontal="center" vertical="center"/>
      <protection hidden="1"/>
    </xf>
    <xf numFmtId="166" fontId="1" fillId="5" borderId="26" xfId="0" applyNumberFormat="1" applyFont="1" applyFill="1" applyBorder="1" applyAlignment="1" applyProtection="1">
      <alignment horizontal="center" vertical="center"/>
      <protection hidden="1"/>
    </xf>
    <xf numFmtId="2" fontId="13" fillId="0" borderId="36" xfId="0" applyNumberFormat="1" applyFont="1" applyBorder="1" applyAlignment="1" applyProtection="1">
      <alignment horizontal="center" vertical="center"/>
      <protection hidden="1"/>
    </xf>
    <xf numFmtId="2" fontId="13" fillId="0" borderId="37" xfId="0" applyNumberFormat="1" applyFont="1" applyBorder="1" applyAlignment="1" applyProtection="1">
      <alignment horizontal="center" vertical="center"/>
      <protection hidden="1"/>
    </xf>
    <xf numFmtId="166" fontId="17" fillId="5" borderId="44" xfId="0" applyNumberFormat="1" applyFont="1" applyFill="1" applyBorder="1" applyAlignment="1" applyProtection="1">
      <alignment horizontal="center" vertical="center"/>
      <protection hidden="1"/>
    </xf>
    <xf numFmtId="0" fontId="17" fillId="0" borderId="21" xfId="0" applyFont="1" applyBorder="1" applyAlignment="1" applyProtection="1">
      <alignment vertical="center"/>
      <protection hidden="1"/>
    </xf>
    <xf numFmtId="166" fontId="17" fillId="5" borderId="22" xfId="0" applyNumberFormat="1" applyFont="1" applyFill="1" applyBorder="1" applyAlignment="1" applyProtection="1">
      <alignment horizontal="center" vertical="center"/>
      <protection hidden="1"/>
    </xf>
    <xf numFmtId="167" fontId="13" fillId="0" borderId="31" xfId="0" applyNumberFormat="1" applyFont="1" applyBorder="1" applyAlignment="1" applyProtection="1">
      <alignment horizontal="center" vertical="center"/>
      <protection hidden="1"/>
    </xf>
    <xf numFmtId="167" fontId="13" fillId="0" borderId="32" xfId="0" applyNumberFormat="1" applyFont="1" applyBorder="1" applyAlignment="1" applyProtection="1">
      <alignment horizontal="center" vertical="center"/>
      <protection hidden="1"/>
    </xf>
    <xf numFmtId="166" fontId="1" fillId="3" borderId="35" xfId="0" applyNumberFormat="1" applyFont="1" applyFill="1" applyBorder="1" applyAlignment="1" applyProtection="1">
      <alignment horizontal="center" vertical="center"/>
      <protection hidden="1"/>
    </xf>
    <xf numFmtId="166" fontId="1" fillId="3" borderId="36" xfId="0" applyNumberFormat="1" applyFont="1" applyFill="1" applyBorder="1" applyAlignment="1" applyProtection="1">
      <alignment horizontal="center" vertical="center"/>
      <protection hidden="1"/>
    </xf>
    <xf numFmtId="166" fontId="1" fillId="3" borderId="84" xfId="0" applyNumberFormat="1" applyFont="1" applyFill="1" applyBorder="1" applyAlignment="1" applyProtection="1">
      <alignment horizontal="center" vertical="center"/>
      <protection hidden="1"/>
    </xf>
    <xf numFmtId="166" fontId="17" fillId="5" borderId="24" xfId="0" applyNumberFormat="1" applyFont="1" applyFill="1" applyBorder="1" applyAlignment="1" applyProtection="1">
      <alignment horizontal="center"/>
      <protection hidden="1"/>
    </xf>
    <xf numFmtId="2" fontId="13" fillId="0" borderId="21" xfId="0" applyNumberFormat="1" applyFont="1" applyBorder="1" applyAlignment="1" applyProtection="1">
      <alignment horizontal="center" vertical="center"/>
      <protection hidden="1"/>
    </xf>
    <xf numFmtId="2" fontId="17" fillId="5" borderId="24" xfId="0" applyNumberFormat="1" applyFont="1" applyFill="1" applyBorder="1" applyAlignment="1" applyProtection="1">
      <alignment horizontal="center"/>
      <protection hidden="1"/>
    </xf>
    <xf numFmtId="0" fontId="18" fillId="0" borderId="21" xfId="0" applyFont="1" applyBorder="1" applyAlignment="1" applyProtection="1">
      <alignment vertical="center"/>
      <protection hidden="1"/>
    </xf>
    <xf numFmtId="169" fontId="17" fillId="5" borderId="24" xfId="0" applyNumberFormat="1" applyFont="1" applyFill="1" applyBorder="1" applyAlignment="1" applyProtection="1">
      <alignment horizontal="center"/>
      <protection hidden="1"/>
    </xf>
    <xf numFmtId="0" fontId="14" fillId="0" borderId="26" xfId="0" applyFont="1" applyBorder="1" applyAlignment="1" applyProtection="1">
      <alignment horizontal="center" vertical="center"/>
      <protection hidden="1"/>
    </xf>
    <xf numFmtId="0" fontId="14" fillId="0" borderId="34" xfId="0" applyFont="1" applyBorder="1" applyAlignment="1" applyProtection="1">
      <alignment horizontal="center" vertical="center"/>
      <protection hidden="1"/>
    </xf>
    <xf numFmtId="2" fontId="15" fillId="0" borderId="36" xfId="0" applyNumberFormat="1" applyFont="1" applyBorder="1" applyAlignment="1" applyProtection="1">
      <alignment horizontal="center" vertical="center"/>
      <protection hidden="1"/>
    </xf>
    <xf numFmtId="0" fontId="20" fillId="0" borderId="23" xfId="0" applyFont="1" applyBorder="1" applyAlignment="1" applyProtection="1">
      <alignment vertical="center"/>
      <protection hidden="1"/>
    </xf>
    <xf numFmtId="166" fontId="1" fillId="5" borderId="39" xfId="0" applyNumberFormat="1" applyFont="1" applyFill="1" applyBorder="1" applyAlignment="1" applyProtection="1">
      <alignment horizontal="center" vertical="center"/>
      <protection hidden="1"/>
    </xf>
    <xf numFmtId="0" fontId="13" fillId="3" borderId="25" xfId="3" applyFont="1" applyFill="1" applyBorder="1" applyAlignment="1" applyProtection="1">
      <alignment horizontal="left" vertical="center"/>
      <protection locked="0" hidden="1"/>
    </xf>
    <xf numFmtId="0" fontId="13" fillId="3" borderId="25" xfId="3" applyFont="1" applyFill="1" applyBorder="1" applyAlignment="1" applyProtection="1">
      <alignment horizontal="center" vertical="center"/>
      <protection locked="0" hidden="1"/>
    </xf>
    <xf numFmtId="165" fontId="13" fillId="3" borderId="38" xfId="3" applyNumberFormat="1" applyFont="1" applyFill="1" applyBorder="1" applyAlignment="1" applyProtection="1">
      <alignment horizontal="left" vertical="center"/>
      <protection locked="0" hidden="1"/>
    </xf>
    <xf numFmtId="0" fontId="13" fillId="0" borderId="31" xfId="0" applyFont="1" applyBorder="1" applyAlignment="1" applyProtection="1">
      <alignment horizontal="center" vertical="center"/>
      <protection locked="0" hidden="1"/>
    </xf>
    <xf numFmtId="0" fontId="13" fillId="0" borderId="32" xfId="0" applyFont="1" applyBorder="1" applyAlignment="1" applyProtection="1">
      <alignment horizontal="center" vertical="center"/>
      <protection locked="0" hidden="1"/>
    </xf>
    <xf numFmtId="0" fontId="13" fillId="0" borderId="26" xfId="0" applyFont="1" applyBorder="1" applyAlignment="1" applyProtection="1">
      <alignment horizontal="center" vertical="center"/>
      <protection locked="0" hidden="1"/>
    </xf>
    <xf numFmtId="0" fontId="13" fillId="0" borderId="34" xfId="0" applyFont="1" applyBorder="1" applyAlignment="1" applyProtection="1">
      <alignment horizontal="center" vertical="center"/>
      <protection locked="0" hidden="1"/>
    </xf>
    <xf numFmtId="2" fontId="13" fillId="0" borderId="26" xfId="0" applyNumberFormat="1" applyFont="1" applyBorder="1" applyAlignment="1" applyProtection="1">
      <alignment horizontal="center" vertical="center"/>
      <protection locked="0" hidden="1"/>
    </xf>
    <xf numFmtId="2" fontId="13" fillId="0" borderId="34" xfId="0" applyNumberFormat="1" applyFont="1" applyBorder="1" applyAlignment="1" applyProtection="1">
      <alignment horizontal="center" vertical="center"/>
      <protection locked="0" hidden="1"/>
    </xf>
    <xf numFmtId="0" fontId="13" fillId="0" borderId="51" xfId="0" applyFont="1" applyBorder="1" applyAlignment="1" applyProtection="1">
      <alignment horizontal="center" vertical="center"/>
      <protection locked="0" hidden="1"/>
    </xf>
    <xf numFmtId="0" fontId="17" fillId="5" borderId="44" xfId="0" applyFont="1" applyFill="1" applyBorder="1" applyAlignment="1" applyProtection="1">
      <alignment horizontal="center" vertical="center"/>
      <protection locked="0" hidden="1"/>
    </xf>
    <xf numFmtId="0" fontId="13" fillId="0" borderId="55" xfId="0" applyFont="1" applyBorder="1" applyAlignment="1" applyProtection="1">
      <alignment horizontal="center" vertical="center"/>
      <protection locked="0" hidden="1"/>
    </xf>
    <xf numFmtId="0" fontId="13" fillId="0" borderId="63" xfId="0" applyFont="1" applyBorder="1" applyAlignment="1" applyProtection="1">
      <alignment horizontal="center" vertical="center"/>
      <protection locked="0" hidden="1"/>
    </xf>
    <xf numFmtId="166" fontId="13" fillId="0" borderId="42" xfId="0" applyNumberFormat="1" applyFont="1" applyBorder="1" applyAlignment="1">
      <alignment vertical="center"/>
    </xf>
    <xf numFmtId="166" fontId="13" fillId="0" borderId="0" xfId="0" applyNumberFormat="1" applyFont="1" applyAlignment="1">
      <alignment vertical="center"/>
    </xf>
    <xf numFmtId="166" fontId="1" fillId="3" borderId="86" xfId="0" applyNumberFormat="1" applyFont="1" applyFill="1" applyBorder="1" applyAlignment="1">
      <alignment horizontal="center" vertical="center"/>
    </xf>
    <xf numFmtId="166" fontId="1" fillId="3" borderId="87" xfId="0" applyNumberFormat="1" applyFont="1" applyFill="1" applyBorder="1" applyAlignment="1">
      <alignment horizontal="center" vertical="center"/>
    </xf>
    <xf numFmtId="166" fontId="1" fillId="5" borderId="87" xfId="0" applyNumberFormat="1" applyFont="1" applyFill="1" applyBorder="1" applyAlignment="1">
      <alignment horizontal="center" vertical="center"/>
    </xf>
    <xf numFmtId="166" fontId="1" fillId="3" borderId="88" xfId="0" applyNumberFormat="1" applyFont="1" applyFill="1" applyBorder="1" applyAlignment="1">
      <alignment horizontal="center" vertical="center"/>
    </xf>
    <xf numFmtId="166" fontId="1" fillId="3" borderId="89" xfId="0" applyNumberFormat="1" applyFont="1" applyFill="1" applyBorder="1" applyAlignment="1">
      <alignment horizontal="center" vertical="center"/>
    </xf>
    <xf numFmtId="166" fontId="1" fillId="2" borderId="89" xfId="0" applyNumberFormat="1" applyFont="1" applyFill="1" applyBorder="1" applyAlignment="1">
      <alignment horizontal="center" vertical="center"/>
    </xf>
    <xf numFmtId="166" fontId="1" fillId="3" borderId="90" xfId="0" applyNumberFormat="1" applyFont="1" applyFill="1" applyBorder="1" applyAlignment="1">
      <alignment horizontal="center" vertical="center"/>
    </xf>
    <xf numFmtId="0" fontId="1" fillId="3" borderId="91" xfId="0" applyFont="1" applyFill="1" applyBorder="1" applyAlignment="1">
      <alignment horizontal="center" vertical="center"/>
    </xf>
    <xf numFmtId="0" fontId="1" fillId="3" borderId="92" xfId="0" applyFont="1" applyFill="1" applyBorder="1" applyAlignment="1">
      <alignment horizontal="center" vertical="center"/>
    </xf>
    <xf numFmtId="0" fontId="2" fillId="3" borderId="42" xfId="0" applyFont="1" applyFill="1" applyBorder="1" applyAlignment="1">
      <alignment horizontal="center" vertical="center"/>
    </xf>
    <xf numFmtId="0" fontId="2" fillId="3" borderId="88" xfId="0" applyFont="1" applyFill="1" applyBorder="1" applyAlignment="1">
      <alignment horizontal="center" vertical="center"/>
    </xf>
    <xf numFmtId="0" fontId="2" fillId="3" borderId="90" xfId="0" applyFont="1" applyFill="1" applyBorder="1" applyAlignment="1">
      <alignment horizontal="center" vertical="center"/>
    </xf>
    <xf numFmtId="0" fontId="14" fillId="2" borderId="0" xfId="0" applyFont="1" applyFill="1" applyAlignment="1">
      <alignment horizontal="center" vertical="center"/>
    </xf>
    <xf numFmtId="2" fontId="15" fillId="0" borderId="37" xfId="0" applyNumberFormat="1" applyFont="1" applyBorder="1" applyAlignment="1" applyProtection="1">
      <alignment horizontal="center" vertical="center"/>
      <protection hidden="1"/>
    </xf>
    <xf numFmtId="0" fontId="13" fillId="0" borderId="0" xfId="0" applyFont="1" applyAlignment="1" applyProtection="1">
      <alignment vertical="center"/>
      <protection hidden="1"/>
    </xf>
    <xf numFmtId="0" fontId="13" fillId="0" borderId="0" xfId="0" applyFont="1" applyAlignment="1" applyProtection="1">
      <alignment vertical="center" wrapText="1"/>
      <protection hidden="1"/>
    </xf>
    <xf numFmtId="0" fontId="13" fillId="0" borderId="0" xfId="0" applyFont="1" applyAlignment="1" applyProtection="1">
      <alignment horizontal="center" vertical="center" wrapText="1"/>
      <protection hidden="1"/>
    </xf>
    <xf numFmtId="0" fontId="13" fillId="0" borderId="15" xfId="0" applyFont="1" applyBorder="1" applyAlignment="1" applyProtection="1">
      <alignment vertical="center"/>
      <protection hidden="1"/>
    </xf>
    <xf numFmtId="0" fontId="17" fillId="0" borderId="0" xfId="0" applyFont="1" applyAlignment="1" applyProtection="1">
      <alignment horizontal="center" vertical="center"/>
      <protection hidden="1"/>
    </xf>
    <xf numFmtId="0" fontId="13" fillId="0" borderId="0" xfId="0" applyFont="1" applyAlignment="1" applyProtection="1">
      <alignment horizontal="center" vertical="center"/>
      <protection hidden="1"/>
    </xf>
    <xf numFmtId="0" fontId="17" fillId="0" borderId="0" xfId="0" applyFont="1" applyAlignment="1" applyProtection="1">
      <alignment vertical="center"/>
      <protection hidden="1"/>
    </xf>
    <xf numFmtId="2" fontId="13" fillId="0" borderId="0" xfId="0" applyNumberFormat="1" applyFont="1" applyAlignment="1" applyProtection="1">
      <alignment horizontal="center" vertical="center"/>
      <protection hidden="1"/>
    </xf>
    <xf numFmtId="0" fontId="21"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5" fillId="0" borderId="0" xfId="0" applyFont="1" applyAlignment="1" applyProtection="1">
      <alignment vertical="center"/>
      <protection hidden="1"/>
    </xf>
    <xf numFmtId="0" fontId="14" fillId="0" borderId="0" xfId="0" applyFont="1" applyAlignment="1" applyProtection="1">
      <alignment vertical="center"/>
      <protection hidden="1"/>
    </xf>
    <xf numFmtId="0" fontId="13" fillId="0" borderId="22" xfId="0" applyFont="1" applyBorder="1" applyAlignment="1">
      <alignment vertical="center"/>
    </xf>
    <xf numFmtId="0" fontId="13" fillId="0" borderId="0" xfId="0" applyFont="1" applyAlignment="1" applyProtection="1">
      <alignment horizontal="right" vertical="center" wrapText="1"/>
      <protection hidden="1"/>
    </xf>
    <xf numFmtId="0" fontId="13" fillId="0" borderId="21" xfId="3" applyFont="1" applyBorder="1" applyAlignment="1" applyProtection="1">
      <alignment horizontal="left" vertical="center" wrapText="1"/>
      <protection hidden="1"/>
    </xf>
    <xf numFmtId="0" fontId="1" fillId="0" borderId="19" xfId="3" applyFont="1" applyBorder="1" applyAlignment="1" applyProtection="1">
      <alignment vertical="center"/>
      <protection locked="0" hidden="1"/>
    </xf>
    <xf numFmtId="0" fontId="1" fillId="0" borderId="21" xfId="3" applyFont="1" applyBorder="1" applyAlignment="1" applyProtection="1">
      <alignment vertical="center"/>
      <protection locked="0" hidden="1"/>
    </xf>
    <xf numFmtId="0" fontId="1" fillId="0" borderId="23" xfId="3" applyFont="1" applyBorder="1" applyAlignment="1" applyProtection="1">
      <alignment vertical="center"/>
      <protection locked="0" hidden="1"/>
    </xf>
    <xf numFmtId="0" fontId="7" fillId="3" borderId="22" xfId="0" applyFont="1" applyFill="1" applyBorder="1" applyAlignment="1" applyProtection="1">
      <alignment vertical="center" wrapText="1"/>
      <protection hidden="1"/>
    </xf>
    <xf numFmtId="166" fontId="1" fillId="3" borderId="22" xfId="0" applyNumberFormat="1" applyFont="1" applyFill="1" applyBorder="1" applyAlignment="1" applyProtection="1">
      <alignment vertical="center"/>
      <protection hidden="1"/>
    </xf>
    <xf numFmtId="0" fontId="7" fillId="0" borderId="22" xfId="0" applyFont="1" applyBorder="1" applyAlignment="1" applyProtection="1">
      <alignment vertical="center"/>
      <protection hidden="1"/>
    </xf>
    <xf numFmtId="166" fontId="7" fillId="0" borderId="22" xfId="0" applyNumberFormat="1" applyFont="1" applyBorder="1" applyAlignment="1" applyProtection="1">
      <alignment vertical="center"/>
      <protection hidden="1"/>
    </xf>
    <xf numFmtId="166" fontId="3" fillId="0" borderId="22" xfId="0" applyNumberFormat="1" applyFont="1" applyBorder="1" applyAlignment="1" applyProtection="1">
      <alignment vertical="center"/>
      <protection hidden="1"/>
    </xf>
    <xf numFmtId="166" fontId="3" fillId="0" borderId="22" xfId="0" applyNumberFormat="1" applyFont="1" applyBorder="1" applyAlignment="1" applyProtection="1">
      <alignment horizontal="center" vertical="center"/>
      <protection hidden="1"/>
    </xf>
    <xf numFmtId="0" fontId="13" fillId="0" borderId="22" xfId="3" applyFont="1" applyBorder="1" applyAlignment="1" applyProtection="1">
      <alignment vertical="top"/>
      <protection hidden="1"/>
    </xf>
    <xf numFmtId="0" fontId="1" fillId="0" borderId="73" xfId="3" applyFont="1" applyBorder="1" applyAlignment="1" applyProtection="1">
      <alignment vertical="center"/>
      <protection locked="0" hidden="1"/>
    </xf>
    <xf numFmtId="0" fontId="1" fillId="0" borderId="27" xfId="3" applyFont="1" applyBorder="1" applyAlignment="1" applyProtection="1">
      <alignment vertical="center"/>
      <protection locked="0" hidden="1"/>
    </xf>
    <xf numFmtId="0" fontId="1" fillId="0" borderId="39" xfId="3" applyFont="1" applyBorder="1" applyAlignment="1" applyProtection="1">
      <alignment vertical="center"/>
      <protection locked="0" hidden="1"/>
    </xf>
    <xf numFmtId="0" fontId="1" fillId="0" borderId="0" xfId="3" applyFont="1" applyAlignment="1" applyProtection="1">
      <alignment vertical="center"/>
      <protection locked="0" hidden="1"/>
    </xf>
    <xf numFmtId="0" fontId="1" fillId="0" borderId="0" xfId="3" applyFont="1" applyAlignment="1" applyProtection="1">
      <alignment vertical="center"/>
      <protection hidden="1"/>
    </xf>
    <xf numFmtId="0" fontId="2" fillId="0" borderId="0" xfId="3" applyFont="1" applyAlignment="1" applyProtection="1">
      <alignment vertical="center"/>
      <protection locked="0" hidden="1"/>
    </xf>
    <xf numFmtId="0" fontId="17" fillId="0" borderId="22" xfId="3" applyFont="1" applyBorder="1" applyAlignment="1" applyProtection="1">
      <alignment vertical="center"/>
      <protection hidden="1"/>
    </xf>
    <xf numFmtId="0" fontId="13" fillId="0" borderId="0" xfId="3" applyFont="1" applyAlignment="1" applyProtection="1">
      <alignment vertical="center"/>
      <protection locked="0" hidden="1"/>
    </xf>
    <xf numFmtId="0" fontId="13" fillId="0" borderId="36" xfId="0" applyFont="1" applyBorder="1" applyAlignment="1" applyProtection="1">
      <alignment horizontal="center" vertical="center"/>
      <protection locked="0" hidden="1"/>
    </xf>
    <xf numFmtId="1" fontId="13" fillId="0" borderId="34" xfId="0" applyNumberFormat="1" applyFont="1" applyBorder="1" applyAlignment="1" applyProtection="1">
      <alignment horizontal="center" vertical="center"/>
      <protection locked="0" hidden="1"/>
    </xf>
    <xf numFmtId="165" fontId="13" fillId="3" borderId="25" xfId="3" applyNumberFormat="1" applyFont="1" applyFill="1" applyBorder="1" applyAlignment="1" applyProtection="1">
      <alignment horizontal="center" vertical="center"/>
      <protection locked="0" hidden="1"/>
    </xf>
    <xf numFmtId="0" fontId="18" fillId="0" borderId="0" xfId="0" applyFont="1" applyAlignment="1" applyProtection="1">
      <alignment vertical="center"/>
      <protection hidden="1"/>
    </xf>
    <xf numFmtId="164" fontId="13" fillId="0" borderId="0" xfId="3" applyNumberFormat="1" applyFont="1" applyAlignment="1" applyProtection="1">
      <alignment horizontal="center" vertical="center"/>
      <protection hidden="1"/>
    </xf>
    <xf numFmtId="0" fontId="13" fillId="0" borderId="0" xfId="3" applyFont="1" applyAlignment="1" applyProtection="1">
      <alignment horizontal="left" vertical="center"/>
      <protection hidden="1"/>
    </xf>
    <xf numFmtId="0" fontId="21" fillId="0" borderId="0" xfId="0" applyFont="1" applyAlignment="1" applyProtection="1">
      <alignment vertical="center"/>
      <protection hidden="1"/>
    </xf>
    <xf numFmtId="167" fontId="1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protection hidden="1"/>
    </xf>
    <xf numFmtId="166" fontId="3" fillId="0" borderId="0" xfId="0" applyNumberFormat="1" applyFont="1" applyAlignment="1" applyProtection="1">
      <alignment horizontal="center" vertical="center"/>
      <protection hidden="1"/>
    </xf>
    <xf numFmtId="166" fontId="17" fillId="0" borderId="0" xfId="0" applyNumberFormat="1" applyFont="1" applyAlignment="1" applyProtection="1">
      <alignment horizontal="center" vertical="center"/>
      <protection hidden="1"/>
    </xf>
    <xf numFmtId="0" fontId="17" fillId="3" borderId="0" xfId="0" applyFont="1" applyFill="1" applyAlignment="1" applyProtection="1">
      <alignment vertical="center"/>
      <protection locked="0" hidden="1"/>
    </xf>
    <xf numFmtId="1" fontId="13" fillId="0" borderId="26" xfId="0" applyNumberFormat="1" applyFont="1" applyBorder="1" applyAlignment="1" applyProtection="1">
      <alignment horizontal="center" vertical="center"/>
      <protection locked="0" hidden="1"/>
    </xf>
    <xf numFmtId="1" fontId="13" fillId="0" borderId="36" xfId="0" applyNumberFormat="1" applyFont="1" applyBorder="1" applyAlignment="1" applyProtection="1">
      <alignment horizontal="center" vertical="center"/>
      <protection hidden="1"/>
    </xf>
    <xf numFmtId="1" fontId="13" fillId="0" borderId="37" xfId="0" applyNumberFormat="1" applyFont="1" applyBorder="1" applyAlignment="1" applyProtection="1">
      <alignment horizontal="center" vertical="center"/>
      <protection hidden="1"/>
    </xf>
    <xf numFmtId="164" fontId="13" fillId="3" borderId="27" xfId="3" applyNumberFormat="1" applyFont="1" applyFill="1" applyBorder="1" applyAlignment="1" applyProtection="1">
      <alignment horizontal="right" vertical="center"/>
      <protection hidden="1"/>
    </xf>
    <xf numFmtId="164" fontId="13" fillId="3" borderId="101" xfId="3" applyNumberFormat="1" applyFont="1" applyFill="1" applyBorder="1" applyAlignment="1" applyProtection="1">
      <alignment horizontal="right" vertical="center"/>
      <protection hidden="1"/>
    </xf>
    <xf numFmtId="0" fontId="13" fillId="0" borderId="25" xfId="3" applyFont="1" applyBorder="1" applyAlignment="1" applyProtection="1">
      <alignment vertical="center"/>
      <protection hidden="1"/>
    </xf>
    <xf numFmtId="49" fontId="13" fillId="0" borderId="25" xfId="3" applyNumberFormat="1" applyFont="1" applyBorder="1" applyAlignment="1" applyProtection="1">
      <alignment horizontal="right" vertical="center"/>
      <protection hidden="1"/>
    </xf>
    <xf numFmtId="0" fontId="17" fillId="16" borderId="44" xfId="0" applyFont="1" applyFill="1" applyBorder="1" applyAlignment="1" applyProtection="1">
      <alignment horizontal="center" vertical="center"/>
      <protection locked="0" hidden="1"/>
    </xf>
    <xf numFmtId="0" fontId="13" fillId="16" borderId="25" xfId="3" applyFont="1" applyFill="1" applyBorder="1" applyAlignment="1" applyProtection="1">
      <alignment horizontal="center" vertical="center"/>
      <protection locked="0" hidden="1"/>
    </xf>
    <xf numFmtId="167" fontId="13" fillId="0" borderId="31" xfId="0" applyNumberFormat="1" applyFont="1" applyBorder="1" applyAlignment="1" applyProtection="1">
      <alignment horizontal="center" vertical="center"/>
      <protection locked="0" hidden="1"/>
    </xf>
    <xf numFmtId="167" fontId="13" fillId="3" borderId="31" xfId="0" applyNumberFormat="1" applyFont="1" applyFill="1" applyBorder="1" applyAlignment="1" applyProtection="1">
      <alignment horizontal="center" vertical="center"/>
      <protection hidden="1"/>
    </xf>
    <xf numFmtId="167" fontId="13" fillId="3" borderId="36" xfId="0" applyNumberFormat="1" applyFont="1" applyFill="1" applyBorder="1" applyAlignment="1" applyProtection="1">
      <alignment horizontal="center" vertical="center"/>
      <protection hidden="1"/>
    </xf>
    <xf numFmtId="167" fontId="14" fillId="3" borderId="31" xfId="0" applyNumberFormat="1" applyFont="1" applyFill="1" applyBorder="1" applyAlignment="1" applyProtection="1">
      <alignment horizontal="center" vertical="center"/>
      <protection locked="0" hidden="1"/>
    </xf>
    <xf numFmtId="167" fontId="14" fillId="0" borderId="26" xfId="0" applyNumberFormat="1" applyFont="1" applyBorder="1" applyAlignment="1" applyProtection="1">
      <alignment horizontal="center" vertical="center"/>
      <protection hidden="1"/>
    </xf>
    <xf numFmtId="167" fontId="14" fillId="3" borderId="32" xfId="0" applyNumberFormat="1" applyFont="1" applyFill="1" applyBorder="1" applyAlignment="1" applyProtection="1">
      <alignment horizontal="center" vertical="center"/>
      <protection locked="0" hidden="1"/>
    </xf>
    <xf numFmtId="167" fontId="14" fillId="3" borderId="26" xfId="0" applyNumberFormat="1" applyFont="1" applyFill="1" applyBorder="1" applyAlignment="1" applyProtection="1">
      <alignment horizontal="center" vertical="center"/>
      <protection locked="0" hidden="1"/>
    </xf>
    <xf numFmtId="167" fontId="14" fillId="3" borderId="34" xfId="0" applyNumberFormat="1" applyFont="1" applyFill="1" applyBorder="1" applyAlignment="1" applyProtection="1">
      <alignment horizontal="center" vertical="center"/>
      <protection locked="0" hidden="1"/>
    </xf>
    <xf numFmtId="167" fontId="13" fillId="0" borderId="32" xfId="0" applyNumberFormat="1" applyFont="1" applyBorder="1" applyAlignment="1" applyProtection="1">
      <alignment horizontal="center" vertical="center"/>
      <protection locked="0" hidden="1"/>
    </xf>
    <xf numFmtId="167" fontId="13" fillId="0" borderId="26" xfId="0" applyNumberFormat="1" applyFont="1" applyBorder="1" applyAlignment="1" applyProtection="1">
      <alignment horizontal="center" vertical="center"/>
      <protection locked="0" hidden="1"/>
    </xf>
    <xf numFmtId="167" fontId="13" fillId="0" borderId="34" xfId="0" applyNumberFormat="1" applyFont="1" applyBorder="1" applyAlignment="1" applyProtection="1">
      <alignment horizontal="center" vertical="center"/>
      <protection locked="0" hidden="1"/>
    </xf>
    <xf numFmtId="167" fontId="14" fillId="0" borderId="34" xfId="0" applyNumberFormat="1" applyFont="1" applyBorder="1" applyAlignment="1" applyProtection="1">
      <alignment horizontal="center" vertical="center"/>
      <protection hidden="1"/>
    </xf>
    <xf numFmtId="0" fontId="0" fillId="0" borderId="27" xfId="0" applyBorder="1"/>
    <xf numFmtId="49" fontId="13" fillId="3" borderId="27" xfId="3" applyNumberFormat="1" applyFont="1" applyFill="1" applyBorder="1" applyAlignment="1" applyProtection="1">
      <alignment horizontal="right" vertical="center"/>
      <protection hidden="1"/>
    </xf>
    <xf numFmtId="0" fontId="17" fillId="0" borderId="78" xfId="0" applyFont="1" applyBorder="1" applyAlignment="1" applyProtection="1">
      <alignment horizontal="center" vertical="center"/>
      <protection hidden="1"/>
    </xf>
    <xf numFmtId="0" fontId="17" fillId="0" borderId="104" xfId="0" applyFont="1" applyBorder="1" applyAlignment="1" applyProtection="1">
      <alignment horizontal="center" vertical="center"/>
      <protection hidden="1"/>
    </xf>
    <xf numFmtId="0" fontId="17" fillId="0" borderId="79" xfId="0" applyFont="1" applyBorder="1" applyAlignment="1" applyProtection="1">
      <alignment horizontal="center" vertical="center"/>
      <protection hidden="1"/>
    </xf>
    <xf numFmtId="166" fontId="15" fillId="5" borderId="44" xfId="0" applyNumberFormat="1" applyFont="1" applyFill="1" applyBorder="1" applyAlignment="1" applyProtection="1">
      <alignment horizontal="center" vertical="center"/>
      <protection hidden="1"/>
    </xf>
    <xf numFmtId="0" fontId="15" fillId="5" borderId="44" xfId="0" applyFont="1" applyFill="1" applyBorder="1" applyAlignment="1" applyProtection="1">
      <alignment horizontal="center" vertical="center"/>
      <protection locked="0" hidden="1"/>
    </xf>
    <xf numFmtId="0" fontId="20" fillId="0" borderId="0" xfId="0" applyFont="1" applyAlignment="1">
      <alignment vertical="center"/>
    </xf>
    <xf numFmtId="0" fontId="36" fillId="0" borderId="34" xfId="0" applyFont="1" applyBorder="1" applyAlignment="1" applyProtection="1">
      <alignment horizontal="center" vertical="center"/>
      <protection locked="0" hidden="1"/>
    </xf>
    <xf numFmtId="167" fontId="13" fillId="3" borderId="37" xfId="0" applyNumberFormat="1" applyFont="1" applyFill="1" applyBorder="1" applyAlignment="1" applyProtection="1">
      <alignment horizontal="center" vertical="center"/>
      <protection hidden="1"/>
    </xf>
    <xf numFmtId="167" fontId="13" fillId="3" borderId="32" xfId="0" applyNumberFormat="1" applyFont="1" applyFill="1" applyBorder="1" applyAlignment="1" applyProtection="1">
      <alignment horizontal="center" vertical="center"/>
      <protection hidden="1"/>
    </xf>
    <xf numFmtId="0" fontId="17" fillId="0" borderId="108" xfId="0" applyFont="1" applyBorder="1" applyAlignment="1">
      <alignment horizontal="center" wrapText="1"/>
    </xf>
    <xf numFmtId="0" fontId="17" fillId="0" borderId="109" xfId="0" applyFont="1" applyBorder="1" applyAlignment="1">
      <alignment horizontal="center" wrapText="1"/>
    </xf>
    <xf numFmtId="0" fontId="13" fillId="0" borderId="108" xfId="0" applyFont="1" applyBorder="1" applyAlignment="1">
      <alignment horizontal="center" wrapText="1"/>
    </xf>
    <xf numFmtId="14" fontId="13" fillId="0" borderId="109" xfId="0" applyNumberFormat="1" applyFont="1" applyBorder="1" applyAlignment="1">
      <alignment horizontal="center" wrapText="1"/>
    </xf>
    <xf numFmtId="0" fontId="0" fillId="0" borderId="109" xfId="0" applyBorder="1" applyAlignment="1">
      <alignment wrapText="1"/>
    </xf>
    <xf numFmtId="0" fontId="13" fillId="0" borderId="109" xfId="0" applyFont="1" applyBorder="1" applyAlignment="1">
      <alignment wrapText="1"/>
    </xf>
    <xf numFmtId="0" fontId="0" fillId="0" borderId="108" xfId="0" applyBorder="1" applyAlignment="1">
      <alignment wrapText="1"/>
    </xf>
    <xf numFmtId="0" fontId="13" fillId="3" borderId="25" xfId="3" applyFont="1" applyFill="1" applyBorder="1" applyAlignment="1" applyProtection="1">
      <alignment horizontal="center" vertical="center"/>
      <protection locked="0"/>
    </xf>
    <xf numFmtId="168" fontId="13" fillId="0" borderId="27" xfId="3" applyNumberFormat="1" applyFont="1" applyBorder="1" applyAlignment="1" applyProtection="1">
      <alignment horizontal="center" vertical="center"/>
      <protection locked="0"/>
    </xf>
    <xf numFmtId="49" fontId="13" fillId="0" borderId="39" xfId="3" applyNumberFormat="1" applyFont="1" applyBorder="1" applyAlignment="1" applyProtection="1">
      <alignment vertical="center"/>
      <protection locked="0"/>
    </xf>
    <xf numFmtId="0" fontId="13" fillId="3" borderId="25" xfId="3" applyFont="1" applyFill="1" applyBorder="1" applyAlignment="1" applyProtection="1">
      <alignment horizontal="left" vertical="center"/>
      <protection locked="0"/>
    </xf>
    <xf numFmtId="165" fontId="13" fillId="3" borderId="25" xfId="3" applyNumberFormat="1" applyFont="1" applyFill="1" applyBorder="1" applyAlignment="1" applyProtection="1">
      <alignment horizontal="center" vertical="center"/>
      <protection locked="0"/>
    </xf>
    <xf numFmtId="165" fontId="13" fillId="3" borderId="38" xfId="3" applyNumberFormat="1" applyFont="1" applyFill="1" applyBorder="1" applyAlignment="1" applyProtection="1">
      <alignment horizontal="left" vertical="center"/>
      <protection locked="0"/>
    </xf>
    <xf numFmtId="0" fontId="13" fillId="0" borderId="0" xfId="0" applyFont="1" applyAlignment="1" applyProtection="1">
      <alignment horizontal="center" vertical="center"/>
      <protection locked="0"/>
    </xf>
    <xf numFmtId="0" fontId="13" fillId="0" borderId="0" xfId="0" applyFont="1" applyAlignment="1" applyProtection="1">
      <alignment vertical="center"/>
      <protection locked="0"/>
    </xf>
    <xf numFmtId="0" fontId="13" fillId="0" borderId="51" xfId="0" applyFont="1" applyBorder="1" applyAlignment="1" applyProtection="1">
      <alignment horizontal="center" vertical="center"/>
      <protection locked="0"/>
    </xf>
    <xf numFmtId="0" fontId="13" fillId="0" borderId="31" xfId="0" applyFont="1" applyBorder="1" applyAlignment="1" applyProtection="1">
      <alignment horizontal="center" vertical="center"/>
      <protection locked="0"/>
    </xf>
    <xf numFmtId="0" fontId="13" fillId="0" borderId="32" xfId="0" applyFont="1" applyBorder="1" applyAlignment="1" applyProtection="1">
      <alignment horizontal="center" vertical="center"/>
      <protection locked="0"/>
    </xf>
    <xf numFmtId="0" fontId="13" fillId="0" borderId="55" xfId="0" applyFont="1" applyBorder="1" applyAlignment="1" applyProtection="1">
      <alignment horizontal="center" vertical="center"/>
      <protection locked="0"/>
    </xf>
    <xf numFmtId="0" fontId="13" fillId="0" borderId="63" xfId="0" applyFont="1" applyBorder="1" applyAlignment="1" applyProtection="1">
      <alignment horizontal="center" vertical="center"/>
      <protection locked="0"/>
    </xf>
    <xf numFmtId="0" fontId="13" fillId="0" borderId="26" xfId="0" applyFont="1" applyBorder="1" applyAlignment="1" applyProtection="1">
      <alignment horizontal="center" vertical="center"/>
      <protection locked="0"/>
    </xf>
    <xf numFmtId="0" fontId="13" fillId="0" borderId="34" xfId="0" applyFont="1" applyBorder="1" applyAlignment="1" applyProtection="1">
      <alignment horizontal="center" vertical="center"/>
      <protection locked="0"/>
    </xf>
    <xf numFmtId="1" fontId="13" fillId="0" borderId="26" xfId="0" applyNumberFormat="1" applyFont="1" applyBorder="1" applyAlignment="1" applyProtection="1">
      <alignment horizontal="center" vertical="center"/>
      <protection locked="0"/>
    </xf>
    <xf numFmtId="1" fontId="13" fillId="0" borderId="34" xfId="0" applyNumberFormat="1" applyFont="1" applyBorder="1" applyAlignment="1" applyProtection="1">
      <alignment horizontal="center" vertical="center"/>
      <protection locked="0"/>
    </xf>
    <xf numFmtId="166" fontId="1" fillId="3" borderId="33" xfId="0" applyNumberFormat="1" applyFont="1" applyFill="1" applyBorder="1" applyAlignment="1" applyProtection="1">
      <alignment horizontal="center" vertical="center"/>
      <protection locked="0"/>
    </xf>
    <xf numFmtId="2" fontId="13" fillId="0" borderId="26" xfId="0" applyNumberFormat="1" applyFont="1" applyBorder="1" applyAlignment="1" applyProtection="1">
      <alignment horizontal="center" vertical="center"/>
      <protection locked="0"/>
    </xf>
    <xf numFmtId="2" fontId="13" fillId="0" borderId="34" xfId="0" applyNumberFormat="1" applyFont="1" applyBorder="1" applyAlignment="1" applyProtection="1">
      <alignment horizontal="center" vertical="center"/>
      <protection locked="0"/>
    </xf>
    <xf numFmtId="0" fontId="17" fillId="3" borderId="0" xfId="0" applyFont="1" applyFill="1" applyAlignment="1" applyProtection="1">
      <alignment vertical="center"/>
      <protection locked="0"/>
    </xf>
    <xf numFmtId="0" fontId="17" fillId="5" borderId="44" xfId="0" applyFont="1" applyFill="1" applyBorder="1" applyAlignment="1" applyProtection="1">
      <alignment horizontal="center" vertical="center"/>
      <protection locked="0"/>
    </xf>
    <xf numFmtId="166" fontId="1" fillId="5" borderId="33" xfId="0" applyNumberFormat="1" applyFont="1" applyFill="1" applyBorder="1" applyAlignment="1" applyProtection="1">
      <alignment horizontal="center" vertical="center"/>
      <protection locked="0"/>
    </xf>
    <xf numFmtId="166" fontId="6" fillId="3" borderId="33" xfId="0" applyNumberFormat="1" applyFont="1" applyFill="1" applyBorder="1" applyAlignment="1" applyProtection="1">
      <alignment horizontal="center" vertical="center"/>
      <protection locked="0"/>
    </xf>
    <xf numFmtId="0" fontId="13" fillId="0" borderId="0" xfId="0" applyFont="1" applyAlignment="1" applyProtection="1">
      <alignment horizontal="center" vertical="center" wrapText="1"/>
      <protection locked="0"/>
    </xf>
    <xf numFmtId="2" fontId="13" fillId="0" borderId="0" xfId="0" applyNumberFormat="1" applyFont="1" applyAlignment="1" applyProtection="1">
      <alignment horizontal="center" vertical="center"/>
      <protection locked="0"/>
    </xf>
    <xf numFmtId="166" fontId="1" fillId="3" borderId="35" xfId="0" applyNumberFormat="1" applyFont="1" applyFill="1" applyBorder="1" applyAlignment="1" applyProtection="1">
      <alignment horizontal="center" vertical="center"/>
      <protection locked="0"/>
    </xf>
    <xf numFmtId="169" fontId="17" fillId="5" borderId="24" xfId="0" applyNumberFormat="1" applyFont="1" applyFill="1" applyBorder="1" applyAlignment="1" applyProtection="1">
      <alignment horizontal="center"/>
      <protection locked="0"/>
    </xf>
    <xf numFmtId="167" fontId="14" fillId="3" borderId="31" xfId="0" applyNumberFormat="1" applyFont="1" applyFill="1" applyBorder="1" applyAlignment="1" applyProtection="1">
      <alignment horizontal="center" vertical="center"/>
      <protection locked="0"/>
    </xf>
    <xf numFmtId="167" fontId="14" fillId="3" borderId="32" xfId="0" applyNumberFormat="1" applyFont="1" applyFill="1" applyBorder="1" applyAlignment="1" applyProtection="1">
      <alignment horizontal="center" vertical="center"/>
      <protection locked="0"/>
    </xf>
    <xf numFmtId="0" fontId="14" fillId="2" borderId="0" xfId="0" applyFont="1" applyFill="1" applyAlignment="1" applyProtection="1">
      <alignment horizontal="center" vertical="center"/>
      <protection locked="0"/>
    </xf>
    <xf numFmtId="167" fontId="14" fillId="3" borderId="26" xfId="0" applyNumberFormat="1" applyFont="1" applyFill="1" applyBorder="1" applyAlignment="1" applyProtection="1">
      <alignment horizontal="center" vertical="center"/>
      <protection locked="0"/>
    </xf>
    <xf numFmtId="167" fontId="14" fillId="3" borderId="34" xfId="0" applyNumberFormat="1" applyFont="1" applyFill="1" applyBorder="1" applyAlignment="1" applyProtection="1">
      <alignment horizontal="center" vertical="center"/>
      <protection locked="0"/>
    </xf>
    <xf numFmtId="0" fontId="1" fillId="0" borderId="0" xfId="3" applyFont="1" applyAlignment="1" applyProtection="1">
      <alignment vertical="center"/>
      <protection locked="0"/>
    </xf>
    <xf numFmtId="166" fontId="17" fillId="0" borderId="0" xfId="0" applyNumberFormat="1" applyFont="1" applyAlignment="1" applyProtection="1">
      <alignment horizontal="center" vertical="center"/>
      <protection locked="0"/>
    </xf>
    <xf numFmtId="0" fontId="15" fillId="0" borderId="35" xfId="0" applyFont="1" applyBorder="1" applyAlignment="1" applyProtection="1">
      <alignment horizontal="center" vertical="center"/>
      <protection locked="0"/>
    </xf>
    <xf numFmtId="0" fontId="13" fillId="0" borderId="36" xfId="0" applyFont="1" applyBorder="1" applyAlignment="1" applyProtection="1">
      <alignment horizontal="center" vertical="center"/>
      <protection locked="0"/>
    </xf>
    <xf numFmtId="0" fontId="2" fillId="0" borderId="0" xfId="3" applyFont="1" applyAlignment="1" applyProtection="1">
      <alignment vertical="center"/>
      <protection locked="0"/>
    </xf>
    <xf numFmtId="0" fontId="13" fillId="0" borderId="46" xfId="0" applyFont="1" applyBorder="1" applyAlignment="1" applyProtection="1">
      <alignment vertical="center"/>
      <protection locked="0"/>
    </xf>
    <xf numFmtId="0" fontId="22" fillId="0" borderId="42" xfId="0" applyFont="1" applyBorder="1" applyAlignment="1" applyProtection="1">
      <alignment vertical="center"/>
      <protection locked="0"/>
    </xf>
    <xf numFmtId="0" fontId="17" fillId="0" borderId="2" xfId="0" applyFont="1" applyBorder="1" applyAlignment="1" applyProtection="1">
      <alignment vertical="center"/>
      <protection locked="0"/>
    </xf>
    <xf numFmtId="0" fontId="2" fillId="3" borderId="74" xfId="0" applyFont="1" applyFill="1" applyBorder="1" applyAlignment="1" applyProtection="1">
      <alignment horizontal="center" vertical="center"/>
      <protection locked="0"/>
    </xf>
    <xf numFmtId="0" fontId="2" fillId="3" borderId="76" xfId="0" applyFont="1" applyFill="1" applyBorder="1" applyAlignment="1" applyProtection="1">
      <alignment horizontal="center" vertical="center"/>
      <protection locked="0"/>
    </xf>
    <xf numFmtId="0" fontId="7" fillId="3" borderId="56" xfId="0" applyFont="1" applyFill="1" applyBorder="1" applyAlignment="1" applyProtection="1">
      <alignment horizontal="center" vertical="center" wrapText="1"/>
      <protection locked="0"/>
    </xf>
    <xf numFmtId="0" fontId="7" fillId="3" borderId="57" xfId="0" applyFont="1" applyFill="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3" fillId="0" borderId="26" xfId="0" applyFont="1" applyBorder="1" applyAlignment="1" applyProtection="1">
      <alignment vertical="center"/>
      <protection locked="0"/>
    </xf>
    <xf numFmtId="0" fontId="2" fillId="3" borderId="88" xfId="0" applyFont="1" applyFill="1" applyBorder="1" applyAlignment="1" applyProtection="1">
      <alignment horizontal="center" vertical="center"/>
      <protection locked="0"/>
    </xf>
    <xf numFmtId="0" fontId="2" fillId="3" borderId="90" xfId="0" applyFont="1" applyFill="1" applyBorder="1" applyAlignment="1" applyProtection="1">
      <alignment horizontal="center" vertical="center"/>
      <protection locked="0"/>
    </xf>
    <xf numFmtId="0" fontId="2" fillId="3" borderId="42" xfId="0" applyFont="1" applyFill="1" applyBorder="1" applyAlignment="1" applyProtection="1">
      <alignment horizontal="center" vertical="center"/>
      <protection locked="0"/>
    </xf>
    <xf numFmtId="0" fontId="27" fillId="0" borderId="26" xfId="0" applyFont="1" applyBorder="1" applyProtection="1">
      <protection locked="0"/>
    </xf>
    <xf numFmtId="0" fontId="1" fillId="3" borderId="92"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91" xfId="0" applyFont="1" applyFill="1" applyBorder="1" applyAlignment="1" applyProtection="1">
      <alignment horizontal="center" vertical="center"/>
      <protection locked="0"/>
    </xf>
    <xf numFmtId="2" fontId="15" fillId="0" borderId="30" xfId="4" applyNumberFormat="1" applyFont="1" applyBorder="1" applyAlignment="1" applyProtection="1">
      <alignment horizontal="center" vertical="center"/>
      <protection locked="0"/>
    </xf>
    <xf numFmtId="0" fontId="13" fillId="0" borderId="32" xfId="4" applyBorder="1" applyAlignment="1" applyProtection="1">
      <alignment vertical="center"/>
      <protection locked="0"/>
    </xf>
    <xf numFmtId="0" fontId="13" fillId="0" borderId="42" xfId="4" applyBorder="1" applyAlignment="1" applyProtection="1">
      <alignment vertical="center"/>
      <protection locked="0"/>
    </xf>
    <xf numFmtId="0" fontId="13" fillId="0" borderId="0" xfId="4" applyAlignment="1" applyProtection="1">
      <alignment vertical="center"/>
      <protection locked="0"/>
    </xf>
    <xf numFmtId="0" fontId="15" fillId="0" borderId="33" xfId="4" applyFont="1" applyBorder="1" applyAlignment="1" applyProtection="1">
      <alignment horizontal="center" vertical="center"/>
      <protection locked="0"/>
    </xf>
    <xf numFmtId="0" fontId="13" fillId="0" borderId="34" xfId="4" applyBorder="1" applyAlignment="1" applyProtection="1">
      <alignment vertical="center"/>
      <protection locked="0"/>
    </xf>
    <xf numFmtId="0" fontId="13" fillId="0" borderId="53" xfId="4" applyBorder="1" applyAlignment="1" applyProtection="1">
      <alignment vertical="center"/>
      <protection locked="0"/>
    </xf>
    <xf numFmtId="166" fontId="1" fillId="3" borderId="86" xfId="0" applyNumberFormat="1" applyFont="1" applyFill="1" applyBorder="1" applyAlignment="1" applyProtection="1">
      <alignment horizontal="center" vertical="center"/>
      <protection locked="0"/>
    </xf>
    <xf numFmtId="166" fontId="1" fillId="3" borderId="3" xfId="0" applyNumberFormat="1" applyFont="1" applyFill="1" applyBorder="1" applyAlignment="1" applyProtection="1">
      <alignment horizontal="center" vertical="center"/>
      <protection locked="0"/>
    </xf>
    <xf numFmtId="166" fontId="1" fillId="2" borderId="3" xfId="0" applyNumberFormat="1" applyFont="1" applyFill="1" applyBorder="1" applyAlignment="1" applyProtection="1">
      <alignment horizontal="center" vertical="center"/>
      <protection locked="0"/>
    </xf>
    <xf numFmtId="166" fontId="1" fillId="3" borderId="87" xfId="0" applyNumberFormat="1" applyFont="1" applyFill="1" applyBorder="1" applyAlignment="1" applyProtection="1">
      <alignment horizontal="center" vertical="center"/>
      <protection locked="0"/>
    </xf>
    <xf numFmtId="0" fontId="13" fillId="0" borderId="37" xfId="0" applyFont="1" applyBorder="1" applyAlignment="1" applyProtection="1">
      <alignment vertical="center"/>
      <protection locked="0"/>
    </xf>
    <xf numFmtId="0" fontId="16" fillId="8" borderId="41" xfId="4" applyFont="1" applyFill="1" applyBorder="1" applyAlignment="1" applyProtection="1">
      <alignment horizontal="center" vertical="center"/>
      <protection locked="0"/>
    </xf>
    <xf numFmtId="170" fontId="13" fillId="0" borderId="41" xfId="4" applyNumberFormat="1" applyBorder="1" applyAlignment="1" applyProtection="1">
      <alignment horizontal="center" vertical="center"/>
      <protection locked="0"/>
    </xf>
    <xf numFmtId="166" fontId="1" fillId="5" borderId="3" xfId="0" applyNumberFormat="1" applyFont="1" applyFill="1" applyBorder="1" applyAlignment="1" applyProtection="1">
      <alignment horizontal="center" vertical="center"/>
      <protection locked="0"/>
    </xf>
    <xf numFmtId="166" fontId="1" fillId="5" borderId="87" xfId="0" applyNumberFormat="1" applyFont="1" applyFill="1" applyBorder="1" applyAlignment="1" applyProtection="1">
      <alignment horizontal="center" vertical="center"/>
      <protection locked="0"/>
    </xf>
    <xf numFmtId="167" fontId="13" fillId="0" borderId="26" xfId="0" applyNumberFormat="1" applyFont="1" applyBorder="1" applyAlignment="1" applyProtection="1">
      <alignment horizontal="center" vertical="center"/>
      <protection locked="0"/>
    </xf>
    <xf numFmtId="166" fontId="1" fillId="3" borderId="88" xfId="0" applyNumberFormat="1" applyFont="1" applyFill="1" applyBorder="1" applyAlignment="1" applyProtection="1">
      <alignment horizontal="center" vertical="center"/>
      <protection locked="0"/>
    </xf>
    <xf numFmtId="166" fontId="1" fillId="3" borderId="89" xfId="0" applyNumberFormat="1" applyFont="1" applyFill="1" applyBorder="1" applyAlignment="1" applyProtection="1">
      <alignment horizontal="center" vertical="center"/>
      <protection locked="0"/>
    </xf>
    <xf numFmtId="166" fontId="1" fillId="2" borderId="89" xfId="0" applyNumberFormat="1" applyFont="1" applyFill="1" applyBorder="1" applyAlignment="1" applyProtection="1">
      <alignment horizontal="center" vertical="center"/>
      <protection locked="0"/>
    </xf>
    <xf numFmtId="166" fontId="1" fillId="3" borderId="90" xfId="0" applyNumberFormat="1" applyFont="1" applyFill="1" applyBorder="1" applyAlignment="1" applyProtection="1">
      <alignment horizontal="center" vertical="center"/>
      <protection locked="0"/>
    </xf>
    <xf numFmtId="0" fontId="20" fillId="10" borderId="0" xfId="0" applyFont="1" applyFill="1" applyAlignment="1" applyProtection="1">
      <alignment vertical="center"/>
      <protection locked="0"/>
    </xf>
    <xf numFmtId="0" fontId="20" fillId="15" borderId="0" xfId="0" applyFont="1" applyFill="1" applyAlignment="1" applyProtection="1">
      <alignment vertical="center"/>
      <protection locked="0"/>
    </xf>
    <xf numFmtId="0" fontId="1" fillId="0" borderId="6" xfId="0" applyFont="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166" fontId="1" fillId="0" borderId="9" xfId="0" applyNumberFormat="1" applyFont="1" applyBorder="1" applyAlignment="1" applyProtection="1">
      <alignment horizontal="center" vertical="center"/>
      <protection locked="0"/>
    </xf>
    <xf numFmtId="166" fontId="1" fillId="0" borderId="10" xfId="0" applyNumberFormat="1" applyFont="1" applyBorder="1" applyAlignment="1" applyProtection="1">
      <alignment horizontal="center" vertical="center"/>
      <protection locked="0"/>
    </xf>
    <xf numFmtId="166" fontId="1" fillId="0" borderId="11" xfId="0" applyNumberFormat="1" applyFont="1" applyBorder="1" applyAlignment="1" applyProtection="1">
      <alignment horizontal="center" vertical="center"/>
      <protection locked="0"/>
    </xf>
    <xf numFmtId="0" fontId="20" fillId="10" borderId="0" xfId="0" applyFont="1" applyFill="1" applyAlignment="1" applyProtection="1">
      <alignment horizontal="center" vertical="center"/>
      <protection locked="0"/>
    </xf>
    <xf numFmtId="2" fontId="20" fillId="14" borderId="0" xfId="0" applyNumberFormat="1" applyFont="1" applyFill="1" applyAlignment="1" applyProtection="1">
      <alignment vertical="center"/>
      <protection locked="0"/>
    </xf>
    <xf numFmtId="169" fontId="13" fillId="12" borderId="32" xfId="0" applyNumberFormat="1" applyFont="1" applyFill="1" applyBorder="1" applyAlignment="1" applyProtection="1">
      <alignment horizontal="center" vertical="center"/>
      <protection locked="0"/>
    </xf>
    <xf numFmtId="0" fontId="20" fillId="12" borderId="0" xfId="0" applyFont="1" applyFill="1" applyAlignment="1" applyProtection="1">
      <alignment horizontal="center" vertical="center"/>
      <protection locked="0"/>
    </xf>
    <xf numFmtId="2" fontId="20" fillId="13" borderId="0" xfId="0" applyNumberFormat="1" applyFont="1" applyFill="1" applyAlignment="1" applyProtection="1">
      <alignment horizontal="center" vertical="center"/>
      <protection locked="0"/>
    </xf>
    <xf numFmtId="0" fontId="13" fillId="12" borderId="34" xfId="0" applyFont="1" applyFill="1" applyBorder="1" applyAlignment="1" applyProtection="1">
      <alignment horizontal="center" vertical="center"/>
      <protection locked="0"/>
    </xf>
    <xf numFmtId="166" fontId="13" fillId="0" borderId="42" xfId="0" applyNumberFormat="1" applyFont="1" applyBorder="1" applyAlignment="1" applyProtection="1">
      <alignment vertical="center"/>
      <protection locked="0"/>
    </xf>
    <xf numFmtId="0" fontId="13" fillId="12" borderId="37" xfId="0" applyFont="1" applyFill="1" applyBorder="1" applyAlignment="1" applyProtection="1">
      <alignment horizontal="center" vertical="center"/>
      <protection locked="0"/>
    </xf>
    <xf numFmtId="0" fontId="20" fillId="13" borderId="0" xfId="0" applyFont="1" applyFill="1" applyAlignment="1" applyProtection="1">
      <alignment horizontal="center" vertical="center"/>
      <protection locked="0"/>
    </xf>
    <xf numFmtId="166" fontId="13" fillId="0" borderId="0" xfId="0" applyNumberFormat="1" applyFont="1" applyAlignment="1" applyProtection="1">
      <alignment vertical="center"/>
      <protection locked="0"/>
    </xf>
    <xf numFmtId="0" fontId="20" fillId="11" borderId="0" xfId="0" applyFont="1" applyFill="1" applyAlignment="1" applyProtection="1">
      <alignment horizontal="center" vertical="center"/>
      <protection locked="0"/>
    </xf>
    <xf numFmtId="0" fontId="26" fillId="0" borderId="0" xfId="0" applyFont="1" applyAlignment="1" applyProtection="1">
      <alignment vertical="center"/>
      <protection locked="0"/>
    </xf>
    <xf numFmtId="2" fontId="13" fillId="0" borderId="26" xfId="0" applyNumberFormat="1" applyFont="1" applyBorder="1" applyAlignment="1" applyProtection="1">
      <alignment horizontal="center" vertical="center"/>
      <protection hidden="1"/>
    </xf>
    <xf numFmtId="2" fontId="13" fillId="0" borderId="34" xfId="0" applyNumberFormat="1" applyFont="1" applyBorder="1" applyAlignment="1" applyProtection="1">
      <alignment horizontal="center" vertical="center"/>
      <protection hidden="1"/>
    </xf>
    <xf numFmtId="167" fontId="14" fillId="3" borderId="31" xfId="0" applyNumberFormat="1" applyFont="1" applyFill="1" applyBorder="1" applyAlignment="1" applyProtection="1">
      <alignment horizontal="center" vertical="center"/>
      <protection hidden="1"/>
    </xf>
    <xf numFmtId="167" fontId="14" fillId="3" borderId="26" xfId="0" applyNumberFormat="1" applyFont="1" applyFill="1" applyBorder="1" applyAlignment="1" applyProtection="1">
      <alignment horizontal="center" vertical="center"/>
      <protection hidden="1"/>
    </xf>
    <xf numFmtId="49" fontId="13" fillId="0" borderId="46" xfId="0" applyNumberFormat="1" applyFont="1" applyBorder="1" applyAlignment="1" applyProtection="1">
      <alignment vertical="center"/>
      <protection locked="0"/>
    </xf>
    <xf numFmtId="0" fontId="13" fillId="0" borderId="43" xfId="0" applyFont="1" applyBorder="1" applyAlignment="1" applyProtection="1">
      <alignment horizontal="center" vertical="center"/>
      <protection locked="0"/>
    </xf>
    <xf numFmtId="0" fontId="13" fillId="0" borderId="29" xfId="0" applyFont="1" applyBorder="1" applyAlignment="1" applyProtection="1">
      <alignment horizontal="center" vertical="center"/>
      <protection locked="0"/>
    </xf>
    <xf numFmtId="0" fontId="13" fillId="0" borderId="44" xfId="0" applyFont="1" applyBorder="1" applyAlignment="1" applyProtection="1">
      <alignment horizontal="center" vertical="center"/>
      <protection locked="0"/>
    </xf>
    <xf numFmtId="0" fontId="17" fillId="0" borderId="33" xfId="0"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17" fillId="0" borderId="36" xfId="0" applyFont="1" applyBorder="1" applyAlignment="1" applyProtection="1">
      <alignment horizontal="center" vertical="center" wrapText="1"/>
      <protection locked="0"/>
    </xf>
    <xf numFmtId="166" fontId="1" fillId="3" borderId="33" xfId="0" applyNumberFormat="1" applyFont="1" applyFill="1" applyBorder="1" applyAlignment="1" applyProtection="1">
      <alignment horizontal="center" vertical="center"/>
      <protection locked="0"/>
    </xf>
    <xf numFmtId="0" fontId="13" fillId="0" borderId="0" xfId="0" applyFont="1" applyAlignment="1" applyProtection="1">
      <alignment horizontal="center" vertical="center" wrapText="1"/>
      <protection locked="0"/>
    </xf>
    <xf numFmtId="0" fontId="13" fillId="0" borderId="0" xfId="0" applyFont="1" applyAlignment="1" applyProtection="1">
      <alignment horizontal="center" vertical="center"/>
      <protection locked="0"/>
    </xf>
    <xf numFmtId="0" fontId="17" fillId="0" borderId="3" xfId="0" applyFont="1" applyBorder="1" applyAlignment="1" applyProtection="1">
      <alignment horizontal="center" vertical="center" wrapText="1"/>
      <protection locked="0"/>
    </xf>
    <xf numFmtId="0" fontId="13" fillId="16" borderId="3" xfId="0" applyFont="1" applyFill="1" applyBorder="1" applyAlignment="1" applyProtection="1">
      <alignment horizontal="center" vertical="center"/>
      <protection locked="0"/>
    </xf>
    <xf numFmtId="166" fontId="1" fillId="5" borderId="33" xfId="0" applyNumberFormat="1" applyFont="1" applyFill="1" applyBorder="1" applyAlignment="1" applyProtection="1">
      <alignment horizontal="center" vertical="center"/>
      <protection locked="0"/>
    </xf>
    <xf numFmtId="0" fontId="18" fillId="4" borderId="43" xfId="0" applyFont="1" applyFill="1" applyBorder="1" applyAlignment="1" applyProtection="1">
      <alignment horizontal="left" vertical="center" indent="4"/>
      <protection locked="0"/>
    </xf>
    <xf numFmtId="0" fontId="18" fillId="4" borderId="29" xfId="0" applyFont="1" applyFill="1" applyBorder="1" applyAlignment="1" applyProtection="1">
      <alignment horizontal="left" vertical="center" indent="4"/>
      <protection locked="0"/>
    </xf>
    <xf numFmtId="0" fontId="18" fillId="4" borderId="44" xfId="0" applyFont="1" applyFill="1" applyBorder="1" applyAlignment="1" applyProtection="1">
      <alignment horizontal="left" vertical="center" indent="4"/>
      <protection locked="0"/>
    </xf>
    <xf numFmtId="0" fontId="17" fillId="0" borderId="30" xfId="0" applyFont="1" applyBorder="1" applyAlignment="1" applyProtection="1">
      <alignment horizontal="center" vertical="center" wrapText="1"/>
      <protection locked="0"/>
    </xf>
    <xf numFmtId="0" fontId="17" fillId="0" borderId="31" xfId="0" applyFont="1" applyBorder="1" applyAlignment="1" applyProtection="1">
      <alignment horizontal="center" vertical="center" wrapText="1"/>
      <protection locked="0"/>
    </xf>
    <xf numFmtId="0" fontId="13" fillId="12" borderId="3" xfId="0" applyFont="1" applyFill="1" applyBorder="1" applyAlignment="1" applyProtection="1">
      <alignment horizontal="center" vertical="center"/>
      <protection locked="0"/>
    </xf>
    <xf numFmtId="0" fontId="14" fillId="0" borderId="3" xfId="4" applyFont="1" applyBorder="1" applyAlignment="1" applyProtection="1">
      <alignment horizontal="center" vertical="center" wrapText="1"/>
      <protection locked="0"/>
    </xf>
    <xf numFmtId="2" fontId="20" fillId="9" borderId="16" xfId="5" applyNumberFormat="1" applyFont="1" applyFill="1" applyBorder="1" applyAlignment="1" applyProtection="1">
      <alignment horizontal="center" vertical="center"/>
      <protection locked="0"/>
    </xf>
    <xf numFmtId="2" fontId="20" fillId="9" borderId="13" xfId="5" applyNumberFormat="1" applyFont="1" applyFill="1" applyBorder="1" applyAlignment="1" applyProtection="1">
      <alignment horizontal="center" vertical="center"/>
      <protection locked="0"/>
    </xf>
    <xf numFmtId="2" fontId="20" fillId="9" borderId="9" xfId="5" applyNumberFormat="1" applyFont="1" applyFill="1" applyBorder="1" applyAlignment="1" applyProtection="1">
      <alignment horizontal="center" vertical="center"/>
      <protection locked="0"/>
    </xf>
    <xf numFmtId="2" fontId="20" fillId="9" borderId="11" xfId="5" applyNumberFormat="1" applyFont="1" applyFill="1" applyBorder="1" applyAlignment="1" applyProtection="1">
      <alignment horizontal="center" vertical="center"/>
      <protection locked="0"/>
    </xf>
    <xf numFmtId="0" fontId="15" fillId="17" borderId="6" xfId="5" applyFont="1" applyFill="1" applyBorder="1" applyAlignment="1" applyProtection="1">
      <alignment horizontal="center" vertical="center"/>
      <protection locked="0"/>
    </xf>
    <xf numFmtId="0" fontId="15" fillId="17" borderId="7" xfId="5" applyFont="1" applyFill="1" applyBorder="1" applyAlignment="1" applyProtection="1">
      <alignment horizontal="center" vertical="center"/>
      <protection locked="0"/>
    </xf>
    <xf numFmtId="0" fontId="15" fillId="17" borderId="8" xfId="5" applyFont="1" applyFill="1" applyBorder="1" applyAlignment="1" applyProtection="1">
      <alignment horizontal="center" vertical="center"/>
      <protection locked="0"/>
    </xf>
    <xf numFmtId="0" fontId="14" fillId="0" borderId="9" xfId="5" applyBorder="1" applyAlignment="1" applyProtection="1">
      <alignment horizontal="center" vertical="center"/>
      <protection locked="0"/>
    </xf>
    <xf numFmtId="0" fontId="14" fillId="0" borderId="10" xfId="5" applyBorder="1" applyAlignment="1" applyProtection="1">
      <alignment horizontal="center" vertical="center"/>
      <protection locked="0"/>
    </xf>
    <xf numFmtId="0" fontId="13" fillId="0" borderId="0" xfId="0" applyFont="1" applyAlignment="1" applyProtection="1">
      <alignment horizontal="right" vertical="center"/>
      <protection locked="0"/>
    </xf>
    <xf numFmtId="0" fontId="13" fillId="0" borderId="47" xfId="0" applyFont="1" applyBorder="1" applyAlignment="1" applyProtection="1">
      <alignment horizontal="right" vertical="center"/>
      <protection locked="0"/>
    </xf>
    <xf numFmtId="0" fontId="22" fillId="0" borderId="14" xfId="0" applyFont="1" applyBorder="1" applyAlignment="1" applyProtection="1">
      <alignment horizontal="center" vertical="center"/>
      <protection locked="0"/>
    </xf>
    <xf numFmtId="0" fontId="22" fillId="0" borderId="17" xfId="0" applyFont="1" applyBorder="1" applyAlignment="1" applyProtection="1">
      <alignment horizontal="center" vertical="center"/>
      <protection locked="0"/>
    </xf>
    <xf numFmtId="0" fontId="14" fillId="0" borderId="4" xfId="5" applyBorder="1" applyAlignment="1" applyProtection="1">
      <alignment horizontal="center" vertical="center" wrapText="1"/>
      <protection locked="0"/>
    </xf>
    <xf numFmtId="0" fontId="14" fillId="0" borderId="5" xfId="5" applyBorder="1" applyAlignment="1" applyProtection="1">
      <alignment horizontal="center" vertical="center" wrapText="1"/>
      <protection locked="0"/>
    </xf>
    <xf numFmtId="0" fontId="14" fillId="0" borderId="48" xfId="5" applyBorder="1" applyAlignment="1" applyProtection="1">
      <alignment horizontal="center" vertical="center" wrapText="1"/>
      <protection locked="0"/>
    </xf>
    <xf numFmtId="0" fontId="14" fillId="0" borderId="47" xfId="5" applyBorder="1" applyAlignment="1" applyProtection="1">
      <alignment horizontal="center" vertical="center" wrapText="1"/>
      <protection locked="0"/>
    </xf>
    <xf numFmtId="0" fontId="14" fillId="0" borderId="49" xfId="5" applyBorder="1" applyAlignment="1" applyProtection="1">
      <alignment horizontal="center" vertical="center" wrapText="1"/>
      <protection locked="0"/>
    </xf>
    <xf numFmtId="0" fontId="14" fillId="0" borderId="50" xfId="5" applyBorder="1" applyAlignment="1" applyProtection="1">
      <alignment horizontal="center" vertical="center" wrapText="1"/>
      <protection locked="0"/>
    </xf>
    <xf numFmtId="0" fontId="13" fillId="0" borderId="26" xfId="0" applyFont="1" applyBorder="1" applyAlignment="1" applyProtection="1">
      <alignment horizontal="center" vertical="center"/>
      <protection locked="0"/>
    </xf>
    <xf numFmtId="0" fontId="13" fillId="0" borderId="34" xfId="0" applyFont="1" applyBorder="1" applyAlignment="1" applyProtection="1">
      <alignment horizontal="center" vertical="center"/>
      <protection locked="0"/>
    </xf>
    <xf numFmtId="0" fontId="13" fillId="0" borderId="36" xfId="0" applyFont="1" applyBorder="1" applyAlignment="1" applyProtection="1">
      <alignment horizontal="center" vertical="center"/>
      <protection locked="0"/>
    </xf>
    <xf numFmtId="0" fontId="13" fillId="0" borderId="37" xfId="0" applyFont="1" applyBorder="1" applyAlignment="1" applyProtection="1">
      <alignment horizontal="center" vertical="center"/>
      <protection locked="0"/>
    </xf>
    <xf numFmtId="169" fontId="17" fillId="5" borderId="29" xfId="0" applyNumberFormat="1" applyFont="1" applyFill="1" applyBorder="1" applyAlignment="1" applyProtection="1">
      <alignment horizontal="center" vertical="center"/>
      <protection hidden="1"/>
    </xf>
    <xf numFmtId="2" fontId="17" fillId="5" borderId="29" xfId="0" applyNumberFormat="1" applyFont="1" applyFill="1" applyBorder="1" applyAlignment="1" applyProtection="1">
      <alignment horizontal="center" vertical="center"/>
      <protection hidden="1"/>
    </xf>
    <xf numFmtId="0" fontId="13" fillId="0" borderId="65" xfId="0" applyFont="1" applyBorder="1" applyAlignment="1" applyProtection="1">
      <alignment horizontal="center" vertical="center"/>
      <protection locked="0"/>
    </xf>
    <xf numFmtId="0" fontId="13" fillId="0" borderId="63" xfId="0" applyFont="1" applyBorder="1" applyAlignment="1" applyProtection="1">
      <alignment horizontal="center" vertical="center"/>
      <protection locked="0"/>
    </xf>
    <xf numFmtId="0" fontId="15" fillId="4" borderId="0" xfId="0" applyFont="1" applyFill="1" applyAlignment="1" applyProtection="1">
      <alignment horizontal="center" vertical="center"/>
      <protection locked="0"/>
    </xf>
    <xf numFmtId="166" fontId="17" fillId="5" borderId="29" xfId="0" applyNumberFormat="1" applyFont="1" applyFill="1" applyBorder="1" applyAlignment="1" applyProtection="1">
      <alignment horizontal="center" vertical="center"/>
      <protection hidden="1"/>
    </xf>
    <xf numFmtId="169" fontId="17" fillId="5" borderId="20" xfId="0" applyNumberFormat="1" applyFont="1" applyFill="1" applyBorder="1" applyAlignment="1" applyProtection="1">
      <alignment horizontal="center"/>
      <protection hidden="1"/>
    </xf>
    <xf numFmtId="169" fontId="17" fillId="5" borderId="24" xfId="0" applyNumberFormat="1" applyFont="1" applyFill="1" applyBorder="1" applyAlignment="1" applyProtection="1">
      <alignment horizontal="center"/>
      <protection hidden="1"/>
    </xf>
    <xf numFmtId="2" fontId="13" fillId="0" borderId="64" xfId="0" applyNumberFormat="1" applyFont="1" applyBorder="1" applyAlignment="1" applyProtection="1">
      <alignment horizontal="center" vertical="center"/>
      <protection locked="0"/>
    </xf>
    <xf numFmtId="2" fontId="13" fillId="0" borderId="55" xfId="0" applyNumberFormat="1" applyFont="1" applyBorder="1" applyAlignment="1" applyProtection="1">
      <alignment horizontal="center" vertical="center"/>
      <protection locked="0"/>
    </xf>
    <xf numFmtId="0" fontId="13" fillId="0" borderId="64" xfId="0" applyFont="1" applyBorder="1" applyAlignment="1" applyProtection="1">
      <alignment horizontal="center" vertical="center"/>
      <protection locked="0"/>
    </xf>
    <xf numFmtId="0" fontId="13" fillId="0" borderId="55" xfId="0" applyFont="1" applyBorder="1" applyAlignment="1" applyProtection="1">
      <alignment horizontal="center" vertical="center"/>
      <protection locked="0"/>
    </xf>
    <xf numFmtId="166" fontId="3" fillId="0" borderId="61" xfId="0" applyNumberFormat="1" applyFont="1" applyBorder="1" applyAlignment="1" applyProtection="1">
      <alignment horizontal="center" vertical="center"/>
      <protection hidden="1"/>
    </xf>
    <xf numFmtId="166" fontId="3" fillId="0" borderId="85" xfId="0" applyNumberFormat="1" applyFont="1" applyBorder="1" applyAlignment="1" applyProtection="1">
      <alignment horizontal="center" vertical="center"/>
      <protection hidden="1"/>
    </xf>
    <xf numFmtId="166" fontId="3" fillId="0" borderId="62" xfId="0" applyNumberFormat="1" applyFont="1" applyBorder="1" applyAlignment="1" applyProtection="1">
      <alignment horizontal="center" vertical="center"/>
      <protection hidden="1"/>
    </xf>
    <xf numFmtId="166" fontId="3" fillId="0" borderId="81" xfId="0" applyNumberFormat="1" applyFont="1" applyBorder="1" applyAlignment="1" applyProtection="1">
      <alignment horizontal="center" vertical="center"/>
      <protection hidden="1"/>
    </xf>
    <xf numFmtId="166" fontId="3" fillId="0" borderId="84" xfId="0" applyNumberFormat="1" applyFont="1" applyBorder="1" applyAlignment="1" applyProtection="1">
      <alignment horizontal="center" vertical="center"/>
      <protection hidden="1"/>
    </xf>
    <xf numFmtId="166" fontId="7" fillId="0" borderId="54" xfId="0" applyNumberFormat="1" applyFont="1" applyBorder="1" applyAlignment="1" applyProtection="1">
      <alignment horizontal="center" vertical="center"/>
      <protection hidden="1"/>
    </xf>
    <xf numFmtId="166" fontId="7" fillId="0" borderId="26" xfId="0" applyNumberFormat="1" applyFont="1" applyBorder="1" applyAlignment="1" applyProtection="1">
      <alignment horizontal="center" vertical="center"/>
      <protection hidden="1"/>
    </xf>
    <xf numFmtId="166" fontId="7" fillId="0" borderId="40" xfId="0" applyNumberFormat="1" applyFont="1" applyBorder="1" applyAlignment="1" applyProtection="1">
      <alignment horizontal="center" vertical="center"/>
      <protection hidden="1"/>
    </xf>
    <xf numFmtId="166" fontId="7" fillId="0" borderId="27" xfId="0" applyNumberFormat="1" applyFont="1" applyBorder="1" applyAlignment="1" applyProtection="1">
      <alignment horizontal="center" vertical="center"/>
      <protection hidden="1"/>
    </xf>
    <xf numFmtId="166" fontId="7" fillId="0" borderId="39" xfId="0" applyNumberFormat="1" applyFont="1" applyBorder="1" applyAlignment="1" applyProtection="1">
      <alignment horizontal="center" vertical="center"/>
      <protection hidden="1"/>
    </xf>
    <xf numFmtId="166" fontId="7" fillId="0" borderId="72" xfId="0" applyNumberFormat="1" applyFont="1" applyBorder="1" applyAlignment="1" applyProtection="1">
      <alignment horizontal="center" vertical="center"/>
      <protection hidden="1"/>
    </xf>
    <xf numFmtId="166" fontId="7" fillId="0" borderId="55" xfId="0" applyNumberFormat="1" applyFont="1" applyBorder="1" applyAlignment="1" applyProtection="1">
      <alignment horizontal="center" vertical="center"/>
      <protection hidden="1"/>
    </xf>
    <xf numFmtId="166" fontId="7" fillId="0" borderId="80" xfId="0" applyNumberFormat="1" applyFont="1" applyBorder="1" applyAlignment="1" applyProtection="1">
      <alignment horizontal="center" vertical="center"/>
      <protection hidden="1"/>
    </xf>
    <xf numFmtId="166" fontId="7" fillId="0" borderId="25" xfId="0" applyNumberFormat="1" applyFont="1" applyBorder="1" applyAlignment="1" applyProtection="1">
      <alignment horizontal="center" vertical="center"/>
      <protection hidden="1"/>
    </xf>
    <xf numFmtId="166" fontId="7" fillId="0" borderId="67" xfId="0" applyNumberFormat="1" applyFont="1" applyBorder="1" applyAlignment="1" applyProtection="1">
      <alignment horizontal="center" vertical="center"/>
      <protection hidden="1"/>
    </xf>
    <xf numFmtId="166" fontId="7" fillId="0" borderId="38" xfId="0" applyNumberFormat="1" applyFont="1" applyBorder="1" applyAlignment="1" applyProtection="1">
      <alignment horizontal="center" vertical="center"/>
      <protection hidden="1"/>
    </xf>
    <xf numFmtId="166" fontId="1" fillId="0" borderId="81" xfId="0" applyNumberFormat="1" applyFont="1" applyBorder="1" applyAlignment="1" applyProtection="1">
      <alignment horizontal="center" vertical="center"/>
      <protection locked="0"/>
    </xf>
    <xf numFmtId="166" fontId="1" fillId="0" borderId="62" xfId="0" applyNumberFormat="1" applyFont="1" applyBorder="1" applyAlignment="1" applyProtection="1">
      <alignment horizontal="center" vertical="center"/>
      <protection locked="0"/>
    </xf>
    <xf numFmtId="166" fontId="1" fillId="3" borderId="81" xfId="0" applyNumberFormat="1" applyFont="1" applyFill="1" applyBorder="1" applyAlignment="1" applyProtection="1">
      <alignment horizontal="center" vertical="center"/>
      <protection hidden="1"/>
    </xf>
    <xf numFmtId="166" fontId="1" fillId="3" borderId="62" xfId="0" applyNumberFormat="1" applyFont="1" applyFill="1" applyBorder="1" applyAlignment="1" applyProtection="1">
      <alignment horizontal="center" vertical="center"/>
      <protection hidden="1"/>
    </xf>
    <xf numFmtId="166" fontId="17" fillId="5" borderId="20" xfId="0" applyNumberFormat="1" applyFont="1" applyFill="1" applyBorder="1" applyAlignment="1" applyProtection="1">
      <alignment horizontal="center"/>
      <protection hidden="1"/>
    </xf>
    <xf numFmtId="166" fontId="17" fillId="5" borderId="24" xfId="0" applyNumberFormat="1" applyFont="1" applyFill="1" applyBorder="1" applyAlignment="1" applyProtection="1">
      <alignment horizontal="center"/>
      <protection hidden="1"/>
    </xf>
    <xf numFmtId="166" fontId="1" fillId="0" borderId="83" xfId="0" applyNumberFormat="1" applyFont="1" applyBorder="1" applyAlignment="1" applyProtection="1">
      <alignment horizontal="center" vertical="center"/>
      <protection locked="0"/>
    </xf>
    <xf numFmtId="166" fontId="1" fillId="0" borderId="70" xfId="0" applyNumberFormat="1" applyFont="1" applyBorder="1" applyAlignment="1" applyProtection="1">
      <alignment horizontal="center" vertical="center"/>
      <protection locked="0"/>
    </xf>
    <xf numFmtId="166" fontId="1" fillId="0" borderId="82" xfId="0" applyNumberFormat="1" applyFont="1" applyBorder="1" applyAlignment="1" applyProtection="1">
      <alignment horizontal="center" vertical="center"/>
      <protection locked="0"/>
    </xf>
    <xf numFmtId="166" fontId="1" fillId="0" borderId="72" xfId="0" applyNumberFormat="1" applyFont="1" applyBorder="1" applyAlignment="1" applyProtection="1">
      <alignment horizontal="center" vertical="center"/>
      <protection locked="0"/>
    </xf>
    <xf numFmtId="166" fontId="1" fillId="3" borderId="83" xfId="0" applyNumberFormat="1" applyFont="1" applyFill="1" applyBorder="1" applyAlignment="1" applyProtection="1">
      <alignment horizontal="center" vertical="center"/>
      <protection hidden="1"/>
    </xf>
    <xf numFmtId="166" fontId="1" fillId="3" borderId="70" xfId="0" applyNumberFormat="1" applyFont="1" applyFill="1" applyBorder="1" applyAlignment="1" applyProtection="1">
      <alignment horizontal="center" vertical="center"/>
      <protection hidden="1"/>
    </xf>
    <xf numFmtId="166" fontId="1" fillId="3" borderId="82" xfId="0" applyNumberFormat="1" applyFont="1" applyFill="1" applyBorder="1" applyAlignment="1" applyProtection="1">
      <alignment horizontal="center" vertical="center"/>
      <protection hidden="1"/>
    </xf>
    <xf numFmtId="166" fontId="1" fillId="3" borderId="72" xfId="0" applyNumberFormat="1" applyFont="1" applyFill="1" applyBorder="1" applyAlignment="1" applyProtection="1">
      <alignment horizontal="center" vertical="center"/>
      <protection hidden="1"/>
    </xf>
    <xf numFmtId="166" fontId="1" fillId="3" borderId="65" xfId="0" applyNumberFormat="1" applyFont="1" applyFill="1" applyBorder="1" applyAlignment="1" applyProtection="1">
      <alignment horizontal="center" vertical="center"/>
      <protection hidden="1"/>
    </xf>
    <xf numFmtId="166" fontId="1" fillId="3" borderId="63" xfId="0" applyNumberFormat="1" applyFont="1" applyFill="1" applyBorder="1" applyAlignment="1" applyProtection="1">
      <alignment horizontal="center" vertical="center"/>
      <protection hidden="1"/>
    </xf>
    <xf numFmtId="166" fontId="1" fillId="5" borderId="40" xfId="0" applyNumberFormat="1" applyFont="1" applyFill="1" applyBorder="1" applyAlignment="1" applyProtection="1">
      <alignment horizontal="center" vertical="center"/>
      <protection locked="0"/>
    </xf>
    <xf numFmtId="166" fontId="1" fillId="5" borderId="54" xfId="0" applyNumberFormat="1" applyFont="1" applyFill="1" applyBorder="1" applyAlignment="1" applyProtection="1">
      <alignment horizontal="center" vertical="center"/>
      <protection locked="0"/>
    </xf>
    <xf numFmtId="166" fontId="1" fillId="3" borderId="40" xfId="0" applyNumberFormat="1" applyFont="1" applyFill="1" applyBorder="1" applyAlignment="1" applyProtection="1">
      <alignment horizontal="center" vertical="center"/>
      <protection locked="0"/>
    </xf>
    <xf numFmtId="166" fontId="1" fillId="3" borderId="54" xfId="0" applyNumberFormat="1" applyFont="1" applyFill="1" applyBorder="1" applyAlignment="1" applyProtection="1">
      <alignment horizontal="center" vertical="center"/>
      <protection locked="0"/>
    </xf>
    <xf numFmtId="166" fontId="1" fillId="3" borderId="40" xfId="0" applyNumberFormat="1" applyFont="1" applyFill="1" applyBorder="1" applyAlignment="1" applyProtection="1">
      <alignment horizontal="center" vertical="center"/>
      <protection hidden="1"/>
    </xf>
    <xf numFmtId="166" fontId="1" fillId="3" borderId="54" xfId="0" applyNumberFormat="1" applyFont="1" applyFill="1" applyBorder="1" applyAlignment="1" applyProtection="1">
      <alignment horizontal="center" vertical="center"/>
      <protection hidden="1"/>
    </xf>
    <xf numFmtId="166" fontId="1" fillId="0" borderId="40" xfId="0" applyNumberFormat="1" applyFont="1" applyBorder="1" applyAlignment="1" applyProtection="1">
      <alignment horizontal="center" vertical="center"/>
      <protection locked="0"/>
    </xf>
    <xf numFmtId="166" fontId="1" fillId="0" borderId="54" xfId="0" applyNumberFormat="1" applyFont="1" applyBorder="1" applyAlignment="1" applyProtection="1">
      <alignment horizontal="center" vertical="center"/>
      <protection locked="0"/>
    </xf>
    <xf numFmtId="166" fontId="1" fillId="5" borderId="40" xfId="0" applyNumberFormat="1" applyFont="1" applyFill="1" applyBorder="1" applyAlignment="1" applyProtection="1">
      <alignment horizontal="center" vertical="center"/>
      <protection hidden="1"/>
    </xf>
    <xf numFmtId="166" fontId="1" fillId="5" borderId="54" xfId="0" applyNumberFormat="1" applyFont="1" applyFill="1" applyBorder="1" applyAlignment="1" applyProtection="1">
      <alignment horizontal="center" vertical="center"/>
      <protection hidden="1"/>
    </xf>
    <xf numFmtId="2" fontId="13" fillId="0" borderId="65" xfId="0" applyNumberFormat="1" applyFont="1" applyBorder="1" applyAlignment="1" applyProtection="1">
      <alignment horizontal="center" vertical="center"/>
      <protection locked="0"/>
    </xf>
    <xf numFmtId="2" fontId="13" fillId="0" borderId="63" xfId="0" applyNumberFormat="1" applyFont="1" applyBorder="1" applyAlignment="1" applyProtection="1">
      <alignment horizontal="center" vertical="center"/>
      <protection locked="0"/>
    </xf>
    <xf numFmtId="166" fontId="17" fillId="5" borderId="20" xfId="0" applyNumberFormat="1" applyFont="1" applyFill="1" applyBorder="1" applyAlignment="1" applyProtection="1">
      <alignment horizontal="center" vertical="center"/>
      <protection hidden="1"/>
    </xf>
    <xf numFmtId="166" fontId="17" fillId="5" borderId="24" xfId="0" applyNumberFormat="1" applyFont="1" applyFill="1" applyBorder="1" applyAlignment="1" applyProtection="1">
      <alignment horizontal="center" vertical="center"/>
      <protection hidden="1"/>
    </xf>
    <xf numFmtId="0" fontId="17" fillId="5" borderId="20" xfId="0" applyFont="1" applyFill="1" applyBorder="1" applyAlignment="1" applyProtection="1">
      <alignment horizontal="center" vertical="center"/>
      <protection hidden="1"/>
    </xf>
    <xf numFmtId="0" fontId="17" fillId="5" borderId="24" xfId="0" applyFont="1" applyFill="1" applyBorder="1" applyAlignment="1" applyProtection="1">
      <alignment horizontal="center" vertical="center"/>
      <protection hidden="1"/>
    </xf>
    <xf numFmtId="166" fontId="1" fillId="5" borderId="83" xfId="0" applyNumberFormat="1" applyFont="1" applyFill="1" applyBorder="1" applyAlignment="1" applyProtection="1">
      <alignment horizontal="center" vertical="center"/>
      <protection hidden="1"/>
    </xf>
    <xf numFmtId="166" fontId="1" fillId="5" borderId="70" xfId="0" applyNumberFormat="1" applyFont="1" applyFill="1" applyBorder="1" applyAlignment="1" applyProtection="1">
      <alignment horizontal="center" vertical="center"/>
      <protection hidden="1"/>
    </xf>
    <xf numFmtId="166" fontId="1" fillId="5" borderId="82" xfId="0" applyNumberFormat="1" applyFont="1" applyFill="1" applyBorder="1" applyAlignment="1" applyProtection="1">
      <alignment horizontal="center" vertical="center"/>
      <protection hidden="1"/>
    </xf>
    <xf numFmtId="166" fontId="1" fillId="5" borderId="72" xfId="0" applyNumberFormat="1" applyFont="1" applyFill="1" applyBorder="1" applyAlignment="1" applyProtection="1">
      <alignment horizontal="center" vertical="center"/>
      <protection hidden="1"/>
    </xf>
    <xf numFmtId="166" fontId="1" fillId="5" borderId="83" xfId="0" applyNumberFormat="1" applyFont="1" applyFill="1" applyBorder="1" applyAlignment="1" applyProtection="1">
      <alignment horizontal="center" vertical="center"/>
      <protection locked="0"/>
    </xf>
    <xf numFmtId="166" fontId="1" fillId="5" borderId="70" xfId="0" applyNumberFormat="1" applyFont="1" applyFill="1" applyBorder="1" applyAlignment="1" applyProtection="1">
      <alignment horizontal="center" vertical="center"/>
      <protection locked="0"/>
    </xf>
    <xf numFmtId="166" fontId="1" fillId="5" borderId="82" xfId="0" applyNumberFormat="1" applyFont="1" applyFill="1" applyBorder="1" applyAlignment="1" applyProtection="1">
      <alignment horizontal="center" vertical="center"/>
      <protection locked="0"/>
    </xf>
    <xf numFmtId="166" fontId="1" fillId="5" borderId="72" xfId="0" applyNumberFormat="1" applyFont="1" applyFill="1" applyBorder="1" applyAlignment="1" applyProtection="1">
      <alignment horizontal="center" vertical="center"/>
      <protection locked="0"/>
    </xf>
    <xf numFmtId="166" fontId="1" fillId="5" borderId="65" xfId="0" applyNumberFormat="1" applyFont="1" applyFill="1" applyBorder="1" applyAlignment="1" applyProtection="1">
      <alignment horizontal="center" vertical="center"/>
      <protection hidden="1"/>
    </xf>
    <xf numFmtId="166" fontId="1" fillId="5" borderId="63" xfId="0" applyNumberFormat="1" applyFont="1" applyFill="1" applyBorder="1" applyAlignment="1" applyProtection="1">
      <alignment horizontal="center" vertical="center"/>
      <protection hidden="1"/>
    </xf>
    <xf numFmtId="0" fontId="17" fillId="5" borderId="22" xfId="0" applyFont="1" applyFill="1" applyBorder="1" applyAlignment="1" applyProtection="1">
      <alignment horizontal="center" vertical="center"/>
      <protection locked="0"/>
    </xf>
    <xf numFmtId="0" fontId="17" fillId="5" borderId="24" xfId="0" applyFont="1" applyFill="1" applyBorder="1" applyAlignment="1" applyProtection="1">
      <alignment horizontal="center" vertical="center"/>
      <protection locked="0"/>
    </xf>
    <xf numFmtId="166" fontId="6" fillId="5" borderId="83" xfId="0" applyNumberFormat="1" applyFont="1" applyFill="1" applyBorder="1" applyAlignment="1" applyProtection="1">
      <alignment horizontal="center" vertical="center"/>
      <protection locked="0"/>
    </xf>
    <xf numFmtId="166" fontId="6" fillId="5" borderId="70" xfId="0" applyNumberFormat="1" applyFont="1" applyFill="1" applyBorder="1" applyAlignment="1" applyProtection="1">
      <alignment horizontal="center" vertical="center"/>
      <protection locked="0"/>
    </xf>
    <xf numFmtId="166" fontId="6" fillId="5" borderId="82" xfId="0" applyNumberFormat="1" applyFont="1" applyFill="1" applyBorder="1" applyAlignment="1" applyProtection="1">
      <alignment horizontal="center" vertical="center"/>
      <protection locked="0"/>
    </xf>
    <xf numFmtId="166" fontId="6" fillId="5" borderId="72" xfId="0" applyNumberFormat="1" applyFont="1" applyFill="1" applyBorder="1" applyAlignment="1" applyProtection="1">
      <alignment horizontal="center" vertical="center"/>
      <protection locked="0"/>
    </xf>
    <xf numFmtId="0" fontId="1" fillId="3" borderId="80" xfId="0" applyFont="1" applyFill="1" applyBorder="1" applyAlignment="1" applyProtection="1">
      <alignment horizontal="center" vertical="center"/>
      <protection hidden="1"/>
    </xf>
    <xf numFmtId="0" fontId="1" fillId="3" borderId="67" xfId="0" applyFont="1" applyFill="1" applyBorder="1" applyAlignment="1" applyProtection="1">
      <alignment horizontal="center" vertical="center"/>
      <protection hidden="1"/>
    </xf>
    <xf numFmtId="0" fontId="13" fillId="3" borderId="27" xfId="3" applyFont="1" applyFill="1" applyBorder="1" applyAlignment="1" applyProtection="1">
      <alignment horizontal="center" vertical="center" wrapText="1"/>
      <protection locked="0"/>
    </xf>
    <xf numFmtId="0" fontId="13" fillId="3" borderId="39" xfId="3" applyFont="1" applyFill="1" applyBorder="1" applyAlignment="1" applyProtection="1">
      <alignment horizontal="center" vertical="center" wrapText="1"/>
      <protection locked="0"/>
    </xf>
    <xf numFmtId="49" fontId="13" fillId="3" borderId="25" xfId="3" applyNumberFormat="1" applyFont="1" applyFill="1" applyBorder="1" applyAlignment="1" applyProtection="1">
      <alignment horizontal="right" vertical="center"/>
      <protection locked="0"/>
    </xf>
    <xf numFmtId="0" fontId="13" fillId="3" borderId="27" xfId="3" applyFont="1" applyFill="1" applyBorder="1" applyAlignment="1" applyProtection="1">
      <alignment horizontal="center" vertical="center"/>
      <protection locked="0"/>
    </xf>
    <xf numFmtId="164" fontId="1" fillId="3" borderId="27" xfId="3" applyNumberFormat="1" applyFont="1" applyFill="1" applyBorder="1" applyAlignment="1" applyProtection="1">
      <alignment horizontal="center" vertical="center"/>
      <protection locked="0"/>
    </xf>
    <xf numFmtId="0" fontId="13" fillId="3" borderId="39" xfId="3" applyFont="1" applyFill="1" applyBorder="1" applyAlignment="1" applyProtection="1">
      <alignment horizontal="center" vertical="center"/>
      <protection locked="0"/>
    </xf>
    <xf numFmtId="164" fontId="1" fillId="3" borderId="39" xfId="3" applyNumberFormat="1" applyFont="1" applyFill="1" applyBorder="1" applyAlignment="1" applyProtection="1">
      <alignment horizontal="center" vertical="center"/>
      <protection locked="0"/>
    </xf>
    <xf numFmtId="164" fontId="1" fillId="3" borderId="25" xfId="3" applyNumberFormat="1" applyFont="1" applyFill="1" applyBorder="1" applyAlignment="1" applyProtection="1">
      <alignment horizontal="center" vertical="center"/>
      <protection locked="0"/>
    </xf>
    <xf numFmtId="164" fontId="1" fillId="3" borderId="38" xfId="3" applyNumberFormat="1" applyFont="1" applyFill="1" applyBorder="1" applyAlignment="1" applyProtection="1">
      <alignment horizontal="center" vertical="center"/>
      <protection locked="0"/>
    </xf>
    <xf numFmtId="0" fontId="1" fillId="0" borderId="73" xfId="3" applyFont="1" applyBorder="1" applyAlignment="1" applyProtection="1">
      <alignment horizontal="center" vertical="center"/>
      <protection locked="0" hidden="1"/>
    </xf>
    <xf numFmtId="0" fontId="1" fillId="0" borderId="39" xfId="3" applyFont="1" applyBorder="1" applyAlignment="1" applyProtection="1">
      <alignment horizontal="center" vertical="center"/>
      <protection locked="0" hidden="1"/>
    </xf>
    <xf numFmtId="0" fontId="1" fillId="0" borderId="23" xfId="3" applyFont="1" applyBorder="1" applyAlignment="1" applyProtection="1">
      <alignment horizontal="center" vertical="center"/>
      <protection locked="0" hidden="1"/>
    </xf>
    <xf numFmtId="0" fontId="1" fillId="0" borderId="24" xfId="3" applyFont="1" applyBorder="1" applyAlignment="1" applyProtection="1">
      <alignment horizontal="center" vertical="center"/>
      <protection locked="0" hidden="1"/>
    </xf>
    <xf numFmtId="0" fontId="1" fillId="0" borderId="2" xfId="3" applyFont="1" applyBorder="1" applyAlignment="1" applyProtection="1">
      <alignment horizontal="center" vertical="center"/>
      <protection locked="0" hidden="1"/>
    </xf>
    <xf numFmtId="0" fontId="13" fillId="0" borderId="0" xfId="3" applyFont="1" applyAlignment="1" applyProtection="1">
      <alignment horizontal="center" vertical="center"/>
      <protection hidden="1"/>
    </xf>
    <xf numFmtId="0" fontId="13" fillId="0" borderId="1" xfId="3" applyFont="1" applyBorder="1" applyAlignment="1" applyProtection="1">
      <alignment horizontal="center" vertical="center"/>
      <protection hidden="1"/>
    </xf>
    <xf numFmtId="0" fontId="13" fillId="0" borderId="20" xfId="3" applyFont="1" applyBorder="1" applyAlignment="1" applyProtection="1">
      <alignment horizontal="center" vertical="center"/>
      <protection hidden="1"/>
    </xf>
    <xf numFmtId="0" fontId="17" fillId="3" borderId="1" xfId="3" applyFont="1" applyFill="1" applyBorder="1" applyAlignment="1" applyProtection="1">
      <alignment horizontal="left" vertical="center" indent="8"/>
      <protection hidden="1"/>
    </xf>
    <xf numFmtId="0" fontId="13" fillId="3" borderId="25" xfId="3" applyFont="1" applyFill="1" applyBorder="1" applyAlignment="1" applyProtection="1">
      <alignment horizontal="center" vertical="center"/>
      <protection locked="0"/>
    </xf>
    <xf numFmtId="0" fontId="17" fillId="3" borderId="1" xfId="3" applyFont="1" applyFill="1" applyBorder="1" applyAlignment="1" applyProtection="1">
      <alignment horizontal="left" vertical="center"/>
      <protection hidden="1"/>
    </xf>
    <xf numFmtId="164" fontId="1" fillId="3" borderId="25" xfId="3" applyNumberFormat="1" applyFont="1" applyFill="1" applyBorder="1" applyAlignment="1" applyProtection="1">
      <alignment horizontal="center" vertical="center"/>
      <protection locked="0" hidden="1"/>
    </xf>
    <xf numFmtId="164" fontId="1" fillId="3" borderId="38" xfId="3" applyNumberFormat="1" applyFont="1" applyFill="1" applyBorder="1" applyAlignment="1" applyProtection="1">
      <alignment horizontal="center" vertical="center"/>
      <protection locked="0" hidden="1"/>
    </xf>
    <xf numFmtId="0" fontId="17" fillId="0" borderId="1" xfId="3" applyFont="1" applyBorder="1" applyAlignment="1" applyProtection="1">
      <alignment horizontal="left" vertical="center" indent="5"/>
      <protection hidden="1"/>
    </xf>
    <xf numFmtId="0" fontId="17" fillId="0" borderId="1" xfId="3" applyFont="1" applyBorder="1" applyAlignment="1" applyProtection="1">
      <alignment horizontal="center" vertical="center"/>
      <protection hidden="1"/>
    </xf>
    <xf numFmtId="0" fontId="17" fillId="0" borderId="0" xfId="3" applyFont="1" applyAlignment="1" applyProtection="1">
      <alignment horizontal="center" vertical="center"/>
      <protection hidden="1"/>
    </xf>
    <xf numFmtId="0" fontId="17" fillId="0" borderId="2" xfId="3" applyFont="1" applyBorder="1" applyAlignment="1" applyProtection="1">
      <alignment horizontal="center" vertical="center"/>
      <protection hidden="1"/>
    </xf>
    <xf numFmtId="0" fontId="17" fillId="0" borderId="19" xfId="3" applyFont="1" applyBorder="1" applyAlignment="1" applyProtection="1">
      <alignment horizontal="center" vertical="center"/>
      <protection hidden="1"/>
    </xf>
    <xf numFmtId="0" fontId="17" fillId="0" borderId="20" xfId="3" applyFont="1" applyBorder="1" applyAlignment="1" applyProtection="1">
      <alignment horizontal="center" vertical="center"/>
      <protection hidden="1"/>
    </xf>
    <xf numFmtId="0" fontId="1" fillId="0" borderId="66" xfId="3" applyFont="1" applyBorder="1" applyAlignment="1" applyProtection="1">
      <alignment horizontal="center" vertical="center"/>
      <protection locked="0" hidden="1"/>
    </xf>
    <xf numFmtId="0" fontId="1" fillId="0" borderId="38" xfId="3" applyFont="1" applyBorder="1" applyAlignment="1" applyProtection="1">
      <alignment horizontal="center" vertical="center"/>
      <protection locked="0" hidden="1"/>
    </xf>
    <xf numFmtId="0" fontId="17" fillId="0" borderId="22" xfId="3" applyFont="1" applyBorder="1" applyAlignment="1" applyProtection="1">
      <alignment horizontal="center" vertical="center"/>
      <protection hidden="1"/>
    </xf>
    <xf numFmtId="0" fontId="17" fillId="0" borderId="24" xfId="3" applyFont="1" applyBorder="1" applyAlignment="1" applyProtection="1">
      <alignment horizontal="center" vertical="center"/>
      <protection hidden="1"/>
    </xf>
    <xf numFmtId="0" fontId="1" fillId="0" borderId="25" xfId="3" applyFont="1" applyBorder="1" applyAlignment="1" applyProtection="1">
      <alignment horizontal="center" vertical="center"/>
      <protection locked="0" hidden="1"/>
    </xf>
    <xf numFmtId="0" fontId="31" fillId="0" borderId="21" xfId="3" applyFont="1" applyBorder="1" applyAlignment="1" applyProtection="1">
      <alignment horizontal="center" vertical="center" wrapText="1"/>
      <protection hidden="1"/>
    </xf>
    <xf numFmtId="0" fontId="31" fillId="0" borderId="0" xfId="3" applyFont="1" applyAlignment="1" applyProtection="1">
      <alignment horizontal="center" vertical="center" wrapText="1"/>
      <protection hidden="1"/>
    </xf>
    <xf numFmtId="0" fontId="31" fillId="0" borderId="22" xfId="3" applyFont="1" applyBorder="1" applyAlignment="1" applyProtection="1">
      <alignment horizontal="center" vertical="center" wrapText="1"/>
      <protection hidden="1"/>
    </xf>
    <xf numFmtId="0" fontId="31" fillId="0" borderId="23" xfId="3" applyFont="1" applyBorder="1" applyAlignment="1" applyProtection="1">
      <alignment horizontal="center" vertical="center" wrapText="1"/>
      <protection hidden="1"/>
    </xf>
    <xf numFmtId="0" fontId="31" fillId="0" borderId="2" xfId="3" applyFont="1" applyBorder="1" applyAlignment="1" applyProtection="1">
      <alignment horizontal="center" vertical="center" wrapText="1"/>
      <protection hidden="1"/>
    </xf>
    <xf numFmtId="0" fontId="31" fillId="0" borderId="24" xfId="3" applyFont="1" applyBorder="1" applyAlignment="1" applyProtection="1">
      <alignment horizontal="center" vertical="center" wrapText="1"/>
      <protection hidden="1"/>
    </xf>
    <xf numFmtId="0" fontId="1" fillId="0" borderId="27" xfId="3" applyFont="1" applyBorder="1" applyAlignment="1" applyProtection="1">
      <alignment horizontal="center" vertical="center"/>
      <protection locked="0" hidden="1"/>
    </xf>
    <xf numFmtId="0" fontId="13" fillId="0" borderId="25" xfId="3" applyFont="1" applyBorder="1" applyAlignment="1" applyProtection="1">
      <alignment horizontal="center" vertical="center"/>
      <protection hidden="1"/>
    </xf>
    <xf numFmtId="0" fontId="17" fillId="0" borderId="1" xfId="3" applyFont="1" applyBorder="1" applyAlignment="1" applyProtection="1">
      <alignment horizontal="left" vertical="center" indent="4"/>
      <protection hidden="1"/>
    </xf>
    <xf numFmtId="164" fontId="13" fillId="0" borderId="25" xfId="3" applyNumberFormat="1" applyFont="1" applyBorder="1" applyAlignment="1" applyProtection="1">
      <alignment horizontal="center" vertical="center"/>
      <protection hidden="1"/>
    </xf>
    <xf numFmtId="0" fontId="17" fillId="3" borderId="0" xfId="3" applyFont="1" applyFill="1" applyAlignment="1" applyProtection="1">
      <alignment horizontal="left" vertical="center" indent="8"/>
      <protection hidden="1"/>
    </xf>
    <xf numFmtId="0" fontId="17" fillId="3" borderId="0" xfId="3" applyFont="1" applyFill="1" applyAlignment="1" applyProtection="1">
      <alignment horizontal="left" vertical="center"/>
      <protection hidden="1"/>
    </xf>
    <xf numFmtId="164" fontId="1" fillId="3" borderId="27" xfId="3" applyNumberFormat="1" applyFont="1" applyFill="1" applyBorder="1" applyAlignment="1" applyProtection="1">
      <alignment horizontal="center" vertical="center"/>
      <protection locked="0" hidden="1"/>
    </xf>
    <xf numFmtId="164" fontId="1" fillId="3" borderId="39" xfId="3" applyNumberFormat="1" applyFont="1" applyFill="1" applyBorder="1" applyAlignment="1" applyProtection="1">
      <alignment horizontal="center" vertical="center"/>
      <protection locked="0" hidden="1"/>
    </xf>
    <xf numFmtId="0" fontId="17" fillId="0" borderId="0" xfId="3" applyFont="1" applyAlignment="1" applyProtection="1">
      <alignment horizontal="left" vertical="center" indent="5"/>
      <protection hidden="1"/>
    </xf>
    <xf numFmtId="0" fontId="13" fillId="0" borderId="28" xfId="3" applyFont="1" applyBorder="1" applyAlignment="1" applyProtection="1">
      <alignment horizontal="center" vertical="center" wrapText="1"/>
      <protection hidden="1"/>
    </xf>
    <xf numFmtId="0" fontId="17" fillId="0" borderId="0" xfId="3" applyFont="1" applyAlignment="1" applyProtection="1">
      <alignment horizontal="left" vertical="center" indent="4"/>
      <protection hidden="1"/>
    </xf>
    <xf numFmtId="164" fontId="13" fillId="0" borderId="27" xfId="3" applyNumberFormat="1" applyFont="1" applyBorder="1" applyAlignment="1" applyProtection="1">
      <alignment horizontal="center" vertical="center"/>
      <protection hidden="1"/>
    </xf>
    <xf numFmtId="0" fontId="9" fillId="3" borderId="27" xfId="6" applyFont="1" applyFill="1" applyBorder="1" applyAlignment="1" applyProtection="1">
      <alignment horizontal="center" vertical="center"/>
      <protection locked="0"/>
    </xf>
    <xf numFmtId="0" fontId="13" fillId="0" borderId="28" xfId="3" applyFont="1" applyBorder="1" applyAlignment="1" applyProtection="1">
      <alignment horizontal="center" vertical="center"/>
      <protection hidden="1"/>
    </xf>
    <xf numFmtId="164" fontId="13" fillId="3" borderId="27" xfId="3" applyNumberFormat="1" applyFont="1" applyFill="1" applyBorder="1" applyAlignment="1" applyProtection="1">
      <alignment horizontal="center" vertical="center"/>
      <protection hidden="1"/>
    </xf>
    <xf numFmtId="164" fontId="13" fillId="3" borderId="102" xfId="3" applyNumberFormat="1" applyFont="1" applyFill="1" applyBorder="1" applyAlignment="1" applyProtection="1">
      <alignment horizontal="center" vertical="center"/>
      <protection hidden="1"/>
    </xf>
    <xf numFmtId="0" fontId="15" fillId="0" borderId="0" xfId="3" applyFont="1" applyAlignment="1" applyProtection="1">
      <alignment horizontal="left" vertical="center" indent="8"/>
      <protection hidden="1"/>
    </xf>
    <xf numFmtId="0" fontId="17" fillId="3" borderId="28" xfId="3" applyFont="1" applyFill="1" applyBorder="1" applyAlignment="1" applyProtection="1">
      <alignment horizontal="left" vertical="center"/>
      <protection hidden="1"/>
    </xf>
    <xf numFmtId="0" fontId="13" fillId="3" borderId="27" xfId="3" applyFont="1" applyFill="1" applyBorder="1" applyAlignment="1" applyProtection="1">
      <alignment horizontal="center" vertical="center"/>
      <protection hidden="1"/>
    </xf>
    <xf numFmtId="0" fontId="13" fillId="3" borderId="39" xfId="3" applyFont="1" applyFill="1" applyBorder="1" applyAlignment="1" applyProtection="1">
      <alignment horizontal="center" vertical="center"/>
      <protection hidden="1"/>
    </xf>
    <xf numFmtId="0" fontId="17" fillId="0" borderId="2" xfId="3" applyFont="1" applyBorder="1" applyAlignment="1" applyProtection="1">
      <alignment horizontal="left" vertical="center" indent="5"/>
      <protection hidden="1"/>
    </xf>
    <xf numFmtId="0" fontId="13" fillId="0" borderId="2" xfId="3" applyFont="1" applyBorder="1" applyAlignment="1" applyProtection="1">
      <alignment horizontal="center" vertical="center"/>
      <protection hidden="1"/>
    </xf>
    <xf numFmtId="0" fontId="17" fillId="0" borderId="2" xfId="3" applyFont="1" applyBorder="1" applyAlignment="1" applyProtection="1">
      <alignment horizontal="left" vertical="center" indent="4"/>
      <protection hidden="1"/>
    </xf>
    <xf numFmtId="0" fontId="13" fillId="0" borderId="85" xfId="3" applyFont="1" applyBorder="1" applyAlignment="1" applyProtection="1">
      <alignment horizontal="center" vertical="center"/>
      <protection hidden="1"/>
    </xf>
    <xf numFmtId="0" fontId="13" fillId="3" borderId="2" xfId="3" applyFont="1" applyFill="1" applyBorder="1" applyAlignment="1" applyProtection="1">
      <alignment horizontal="center" vertical="center"/>
      <protection hidden="1"/>
    </xf>
    <xf numFmtId="0" fontId="13" fillId="0" borderId="0" xfId="3" applyFont="1" applyAlignment="1" applyProtection="1">
      <alignment horizontal="left" vertical="center"/>
      <protection hidden="1"/>
    </xf>
    <xf numFmtId="0" fontId="13" fillId="0" borderId="22" xfId="3" applyFont="1" applyBorder="1" applyAlignment="1" applyProtection="1">
      <alignment horizontal="left" vertical="center"/>
      <protection hidden="1"/>
    </xf>
    <xf numFmtId="49" fontId="13" fillId="3" borderId="25" xfId="3" applyNumberFormat="1" applyFont="1" applyFill="1" applyBorder="1" applyAlignment="1" applyProtection="1">
      <alignment horizontal="right" vertical="center"/>
      <protection locked="0" hidden="1"/>
    </xf>
    <xf numFmtId="0" fontId="17" fillId="3" borderId="1" xfId="3" applyFont="1" applyFill="1" applyBorder="1" applyAlignment="1" applyProtection="1">
      <alignment horizontal="center" vertical="center"/>
      <protection hidden="1"/>
    </xf>
    <xf numFmtId="0" fontId="17" fillId="0" borderId="1" xfId="3" applyFont="1" applyBorder="1" applyAlignment="1" applyProtection="1">
      <alignment horizontal="right" vertical="center"/>
      <protection hidden="1"/>
    </xf>
    <xf numFmtId="165" fontId="13" fillId="0" borderId="1" xfId="3" applyNumberFormat="1" applyFont="1" applyBorder="1" applyAlignment="1" applyProtection="1">
      <alignment horizontal="center" vertical="center"/>
      <protection hidden="1"/>
    </xf>
    <xf numFmtId="0" fontId="21" fillId="0" borderId="0" xfId="0" applyFont="1" applyAlignment="1" applyProtection="1">
      <alignment horizontal="center" vertical="center"/>
      <protection hidden="1"/>
    </xf>
    <xf numFmtId="0" fontId="21" fillId="0" borderId="0" xfId="0" applyFont="1" applyAlignment="1" applyProtection="1">
      <alignment horizontal="center"/>
      <protection hidden="1"/>
    </xf>
    <xf numFmtId="0" fontId="21" fillId="0" borderId="0" xfId="0" applyFont="1" applyAlignment="1" applyProtection="1">
      <alignment horizontal="center" vertical="center"/>
      <protection locked="0" hidden="1"/>
    </xf>
    <xf numFmtId="0" fontId="21" fillId="0" borderId="0" xfId="0" applyFont="1" applyAlignment="1" applyProtection="1">
      <alignment horizontal="left" vertical="center"/>
      <protection hidden="1"/>
    </xf>
    <xf numFmtId="0" fontId="13" fillId="0" borderId="51" xfId="3" applyFont="1" applyBorder="1" applyAlignment="1" applyProtection="1">
      <alignment horizontal="center" vertical="center" wrapText="1"/>
      <protection hidden="1"/>
    </xf>
    <xf numFmtId="0" fontId="13" fillId="0" borderId="21" xfId="0" applyFont="1" applyBorder="1" applyAlignment="1" applyProtection="1">
      <alignment horizontal="center" vertical="center"/>
      <protection hidden="1"/>
    </xf>
    <xf numFmtId="0" fontId="13" fillId="0" borderId="0" xfId="0" applyFont="1" applyAlignment="1" applyProtection="1">
      <alignment horizontal="center" vertical="center"/>
      <protection hidden="1"/>
    </xf>
    <xf numFmtId="0" fontId="13" fillId="0" borderId="22" xfId="0" applyFont="1" applyBorder="1" applyAlignment="1" applyProtection="1">
      <alignment horizontal="center" vertical="center"/>
      <protection hidden="1"/>
    </xf>
    <xf numFmtId="0" fontId="15" fillId="3" borderId="43" xfId="0" applyFont="1" applyFill="1" applyBorder="1" applyAlignment="1" applyProtection="1">
      <alignment horizontal="center" vertical="center" wrapText="1"/>
      <protection hidden="1"/>
    </xf>
    <xf numFmtId="0" fontId="15" fillId="3" borderId="29" xfId="0" applyFont="1" applyFill="1" applyBorder="1" applyAlignment="1" applyProtection="1">
      <alignment horizontal="center" vertical="center" wrapText="1"/>
      <protection hidden="1"/>
    </xf>
    <xf numFmtId="0" fontId="15" fillId="3" borderId="44" xfId="0" applyFont="1" applyFill="1" applyBorder="1" applyAlignment="1" applyProtection="1">
      <alignment horizontal="center" vertical="center" wrapText="1"/>
      <protection hidden="1"/>
    </xf>
    <xf numFmtId="0" fontId="13" fillId="0" borderId="30" xfId="0" applyFont="1" applyBorder="1" applyAlignment="1" applyProtection="1">
      <alignment horizontal="center" vertical="center"/>
      <protection hidden="1"/>
    </xf>
    <xf numFmtId="0" fontId="13" fillId="0" borderId="31" xfId="0" applyFont="1" applyBorder="1" applyAlignment="1" applyProtection="1">
      <alignment horizontal="center" vertical="center"/>
      <protection hidden="1"/>
    </xf>
    <xf numFmtId="0" fontId="17" fillId="0" borderId="0" xfId="0" applyFont="1" applyAlignment="1" applyProtection="1">
      <alignment horizontal="left" vertical="center"/>
      <protection hidden="1"/>
    </xf>
    <xf numFmtId="0" fontId="1" fillId="3" borderId="43" xfId="0" applyFont="1" applyFill="1" applyBorder="1" applyAlignment="1" applyProtection="1">
      <alignment horizontal="center" vertical="center"/>
      <protection hidden="1"/>
    </xf>
    <xf numFmtId="0" fontId="1" fillId="3" borderId="44" xfId="0" applyFont="1" applyFill="1" applyBorder="1" applyAlignment="1" applyProtection="1">
      <alignment horizontal="center" vertical="center"/>
      <protection hidden="1"/>
    </xf>
    <xf numFmtId="0" fontId="32" fillId="4" borderId="19" xfId="0" applyFont="1" applyFill="1" applyBorder="1" applyAlignment="1" applyProtection="1">
      <alignment horizontal="center" vertical="center"/>
      <protection hidden="1"/>
    </xf>
    <xf numFmtId="0" fontId="32" fillId="4" borderId="1" xfId="0" applyFont="1" applyFill="1" applyBorder="1" applyAlignment="1" applyProtection="1">
      <alignment horizontal="center" vertical="center"/>
      <protection hidden="1"/>
    </xf>
    <xf numFmtId="0" fontId="32" fillId="4" borderId="20" xfId="0" applyFont="1" applyFill="1" applyBorder="1" applyAlignment="1" applyProtection="1">
      <alignment horizontal="center" vertical="center"/>
      <protection hidden="1"/>
    </xf>
    <xf numFmtId="0" fontId="32" fillId="4" borderId="68" xfId="0" applyFont="1" applyFill="1" applyBorder="1" applyAlignment="1" applyProtection="1">
      <alignment horizontal="center" vertical="center"/>
      <protection hidden="1"/>
    </xf>
    <xf numFmtId="0" fontId="32" fillId="4" borderId="59" xfId="0" applyFont="1" applyFill="1" applyBorder="1" applyAlignment="1" applyProtection="1">
      <alignment horizontal="center" vertical="center"/>
      <protection hidden="1"/>
    </xf>
    <xf numFmtId="0" fontId="17" fillId="3" borderId="74" xfId="0" applyFont="1" applyFill="1" applyBorder="1" applyAlignment="1" applyProtection="1">
      <alignment horizontal="center" vertical="center"/>
      <protection hidden="1"/>
    </xf>
    <xf numFmtId="0" fontId="17" fillId="3" borderId="76" xfId="0" applyFont="1" applyFill="1" applyBorder="1" applyAlignment="1" applyProtection="1">
      <alignment horizontal="center" vertical="center"/>
      <protection hidden="1"/>
    </xf>
    <xf numFmtId="0" fontId="17" fillId="3" borderId="75" xfId="0" applyFont="1" applyFill="1" applyBorder="1" applyAlignment="1" applyProtection="1">
      <alignment horizontal="center" vertical="center"/>
      <protection hidden="1"/>
    </xf>
    <xf numFmtId="0" fontId="17" fillId="3" borderId="77" xfId="0" applyFont="1" applyFill="1" applyBorder="1" applyAlignment="1" applyProtection="1">
      <alignment horizontal="center" vertical="center"/>
      <protection hidden="1"/>
    </xf>
    <xf numFmtId="0" fontId="15" fillId="3" borderId="56" xfId="0" applyFont="1" applyFill="1" applyBorder="1" applyAlignment="1" applyProtection="1">
      <alignment horizontal="center" vertical="center" wrapText="1"/>
      <protection hidden="1"/>
    </xf>
    <xf numFmtId="0" fontId="15" fillId="3" borderId="57" xfId="0" applyFont="1" applyFill="1" applyBorder="1" applyAlignment="1" applyProtection="1">
      <alignment horizontal="center" vertical="center" wrapText="1"/>
      <protection hidden="1"/>
    </xf>
    <xf numFmtId="0" fontId="13" fillId="0" borderId="33" xfId="0" applyFont="1" applyBorder="1" applyAlignment="1" applyProtection="1">
      <alignment horizontal="center" vertical="center" wrapText="1"/>
      <protection hidden="1"/>
    </xf>
    <xf numFmtId="0" fontId="13" fillId="0" borderId="26" xfId="0" applyFont="1" applyBorder="1" applyAlignment="1" applyProtection="1">
      <alignment horizontal="center" vertical="center" wrapText="1"/>
      <protection hidden="1"/>
    </xf>
    <xf numFmtId="0" fontId="13" fillId="0" borderId="0" xfId="0" applyFont="1" applyAlignment="1" applyProtection="1">
      <alignment horizontal="left" vertical="center" indent="16"/>
      <protection hidden="1"/>
    </xf>
    <xf numFmtId="0" fontId="13" fillId="0" borderId="73" xfId="0" applyFont="1" applyBorder="1" applyAlignment="1" applyProtection="1">
      <alignment horizontal="center" vertical="center" wrapText="1"/>
      <protection hidden="1"/>
    </xf>
    <xf numFmtId="0" fontId="13" fillId="0" borderId="54" xfId="0" applyFont="1" applyBorder="1" applyAlignment="1" applyProtection="1">
      <alignment horizontal="center" vertical="center" wrapText="1"/>
      <protection hidden="1"/>
    </xf>
    <xf numFmtId="166" fontId="1" fillId="0" borderId="40" xfId="0" applyNumberFormat="1" applyFont="1" applyBorder="1" applyAlignment="1" applyProtection="1">
      <alignment horizontal="center" vertical="center"/>
      <protection locked="0" hidden="1"/>
    </xf>
    <xf numFmtId="166" fontId="1" fillId="0" borderId="54" xfId="0" applyNumberFormat="1" applyFont="1" applyBorder="1" applyAlignment="1" applyProtection="1">
      <alignment horizontal="center" vertical="center"/>
      <protection locked="0" hidden="1"/>
    </xf>
    <xf numFmtId="0" fontId="13" fillId="0" borderId="33" xfId="0" applyFont="1" applyBorder="1" applyAlignment="1" applyProtection="1">
      <alignment horizontal="center" vertical="center"/>
      <protection hidden="1"/>
    </xf>
    <xf numFmtId="0" fontId="13" fillId="0" borderId="26" xfId="0" applyFont="1" applyBorder="1" applyAlignment="1" applyProtection="1">
      <alignment horizontal="center" vertical="center"/>
      <protection hidden="1"/>
    </xf>
    <xf numFmtId="0" fontId="13" fillId="0" borderId="73" xfId="0" applyFont="1" applyBorder="1" applyAlignment="1" applyProtection="1">
      <alignment horizontal="center" vertical="center"/>
      <protection hidden="1"/>
    </xf>
    <xf numFmtId="0" fontId="13" fillId="0" borderId="54" xfId="0" applyFont="1" applyBorder="1" applyAlignment="1" applyProtection="1">
      <alignment horizontal="center" vertical="center"/>
      <protection hidden="1"/>
    </xf>
    <xf numFmtId="0" fontId="32" fillId="4" borderId="19" xfId="0" applyFont="1" applyFill="1" applyBorder="1" applyAlignment="1" applyProtection="1">
      <alignment horizontal="center" vertical="center" wrapText="1"/>
      <protection hidden="1"/>
    </xf>
    <xf numFmtId="0" fontId="32" fillId="4" borderId="1" xfId="0" applyFont="1" applyFill="1" applyBorder="1" applyAlignment="1" applyProtection="1">
      <alignment horizontal="center" vertical="center" wrapText="1"/>
      <protection hidden="1"/>
    </xf>
    <xf numFmtId="0" fontId="32" fillId="4" borderId="20" xfId="0" applyFont="1" applyFill="1" applyBorder="1" applyAlignment="1" applyProtection="1">
      <alignment horizontal="center" vertical="center" wrapText="1"/>
      <protection hidden="1"/>
    </xf>
    <xf numFmtId="0" fontId="32" fillId="4" borderId="23" xfId="0" applyFont="1" applyFill="1" applyBorder="1" applyAlignment="1" applyProtection="1">
      <alignment horizontal="center" vertical="center" wrapText="1"/>
      <protection hidden="1"/>
    </xf>
    <xf numFmtId="0" fontId="32" fillId="4" borderId="2" xfId="0" applyFont="1" applyFill="1" applyBorder="1" applyAlignment="1" applyProtection="1">
      <alignment horizontal="center" vertical="center" wrapText="1"/>
      <protection hidden="1"/>
    </xf>
    <xf numFmtId="0" fontId="32" fillId="4" borderId="24" xfId="0" applyFont="1" applyFill="1" applyBorder="1" applyAlignment="1" applyProtection="1">
      <alignment horizontal="center" vertical="center" wrapText="1"/>
      <protection hidden="1"/>
    </xf>
    <xf numFmtId="166" fontId="1" fillId="0" borderId="83" xfId="0" applyNumberFormat="1" applyFont="1" applyBorder="1" applyAlignment="1" applyProtection="1">
      <alignment horizontal="center" vertical="center"/>
      <protection locked="0" hidden="1"/>
    </xf>
    <xf numFmtId="166" fontId="1" fillId="0" borderId="70" xfId="0" applyNumberFormat="1" applyFont="1" applyBorder="1" applyAlignment="1" applyProtection="1">
      <alignment horizontal="center" vertical="center"/>
      <protection locked="0" hidden="1"/>
    </xf>
    <xf numFmtId="166" fontId="1" fillId="0" borderId="82" xfId="0" applyNumberFormat="1" applyFont="1" applyBorder="1" applyAlignment="1" applyProtection="1">
      <alignment horizontal="center" vertical="center"/>
      <protection locked="0" hidden="1"/>
    </xf>
    <xf numFmtId="166" fontId="1" fillId="0" borderId="72" xfId="0" applyNumberFormat="1" applyFont="1" applyBorder="1" applyAlignment="1" applyProtection="1">
      <alignment horizontal="center" vertical="center"/>
      <protection locked="0" hidden="1"/>
    </xf>
    <xf numFmtId="0" fontId="13" fillId="0" borderId="0" xfId="0" applyFont="1" applyAlignment="1" applyProtection="1">
      <alignment horizontal="left" vertical="center"/>
      <protection hidden="1"/>
    </xf>
    <xf numFmtId="0" fontId="17" fillId="0" borderId="0" xfId="0" applyFont="1" applyAlignment="1" applyProtection="1">
      <alignment horizontal="center" vertical="center"/>
      <protection hidden="1"/>
    </xf>
    <xf numFmtId="0" fontId="17" fillId="5" borderId="22" xfId="0" applyFont="1" applyFill="1" applyBorder="1" applyAlignment="1" applyProtection="1">
      <alignment horizontal="center" vertical="center"/>
      <protection hidden="1"/>
    </xf>
    <xf numFmtId="166" fontId="1" fillId="5" borderId="33" xfId="0" applyNumberFormat="1" applyFont="1" applyFill="1" applyBorder="1" applyAlignment="1" applyProtection="1">
      <alignment horizontal="center" vertical="center"/>
      <protection hidden="1"/>
    </xf>
    <xf numFmtId="166" fontId="1" fillId="5" borderId="26" xfId="0" applyNumberFormat="1" applyFont="1" applyFill="1" applyBorder="1" applyAlignment="1" applyProtection="1">
      <alignment horizontal="center" vertical="center"/>
      <protection hidden="1"/>
    </xf>
    <xf numFmtId="0" fontId="13" fillId="0" borderId="35" xfId="0" applyFont="1" applyBorder="1" applyAlignment="1" applyProtection="1">
      <alignment horizontal="center" vertical="center" wrapText="1"/>
      <protection hidden="1"/>
    </xf>
    <xf numFmtId="0" fontId="13" fillId="0" borderId="36" xfId="0" applyFont="1" applyBorder="1" applyAlignment="1" applyProtection="1">
      <alignment horizontal="center" vertical="center" wrapText="1"/>
      <protection hidden="1"/>
    </xf>
    <xf numFmtId="0" fontId="13" fillId="0" borderId="69" xfId="0" applyFont="1" applyBorder="1" applyAlignment="1" applyProtection="1">
      <alignment horizontal="center" vertical="center"/>
      <protection hidden="1"/>
    </xf>
    <xf numFmtId="0" fontId="13" fillId="0" borderId="70" xfId="0" applyFont="1" applyBorder="1" applyAlignment="1" applyProtection="1">
      <alignment horizontal="center" vertical="center"/>
      <protection hidden="1"/>
    </xf>
    <xf numFmtId="0" fontId="13" fillId="0" borderId="71" xfId="0" applyFont="1" applyBorder="1" applyAlignment="1" applyProtection="1">
      <alignment horizontal="center" vertical="center"/>
      <protection hidden="1"/>
    </xf>
    <xf numFmtId="0" fontId="13" fillId="0" borderId="72" xfId="0" applyFont="1" applyBorder="1" applyAlignment="1" applyProtection="1">
      <alignment horizontal="center" vertical="center"/>
      <protection hidden="1"/>
    </xf>
    <xf numFmtId="0" fontId="13" fillId="0" borderId="64" xfId="0" applyFont="1" applyBorder="1" applyAlignment="1" applyProtection="1">
      <alignment horizontal="center" vertical="center"/>
      <protection locked="0" hidden="1"/>
    </xf>
    <xf numFmtId="0" fontId="13" fillId="0" borderId="55" xfId="0" applyFont="1" applyBorder="1" applyAlignment="1" applyProtection="1">
      <alignment horizontal="center" vertical="center"/>
      <protection locked="0" hidden="1"/>
    </xf>
    <xf numFmtId="0" fontId="13" fillId="0" borderId="65" xfId="0" applyFont="1" applyBorder="1" applyAlignment="1" applyProtection="1">
      <alignment horizontal="center" vertical="center"/>
      <protection locked="0" hidden="1"/>
    </xf>
    <xf numFmtId="0" fontId="13" fillId="0" borderId="63" xfId="0" applyFont="1" applyBorder="1" applyAlignment="1" applyProtection="1">
      <alignment horizontal="center" vertical="center"/>
      <protection locked="0" hidden="1"/>
    </xf>
    <xf numFmtId="0" fontId="13" fillId="0" borderId="69" xfId="0" applyFont="1" applyBorder="1" applyAlignment="1" applyProtection="1">
      <alignment horizontal="center" vertical="center" wrapText="1"/>
      <protection hidden="1"/>
    </xf>
    <xf numFmtId="0" fontId="13" fillId="0" borderId="45" xfId="0" applyFont="1" applyBorder="1" applyAlignment="1" applyProtection="1">
      <alignment horizontal="center" vertical="center" wrapText="1"/>
      <protection hidden="1"/>
    </xf>
    <xf numFmtId="0" fontId="13" fillId="0" borderId="70" xfId="0" applyFont="1" applyBorder="1" applyAlignment="1" applyProtection="1">
      <alignment horizontal="center" vertical="center" wrapText="1"/>
      <protection hidden="1"/>
    </xf>
    <xf numFmtId="0" fontId="13" fillId="0" borderId="71" xfId="0" applyFont="1" applyBorder="1" applyAlignment="1" applyProtection="1">
      <alignment horizontal="center" vertical="center" wrapText="1"/>
      <protection hidden="1"/>
    </xf>
    <xf numFmtId="0" fontId="13" fillId="0" borderId="28" xfId="0" applyFont="1" applyBorder="1" applyAlignment="1" applyProtection="1">
      <alignment horizontal="center" vertical="center" wrapText="1"/>
      <protection hidden="1"/>
    </xf>
    <xf numFmtId="0" fontId="13" fillId="0" borderId="72" xfId="0" applyFont="1" applyBorder="1" applyAlignment="1" applyProtection="1">
      <alignment horizontal="center" vertical="center" wrapText="1"/>
      <protection hidden="1"/>
    </xf>
    <xf numFmtId="2" fontId="13" fillId="0" borderId="64" xfId="0" applyNumberFormat="1" applyFont="1" applyBorder="1" applyAlignment="1" applyProtection="1">
      <alignment horizontal="center" vertical="center"/>
      <protection locked="0" hidden="1"/>
    </xf>
    <xf numFmtId="2" fontId="13" fillId="0" borderId="55" xfId="0" applyNumberFormat="1" applyFont="1" applyBorder="1" applyAlignment="1" applyProtection="1">
      <alignment horizontal="center" vertical="center"/>
      <protection locked="0" hidden="1"/>
    </xf>
    <xf numFmtId="2" fontId="13" fillId="0" borderId="65" xfId="0" applyNumberFormat="1" applyFont="1" applyBorder="1" applyAlignment="1" applyProtection="1">
      <alignment horizontal="center" vertical="center"/>
      <protection locked="0" hidden="1"/>
    </xf>
    <xf numFmtId="2" fontId="13" fillId="0" borderId="63" xfId="0" applyNumberFormat="1" applyFont="1" applyBorder="1" applyAlignment="1" applyProtection="1">
      <alignment horizontal="center" vertical="center"/>
      <protection locked="0" hidden="1"/>
    </xf>
    <xf numFmtId="0" fontId="13" fillId="0" borderId="66" xfId="0" applyFont="1" applyBorder="1" applyAlignment="1" applyProtection="1">
      <alignment horizontal="center" vertical="center" wrapText="1"/>
      <protection hidden="1"/>
    </xf>
    <xf numFmtId="0" fontId="13" fillId="0" borderId="67" xfId="0" applyFont="1" applyBorder="1" applyAlignment="1" applyProtection="1">
      <alignment horizontal="center" vertical="center" wrapText="1"/>
      <protection hidden="1"/>
    </xf>
    <xf numFmtId="166" fontId="1" fillId="3" borderId="26" xfId="0" applyNumberFormat="1" applyFont="1" applyFill="1" applyBorder="1" applyAlignment="1" applyProtection="1">
      <alignment horizontal="center" vertical="center"/>
      <protection hidden="1"/>
    </xf>
    <xf numFmtId="0" fontId="13" fillId="0" borderId="61" xfId="0" applyFont="1" applyBorder="1" applyAlignment="1" applyProtection="1">
      <alignment horizontal="center" vertical="center"/>
      <protection hidden="1"/>
    </xf>
    <xf numFmtId="0" fontId="13" fillId="0" borderId="62" xfId="0" applyFont="1" applyBorder="1" applyAlignment="1" applyProtection="1">
      <alignment horizontal="center" vertical="center"/>
      <protection hidden="1"/>
    </xf>
    <xf numFmtId="166" fontId="1" fillId="3" borderId="33" xfId="0" applyNumberFormat="1" applyFont="1" applyFill="1" applyBorder="1" applyAlignment="1" applyProtection="1">
      <alignment horizontal="center" vertical="center"/>
      <protection hidden="1"/>
    </xf>
    <xf numFmtId="0" fontId="13" fillId="0" borderId="61" xfId="0" applyFont="1" applyBorder="1" applyAlignment="1" applyProtection="1">
      <alignment horizontal="center" vertical="center" wrapText="1"/>
      <protection hidden="1"/>
    </xf>
    <xf numFmtId="0" fontId="13" fillId="0" borderId="62" xfId="0" applyFont="1" applyBorder="1" applyAlignment="1" applyProtection="1">
      <alignment horizontal="center" vertical="center" wrapText="1"/>
      <protection hidden="1"/>
    </xf>
    <xf numFmtId="0" fontId="14" fillId="0" borderId="0" xfId="0" applyFont="1" applyAlignment="1" applyProtection="1">
      <alignment horizontal="left" vertical="center"/>
      <protection hidden="1"/>
    </xf>
    <xf numFmtId="0" fontId="13" fillId="0" borderId="60" xfId="0" applyFont="1" applyBorder="1" applyAlignment="1" applyProtection="1">
      <alignment horizontal="center" vertical="center" wrapText="1"/>
      <protection hidden="1"/>
    </xf>
    <xf numFmtId="0" fontId="13" fillId="0" borderId="55" xfId="0" applyFont="1" applyBorder="1" applyAlignment="1" applyProtection="1">
      <alignment horizontal="center" vertical="center" wrapText="1"/>
      <protection hidden="1"/>
    </xf>
    <xf numFmtId="0" fontId="13" fillId="0" borderId="0" xfId="0" applyFont="1" applyAlignment="1" applyProtection="1">
      <alignment horizontal="left" vertical="center" wrapText="1"/>
      <protection hidden="1"/>
    </xf>
    <xf numFmtId="0" fontId="32" fillId="4" borderId="43" xfId="0" applyFont="1" applyFill="1" applyBorder="1" applyAlignment="1" applyProtection="1">
      <alignment horizontal="center" vertical="center"/>
      <protection hidden="1"/>
    </xf>
    <xf numFmtId="0" fontId="32" fillId="4" borderId="29" xfId="0" applyFont="1" applyFill="1" applyBorder="1" applyAlignment="1" applyProtection="1">
      <alignment horizontal="center" vertical="center"/>
      <protection hidden="1"/>
    </xf>
    <xf numFmtId="0" fontId="32" fillId="4" borderId="44" xfId="0" applyFont="1" applyFill="1" applyBorder="1" applyAlignment="1" applyProtection="1">
      <alignment horizontal="center" vertical="center"/>
      <protection hidden="1"/>
    </xf>
    <xf numFmtId="166" fontId="1" fillId="0" borderId="81" xfId="0" applyNumberFormat="1" applyFont="1" applyBorder="1" applyAlignment="1" applyProtection="1">
      <alignment horizontal="center" vertical="center"/>
      <protection locked="0" hidden="1"/>
    </xf>
    <xf numFmtId="166" fontId="1" fillId="0" borderId="62" xfId="0" applyNumberFormat="1" applyFont="1" applyBorder="1" applyAlignment="1" applyProtection="1">
      <alignment horizontal="center" vertical="center"/>
      <protection locked="0" hidden="1"/>
    </xf>
    <xf numFmtId="0" fontId="13" fillId="0" borderId="30" xfId="0" applyFont="1" applyBorder="1" applyAlignment="1" applyProtection="1">
      <alignment horizontal="center" vertical="center" wrapText="1"/>
      <protection hidden="1"/>
    </xf>
    <xf numFmtId="0" fontId="13" fillId="0" borderId="31" xfId="0" applyFont="1" applyBorder="1" applyAlignment="1" applyProtection="1">
      <alignment horizontal="center" vertical="center" wrapText="1"/>
      <protection hidden="1"/>
    </xf>
    <xf numFmtId="0" fontId="14" fillId="0" borderId="1" xfId="0" applyFont="1" applyBorder="1" applyAlignment="1" applyProtection="1">
      <alignment horizontal="left"/>
      <protection hidden="1"/>
    </xf>
    <xf numFmtId="0" fontId="14" fillId="0" borderId="0" xfId="0" applyFont="1" applyAlignment="1" applyProtection="1">
      <alignment horizontal="left"/>
      <protection hidden="1"/>
    </xf>
    <xf numFmtId="0" fontId="15" fillId="0" borderId="1" xfId="0" applyFont="1" applyBorder="1" applyAlignment="1" applyProtection="1">
      <alignment horizontal="center"/>
      <protection hidden="1"/>
    </xf>
    <xf numFmtId="0" fontId="15" fillId="0" borderId="0" xfId="0" applyFont="1" applyAlignment="1" applyProtection="1">
      <alignment horizontal="center"/>
      <protection hidden="1"/>
    </xf>
    <xf numFmtId="0" fontId="7" fillId="0" borderId="60" xfId="0" applyFont="1" applyBorder="1" applyAlignment="1" applyProtection="1">
      <alignment horizontal="center" vertical="center"/>
      <protection hidden="1"/>
    </xf>
    <xf numFmtId="0" fontId="7" fillId="0" borderId="63" xfId="0" applyFont="1" applyBorder="1" applyAlignment="1" applyProtection="1">
      <alignment horizontal="center" vertical="center"/>
      <protection hidden="1"/>
    </xf>
    <xf numFmtId="0" fontId="13" fillId="0" borderId="26" xfId="0" applyFont="1" applyBorder="1" applyAlignment="1" applyProtection="1">
      <alignment horizontal="center" vertical="center"/>
      <protection locked="0" hidden="1"/>
    </xf>
    <xf numFmtId="0" fontId="13" fillId="0" borderId="34" xfId="0" applyFont="1" applyBorder="1" applyAlignment="1" applyProtection="1">
      <alignment horizontal="center" vertical="center"/>
      <protection locked="0" hidden="1"/>
    </xf>
    <xf numFmtId="0" fontId="7" fillId="0" borderId="78" xfId="0" applyFont="1" applyBorder="1" applyAlignment="1" applyProtection="1">
      <alignment horizontal="center" vertical="center"/>
      <protection hidden="1"/>
    </xf>
    <xf numFmtId="0" fontId="7" fillId="0" borderId="79" xfId="0" applyFont="1" applyBorder="1" applyAlignment="1" applyProtection="1">
      <alignment horizontal="center" vertical="center"/>
      <protection hidden="1"/>
    </xf>
    <xf numFmtId="0" fontId="3" fillId="0" borderId="35" xfId="0" applyFont="1" applyBorder="1" applyAlignment="1" applyProtection="1">
      <alignment horizontal="center" vertical="center"/>
      <protection hidden="1"/>
    </xf>
    <xf numFmtId="0" fontId="3" fillId="0" borderId="37" xfId="0" applyFont="1" applyBorder="1" applyAlignment="1" applyProtection="1">
      <alignment horizontal="center" vertical="center"/>
      <protection hidden="1"/>
    </xf>
    <xf numFmtId="0" fontId="7" fillId="0" borderId="33" xfId="0" applyFont="1" applyBorder="1" applyAlignment="1" applyProtection="1">
      <alignment horizontal="center" vertical="center"/>
      <protection hidden="1"/>
    </xf>
    <xf numFmtId="0" fontId="7" fillId="0" borderId="34" xfId="0" applyFont="1" applyBorder="1" applyAlignment="1" applyProtection="1">
      <alignment horizontal="center" vertical="center"/>
      <protection hidden="1"/>
    </xf>
    <xf numFmtId="0" fontId="15" fillId="4" borderId="0" xfId="0" applyFont="1" applyFill="1" applyAlignment="1">
      <alignment horizontal="center" vertical="center"/>
    </xf>
    <xf numFmtId="0" fontId="13" fillId="0" borderId="1" xfId="0" applyFont="1" applyBorder="1" applyAlignment="1" applyProtection="1">
      <alignment horizontal="center" vertical="center"/>
      <protection hidden="1"/>
    </xf>
    <xf numFmtId="0" fontId="15" fillId="0" borderId="30" xfId="0" applyFont="1" applyBorder="1" applyAlignment="1" applyProtection="1">
      <alignment horizontal="center" vertical="center"/>
      <protection hidden="1"/>
    </xf>
    <xf numFmtId="0" fontId="15" fillId="0" borderId="31" xfId="0" applyFont="1" applyBorder="1" applyAlignment="1" applyProtection="1">
      <alignment horizontal="center" vertical="center"/>
      <protection hidden="1"/>
    </xf>
    <xf numFmtId="0" fontId="33" fillId="0" borderId="0" xfId="3" applyFont="1" applyAlignment="1" applyProtection="1">
      <alignment horizontal="center" vertical="center"/>
      <protection locked="0" hidden="1"/>
    </xf>
    <xf numFmtId="0" fontId="15" fillId="0" borderId="33" xfId="0" applyFont="1" applyBorder="1" applyAlignment="1" applyProtection="1">
      <alignment horizontal="center" vertical="center"/>
      <protection hidden="1"/>
    </xf>
    <xf numFmtId="0" fontId="15" fillId="0" borderId="26" xfId="0" applyFont="1" applyBorder="1" applyAlignment="1" applyProtection="1">
      <alignment horizontal="center" vertical="center"/>
      <protection hidden="1"/>
    </xf>
    <xf numFmtId="0" fontId="15" fillId="0" borderId="33" xfId="0" applyFont="1" applyBorder="1" applyAlignment="1" applyProtection="1">
      <alignment horizontal="center" vertical="center" wrapText="1"/>
      <protection hidden="1"/>
    </xf>
    <xf numFmtId="0" fontId="15" fillId="0" borderId="26" xfId="0" applyFont="1" applyBorder="1" applyAlignment="1" applyProtection="1">
      <alignment horizontal="center" vertical="center" wrapText="1"/>
      <protection hidden="1"/>
    </xf>
    <xf numFmtId="0" fontId="13" fillId="0" borderId="0" xfId="3" applyFont="1" applyAlignment="1" applyProtection="1">
      <alignment horizontal="center" vertical="center"/>
      <protection locked="0" hidden="1"/>
    </xf>
    <xf numFmtId="0" fontId="13" fillId="0" borderId="27" xfId="0" applyFont="1" applyBorder="1" applyAlignment="1" applyProtection="1">
      <alignment horizontal="center" vertical="center"/>
      <protection hidden="1"/>
    </xf>
    <xf numFmtId="0" fontId="13" fillId="0" borderId="99" xfId="0" applyFont="1" applyBorder="1" applyAlignment="1" applyProtection="1">
      <alignment horizontal="center" vertical="center"/>
      <protection locked="0" hidden="1"/>
    </xf>
    <xf numFmtId="0" fontId="13" fillId="0" borderId="100" xfId="0" applyFont="1" applyBorder="1" applyAlignment="1" applyProtection="1">
      <alignment horizontal="center" vertical="center"/>
      <protection locked="0" hidden="1"/>
    </xf>
    <xf numFmtId="0" fontId="13" fillId="0" borderId="85" xfId="0" applyFont="1" applyBorder="1" applyAlignment="1" applyProtection="1">
      <alignment horizontal="center" vertical="center"/>
      <protection hidden="1"/>
    </xf>
    <xf numFmtId="0" fontId="13" fillId="0" borderId="82" xfId="0" applyFont="1" applyBorder="1" applyAlignment="1" applyProtection="1">
      <alignment horizontal="center" vertical="center"/>
      <protection locked="0" hidden="1"/>
    </xf>
    <xf numFmtId="0" fontId="13" fillId="0" borderId="51" xfId="0" applyFont="1" applyBorder="1" applyAlignment="1" applyProtection="1">
      <alignment horizontal="center" vertical="center"/>
      <protection locked="0" hidden="1"/>
    </xf>
    <xf numFmtId="0" fontId="1" fillId="0" borderId="0" xfId="3" applyFont="1" applyAlignment="1" applyProtection="1">
      <alignment horizontal="center"/>
      <protection locked="0" hidden="1"/>
    </xf>
    <xf numFmtId="0" fontId="1" fillId="0" borderId="1" xfId="3" applyFont="1" applyBorder="1" applyAlignment="1" applyProtection="1">
      <alignment horizontal="center"/>
      <protection locked="0" hidden="1"/>
    </xf>
    <xf numFmtId="0" fontId="1" fillId="0" borderId="20" xfId="3" applyFont="1" applyBorder="1" applyAlignment="1" applyProtection="1">
      <alignment horizontal="center"/>
      <protection locked="0" hidden="1"/>
    </xf>
    <xf numFmtId="0" fontId="1" fillId="0" borderId="22" xfId="3" applyFont="1" applyBorder="1" applyAlignment="1" applyProtection="1">
      <alignment horizontal="center"/>
      <protection locked="0" hidden="1"/>
    </xf>
    <xf numFmtId="0" fontId="15" fillId="0" borderId="35" xfId="0" applyFont="1" applyBorder="1" applyAlignment="1" applyProtection="1">
      <alignment horizontal="center" vertical="center"/>
      <protection hidden="1"/>
    </xf>
    <xf numFmtId="0" fontId="15" fillId="0" borderId="36" xfId="0" applyFont="1" applyBorder="1" applyAlignment="1" applyProtection="1">
      <alignment horizontal="center" vertical="center"/>
      <protection hidden="1"/>
    </xf>
    <xf numFmtId="0" fontId="2" fillId="0" borderId="15" xfId="3" applyFont="1" applyBorder="1" applyAlignment="1" applyProtection="1">
      <alignment horizontal="center" vertical="center"/>
      <protection locked="0" hidden="1"/>
    </xf>
    <xf numFmtId="0" fontId="32" fillId="4" borderId="43" xfId="0" applyFont="1" applyFill="1" applyBorder="1" applyAlignment="1" applyProtection="1">
      <alignment horizontal="center" vertical="center" wrapText="1"/>
      <protection hidden="1"/>
    </xf>
    <xf numFmtId="0" fontId="32" fillId="4" borderId="44" xfId="0" applyFont="1" applyFill="1" applyBorder="1" applyAlignment="1" applyProtection="1">
      <alignment horizontal="center" vertical="center" wrapText="1"/>
      <protection hidden="1"/>
    </xf>
    <xf numFmtId="0" fontId="17" fillId="0" borderId="0" xfId="3" applyFont="1" applyAlignment="1" applyProtection="1">
      <alignment horizontal="center" vertical="center"/>
      <protection locked="0" hidden="1"/>
    </xf>
    <xf numFmtId="0" fontId="13" fillId="0" borderId="28" xfId="0" applyFont="1" applyBorder="1" applyAlignment="1" applyProtection="1">
      <alignment horizontal="center" vertical="center"/>
      <protection hidden="1"/>
    </xf>
    <xf numFmtId="0" fontId="13" fillId="0" borderId="94" xfId="0" applyFont="1" applyBorder="1" applyAlignment="1" applyProtection="1">
      <alignment horizontal="center" vertical="center"/>
      <protection locked="0" hidden="1"/>
    </xf>
    <xf numFmtId="0" fontId="13" fillId="0" borderId="95" xfId="0" applyFont="1" applyBorder="1" applyAlignment="1" applyProtection="1">
      <alignment horizontal="center" vertical="center"/>
      <protection locked="0" hidden="1"/>
    </xf>
    <xf numFmtId="0" fontId="17" fillId="0" borderId="0" xfId="0" applyFont="1" applyAlignment="1" applyProtection="1">
      <alignment horizontal="center" vertical="center" wrapText="1"/>
      <protection hidden="1"/>
    </xf>
    <xf numFmtId="0" fontId="17" fillId="0" borderId="22" xfId="0" applyFont="1" applyBorder="1" applyAlignment="1" applyProtection="1">
      <alignment horizontal="center" vertical="center" wrapText="1"/>
      <protection hidden="1"/>
    </xf>
    <xf numFmtId="0" fontId="17" fillId="0" borderId="22" xfId="0" applyFont="1" applyBorder="1" applyAlignment="1" applyProtection="1">
      <alignment horizontal="center" vertical="center"/>
      <protection hidden="1"/>
    </xf>
    <xf numFmtId="0" fontId="2" fillId="0" borderId="0" xfId="0" applyFont="1" applyAlignment="1" applyProtection="1">
      <alignment horizontal="center" vertical="center" wrapText="1"/>
      <protection hidden="1"/>
    </xf>
    <xf numFmtId="0" fontId="2" fillId="0" borderId="22" xfId="0" applyFont="1" applyBorder="1" applyAlignment="1" applyProtection="1">
      <alignment horizontal="center" vertical="center" wrapText="1"/>
      <protection hidden="1"/>
    </xf>
    <xf numFmtId="0" fontId="17" fillId="0" borderId="18" xfId="3" applyFont="1" applyBorder="1" applyAlignment="1" applyProtection="1">
      <alignment horizontal="center" vertical="center"/>
      <protection locked="0" hidden="1"/>
    </xf>
    <xf numFmtId="0" fontId="17" fillId="0" borderId="93" xfId="3" applyFont="1" applyBorder="1" applyAlignment="1" applyProtection="1">
      <alignment horizontal="center" vertical="center"/>
      <protection locked="0" hidden="1"/>
    </xf>
    <xf numFmtId="0" fontId="13" fillId="0" borderId="22" xfId="3" applyFont="1" applyBorder="1" applyAlignment="1" applyProtection="1">
      <alignment horizontal="center" vertical="center"/>
      <protection locked="0" hidden="1"/>
    </xf>
    <xf numFmtId="0" fontId="20" fillId="0" borderId="23" xfId="0" applyFont="1" applyBorder="1" applyAlignment="1" applyProtection="1">
      <alignment horizontal="center" vertical="center"/>
      <protection hidden="1"/>
    </xf>
    <xf numFmtId="0" fontId="20" fillId="0" borderId="2" xfId="0" applyFont="1" applyBorder="1" applyAlignment="1" applyProtection="1">
      <alignment horizontal="center" vertical="center"/>
      <protection hidden="1"/>
    </xf>
    <xf numFmtId="0" fontId="20" fillId="0" borderId="24" xfId="0" applyFont="1" applyBorder="1" applyAlignment="1" applyProtection="1">
      <alignment horizontal="center" vertical="center"/>
      <protection hidden="1"/>
    </xf>
    <xf numFmtId="0" fontId="13" fillId="0" borderId="0" xfId="0" applyFont="1" applyAlignment="1">
      <alignment horizontal="right" vertical="center"/>
    </xf>
    <xf numFmtId="0" fontId="13" fillId="0" borderId="47" xfId="0" applyFont="1" applyBorder="1" applyAlignment="1">
      <alignment horizontal="right" vertical="center"/>
    </xf>
    <xf numFmtId="0" fontId="22" fillId="0" borderId="14" xfId="0" applyFont="1" applyBorder="1" applyAlignment="1">
      <alignment horizontal="center" vertical="center"/>
    </xf>
    <xf numFmtId="0" fontId="22" fillId="0" borderId="17" xfId="0" applyFont="1" applyBorder="1" applyAlignment="1">
      <alignment horizontal="center" vertical="center"/>
    </xf>
    <xf numFmtId="0" fontId="14" fillId="0" borderId="4" xfId="5" applyBorder="1" applyAlignment="1">
      <alignment horizontal="center" vertical="center" wrapText="1"/>
    </xf>
    <xf numFmtId="0" fontId="14" fillId="0" borderId="5" xfId="5" applyBorder="1" applyAlignment="1">
      <alignment horizontal="center" vertical="center" wrapText="1"/>
    </xf>
    <xf numFmtId="0" fontId="14" fillId="0" borderId="48" xfId="5" applyBorder="1" applyAlignment="1">
      <alignment horizontal="center" vertical="center" wrapText="1"/>
    </xf>
    <xf numFmtId="0" fontId="14" fillId="0" borderId="47" xfId="5" applyBorder="1" applyAlignment="1">
      <alignment horizontal="center" vertical="center" wrapText="1"/>
    </xf>
    <xf numFmtId="0" fontId="14" fillId="0" borderId="49" xfId="5" applyBorder="1" applyAlignment="1">
      <alignment horizontal="center" vertical="center" wrapText="1"/>
    </xf>
    <xf numFmtId="0" fontId="14" fillId="0" borderId="50" xfId="5" applyBorder="1" applyAlignment="1">
      <alignment horizontal="center" vertical="center" wrapText="1"/>
    </xf>
    <xf numFmtId="0" fontId="13" fillId="0" borderId="0" xfId="0" applyFont="1" applyAlignment="1">
      <alignment horizontal="center" vertical="center"/>
    </xf>
    <xf numFmtId="0" fontId="17" fillId="0" borderId="3" xfId="0" applyFont="1" applyBorder="1" applyAlignment="1">
      <alignment horizontal="center" vertical="center" wrapText="1"/>
    </xf>
    <xf numFmtId="0" fontId="13" fillId="12" borderId="3" xfId="0" applyFont="1" applyFill="1" applyBorder="1" applyAlignment="1">
      <alignment horizontal="center" vertical="center"/>
    </xf>
    <xf numFmtId="0" fontId="15" fillId="17" borderId="6" xfId="5" applyFont="1" applyFill="1" applyBorder="1" applyAlignment="1">
      <alignment horizontal="center" vertical="center"/>
    </xf>
    <xf numFmtId="0" fontId="15" fillId="17" borderId="7" xfId="5" applyFont="1" applyFill="1" applyBorder="1" applyAlignment="1">
      <alignment horizontal="center" vertical="center"/>
    </xf>
    <xf numFmtId="0" fontId="15" fillId="17" borderId="8" xfId="5" applyFont="1" applyFill="1" applyBorder="1" applyAlignment="1">
      <alignment horizontal="center" vertical="center"/>
    </xf>
    <xf numFmtId="0" fontId="14" fillId="0" borderId="9" xfId="5" applyBorder="1" applyAlignment="1">
      <alignment horizontal="center" vertical="center"/>
    </xf>
    <xf numFmtId="0" fontId="14" fillId="0" borderId="10" xfId="5" applyBorder="1" applyAlignment="1">
      <alignment horizontal="center" vertical="center"/>
    </xf>
    <xf numFmtId="0" fontId="13" fillId="0" borderId="43" xfId="0" applyFont="1" applyBorder="1" applyAlignment="1">
      <alignment horizontal="center" vertical="center"/>
    </xf>
    <xf numFmtId="0" fontId="13" fillId="0" borderId="29" xfId="0" applyFont="1" applyBorder="1" applyAlignment="1">
      <alignment horizontal="center" vertical="center"/>
    </xf>
    <xf numFmtId="0" fontId="13" fillId="0" borderId="44" xfId="0" applyFont="1" applyBorder="1" applyAlignment="1">
      <alignment horizontal="center" vertical="center"/>
    </xf>
    <xf numFmtId="0" fontId="17" fillId="0" borderId="33" xfId="0" applyFont="1" applyBorder="1" applyAlignment="1">
      <alignment horizontal="center" vertical="center" wrapText="1"/>
    </xf>
    <xf numFmtId="0" fontId="17" fillId="0" borderId="26" xfId="0" applyFont="1" applyBorder="1" applyAlignment="1">
      <alignment horizontal="center" vertical="center" wrapText="1"/>
    </xf>
    <xf numFmtId="0" fontId="17" fillId="0" borderId="35" xfId="0" applyFont="1" applyBorder="1" applyAlignment="1">
      <alignment horizontal="center" vertical="center" wrapText="1"/>
    </xf>
    <xf numFmtId="0" fontId="17" fillId="0" borderId="36" xfId="0" applyFont="1" applyBorder="1" applyAlignment="1">
      <alignment horizontal="center" vertical="center" wrapText="1"/>
    </xf>
    <xf numFmtId="0" fontId="13" fillId="0" borderId="0" xfId="0" applyFont="1" applyAlignment="1">
      <alignment horizontal="center" vertical="center" wrapText="1"/>
    </xf>
    <xf numFmtId="0" fontId="13" fillId="16" borderId="3" xfId="0" applyFont="1" applyFill="1" applyBorder="1" applyAlignment="1">
      <alignment horizontal="center" vertical="center"/>
    </xf>
    <xf numFmtId="0" fontId="18" fillId="4" borderId="43" xfId="0" applyFont="1" applyFill="1" applyBorder="1" applyAlignment="1">
      <alignment horizontal="left" vertical="center" indent="4"/>
    </xf>
    <xf numFmtId="0" fontId="18" fillId="4" borderId="29" xfId="0" applyFont="1" applyFill="1" applyBorder="1" applyAlignment="1">
      <alignment horizontal="left" vertical="center" indent="4"/>
    </xf>
    <xf numFmtId="0" fontId="18" fillId="4" borderId="44" xfId="0" applyFont="1" applyFill="1" applyBorder="1" applyAlignment="1">
      <alignment horizontal="left" vertical="center" indent="4"/>
    </xf>
    <xf numFmtId="0" fontId="17" fillId="0" borderId="30" xfId="0" applyFont="1" applyBorder="1" applyAlignment="1">
      <alignment horizontal="center" vertical="center" wrapText="1"/>
    </xf>
    <xf numFmtId="0" fontId="17" fillId="0" borderId="31" xfId="0" applyFont="1" applyBorder="1" applyAlignment="1">
      <alignment horizontal="center" vertical="center" wrapText="1"/>
    </xf>
    <xf numFmtId="0" fontId="15" fillId="4" borderId="0" xfId="0" applyFont="1" applyFill="1" applyAlignment="1">
      <alignment horizontal="left" vertical="center"/>
    </xf>
    <xf numFmtId="0" fontId="13" fillId="0" borderId="28" xfId="3" applyFont="1" applyBorder="1" applyAlignment="1" applyProtection="1">
      <alignment horizontal="left" vertical="center" wrapText="1"/>
      <protection hidden="1"/>
    </xf>
    <xf numFmtId="0" fontId="13" fillId="0" borderId="51" xfId="3" applyFont="1" applyBorder="1" applyAlignment="1" applyProtection="1">
      <alignment horizontal="left" vertical="center" wrapText="1"/>
      <protection hidden="1"/>
    </xf>
    <xf numFmtId="164" fontId="13" fillId="3" borderId="27" xfId="3" applyNumberFormat="1" applyFont="1" applyFill="1" applyBorder="1" applyAlignment="1" applyProtection="1">
      <alignment horizontal="center" vertical="center"/>
      <protection locked="0" hidden="1"/>
    </xf>
    <xf numFmtId="164" fontId="13" fillId="3" borderId="39" xfId="3" applyNumberFormat="1" applyFont="1" applyFill="1" applyBorder="1" applyAlignment="1" applyProtection="1">
      <alignment horizontal="center" vertical="center"/>
      <protection locked="0" hidden="1"/>
    </xf>
    <xf numFmtId="0" fontId="1" fillId="3" borderId="27" xfId="3" applyFont="1" applyFill="1" applyBorder="1" applyAlignment="1" applyProtection="1">
      <alignment horizontal="center" vertical="center" wrapText="1"/>
      <protection locked="0"/>
    </xf>
    <xf numFmtId="164" fontId="13" fillId="3" borderId="25" xfId="3" applyNumberFormat="1" applyFont="1" applyFill="1" applyBorder="1" applyAlignment="1" applyProtection="1">
      <alignment horizontal="center" vertical="center"/>
      <protection locked="0" hidden="1"/>
    </xf>
    <xf numFmtId="164" fontId="13" fillId="3" borderId="38" xfId="3" applyNumberFormat="1" applyFont="1" applyFill="1" applyBorder="1" applyAlignment="1" applyProtection="1">
      <alignment horizontal="center" vertical="center"/>
      <protection locked="0" hidden="1"/>
    </xf>
    <xf numFmtId="0" fontId="35" fillId="3" borderId="27" xfId="6" applyFont="1" applyFill="1" applyBorder="1" applyAlignment="1" applyProtection="1">
      <alignment horizontal="center" vertical="center"/>
      <protection locked="0"/>
    </xf>
    <xf numFmtId="0" fontId="14" fillId="3" borderId="27" xfId="3" applyFont="1" applyFill="1" applyBorder="1" applyAlignment="1" applyProtection="1">
      <alignment horizontal="center" vertical="center"/>
      <protection locked="0"/>
    </xf>
    <xf numFmtId="0" fontId="13" fillId="3" borderId="27" xfId="3" applyFont="1" applyFill="1" applyBorder="1" applyAlignment="1" applyProtection="1">
      <alignment horizontal="left" vertical="center"/>
      <protection locked="0"/>
    </xf>
    <xf numFmtId="0" fontId="13" fillId="3" borderId="39" xfId="3" applyFont="1" applyFill="1" applyBorder="1" applyAlignment="1" applyProtection="1">
      <alignment horizontal="left" vertical="center"/>
      <protection locked="0"/>
    </xf>
    <xf numFmtId="0" fontId="13" fillId="0" borderId="0" xfId="0" applyFont="1" applyAlignment="1" applyProtection="1">
      <alignment horizontal="left" vertical="center" indent="38"/>
      <protection hidden="1"/>
    </xf>
    <xf numFmtId="0" fontId="13" fillId="0" borderId="80" xfId="0" applyFont="1" applyBorder="1" applyAlignment="1" applyProtection="1">
      <alignment horizontal="center" vertical="center"/>
      <protection locked="0" hidden="1"/>
    </xf>
    <xf numFmtId="0" fontId="13" fillId="0" borderId="38" xfId="0" applyFont="1" applyBorder="1" applyAlignment="1" applyProtection="1">
      <alignment horizontal="center" vertical="center"/>
      <protection locked="0" hidden="1"/>
    </xf>
    <xf numFmtId="0" fontId="13" fillId="0" borderId="40" xfId="0" applyFont="1" applyBorder="1" applyAlignment="1" applyProtection="1">
      <alignment horizontal="center" vertical="center"/>
      <protection locked="0" hidden="1"/>
    </xf>
    <xf numFmtId="0" fontId="13" fillId="0" borderId="39" xfId="0" applyFont="1" applyBorder="1" applyAlignment="1" applyProtection="1">
      <alignment horizontal="center" vertical="center"/>
      <protection locked="0" hidden="1"/>
    </xf>
    <xf numFmtId="0" fontId="13" fillId="0" borderId="81" xfId="0" applyFont="1" applyBorder="1" applyAlignment="1" applyProtection="1">
      <alignment horizontal="center" vertical="center"/>
      <protection locked="0" hidden="1"/>
    </xf>
    <xf numFmtId="0" fontId="13" fillId="0" borderId="84" xfId="0" applyFont="1" applyBorder="1" applyAlignment="1" applyProtection="1">
      <alignment horizontal="center" vertical="center"/>
      <protection locked="0" hidden="1"/>
    </xf>
    <xf numFmtId="166" fontId="1" fillId="5" borderId="83" xfId="0" applyNumberFormat="1" applyFont="1" applyFill="1" applyBorder="1" applyAlignment="1" applyProtection="1">
      <alignment horizontal="center" vertical="center"/>
      <protection locked="0" hidden="1"/>
    </xf>
    <xf numFmtId="166" fontId="1" fillId="5" borderId="70" xfId="0" applyNumberFormat="1" applyFont="1" applyFill="1" applyBorder="1" applyAlignment="1" applyProtection="1">
      <alignment horizontal="center" vertical="center"/>
      <protection locked="0" hidden="1"/>
    </xf>
    <xf numFmtId="166" fontId="1" fillId="5" borderId="82" xfId="0" applyNumberFormat="1" applyFont="1" applyFill="1" applyBorder="1" applyAlignment="1" applyProtection="1">
      <alignment horizontal="center" vertical="center"/>
      <protection locked="0" hidden="1"/>
    </xf>
    <xf numFmtId="166" fontId="1" fillId="5" borderId="72" xfId="0" applyNumberFormat="1" applyFont="1" applyFill="1" applyBorder="1" applyAlignment="1" applyProtection="1">
      <alignment horizontal="center" vertical="center"/>
      <protection locked="0" hidden="1"/>
    </xf>
    <xf numFmtId="166" fontId="1" fillId="5" borderId="40" xfId="0" applyNumberFormat="1" applyFont="1" applyFill="1" applyBorder="1" applyAlignment="1" applyProtection="1">
      <alignment horizontal="center" vertical="center"/>
      <protection locked="0" hidden="1"/>
    </xf>
    <xf numFmtId="166" fontId="1" fillId="5" borderId="54" xfId="0" applyNumberFormat="1" applyFont="1" applyFill="1" applyBorder="1" applyAlignment="1" applyProtection="1">
      <alignment horizontal="center" vertical="center"/>
      <protection locked="0" hidden="1"/>
    </xf>
    <xf numFmtId="0" fontId="13" fillId="3" borderId="27" xfId="6" applyFont="1" applyFill="1" applyBorder="1" applyAlignment="1" applyProtection="1">
      <alignment horizontal="center" vertical="center"/>
      <protection locked="0"/>
    </xf>
    <xf numFmtId="166" fontId="17" fillId="5" borderId="98" xfId="0" applyNumberFormat="1" applyFont="1" applyFill="1" applyBorder="1" applyAlignment="1" applyProtection="1">
      <alignment horizontal="center" vertical="center"/>
      <protection hidden="1"/>
    </xf>
    <xf numFmtId="169" fontId="17" fillId="5" borderId="2" xfId="0" applyNumberFormat="1" applyFont="1" applyFill="1" applyBorder="1" applyAlignment="1" applyProtection="1">
      <alignment horizontal="center" vertical="center"/>
      <protection hidden="1"/>
    </xf>
    <xf numFmtId="0" fontId="13" fillId="0" borderId="96" xfId="0" applyFont="1" applyBorder="1" applyAlignment="1" applyProtection="1">
      <alignment horizontal="center" vertical="center"/>
      <protection locked="0" hidden="1"/>
    </xf>
    <xf numFmtId="0" fontId="13" fillId="0" borderId="97" xfId="0" applyFont="1" applyBorder="1" applyAlignment="1" applyProtection="1">
      <alignment horizontal="center" vertical="center"/>
      <protection locked="0" hidden="1"/>
    </xf>
    <xf numFmtId="0" fontId="13" fillId="16" borderId="27" xfId="3" applyFont="1" applyFill="1" applyBorder="1" applyAlignment="1" applyProtection="1">
      <alignment horizontal="center" vertical="center" wrapText="1"/>
      <protection locked="0"/>
    </xf>
    <xf numFmtId="0" fontId="13" fillId="16" borderId="39" xfId="3" applyFont="1" applyFill="1" applyBorder="1" applyAlignment="1" applyProtection="1">
      <alignment horizontal="center" vertical="center" wrapText="1"/>
      <protection locked="0"/>
    </xf>
    <xf numFmtId="0" fontId="17" fillId="16" borderId="22" xfId="0" applyFont="1" applyFill="1" applyBorder="1" applyAlignment="1" applyProtection="1">
      <alignment horizontal="center" vertical="center"/>
      <protection hidden="1"/>
    </xf>
    <xf numFmtId="0" fontId="17" fillId="16" borderId="24" xfId="0" applyFont="1" applyFill="1" applyBorder="1" applyAlignment="1" applyProtection="1">
      <alignment horizontal="center" vertical="center"/>
      <protection hidden="1"/>
    </xf>
    <xf numFmtId="0" fontId="13" fillId="0" borderId="35" xfId="0" applyFont="1" applyBorder="1" applyAlignment="1" applyProtection="1">
      <alignment horizontal="center" vertical="center"/>
      <protection hidden="1"/>
    </xf>
    <xf numFmtId="0" fontId="13" fillId="0" borderId="36" xfId="0" applyFont="1" applyBorder="1" applyAlignment="1" applyProtection="1">
      <alignment horizontal="center" vertical="center"/>
      <protection hidden="1"/>
    </xf>
    <xf numFmtId="0" fontId="13" fillId="0" borderId="36" xfId="0" applyFont="1" applyBorder="1" applyAlignment="1" applyProtection="1">
      <alignment horizontal="center" vertical="center"/>
      <protection locked="0" hidden="1"/>
    </xf>
    <xf numFmtId="0" fontId="13" fillId="0" borderId="37" xfId="0" applyFont="1" applyBorder="1" applyAlignment="1" applyProtection="1">
      <alignment horizontal="center" vertical="center"/>
      <protection locked="0" hidden="1"/>
    </xf>
    <xf numFmtId="0" fontId="13" fillId="0" borderId="31" xfId="0" applyFont="1" applyBorder="1" applyAlignment="1" applyProtection="1">
      <alignment horizontal="center" vertical="center"/>
      <protection locked="0" hidden="1"/>
    </xf>
    <xf numFmtId="0" fontId="13" fillId="0" borderId="32" xfId="0" applyFont="1" applyBorder="1" applyAlignment="1" applyProtection="1">
      <alignment horizontal="center" vertical="center"/>
      <protection locked="0" hidden="1"/>
    </xf>
    <xf numFmtId="0" fontId="32" fillId="4" borderId="103" xfId="0" applyFont="1" applyFill="1" applyBorder="1" applyAlignment="1" applyProtection="1">
      <alignment horizontal="center" vertical="center"/>
      <protection hidden="1"/>
    </xf>
    <xf numFmtId="0" fontId="17" fillId="3" borderId="0" xfId="3" applyFont="1" applyFill="1" applyAlignment="1" applyProtection="1">
      <alignment horizontal="left" vertical="center" indent="5"/>
      <protection hidden="1"/>
    </xf>
    <xf numFmtId="0" fontId="17" fillId="3" borderId="1" xfId="3" applyFont="1" applyFill="1" applyBorder="1" applyAlignment="1" applyProtection="1">
      <alignment horizontal="left" vertical="center" indent="5"/>
      <protection hidden="1"/>
    </xf>
    <xf numFmtId="49" fontId="13" fillId="3" borderId="27" xfId="3" applyNumberFormat="1" applyFont="1" applyFill="1" applyBorder="1" applyAlignment="1" applyProtection="1">
      <alignment horizontal="center" vertical="center"/>
      <protection hidden="1"/>
    </xf>
    <xf numFmtId="0" fontId="15" fillId="0" borderId="0" xfId="3" applyFont="1" applyAlignment="1" applyProtection="1">
      <alignment horizontal="left" vertical="center" indent="5"/>
      <protection hidden="1"/>
    </xf>
    <xf numFmtId="0" fontId="13" fillId="3" borderId="26" xfId="0" applyFont="1" applyFill="1" applyBorder="1" applyAlignment="1" applyProtection="1">
      <alignment horizontal="center" vertical="center"/>
      <protection locked="0" hidden="1"/>
    </xf>
    <xf numFmtId="0" fontId="13" fillId="3" borderId="34" xfId="0" applyFont="1" applyFill="1" applyBorder="1" applyAlignment="1" applyProtection="1">
      <alignment horizontal="center" vertical="center"/>
      <protection locked="0" hidden="1"/>
    </xf>
    <xf numFmtId="166" fontId="6" fillId="0" borderId="83" xfId="0" applyNumberFormat="1" applyFont="1" applyBorder="1" applyAlignment="1" applyProtection="1">
      <alignment horizontal="center" vertical="center"/>
      <protection locked="0" hidden="1"/>
    </xf>
    <xf numFmtId="166" fontId="6" fillId="0" borderId="70" xfId="0" applyNumberFormat="1" applyFont="1" applyBorder="1" applyAlignment="1" applyProtection="1">
      <alignment horizontal="center" vertical="center"/>
      <protection locked="0" hidden="1"/>
    </xf>
    <xf numFmtId="166" fontId="6" fillId="0" borderId="82" xfId="0" applyNumberFormat="1" applyFont="1" applyBorder="1" applyAlignment="1" applyProtection="1">
      <alignment horizontal="center" vertical="center"/>
      <protection locked="0" hidden="1"/>
    </xf>
    <xf numFmtId="166" fontId="6" fillId="0" borderId="72" xfId="0" applyNumberFormat="1" applyFont="1" applyBorder="1" applyAlignment="1" applyProtection="1">
      <alignment horizontal="center" vertical="center"/>
      <protection locked="0" hidden="1"/>
    </xf>
    <xf numFmtId="166" fontId="6" fillId="5" borderId="83" xfId="0" applyNumberFormat="1" applyFont="1" applyFill="1" applyBorder="1" applyAlignment="1" applyProtection="1">
      <alignment horizontal="center" vertical="center"/>
      <protection locked="0" hidden="1"/>
    </xf>
    <xf numFmtId="166" fontId="6" fillId="5" borderId="70" xfId="0" applyNumberFormat="1" applyFont="1" applyFill="1" applyBorder="1" applyAlignment="1" applyProtection="1">
      <alignment horizontal="center" vertical="center"/>
      <protection locked="0" hidden="1"/>
    </xf>
    <xf numFmtId="166" fontId="6" fillId="5" borderId="82" xfId="0" applyNumberFormat="1" applyFont="1" applyFill="1" applyBorder="1" applyAlignment="1" applyProtection="1">
      <alignment horizontal="center" vertical="center"/>
      <protection locked="0" hidden="1"/>
    </xf>
    <xf numFmtId="166" fontId="6" fillId="5" borderId="72" xfId="0" applyNumberFormat="1" applyFont="1" applyFill="1" applyBorder="1" applyAlignment="1" applyProtection="1">
      <alignment horizontal="center" vertical="center"/>
      <protection locked="0" hidden="1"/>
    </xf>
    <xf numFmtId="0" fontId="13" fillId="3" borderId="30" xfId="0" applyFont="1" applyFill="1" applyBorder="1" applyAlignment="1" applyProtection="1">
      <alignment horizontal="center" vertical="center" wrapText="1"/>
      <protection hidden="1"/>
    </xf>
    <xf numFmtId="0" fontId="13" fillId="3" borderId="31" xfId="0" applyFont="1" applyFill="1" applyBorder="1" applyAlignment="1" applyProtection="1">
      <alignment horizontal="center" vertical="center" wrapText="1"/>
      <protection hidden="1"/>
    </xf>
    <xf numFmtId="0" fontId="13" fillId="3" borderId="35" xfId="0" applyFont="1" applyFill="1" applyBorder="1" applyAlignment="1" applyProtection="1">
      <alignment horizontal="center" vertical="center" wrapText="1"/>
      <protection hidden="1"/>
    </xf>
    <xf numFmtId="0" fontId="13" fillId="3" borderId="36" xfId="0" applyFont="1" applyFill="1" applyBorder="1" applyAlignment="1" applyProtection="1">
      <alignment horizontal="center" vertical="center" wrapText="1"/>
      <protection hidden="1"/>
    </xf>
    <xf numFmtId="0" fontId="17" fillId="0" borderId="105" xfId="0" applyFont="1" applyBorder="1" applyAlignment="1">
      <alignment horizontal="center" wrapText="1"/>
    </xf>
    <xf numFmtId="0" fontId="17" fillId="0" borderId="106" xfId="0" applyFont="1" applyBorder="1" applyAlignment="1">
      <alignment horizontal="center" wrapText="1"/>
    </xf>
    <xf numFmtId="0" fontId="17" fillId="0" borderId="107" xfId="0" applyFont="1" applyBorder="1" applyAlignment="1">
      <alignment horizontal="center" wrapText="1"/>
    </xf>
    <xf numFmtId="0" fontId="14" fillId="3" borderId="27" xfId="3" applyFont="1" applyFill="1" applyBorder="1" applyAlignment="1" applyProtection="1">
      <alignment horizontal="center" vertical="center" wrapText="1"/>
      <protection locked="0"/>
    </xf>
    <xf numFmtId="0" fontId="14" fillId="3" borderId="39" xfId="3" applyFont="1" applyFill="1" applyBorder="1" applyAlignment="1" applyProtection="1">
      <alignment horizontal="center" vertical="center" wrapText="1"/>
      <protection locked="0"/>
    </xf>
    <xf numFmtId="0" fontId="1" fillId="3" borderId="27" xfId="3" applyFont="1" applyFill="1" applyBorder="1" applyAlignment="1">
      <alignment horizontal="center" vertical="center"/>
    </xf>
    <xf numFmtId="0" fontId="1" fillId="0" borderId="66" xfId="3" applyFont="1" applyBorder="1" applyAlignment="1" applyProtection="1">
      <alignment horizontal="center" vertical="center"/>
      <protection hidden="1"/>
    </xf>
    <xf numFmtId="0" fontId="1" fillId="0" borderId="38" xfId="3" applyFont="1" applyBorder="1" applyAlignment="1" applyProtection="1">
      <alignment horizontal="center" vertical="center"/>
      <protection hidden="1"/>
    </xf>
    <xf numFmtId="0" fontId="1" fillId="0" borderId="19" xfId="3" applyFont="1" applyBorder="1" applyAlignment="1" applyProtection="1">
      <alignment vertical="center"/>
      <protection hidden="1"/>
    </xf>
    <xf numFmtId="0" fontId="1" fillId="0" borderId="25" xfId="3" applyFont="1" applyBorder="1" applyAlignment="1" applyProtection="1">
      <alignment horizontal="center" vertical="center"/>
      <protection hidden="1"/>
    </xf>
    <xf numFmtId="0" fontId="1" fillId="0" borderId="73" xfId="3" applyFont="1" applyBorder="1" applyAlignment="1" applyProtection="1">
      <alignment horizontal="center" vertical="center"/>
      <protection hidden="1"/>
    </xf>
    <xf numFmtId="0" fontId="1" fillId="0" borderId="39" xfId="3" applyFont="1" applyBorder="1" applyAlignment="1" applyProtection="1">
      <alignment horizontal="center" vertical="center"/>
      <protection hidden="1"/>
    </xf>
    <xf numFmtId="0" fontId="1" fillId="0" borderId="21" xfId="3" applyFont="1" applyBorder="1" applyAlignment="1" applyProtection="1">
      <alignment vertical="center"/>
      <protection hidden="1"/>
    </xf>
    <xf numFmtId="0" fontId="1" fillId="0" borderId="27" xfId="3" applyFont="1" applyBorder="1" applyAlignment="1" applyProtection="1">
      <alignment horizontal="center" vertical="center"/>
      <protection hidden="1"/>
    </xf>
    <xf numFmtId="0" fontId="1" fillId="0" borderId="73" xfId="3" applyFont="1" applyBorder="1" applyAlignment="1" applyProtection="1">
      <alignment vertical="center"/>
      <protection hidden="1"/>
    </xf>
    <xf numFmtId="0" fontId="1" fillId="0" borderId="27" xfId="3" applyFont="1" applyBorder="1" applyAlignment="1" applyProtection="1">
      <alignment vertical="center"/>
      <protection hidden="1"/>
    </xf>
    <xf numFmtId="0" fontId="1" fillId="0" borderId="39" xfId="3" applyFont="1" applyBorder="1" applyAlignment="1" applyProtection="1">
      <alignment vertical="center"/>
      <protection hidden="1"/>
    </xf>
    <xf numFmtId="0" fontId="1" fillId="0" borderId="23" xfId="3" applyFont="1" applyBorder="1" applyAlignment="1" applyProtection="1">
      <alignment horizontal="center" vertical="center"/>
      <protection hidden="1"/>
    </xf>
    <xf numFmtId="0" fontId="1" fillId="0" borderId="24" xfId="3" applyFont="1" applyBorder="1" applyAlignment="1" applyProtection="1">
      <alignment horizontal="center" vertical="center"/>
      <protection hidden="1"/>
    </xf>
    <xf numFmtId="0" fontId="1" fillId="0" borderId="23" xfId="3" applyFont="1" applyBorder="1" applyAlignment="1" applyProtection="1">
      <alignment vertical="center"/>
      <protection hidden="1"/>
    </xf>
    <xf numFmtId="0" fontId="1" fillId="0" borderId="2" xfId="3" applyFont="1" applyBorder="1" applyAlignment="1" applyProtection="1">
      <alignment horizontal="center" vertical="center"/>
      <protection hidden="1"/>
    </xf>
    <xf numFmtId="0" fontId="13" fillId="3" borderId="27" xfId="3" applyFont="1" applyFill="1" applyBorder="1" applyAlignment="1" applyProtection="1">
      <alignment horizontal="right" vertical="center"/>
      <protection hidden="1"/>
    </xf>
    <xf numFmtId="0" fontId="17" fillId="3" borderId="25" xfId="3" applyFont="1" applyFill="1" applyBorder="1" applyAlignment="1" applyProtection="1">
      <alignment horizontal="center" vertical="center"/>
      <protection hidden="1"/>
    </xf>
    <xf numFmtId="49" fontId="0" fillId="0" borderId="25" xfId="6" applyNumberFormat="1" applyFont="1" applyBorder="1" applyAlignment="1" applyProtection="1">
      <alignment horizontal="right" vertical="center"/>
      <protection hidden="1"/>
    </xf>
    <xf numFmtId="0" fontId="33" fillId="0" borderId="0" xfId="3" applyFont="1" applyAlignment="1" applyProtection="1">
      <alignment horizontal="center" vertical="center"/>
      <protection hidden="1"/>
    </xf>
    <xf numFmtId="0" fontId="2" fillId="0" borderId="15" xfId="3" applyFont="1" applyBorder="1" applyAlignment="1" applyProtection="1">
      <alignment horizontal="center" vertical="center"/>
      <protection hidden="1"/>
    </xf>
    <xf numFmtId="0" fontId="1" fillId="0" borderId="0" xfId="3" applyFont="1" applyAlignment="1" applyProtection="1">
      <alignment horizontal="center"/>
      <protection hidden="1"/>
    </xf>
    <xf numFmtId="0" fontId="1" fillId="0" borderId="22" xfId="3" applyFont="1" applyBorder="1" applyAlignment="1" applyProtection="1">
      <alignment horizontal="center"/>
      <protection hidden="1"/>
    </xf>
    <xf numFmtId="0" fontId="17" fillId="0" borderId="18" xfId="3" applyFont="1" applyBorder="1" applyAlignment="1" applyProtection="1">
      <alignment horizontal="center" vertical="center"/>
      <protection hidden="1"/>
    </xf>
    <xf numFmtId="0" fontId="2" fillId="0" borderId="0" xfId="3" applyFont="1" applyAlignment="1" applyProtection="1">
      <alignment vertical="center"/>
      <protection hidden="1"/>
    </xf>
    <xf numFmtId="0" fontId="17" fillId="0" borderId="15" xfId="0" applyFont="1" applyBorder="1" applyAlignment="1" applyProtection="1">
      <alignment vertical="center"/>
      <protection hidden="1"/>
    </xf>
    <xf numFmtId="0" fontId="17" fillId="0" borderId="93" xfId="3" applyFont="1" applyBorder="1" applyAlignment="1" applyProtection="1">
      <alignment horizontal="center" vertical="center"/>
      <protection hidden="1"/>
    </xf>
    <xf numFmtId="0" fontId="13" fillId="0" borderId="22" xfId="3" applyFont="1" applyBorder="1" applyAlignment="1" applyProtection="1">
      <alignment horizontal="center" vertical="center"/>
      <protection hidden="1"/>
    </xf>
    <xf numFmtId="0" fontId="20" fillId="0" borderId="0" xfId="0" applyFont="1" applyAlignment="1" applyProtection="1">
      <alignment horizontal="center" vertical="center"/>
      <protection hidden="1"/>
    </xf>
  </cellXfs>
  <cellStyles count="7">
    <cellStyle name="Hipervínculo" xfId="6" builtinId="8"/>
    <cellStyle name="Normal" xfId="0" builtinId="0"/>
    <cellStyle name="Normal 10" xfId="2" xr:uid="{00000000-0005-0000-0000-000002000000}"/>
    <cellStyle name="Normal 2 2" xfId="1" xr:uid="{00000000-0005-0000-0000-000003000000}"/>
    <cellStyle name="Normal 5" xfId="3" xr:uid="{00000000-0005-0000-0000-000004000000}"/>
    <cellStyle name="Normal 9 2 2" xfId="4" xr:uid="{00000000-0005-0000-0000-000005000000}"/>
    <cellStyle name="Normal_BIL 1.8 ANALISIS GRANULOMETRICO INV-213-071" xfId="5" xr:uid="{00000000-0005-0000-0000-000006000000}"/>
  </cellStyles>
  <dxfs count="2619">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2"/>
        </patternFill>
      </fill>
    </dxf>
    <dxf>
      <fill>
        <patternFill>
          <bgColor theme="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9.xml.rels><?xml version="1.0" encoding="UTF-8" standalone="yes"?>
<Relationships xmlns="http://schemas.openxmlformats.org/package/2006/relationships"><Relationship Id="rId2" Type="http://schemas.openxmlformats.org/officeDocument/2006/relationships/chartUserShapes" Target="../drawings/drawing6.xml"/><Relationship Id="rId1" Type="http://schemas.openxmlformats.org/officeDocument/2006/relationships/themeOverride" Target="../theme/themeOverride6.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12.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themeOverride" Target="../theme/themeOverride8.xml"/></Relationships>
</file>

<file path=xl/charts/_rels/chart1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themeOverride" Target="../theme/themeOverride10.xml"/></Relationships>
</file>

<file path=xl/charts/_rels/chart1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18.xml.rels><?xml version="1.0" encoding="UTF-8" standalone="yes"?>
<Relationships xmlns="http://schemas.openxmlformats.org/package/2006/relationships"><Relationship Id="rId2" Type="http://schemas.openxmlformats.org/officeDocument/2006/relationships/chartUserShapes" Target="../drawings/drawing12.xml"/><Relationship Id="rId1" Type="http://schemas.openxmlformats.org/officeDocument/2006/relationships/themeOverride" Target="../theme/themeOverride12.xml"/></Relationships>
</file>

<file path=xl/charts/_rels/chart1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20.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themeOverride" Target="../theme/themeOverride14.xml"/></Relationships>
</file>

<file path=xl/charts/_rels/chart2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3.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24.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themeOverride" Target="../theme/themeOverride16.xml"/></Relationships>
</file>

<file path=xl/charts/_rels/chart2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6.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27.xml.rels><?xml version="1.0" encoding="UTF-8" standalone="yes"?>
<Relationships xmlns="http://schemas.openxmlformats.org/package/2006/relationships"><Relationship Id="rId2" Type="http://schemas.openxmlformats.org/officeDocument/2006/relationships/chartUserShapes" Target="../drawings/drawing18.xml"/><Relationship Id="rId1" Type="http://schemas.openxmlformats.org/officeDocument/2006/relationships/themeOverride" Target="../theme/themeOverride18.xml"/></Relationships>
</file>

<file path=xl/charts/_rels/chart2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9.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30.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themeOverride" Target="../theme/themeOverride20.xml"/></Relationships>
</file>

<file path=xl/charts/_rels/chart3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32.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33.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themeOverride" Target="../theme/themeOverride22.xml"/></Relationships>
</file>

<file path=xl/charts/_rels/chart3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35.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36.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themeOverride" Target="../theme/themeOverride24.xml"/></Relationships>
</file>

<file path=xl/charts/_rels/chart3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38.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39.xml.rels><?xml version="1.0" encoding="UTF-8" standalone="yes"?>
<Relationships xmlns="http://schemas.openxmlformats.org/package/2006/relationships"><Relationship Id="rId2" Type="http://schemas.openxmlformats.org/officeDocument/2006/relationships/chartUserShapes" Target="../drawings/drawing26.xml"/><Relationship Id="rId1" Type="http://schemas.openxmlformats.org/officeDocument/2006/relationships/themeOverride" Target="../theme/themeOverride26.xml"/></Relationships>
</file>

<file path=xl/charts/_rels/chart4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41.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42.xml.rels><?xml version="1.0" encoding="UTF-8" standalone="yes"?>
<Relationships xmlns="http://schemas.openxmlformats.org/package/2006/relationships"><Relationship Id="rId2" Type="http://schemas.openxmlformats.org/officeDocument/2006/relationships/chartUserShapes" Target="../drawings/drawing28.xml"/><Relationship Id="rId1" Type="http://schemas.openxmlformats.org/officeDocument/2006/relationships/themeOverride" Target="../theme/themeOverride28.xml"/></Relationships>
</file>

<file path=xl/charts/_rels/chart4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44.xml.rels><?xml version="1.0" encoding="UTF-8" standalone="yes"?>
<Relationships xmlns="http://schemas.openxmlformats.org/package/2006/relationships"><Relationship Id="rId1" Type="http://schemas.openxmlformats.org/officeDocument/2006/relationships/themeOverride" Target="../theme/themeOverride29.xml"/></Relationships>
</file>

<file path=xl/charts/_rels/chart45.xml.rels><?xml version="1.0" encoding="UTF-8" standalone="yes"?>
<Relationships xmlns="http://schemas.openxmlformats.org/package/2006/relationships"><Relationship Id="rId2" Type="http://schemas.openxmlformats.org/officeDocument/2006/relationships/chartUserShapes" Target="../drawings/drawing30.xml"/><Relationship Id="rId1" Type="http://schemas.openxmlformats.org/officeDocument/2006/relationships/themeOverride" Target="../theme/themeOverride30.xml"/></Relationships>
</file>

<file path=xl/charts/_rels/chart4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47.xml.rels><?xml version="1.0" encoding="UTF-8" standalone="yes"?>
<Relationships xmlns="http://schemas.openxmlformats.org/package/2006/relationships"><Relationship Id="rId1" Type="http://schemas.openxmlformats.org/officeDocument/2006/relationships/themeOverride" Target="../theme/themeOverride31.xml"/></Relationships>
</file>

<file path=xl/charts/_rels/chart48.xml.rels><?xml version="1.0" encoding="UTF-8" standalone="yes"?>
<Relationships xmlns="http://schemas.openxmlformats.org/package/2006/relationships"><Relationship Id="rId2" Type="http://schemas.openxmlformats.org/officeDocument/2006/relationships/chartUserShapes" Target="../drawings/drawing32.xml"/><Relationship Id="rId1" Type="http://schemas.openxmlformats.org/officeDocument/2006/relationships/themeOverride" Target="../theme/themeOverride32.xml"/></Relationships>
</file>

<file path=xl/charts/_rels/chart4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50.xml.rels><?xml version="1.0" encoding="UTF-8" standalone="yes"?>
<Relationships xmlns="http://schemas.openxmlformats.org/package/2006/relationships"><Relationship Id="rId1" Type="http://schemas.openxmlformats.org/officeDocument/2006/relationships/themeOverride" Target="../theme/themeOverride33.xml"/></Relationships>
</file>

<file path=xl/charts/_rels/chart51.xml.rels><?xml version="1.0" encoding="UTF-8" standalone="yes"?>
<Relationships xmlns="http://schemas.openxmlformats.org/package/2006/relationships"><Relationship Id="rId2" Type="http://schemas.openxmlformats.org/officeDocument/2006/relationships/chartUserShapes" Target="../drawings/drawing34.xml"/><Relationship Id="rId1" Type="http://schemas.openxmlformats.org/officeDocument/2006/relationships/themeOverride" Target="../theme/themeOverride34.xml"/></Relationships>
</file>

<file path=xl/charts/_rels/chart5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5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54.xml.rels><?xml version="1.0" encoding="UTF-8" standalone="yes"?>
<Relationships xmlns="http://schemas.openxmlformats.org/package/2006/relationships"><Relationship Id="rId1" Type="http://schemas.openxmlformats.org/officeDocument/2006/relationships/themeOverride" Target="../theme/themeOverride35.xml"/></Relationships>
</file>

<file path=xl/charts/_rels/chart55.xml.rels><?xml version="1.0" encoding="UTF-8" standalone="yes"?>
<Relationships xmlns="http://schemas.openxmlformats.org/package/2006/relationships"><Relationship Id="rId2" Type="http://schemas.openxmlformats.org/officeDocument/2006/relationships/chartUserShapes" Target="../drawings/drawing36.xml"/><Relationship Id="rId1" Type="http://schemas.openxmlformats.org/officeDocument/2006/relationships/themeOverride" Target="../theme/themeOverride36.xml"/></Relationships>
</file>

<file path=xl/charts/_rels/chart5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57.xml.rels><?xml version="1.0" encoding="UTF-8" standalone="yes"?>
<Relationships xmlns="http://schemas.openxmlformats.org/package/2006/relationships"><Relationship Id="rId1" Type="http://schemas.openxmlformats.org/officeDocument/2006/relationships/themeOverride" Target="../theme/themeOverride37.xml"/></Relationships>
</file>

<file path=xl/charts/_rels/chart58.xml.rels><?xml version="1.0" encoding="UTF-8" standalone="yes"?>
<Relationships xmlns="http://schemas.openxmlformats.org/package/2006/relationships"><Relationship Id="rId2" Type="http://schemas.openxmlformats.org/officeDocument/2006/relationships/chartUserShapes" Target="../drawings/drawing38.xml"/><Relationship Id="rId1" Type="http://schemas.openxmlformats.org/officeDocument/2006/relationships/themeOverride" Target="../theme/themeOverride38.xml"/></Relationships>
</file>

<file path=xl/charts/_rels/chart5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6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61.xml.rels><?xml version="1.0" encoding="UTF-8" standalone="yes"?>
<Relationships xmlns="http://schemas.openxmlformats.org/package/2006/relationships"><Relationship Id="rId1" Type="http://schemas.openxmlformats.org/officeDocument/2006/relationships/themeOverride" Target="../theme/themeOverride39.xml"/></Relationships>
</file>

<file path=xl/charts/_rels/chart62.xml.rels><?xml version="1.0" encoding="UTF-8" standalone="yes"?>
<Relationships xmlns="http://schemas.openxmlformats.org/package/2006/relationships"><Relationship Id="rId2" Type="http://schemas.openxmlformats.org/officeDocument/2006/relationships/chartUserShapes" Target="../drawings/drawing40.xml"/><Relationship Id="rId1" Type="http://schemas.openxmlformats.org/officeDocument/2006/relationships/themeOverride" Target="../theme/themeOverride40.xml"/></Relationships>
</file>

<file path=xl/charts/_rels/chart6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64.xml.rels><?xml version="1.0" encoding="UTF-8" standalone="yes"?>
<Relationships xmlns="http://schemas.openxmlformats.org/package/2006/relationships"><Relationship Id="rId1" Type="http://schemas.openxmlformats.org/officeDocument/2006/relationships/themeOverride" Target="../theme/themeOverride41.xml"/></Relationships>
</file>

<file path=xl/charts/_rels/chart65.xml.rels><?xml version="1.0" encoding="UTF-8" standalone="yes"?>
<Relationships xmlns="http://schemas.openxmlformats.org/package/2006/relationships"><Relationship Id="rId2" Type="http://schemas.openxmlformats.org/officeDocument/2006/relationships/chartUserShapes" Target="../drawings/drawing42.xml"/><Relationship Id="rId1" Type="http://schemas.openxmlformats.org/officeDocument/2006/relationships/themeOverride" Target="../theme/themeOverride42.xml"/></Relationships>
</file>

<file path=xl/charts/_rels/chart6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67.xml.rels><?xml version="1.0" encoding="UTF-8" standalone="yes"?>
<Relationships xmlns="http://schemas.openxmlformats.org/package/2006/relationships"><Relationship Id="rId1" Type="http://schemas.openxmlformats.org/officeDocument/2006/relationships/themeOverride" Target="../theme/themeOverride43.xml"/></Relationships>
</file>

<file path=xl/charts/_rels/chart68.xml.rels><?xml version="1.0" encoding="UTF-8" standalone="yes"?>
<Relationships xmlns="http://schemas.openxmlformats.org/package/2006/relationships"><Relationship Id="rId2" Type="http://schemas.openxmlformats.org/officeDocument/2006/relationships/chartUserShapes" Target="../drawings/drawing44.xml"/><Relationship Id="rId1" Type="http://schemas.openxmlformats.org/officeDocument/2006/relationships/themeOverride" Target="../theme/themeOverride44.xml"/></Relationships>
</file>

<file path=xl/charts/_rels/chart6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7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71.xml.rels><?xml version="1.0" encoding="UTF-8" standalone="yes"?>
<Relationships xmlns="http://schemas.openxmlformats.org/package/2006/relationships"><Relationship Id="rId1" Type="http://schemas.openxmlformats.org/officeDocument/2006/relationships/themeOverride" Target="../theme/themeOverride45.xml"/></Relationships>
</file>

<file path=xl/charts/_rels/chart72.xml.rels><?xml version="1.0" encoding="UTF-8" standalone="yes"?>
<Relationships xmlns="http://schemas.openxmlformats.org/package/2006/relationships"><Relationship Id="rId2" Type="http://schemas.openxmlformats.org/officeDocument/2006/relationships/chartUserShapes" Target="../drawings/drawing46.xml"/><Relationship Id="rId1" Type="http://schemas.openxmlformats.org/officeDocument/2006/relationships/themeOverride" Target="../theme/themeOverride46.xml"/></Relationships>
</file>

<file path=xl/charts/_rels/chart7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7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75.xml.rels><?xml version="1.0" encoding="UTF-8" standalone="yes"?>
<Relationships xmlns="http://schemas.openxmlformats.org/package/2006/relationships"><Relationship Id="rId1" Type="http://schemas.openxmlformats.org/officeDocument/2006/relationships/themeOverride" Target="../theme/themeOverride47.xml"/></Relationships>
</file>

<file path=xl/charts/_rels/chart76.xml.rels><?xml version="1.0" encoding="UTF-8" standalone="yes"?>
<Relationships xmlns="http://schemas.openxmlformats.org/package/2006/relationships"><Relationship Id="rId2" Type="http://schemas.openxmlformats.org/officeDocument/2006/relationships/chartUserShapes" Target="../drawings/drawing48.xml"/><Relationship Id="rId1" Type="http://schemas.openxmlformats.org/officeDocument/2006/relationships/themeOverride" Target="../theme/themeOverride48.xml"/></Relationships>
</file>

<file path=xl/charts/_rels/chart77.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78.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79.xml.rels><?xml version="1.0" encoding="UTF-8" standalone="yes"?>
<Relationships xmlns="http://schemas.openxmlformats.org/package/2006/relationships"><Relationship Id="rId1" Type="http://schemas.openxmlformats.org/officeDocument/2006/relationships/themeOverride" Target="../theme/themeOverride49.xml"/></Relationships>
</file>

<file path=xl/charts/_rels/chart80.xml.rels><?xml version="1.0" encoding="UTF-8" standalone="yes"?>
<Relationships xmlns="http://schemas.openxmlformats.org/package/2006/relationships"><Relationship Id="rId2" Type="http://schemas.openxmlformats.org/officeDocument/2006/relationships/chartUserShapes" Target="../drawings/drawing50.xml"/><Relationship Id="rId1" Type="http://schemas.openxmlformats.org/officeDocument/2006/relationships/themeOverride" Target="../theme/themeOverride50.xml"/></Relationships>
</file>

<file path=xl/charts/_rels/chart8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8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83.xml.rels><?xml version="1.0" encoding="UTF-8" standalone="yes"?>
<Relationships xmlns="http://schemas.openxmlformats.org/package/2006/relationships"><Relationship Id="rId1" Type="http://schemas.openxmlformats.org/officeDocument/2006/relationships/themeOverride" Target="../theme/themeOverride51.xml"/></Relationships>
</file>

<file path=xl/charts/_rels/chart84.xml.rels><?xml version="1.0" encoding="UTF-8" standalone="yes"?>
<Relationships xmlns="http://schemas.openxmlformats.org/package/2006/relationships"><Relationship Id="rId2" Type="http://schemas.openxmlformats.org/officeDocument/2006/relationships/chartUserShapes" Target="../drawings/drawing52.xml"/><Relationship Id="rId1" Type="http://schemas.openxmlformats.org/officeDocument/2006/relationships/themeOverride" Target="../theme/themeOverride52.xml"/></Relationships>
</file>

<file path=xl/charts/_rels/chart8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8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87.xml.rels><?xml version="1.0" encoding="UTF-8" standalone="yes"?>
<Relationships xmlns="http://schemas.openxmlformats.org/package/2006/relationships"><Relationship Id="rId1" Type="http://schemas.openxmlformats.org/officeDocument/2006/relationships/themeOverride" Target="../theme/themeOverride53.xml"/></Relationships>
</file>

<file path=xl/charts/_rels/chart88.xml.rels><?xml version="1.0" encoding="UTF-8" standalone="yes"?>
<Relationships xmlns="http://schemas.openxmlformats.org/package/2006/relationships"><Relationship Id="rId2" Type="http://schemas.openxmlformats.org/officeDocument/2006/relationships/chartUserShapes" Target="../drawings/drawing54.xml"/><Relationship Id="rId1" Type="http://schemas.openxmlformats.org/officeDocument/2006/relationships/themeOverride" Target="../theme/themeOverride54.xml"/></Relationships>
</file>

<file path=xl/charts/_rels/chart89.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90.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91.xml.rels><?xml version="1.0" encoding="UTF-8" standalone="yes"?>
<Relationships xmlns="http://schemas.openxmlformats.org/package/2006/relationships"><Relationship Id="rId1" Type="http://schemas.openxmlformats.org/officeDocument/2006/relationships/themeOverride" Target="../theme/themeOverride55.xml"/></Relationships>
</file>

<file path=xl/charts/_rels/chart92.xml.rels><?xml version="1.0" encoding="UTF-8" standalone="yes"?>
<Relationships xmlns="http://schemas.openxmlformats.org/package/2006/relationships"><Relationship Id="rId2" Type="http://schemas.openxmlformats.org/officeDocument/2006/relationships/chartUserShapes" Target="../drawings/drawing56.xml"/><Relationship Id="rId1" Type="http://schemas.openxmlformats.org/officeDocument/2006/relationships/themeOverride" Target="../theme/themeOverride56.xml"/></Relationships>
</file>

<file path=xl/charts/_rels/chart93.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94.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95.xml.rels><?xml version="1.0" encoding="UTF-8" standalone="yes"?>
<Relationships xmlns="http://schemas.openxmlformats.org/package/2006/relationships"><Relationship Id="rId1" Type="http://schemas.openxmlformats.org/officeDocument/2006/relationships/themeOverride" Target="../theme/themeOverride57.xml"/></Relationships>
</file>

<file path=xl/charts/_rels/chart96.xml.rels><?xml version="1.0" encoding="UTF-8" standalone="yes"?>
<Relationships xmlns="http://schemas.openxmlformats.org/package/2006/relationships"><Relationship Id="rId2" Type="http://schemas.openxmlformats.org/officeDocument/2006/relationships/chartUserShapes" Target="../drawings/drawing58.xml"/><Relationship Id="rId1" Type="http://schemas.openxmlformats.org/officeDocument/2006/relationships/themeOverride" Target="../theme/themeOverride58.xml"/></Relationships>
</file>

<file path=xl/charts/_rels/chart97.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98.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99.xml.rels><?xml version="1.0" encoding="UTF-8" standalone="yes"?>
<Relationships xmlns="http://schemas.openxmlformats.org/package/2006/relationships"><Relationship Id="rId1" Type="http://schemas.openxmlformats.org/officeDocument/2006/relationships/themeOverride" Target="../theme/themeOverride59.xml"/></Relationships>
</file>

<file path=xl/charts/_rels/chart100.xml.rels><?xml version="1.0" encoding="UTF-8" standalone="yes"?>
<Relationships xmlns="http://schemas.openxmlformats.org/package/2006/relationships"><Relationship Id="rId2" Type="http://schemas.openxmlformats.org/officeDocument/2006/relationships/chartUserShapes" Target="../drawings/drawing60.xml"/><Relationship Id="rId1" Type="http://schemas.openxmlformats.org/officeDocument/2006/relationships/themeOverride" Target="../theme/themeOverride60.xml"/></Relationships>
</file>

<file path=xl/charts/_rels/chart10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10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103.xml.rels><?xml version="1.0" encoding="UTF-8" standalone="yes"?>
<Relationships xmlns="http://schemas.openxmlformats.org/package/2006/relationships"><Relationship Id="rId1" Type="http://schemas.openxmlformats.org/officeDocument/2006/relationships/themeOverride" Target="../theme/themeOverride61.xml"/></Relationships>
</file>

<file path=xl/charts/_rels/chart104.xml.rels><?xml version="1.0" encoding="UTF-8" standalone="yes"?>
<Relationships xmlns="http://schemas.openxmlformats.org/package/2006/relationships"><Relationship Id="rId2" Type="http://schemas.openxmlformats.org/officeDocument/2006/relationships/chartUserShapes" Target="../drawings/drawing62.xml"/><Relationship Id="rId1" Type="http://schemas.openxmlformats.org/officeDocument/2006/relationships/themeOverride" Target="../theme/themeOverride62.xml"/></Relationships>
</file>

<file path=xl/charts/_rels/chart105.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106.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107.xml.rels><?xml version="1.0" encoding="UTF-8" standalone="yes"?>
<Relationships xmlns="http://schemas.openxmlformats.org/package/2006/relationships"><Relationship Id="rId1" Type="http://schemas.openxmlformats.org/officeDocument/2006/relationships/themeOverride" Target="../theme/themeOverride63.xml"/></Relationships>
</file>

<file path=xl/charts/_rels/chart108.xml.rels><?xml version="1.0" encoding="UTF-8" standalone="yes"?>
<Relationships xmlns="http://schemas.openxmlformats.org/package/2006/relationships"><Relationship Id="rId2" Type="http://schemas.openxmlformats.org/officeDocument/2006/relationships/chartUserShapes" Target="../drawings/drawing64.xml"/><Relationship Id="rId1" Type="http://schemas.openxmlformats.org/officeDocument/2006/relationships/themeOverride" Target="../theme/themeOverride64.xml"/></Relationships>
</file>

<file path=xl/charts/_rels/chart109.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11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111.xml.rels><?xml version="1.0" encoding="UTF-8" standalone="yes"?>
<Relationships xmlns="http://schemas.openxmlformats.org/package/2006/relationships"><Relationship Id="rId1" Type="http://schemas.openxmlformats.org/officeDocument/2006/relationships/themeOverride" Target="../theme/themeOverride65.xml"/></Relationships>
</file>

<file path=xl/charts/_rels/chart112.xml.rels><?xml version="1.0" encoding="UTF-8" standalone="yes"?>
<Relationships xmlns="http://schemas.openxmlformats.org/package/2006/relationships"><Relationship Id="rId2" Type="http://schemas.openxmlformats.org/officeDocument/2006/relationships/chartUserShapes" Target="../drawings/drawing66.xml"/><Relationship Id="rId1" Type="http://schemas.openxmlformats.org/officeDocument/2006/relationships/themeOverride" Target="../theme/themeOverride66.xml"/></Relationships>
</file>

<file path=xl/charts/_rels/chart11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114.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115.xml.rels><?xml version="1.0" encoding="UTF-8" standalone="yes"?>
<Relationships xmlns="http://schemas.openxmlformats.org/package/2006/relationships"><Relationship Id="rId1" Type="http://schemas.openxmlformats.org/officeDocument/2006/relationships/themeOverride" Target="../theme/themeOverride67.xml"/></Relationships>
</file>

<file path=xl/charts/_rels/chart116.xml.rels><?xml version="1.0" encoding="UTF-8" standalone="yes"?>
<Relationships xmlns="http://schemas.openxmlformats.org/package/2006/relationships"><Relationship Id="rId2" Type="http://schemas.openxmlformats.org/officeDocument/2006/relationships/chartUserShapes" Target="../drawings/drawing68.xml"/><Relationship Id="rId1" Type="http://schemas.openxmlformats.org/officeDocument/2006/relationships/themeOverride" Target="../theme/themeOverride68.xml"/></Relationships>
</file>

<file path=xl/charts/_rels/chart117.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118.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119.xml.rels><?xml version="1.0" encoding="UTF-8" standalone="yes"?>
<Relationships xmlns="http://schemas.openxmlformats.org/package/2006/relationships"><Relationship Id="rId1" Type="http://schemas.openxmlformats.org/officeDocument/2006/relationships/themeOverride" Target="../theme/themeOverride69.xml"/></Relationships>
</file>

<file path=xl/charts/_rels/chart120.xml.rels><?xml version="1.0" encoding="UTF-8" standalone="yes"?>
<Relationships xmlns="http://schemas.openxmlformats.org/package/2006/relationships"><Relationship Id="rId2" Type="http://schemas.openxmlformats.org/officeDocument/2006/relationships/chartUserShapes" Target="../drawings/drawing70.xml"/><Relationship Id="rId1" Type="http://schemas.openxmlformats.org/officeDocument/2006/relationships/themeOverride" Target="../theme/themeOverride70.xml"/></Relationships>
</file>

<file path=xl/charts/_rels/chart12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12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123.xml.rels><?xml version="1.0" encoding="UTF-8" standalone="yes"?>
<Relationships xmlns="http://schemas.openxmlformats.org/package/2006/relationships"><Relationship Id="rId1" Type="http://schemas.openxmlformats.org/officeDocument/2006/relationships/themeOverride" Target="../theme/themeOverride71.xml"/></Relationships>
</file>

<file path=xl/charts/_rels/chart124.xml.rels><?xml version="1.0" encoding="UTF-8" standalone="yes"?>
<Relationships xmlns="http://schemas.openxmlformats.org/package/2006/relationships"><Relationship Id="rId2" Type="http://schemas.openxmlformats.org/officeDocument/2006/relationships/chartUserShapes" Target="../drawings/drawing72.xml"/><Relationship Id="rId1" Type="http://schemas.openxmlformats.org/officeDocument/2006/relationships/themeOverride" Target="../theme/themeOverride72.xml"/></Relationships>
</file>

<file path=xl/charts/_rels/chart125.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126.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127.xml.rels><?xml version="1.0" encoding="UTF-8" standalone="yes"?>
<Relationships xmlns="http://schemas.openxmlformats.org/package/2006/relationships"><Relationship Id="rId1" Type="http://schemas.openxmlformats.org/officeDocument/2006/relationships/themeOverride" Target="../theme/themeOverride73.xml"/></Relationships>
</file>

<file path=xl/charts/_rels/chart128.xml.rels><?xml version="1.0" encoding="UTF-8" standalone="yes"?>
<Relationships xmlns="http://schemas.openxmlformats.org/package/2006/relationships"><Relationship Id="rId2" Type="http://schemas.openxmlformats.org/officeDocument/2006/relationships/chartUserShapes" Target="../drawings/drawing74.xml"/><Relationship Id="rId1" Type="http://schemas.openxmlformats.org/officeDocument/2006/relationships/themeOverride" Target="../theme/themeOverride74.xml"/></Relationships>
</file>

<file path=xl/charts/_rels/chart129.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130.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131.xml.rels><?xml version="1.0" encoding="UTF-8" standalone="yes"?>
<Relationships xmlns="http://schemas.openxmlformats.org/package/2006/relationships"><Relationship Id="rId1" Type="http://schemas.openxmlformats.org/officeDocument/2006/relationships/themeOverride" Target="../theme/themeOverride75.xml"/></Relationships>
</file>

<file path=xl/charts/_rels/chart132.xml.rels><?xml version="1.0" encoding="UTF-8" standalone="yes"?>
<Relationships xmlns="http://schemas.openxmlformats.org/package/2006/relationships"><Relationship Id="rId2" Type="http://schemas.openxmlformats.org/officeDocument/2006/relationships/chartUserShapes" Target="../drawings/drawing76.xml"/><Relationship Id="rId1" Type="http://schemas.openxmlformats.org/officeDocument/2006/relationships/themeOverride" Target="../theme/themeOverride76.xml"/></Relationships>
</file>

<file path=xl/charts/_rels/chart133.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134.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135.xml.rels><?xml version="1.0" encoding="UTF-8" standalone="yes"?>
<Relationships xmlns="http://schemas.openxmlformats.org/package/2006/relationships"><Relationship Id="rId1" Type="http://schemas.openxmlformats.org/officeDocument/2006/relationships/themeOverride" Target="../theme/themeOverride77.xml"/></Relationships>
</file>

<file path=xl/charts/_rels/chart136.xml.rels><?xml version="1.0" encoding="UTF-8" standalone="yes"?>
<Relationships xmlns="http://schemas.openxmlformats.org/package/2006/relationships"><Relationship Id="rId2" Type="http://schemas.openxmlformats.org/officeDocument/2006/relationships/chartUserShapes" Target="../drawings/drawing78.xml"/><Relationship Id="rId1" Type="http://schemas.openxmlformats.org/officeDocument/2006/relationships/themeOverride" Target="../theme/themeOverride78.xml"/></Relationships>
</file>

<file path=xl/charts/_rels/chart137.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138.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139.xml.rels><?xml version="1.0" encoding="UTF-8" standalone="yes"?>
<Relationships xmlns="http://schemas.openxmlformats.org/package/2006/relationships"><Relationship Id="rId1" Type="http://schemas.openxmlformats.org/officeDocument/2006/relationships/themeOverride" Target="../theme/themeOverride79.xml"/></Relationships>
</file>

<file path=xl/charts/_rels/chart140.xml.rels><?xml version="1.0" encoding="UTF-8" standalone="yes"?>
<Relationships xmlns="http://schemas.openxmlformats.org/package/2006/relationships"><Relationship Id="rId2" Type="http://schemas.openxmlformats.org/officeDocument/2006/relationships/chartUserShapes" Target="../drawings/drawing80.xml"/><Relationship Id="rId1" Type="http://schemas.openxmlformats.org/officeDocument/2006/relationships/themeOverride" Target="../theme/themeOverride80.xml"/></Relationships>
</file>

<file path=xl/charts/_rels/chart14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14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143.xml.rels><?xml version="1.0" encoding="UTF-8" standalone="yes"?>
<Relationships xmlns="http://schemas.openxmlformats.org/package/2006/relationships"><Relationship Id="rId1" Type="http://schemas.openxmlformats.org/officeDocument/2006/relationships/themeOverride" Target="../theme/themeOverride81.xml"/></Relationships>
</file>

<file path=xl/charts/_rels/chart144.xml.rels><?xml version="1.0" encoding="UTF-8" standalone="yes"?>
<Relationships xmlns="http://schemas.openxmlformats.org/package/2006/relationships"><Relationship Id="rId2" Type="http://schemas.openxmlformats.org/officeDocument/2006/relationships/chartUserShapes" Target="../drawings/drawing82.xml"/><Relationship Id="rId1" Type="http://schemas.openxmlformats.org/officeDocument/2006/relationships/themeOverride" Target="../theme/themeOverride82.xml"/></Relationships>
</file>

<file path=xl/charts/_rels/chart145.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146.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147.xml.rels><?xml version="1.0" encoding="UTF-8" standalone="yes"?>
<Relationships xmlns="http://schemas.openxmlformats.org/package/2006/relationships"><Relationship Id="rId1" Type="http://schemas.openxmlformats.org/officeDocument/2006/relationships/themeOverride" Target="../theme/themeOverride83.xml"/></Relationships>
</file>

<file path=xl/charts/_rels/chart148.xml.rels><?xml version="1.0" encoding="UTF-8" standalone="yes"?>
<Relationships xmlns="http://schemas.openxmlformats.org/package/2006/relationships"><Relationship Id="rId2" Type="http://schemas.openxmlformats.org/officeDocument/2006/relationships/chartUserShapes" Target="../drawings/drawing84.xml"/><Relationship Id="rId1" Type="http://schemas.openxmlformats.org/officeDocument/2006/relationships/themeOverride" Target="../theme/themeOverride84.xml"/></Relationships>
</file>

<file path=xl/charts/_rels/chart149.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150.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151.xml.rels><?xml version="1.0" encoding="UTF-8" standalone="yes"?>
<Relationships xmlns="http://schemas.openxmlformats.org/package/2006/relationships"><Relationship Id="rId1" Type="http://schemas.openxmlformats.org/officeDocument/2006/relationships/themeOverride" Target="../theme/themeOverride85.xml"/></Relationships>
</file>

<file path=xl/charts/_rels/chart152.xml.rels><?xml version="1.0" encoding="UTF-8" standalone="yes"?>
<Relationships xmlns="http://schemas.openxmlformats.org/package/2006/relationships"><Relationship Id="rId2" Type="http://schemas.openxmlformats.org/officeDocument/2006/relationships/chartUserShapes" Target="../drawings/drawing86.xml"/><Relationship Id="rId1" Type="http://schemas.openxmlformats.org/officeDocument/2006/relationships/themeOverride" Target="../theme/themeOverride86.xml"/></Relationships>
</file>

<file path=xl/charts/_rels/chart153.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154.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155.xml.rels><?xml version="1.0" encoding="UTF-8" standalone="yes"?>
<Relationships xmlns="http://schemas.openxmlformats.org/package/2006/relationships"><Relationship Id="rId1" Type="http://schemas.openxmlformats.org/officeDocument/2006/relationships/themeOverride" Target="../theme/themeOverride87.xml"/></Relationships>
</file>

<file path=xl/charts/_rels/chart156.xml.rels><?xml version="1.0" encoding="UTF-8" standalone="yes"?>
<Relationships xmlns="http://schemas.openxmlformats.org/package/2006/relationships"><Relationship Id="rId2" Type="http://schemas.openxmlformats.org/officeDocument/2006/relationships/chartUserShapes" Target="../drawings/drawing88.xml"/><Relationship Id="rId1" Type="http://schemas.openxmlformats.org/officeDocument/2006/relationships/themeOverride" Target="../theme/themeOverride88.xml"/></Relationships>
</file>

<file path=xl/charts/_rels/chart157.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158.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159.xml.rels><?xml version="1.0" encoding="UTF-8" standalone="yes"?>
<Relationships xmlns="http://schemas.openxmlformats.org/package/2006/relationships"><Relationship Id="rId1" Type="http://schemas.openxmlformats.org/officeDocument/2006/relationships/themeOverride" Target="../theme/themeOverride89.xml"/></Relationships>
</file>

<file path=xl/charts/_rels/chart160.xml.rels><?xml version="1.0" encoding="UTF-8" standalone="yes"?>
<Relationships xmlns="http://schemas.openxmlformats.org/package/2006/relationships"><Relationship Id="rId2" Type="http://schemas.openxmlformats.org/officeDocument/2006/relationships/chartUserShapes" Target="../drawings/drawing90.xml"/><Relationship Id="rId1" Type="http://schemas.openxmlformats.org/officeDocument/2006/relationships/themeOverride" Target="../theme/themeOverride90.xml"/></Relationships>
</file>

<file path=xl/charts/_rels/chart16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16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163.xml.rels><?xml version="1.0" encoding="UTF-8" standalone="yes"?>
<Relationships xmlns="http://schemas.openxmlformats.org/package/2006/relationships"><Relationship Id="rId1" Type="http://schemas.openxmlformats.org/officeDocument/2006/relationships/themeOverride" Target="../theme/themeOverride91.xml"/></Relationships>
</file>

<file path=xl/charts/_rels/chart164.xml.rels><?xml version="1.0" encoding="UTF-8" standalone="yes"?>
<Relationships xmlns="http://schemas.openxmlformats.org/package/2006/relationships"><Relationship Id="rId2" Type="http://schemas.openxmlformats.org/officeDocument/2006/relationships/chartUserShapes" Target="../drawings/drawing92.xml"/><Relationship Id="rId1" Type="http://schemas.openxmlformats.org/officeDocument/2006/relationships/themeOverride" Target="../theme/themeOverride92.xml"/></Relationships>
</file>

<file path=xl/charts/_rels/chart165.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166.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167.xml.rels><?xml version="1.0" encoding="UTF-8" standalone="yes"?>
<Relationships xmlns="http://schemas.openxmlformats.org/package/2006/relationships"><Relationship Id="rId1" Type="http://schemas.openxmlformats.org/officeDocument/2006/relationships/themeOverride" Target="../theme/themeOverride93.xml"/></Relationships>
</file>

<file path=xl/charts/_rels/chart168.xml.rels><?xml version="1.0" encoding="UTF-8" standalone="yes"?>
<Relationships xmlns="http://schemas.openxmlformats.org/package/2006/relationships"><Relationship Id="rId2" Type="http://schemas.openxmlformats.org/officeDocument/2006/relationships/chartUserShapes" Target="../drawings/drawing94.xml"/><Relationship Id="rId1" Type="http://schemas.openxmlformats.org/officeDocument/2006/relationships/themeOverride" Target="../theme/themeOverride94.xml"/></Relationships>
</file>

<file path=xl/charts/_rels/chart169.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170.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171.xml.rels><?xml version="1.0" encoding="UTF-8" standalone="yes"?>
<Relationships xmlns="http://schemas.openxmlformats.org/package/2006/relationships"><Relationship Id="rId1" Type="http://schemas.openxmlformats.org/officeDocument/2006/relationships/themeOverride" Target="../theme/themeOverride95.xml"/></Relationships>
</file>

<file path=xl/charts/_rels/chart172.xml.rels><?xml version="1.0" encoding="UTF-8" standalone="yes"?>
<Relationships xmlns="http://schemas.openxmlformats.org/package/2006/relationships"><Relationship Id="rId2" Type="http://schemas.openxmlformats.org/officeDocument/2006/relationships/chartUserShapes" Target="../drawings/drawing96.xml"/><Relationship Id="rId1" Type="http://schemas.openxmlformats.org/officeDocument/2006/relationships/themeOverride" Target="../theme/themeOverride96.xml"/></Relationships>
</file>

<file path=xl/charts/_rels/chart173.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174.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175.xml.rels><?xml version="1.0" encoding="UTF-8" standalone="yes"?>
<Relationships xmlns="http://schemas.openxmlformats.org/package/2006/relationships"><Relationship Id="rId1" Type="http://schemas.openxmlformats.org/officeDocument/2006/relationships/themeOverride" Target="../theme/themeOverride97.xml"/></Relationships>
</file>

<file path=xl/charts/_rels/chart176.xml.rels><?xml version="1.0" encoding="UTF-8" standalone="yes"?>
<Relationships xmlns="http://schemas.openxmlformats.org/package/2006/relationships"><Relationship Id="rId2" Type="http://schemas.openxmlformats.org/officeDocument/2006/relationships/chartUserShapes" Target="../drawings/drawing98.xml"/><Relationship Id="rId1" Type="http://schemas.openxmlformats.org/officeDocument/2006/relationships/themeOverride" Target="../theme/themeOverride98.xml"/></Relationships>
</file>

<file path=xl/charts/_rels/chart177.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_rels/chart178.xml.rels><?xml version="1.0" encoding="UTF-8" standalone="yes"?>
<Relationships xmlns="http://schemas.openxmlformats.org/package/2006/relationships"><Relationship Id="rId2" Type="http://schemas.microsoft.com/office/2011/relationships/chartColorStyle" Target="colors80.xml"/><Relationship Id="rId1" Type="http://schemas.microsoft.com/office/2011/relationships/chartStyle" Target="style80.xml"/></Relationships>
</file>

<file path=xl/charts/_rels/chart179.xml.rels><?xml version="1.0" encoding="UTF-8" standalone="yes"?>
<Relationships xmlns="http://schemas.openxmlformats.org/package/2006/relationships"><Relationship Id="rId1" Type="http://schemas.openxmlformats.org/officeDocument/2006/relationships/themeOverride" Target="../theme/themeOverride99.xml"/></Relationships>
</file>

<file path=xl/charts/_rels/chart180.xml.rels><?xml version="1.0" encoding="UTF-8" standalone="yes"?>
<Relationships xmlns="http://schemas.openxmlformats.org/package/2006/relationships"><Relationship Id="rId2" Type="http://schemas.openxmlformats.org/officeDocument/2006/relationships/chartUserShapes" Target="../drawings/drawing100.xml"/><Relationship Id="rId1" Type="http://schemas.openxmlformats.org/officeDocument/2006/relationships/themeOverride" Target="../theme/themeOverride100.xml"/></Relationships>
</file>

<file path=xl/charts/_rels/chart181.xml.rels><?xml version="1.0" encoding="UTF-8" standalone="yes"?>
<Relationships xmlns="http://schemas.openxmlformats.org/package/2006/relationships"><Relationship Id="rId2" Type="http://schemas.microsoft.com/office/2011/relationships/chartColorStyle" Target="colors81.xml"/><Relationship Id="rId1" Type="http://schemas.microsoft.com/office/2011/relationships/chartStyle" Target="style81.xml"/></Relationships>
</file>

<file path=xl/charts/_rels/chart182.xml.rels><?xml version="1.0" encoding="UTF-8" standalone="yes"?>
<Relationships xmlns="http://schemas.openxmlformats.org/package/2006/relationships"><Relationship Id="rId2" Type="http://schemas.microsoft.com/office/2011/relationships/chartColorStyle" Target="colors82.xml"/><Relationship Id="rId1" Type="http://schemas.microsoft.com/office/2011/relationships/chartStyle" Target="style82.xml"/></Relationships>
</file>

<file path=xl/charts/_rels/chart183.xml.rels><?xml version="1.0" encoding="UTF-8" standalone="yes"?>
<Relationships xmlns="http://schemas.openxmlformats.org/package/2006/relationships"><Relationship Id="rId1" Type="http://schemas.openxmlformats.org/officeDocument/2006/relationships/themeOverride" Target="../theme/themeOverride101.xml"/></Relationships>
</file>

<file path=xl/charts/_rels/chart184.xml.rels><?xml version="1.0" encoding="UTF-8" standalone="yes"?>
<Relationships xmlns="http://schemas.openxmlformats.org/package/2006/relationships"><Relationship Id="rId2" Type="http://schemas.openxmlformats.org/officeDocument/2006/relationships/chartUserShapes" Target="../drawings/drawing102.xml"/><Relationship Id="rId1" Type="http://schemas.openxmlformats.org/officeDocument/2006/relationships/themeOverride" Target="../theme/themeOverride102.xml"/></Relationships>
</file>

<file path=xl/charts/_rels/chart185.xml.rels><?xml version="1.0" encoding="UTF-8" standalone="yes"?>
<Relationships xmlns="http://schemas.openxmlformats.org/package/2006/relationships"><Relationship Id="rId2" Type="http://schemas.microsoft.com/office/2011/relationships/chartColorStyle" Target="colors83.xml"/><Relationship Id="rId1" Type="http://schemas.microsoft.com/office/2011/relationships/chartStyle" Target="style83.xml"/></Relationships>
</file>

<file path=xl/charts/_rels/chart186.xml.rels><?xml version="1.0" encoding="UTF-8" standalone="yes"?>
<Relationships xmlns="http://schemas.openxmlformats.org/package/2006/relationships"><Relationship Id="rId2" Type="http://schemas.microsoft.com/office/2011/relationships/chartColorStyle" Target="colors84.xml"/><Relationship Id="rId1" Type="http://schemas.microsoft.com/office/2011/relationships/chartStyle" Target="style84.xml"/></Relationships>
</file>

<file path=xl/charts/_rels/chart187.xml.rels><?xml version="1.0" encoding="UTF-8" standalone="yes"?>
<Relationships xmlns="http://schemas.openxmlformats.org/package/2006/relationships"><Relationship Id="rId1" Type="http://schemas.openxmlformats.org/officeDocument/2006/relationships/themeOverride" Target="../theme/themeOverride103.xml"/></Relationships>
</file>

<file path=xl/charts/_rels/chart188.xml.rels><?xml version="1.0" encoding="UTF-8" standalone="yes"?>
<Relationships xmlns="http://schemas.openxmlformats.org/package/2006/relationships"><Relationship Id="rId2" Type="http://schemas.openxmlformats.org/officeDocument/2006/relationships/chartUserShapes" Target="../drawings/drawing104.xml"/><Relationship Id="rId1" Type="http://schemas.openxmlformats.org/officeDocument/2006/relationships/themeOverride" Target="../theme/themeOverride104.xml"/></Relationships>
</file>

<file path=xl/charts/_rels/chart189.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190.xml.rels><?xml version="1.0" encoding="UTF-8" standalone="yes"?>
<Relationships xmlns="http://schemas.openxmlformats.org/package/2006/relationships"><Relationship Id="rId2" Type="http://schemas.microsoft.com/office/2011/relationships/chartColorStyle" Target="colors86.xml"/><Relationship Id="rId1" Type="http://schemas.microsoft.com/office/2011/relationships/chartStyle" Target="style86.xml"/></Relationships>
</file>

<file path=xl/charts/_rels/chart191.xml.rels><?xml version="1.0" encoding="UTF-8" standalone="yes"?>
<Relationships xmlns="http://schemas.openxmlformats.org/package/2006/relationships"><Relationship Id="rId1" Type="http://schemas.openxmlformats.org/officeDocument/2006/relationships/themeOverride" Target="../theme/themeOverride105.xml"/></Relationships>
</file>

<file path=xl/charts/_rels/chart192.xml.rels><?xml version="1.0" encoding="UTF-8" standalone="yes"?>
<Relationships xmlns="http://schemas.openxmlformats.org/package/2006/relationships"><Relationship Id="rId2" Type="http://schemas.openxmlformats.org/officeDocument/2006/relationships/chartUserShapes" Target="../drawings/drawing106.xml"/><Relationship Id="rId1" Type="http://schemas.openxmlformats.org/officeDocument/2006/relationships/themeOverride" Target="../theme/themeOverride106.xml"/></Relationships>
</file>

<file path=xl/charts/_rels/chart193.xml.rels><?xml version="1.0" encoding="UTF-8" standalone="yes"?>
<Relationships xmlns="http://schemas.openxmlformats.org/package/2006/relationships"><Relationship Id="rId2" Type="http://schemas.microsoft.com/office/2011/relationships/chartColorStyle" Target="colors87.xml"/><Relationship Id="rId1" Type="http://schemas.microsoft.com/office/2011/relationships/chartStyle" Target="style87.xml"/></Relationships>
</file>

<file path=xl/charts/_rels/chart194.xml.rels><?xml version="1.0" encoding="UTF-8" standalone="yes"?>
<Relationships xmlns="http://schemas.openxmlformats.org/package/2006/relationships"><Relationship Id="rId2" Type="http://schemas.microsoft.com/office/2011/relationships/chartColorStyle" Target="colors88.xml"/><Relationship Id="rId1" Type="http://schemas.microsoft.com/office/2011/relationships/chartStyle" Target="style88.xml"/></Relationships>
</file>

<file path=xl/charts/_rels/chart195.xml.rels><?xml version="1.0" encoding="UTF-8" standalone="yes"?>
<Relationships xmlns="http://schemas.openxmlformats.org/package/2006/relationships"><Relationship Id="rId1" Type="http://schemas.openxmlformats.org/officeDocument/2006/relationships/themeOverride" Target="../theme/themeOverride107.xml"/></Relationships>
</file>

<file path=xl/charts/_rels/chart196.xml.rels><?xml version="1.0" encoding="UTF-8" standalone="yes"?>
<Relationships xmlns="http://schemas.openxmlformats.org/package/2006/relationships"><Relationship Id="rId2" Type="http://schemas.openxmlformats.org/officeDocument/2006/relationships/chartUserShapes" Target="../drawings/drawing108.xml"/><Relationship Id="rId1" Type="http://schemas.openxmlformats.org/officeDocument/2006/relationships/themeOverride" Target="../theme/themeOverride108.xml"/></Relationships>
</file>

<file path=xl/charts/_rels/chart197.xml.rels><?xml version="1.0" encoding="UTF-8" standalone="yes"?>
<Relationships xmlns="http://schemas.openxmlformats.org/package/2006/relationships"><Relationship Id="rId2" Type="http://schemas.microsoft.com/office/2011/relationships/chartColorStyle" Target="colors89.xml"/><Relationship Id="rId1" Type="http://schemas.microsoft.com/office/2011/relationships/chartStyle" Target="style89.xml"/></Relationships>
</file>

<file path=xl/charts/_rels/chart198.xml.rels><?xml version="1.0" encoding="UTF-8" standalone="yes"?>
<Relationships xmlns="http://schemas.openxmlformats.org/package/2006/relationships"><Relationship Id="rId2" Type="http://schemas.microsoft.com/office/2011/relationships/chartColorStyle" Target="colors90.xml"/><Relationship Id="rId1" Type="http://schemas.microsoft.com/office/2011/relationships/chartStyle" Target="style90.xml"/></Relationships>
</file>

<file path=xl/charts/_rels/chart199.xml.rels><?xml version="1.0" encoding="UTF-8" standalone="yes"?>
<Relationships xmlns="http://schemas.openxmlformats.org/package/2006/relationships"><Relationship Id="rId1" Type="http://schemas.openxmlformats.org/officeDocument/2006/relationships/themeOverride" Target="../theme/themeOverride109.xml"/></Relationships>
</file>

<file path=xl/charts/_rels/chart200.xml.rels><?xml version="1.0" encoding="UTF-8" standalone="yes"?>
<Relationships xmlns="http://schemas.openxmlformats.org/package/2006/relationships"><Relationship Id="rId2" Type="http://schemas.openxmlformats.org/officeDocument/2006/relationships/chartUserShapes" Target="../drawings/drawing110.xml"/><Relationship Id="rId1" Type="http://schemas.openxmlformats.org/officeDocument/2006/relationships/themeOverride" Target="../theme/themeOverride110.xml"/></Relationships>
</file>

<file path=xl/charts/_rels/chart201.xml.rels><?xml version="1.0" encoding="UTF-8" standalone="yes"?>
<Relationships xmlns="http://schemas.openxmlformats.org/package/2006/relationships"><Relationship Id="rId2" Type="http://schemas.microsoft.com/office/2011/relationships/chartColorStyle" Target="colors91.xml"/><Relationship Id="rId1" Type="http://schemas.microsoft.com/office/2011/relationships/chartStyle" Target="style91.xml"/></Relationships>
</file>

<file path=xl/charts/_rels/chart202.xml.rels><?xml version="1.0" encoding="UTF-8" standalone="yes"?>
<Relationships xmlns="http://schemas.openxmlformats.org/package/2006/relationships"><Relationship Id="rId2" Type="http://schemas.microsoft.com/office/2011/relationships/chartColorStyle" Target="colors92.xml"/><Relationship Id="rId1" Type="http://schemas.microsoft.com/office/2011/relationships/chartStyle" Target="style92.xml"/></Relationships>
</file>

<file path=xl/charts/_rels/chart203.xml.rels><?xml version="1.0" encoding="UTF-8" standalone="yes"?>
<Relationships xmlns="http://schemas.openxmlformats.org/package/2006/relationships"><Relationship Id="rId1" Type="http://schemas.openxmlformats.org/officeDocument/2006/relationships/themeOverride" Target="../theme/themeOverride111.xml"/></Relationships>
</file>

<file path=xl/charts/_rels/chart204.xml.rels><?xml version="1.0" encoding="UTF-8" standalone="yes"?>
<Relationships xmlns="http://schemas.openxmlformats.org/package/2006/relationships"><Relationship Id="rId2" Type="http://schemas.openxmlformats.org/officeDocument/2006/relationships/chartUserShapes" Target="../drawings/drawing112.xml"/><Relationship Id="rId1" Type="http://schemas.openxmlformats.org/officeDocument/2006/relationships/themeOverride" Target="../theme/themeOverride112.xml"/></Relationships>
</file>

<file path=xl/charts/_rels/chart205.xml.rels><?xml version="1.0" encoding="UTF-8" standalone="yes"?>
<Relationships xmlns="http://schemas.openxmlformats.org/package/2006/relationships"><Relationship Id="rId2" Type="http://schemas.microsoft.com/office/2011/relationships/chartColorStyle" Target="colors93.xml"/><Relationship Id="rId1" Type="http://schemas.microsoft.com/office/2011/relationships/chartStyle" Target="style93.xml"/></Relationships>
</file>

<file path=xl/charts/_rels/chart206.xml.rels><?xml version="1.0" encoding="UTF-8" standalone="yes"?>
<Relationships xmlns="http://schemas.openxmlformats.org/package/2006/relationships"><Relationship Id="rId2" Type="http://schemas.microsoft.com/office/2011/relationships/chartColorStyle" Target="colors94.xml"/><Relationship Id="rId1" Type="http://schemas.microsoft.com/office/2011/relationships/chartStyle" Target="style94.xml"/></Relationships>
</file>

<file path=xl/charts/_rels/chart207.xml.rels><?xml version="1.0" encoding="UTF-8" standalone="yes"?>
<Relationships xmlns="http://schemas.openxmlformats.org/package/2006/relationships"><Relationship Id="rId1" Type="http://schemas.openxmlformats.org/officeDocument/2006/relationships/themeOverride" Target="../theme/themeOverride113.xml"/></Relationships>
</file>

<file path=xl/charts/_rels/chart208.xml.rels><?xml version="1.0" encoding="UTF-8" standalone="yes"?>
<Relationships xmlns="http://schemas.openxmlformats.org/package/2006/relationships"><Relationship Id="rId2" Type="http://schemas.openxmlformats.org/officeDocument/2006/relationships/chartUserShapes" Target="../drawings/drawing114.xml"/><Relationship Id="rId1" Type="http://schemas.openxmlformats.org/officeDocument/2006/relationships/themeOverride" Target="../theme/themeOverride114.xml"/></Relationships>
</file>

<file path=xl/charts/_rels/chart209.xml.rels><?xml version="1.0" encoding="UTF-8" standalone="yes"?>
<Relationships xmlns="http://schemas.openxmlformats.org/package/2006/relationships"><Relationship Id="rId2" Type="http://schemas.microsoft.com/office/2011/relationships/chartColorStyle" Target="colors95.xml"/><Relationship Id="rId1" Type="http://schemas.microsoft.com/office/2011/relationships/chartStyle" Target="style9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2600738383869264"/>
                  <c:y val="0.12639568436611329"/>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'CAV-AP1-M3 (2)'!$E$34:$H$34</c:f>
              <c:numCache>
                <c:formatCode>0.00</c:formatCode>
                <c:ptCount val="4"/>
                <c:pt idx="0">
                  <c:v>4.6914788333018338</c:v>
                </c:pt>
                <c:pt idx="1">
                  <c:v>6.9957964629697358</c:v>
                </c:pt>
                <c:pt idx="2">
                  <c:v>9.0986177100017525</c:v>
                </c:pt>
                <c:pt idx="3">
                  <c:v>11.617893709164633</c:v>
                </c:pt>
              </c:numCache>
            </c:numRef>
          </c:xVal>
          <c:yVal>
            <c:numRef>
              <c:f>'CAV-AP1-M3 (2)'!$E$37:$H$37</c:f>
              <c:numCache>
                <c:formatCode>0.0000</c:formatCode>
                <c:ptCount val="4"/>
                <c:pt idx="0">
                  <c:v>1.5866430515637291</c:v>
                </c:pt>
                <c:pt idx="1">
                  <c:v>1.8283319774560773</c:v>
                </c:pt>
                <c:pt idx="2">
                  <c:v>1.8221089860460749</c:v>
                </c:pt>
                <c:pt idx="3">
                  <c:v>1.6687852461409982</c:v>
                </c:pt>
              </c:numCache>
            </c:numRef>
          </c:yVal>
          <c:smooth val="0"/>
          <c:extLst>
            <c:ext xmlns:c16="http://schemas.microsoft.com/office/drawing/2014/chart" uri="{C3380CC4-5D6E-409C-BE32-E72D297353CC}">
              <c16:uniqueId val="{00000001-91C6-4E7B-80DF-A67551642D65}"/>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'CAV-AP1-M3 (2)'!$E$34:$H$34</c:f>
              <c:numCache>
                <c:formatCode>0.00</c:formatCode>
                <c:ptCount val="4"/>
                <c:pt idx="0">
                  <c:v>4.6914788333018338</c:v>
                </c:pt>
                <c:pt idx="1">
                  <c:v>6.9957964629697358</c:v>
                </c:pt>
                <c:pt idx="2">
                  <c:v>9.0986177100017525</c:v>
                </c:pt>
                <c:pt idx="3">
                  <c:v>11.617893709164633</c:v>
                </c:pt>
              </c:numCache>
            </c:numRef>
          </c:xVal>
          <c:yVal>
            <c:numRef>
              <c:f>'CAV-AP1-M3 (2)'!$G$83:$J$83</c:f>
              <c:numCache>
                <c:formatCode>General</c:formatCode>
                <c:ptCount val="4"/>
                <c:pt idx="0">
                  <c:v>2.3431789831978493</c:v>
                </c:pt>
                <c:pt idx="1">
                  <c:v>2.2209384271119719</c:v>
                </c:pt>
                <c:pt idx="2">
                  <c:v>2.1200112706987566</c:v>
                </c:pt>
                <c:pt idx="3">
                  <c:v>2.0105501663224388</c:v>
                </c:pt>
              </c:numCache>
            </c:numRef>
          </c:yVal>
          <c:smooth val="0"/>
          <c:extLst>
            <c:ext xmlns:c16="http://schemas.microsoft.com/office/drawing/2014/chart" uri="{C3380CC4-5D6E-409C-BE32-E72D297353CC}">
              <c16:uniqueId val="{00000003-91C6-4E7B-80DF-A67551642D65}"/>
            </c:ext>
          </c:extLst>
        </c:ser>
        <c:dLbls>
          <c:showLegendKey val="0"/>
          <c:showVal val="0"/>
          <c:showCatName val="0"/>
          <c:showSerName val="0"/>
          <c:showPercent val="0"/>
          <c:showBubbleSize val="0"/>
        </c:dLbls>
        <c:axId val="862226368"/>
        <c:axId val="862172912"/>
      </c:scatterChart>
      <c:valAx>
        <c:axId val="862226368"/>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'CAV-AP1-M3 (2)'!$AJ$91:$AL$91</c:f>
              <c:numCache>
                <c:formatCode>0.000</c:formatCode>
                <c:ptCount val="3"/>
                <c:pt idx="0">
                  <c:v>1.8240247427648029</c:v>
                </c:pt>
                <c:pt idx="1">
                  <c:v>1.6937813607715224</c:v>
                </c:pt>
                <c:pt idx="2">
                  <c:v>1.5511633061147447</c:v>
                </c:pt>
              </c:numCache>
            </c:numRef>
          </c:xVal>
          <c:yVal>
            <c:numRef>
              <c:f>'CAV-AP1-M3 (2)'!$AJ$94:$AL$94</c:f>
              <c:numCache>
                <c:formatCode>0.000</c:formatCode>
                <c:ptCount val="3"/>
                <c:pt idx="0">
                  <c:v>5.0844660485492232</c:v>
                </c:pt>
                <c:pt idx="1">
                  <c:v>2.9330572808833675</c:v>
                </c:pt>
                <c:pt idx="2">
                  <c:v>2.2877846790890275</c:v>
                </c:pt>
              </c:numCache>
            </c:numRef>
          </c:yVal>
          <c:smooth val="1"/>
          <c:extLst>
            <c:ext xmlns:c16="http://schemas.microsoft.com/office/drawing/2014/chart" uri="{C3380CC4-5D6E-409C-BE32-E72D297353CC}">
              <c16:uniqueId val="{00000001-58A8-4CA0-8465-7ACC59518EB5}"/>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'CAV-AP1-M3 (2)'!$AJ$75:$AJ$86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'CAV-AP1-M3 (2)'!$AM$75:$AM$86</c:f>
              <c:numCache>
                <c:formatCode>0.000</c:formatCode>
                <c:ptCount val="12"/>
                <c:pt idx="0">
                  <c:v>3.1055900621118009E-2</c:v>
                </c:pt>
                <c:pt idx="1">
                  <c:v>9.7877846790890274E-2</c:v>
                </c:pt>
                <c:pt idx="2">
                  <c:v>0.16506211180124225</c:v>
                </c:pt>
                <c:pt idx="3">
                  <c:v>0.2582298136645963</c:v>
                </c:pt>
                <c:pt idx="4">
                  <c:v>0.35082815734989642</c:v>
                </c:pt>
                <c:pt idx="5">
                  <c:v>0.47269151138716359</c:v>
                </c:pt>
                <c:pt idx="6">
                  <c:v>0.58260869565217388</c:v>
                </c:pt>
                <c:pt idx="7">
                  <c:v>0.73732919254658391</c:v>
                </c:pt>
                <c:pt idx="8">
                  <c:v>0.86436335403726705</c:v>
                </c:pt>
                <c:pt idx="9">
                  <c:v>1.1847308488612835</c:v>
                </c:pt>
                <c:pt idx="10">
                  <c:v>1.3950310559006209</c:v>
                </c:pt>
                <c:pt idx="11">
                  <c:v>1.4902691511387165</c:v>
                </c:pt>
              </c:numCache>
            </c:numRef>
          </c:yVal>
          <c:smooth val="1"/>
          <c:extLst>
            <c:ext xmlns:c16="http://schemas.microsoft.com/office/drawing/2014/chart" uri="{C3380CC4-5D6E-409C-BE32-E72D297353CC}">
              <c16:uniqueId val="{00000000-5187-43B7-B990-0249596148CE}"/>
            </c:ext>
          </c:extLst>
        </c:ser>
        <c:ser>
          <c:idx val="1"/>
          <c:order val="1"/>
          <c:tx>
            <c:v>26 golpes</c:v>
          </c:tx>
          <c:marker>
            <c:symbol val="circle"/>
            <c:size val="3"/>
            <c:spPr>
              <a:solidFill>
                <a:srgbClr val="00B050"/>
              </a:solidFill>
              <a:ln>
                <a:solidFill>
                  <a:srgbClr val="00B050">
                    <a:alpha val="50000"/>
                  </a:srgbClr>
                </a:solidFill>
                <a:prstDash val="solid"/>
              </a:ln>
            </c:spPr>
          </c:marker>
          <c:xVal>
            <c:numRef>
              <c:f>'CAV-AP1-M3 (2)'!$AJ$75:$AJ$86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'CAV-AP1-M3 (2)'!$AO$75:$AO$86</c:f>
              <c:numCache>
                <c:formatCode>0.000</c:formatCode>
                <c:ptCount val="12"/>
                <c:pt idx="0">
                  <c:v>1.8115942028985511E-2</c:v>
                </c:pt>
                <c:pt idx="1">
                  <c:v>5.3830227743271217E-2</c:v>
                </c:pt>
                <c:pt idx="2">
                  <c:v>0.10041407867494825</c:v>
                </c:pt>
                <c:pt idx="3">
                  <c:v>0.15113871635610765</c:v>
                </c:pt>
                <c:pt idx="4">
                  <c:v>0.20238095238095238</c:v>
                </c:pt>
                <c:pt idx="5">
                  <c:v>0.25621118012422361</c:v>
                </c:pt>
                <c:pt idx="6">
                  <c:v>0.32763975155279507</c:v>
                </c:pt>
                <c:pt idx="7">
                  <c:v>0.40269151138716353</c:v>
                </c:pt>
                <c:pt idx="8">
                  <c:v>0.48395445134575565</c:v>
                </c:pt>
                <c:pt idx="9">
                  <c:v>0.7422360248447204</c:v>
                </c:pt>
                <c:pt idx="10">
                  <c:v>0.96635610766045543</c:v>
                </c:pt>
                <c:pt idx="11">
                  <c:v>1.1972049689440993</c:v>
                </c:pt>
              </c:numCache>
            </c:numRef>
          </c:yVal>
          <c:smooth val="1"/>
          <c:extLst>
            <c:ext xmlns:c16="http://schemas.microsoft.com/office/drawing/2014/chart" uri="{C3380CC4-5D6E-409C-BE32-E72D297353CC}">
              <c16:uniqueId val="{00000001-5187-43B7-B990-0249596148CE}"/>
            </c:ext>
          </c:extLst>
        </c:ser>
        <c:ser>
          <c:idx val="2"/>
          <c:order val="2"/>
          <c:tx>
            <c:v>56 golpes</c:v>
          </c:tx>
          <c:marker>
            <c:symbol val="circle"/>
            <c:size val="3"/>
            <c:spPr>
              <a:solidFill>
                <a:srgbClr val="00B050"/>
              </a:solidFill>
              <a:ln>
                <a:solidFill>
                  <a:srgbClr val="00B050">
                    <a:alpha val="50000"/>
                  </a:srgbClr>
                </a:solidFill>
                <a:prstDash val="solid"/>
              </a:ln>
            </c:spPr>
          </c:marker>
          <c:xVal>
            <c:numRef>
              <c:f>'CAV-AP1-M3 (2)'!$AJ$75:$AJ$86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'CAV-AP1-M3 (2)'!$AQ$75:$AQ$86</c:f>
              <c:numCache>
                <c:formatCode>0.000</c:formatCode>
                <c:ptCount val="12"/>
                <c:pt idx="0">
                  <c:v>1.2939958592132504E-2</c:v>
                </c:pt>
                <c:pt idx="1">
                  <c:v>4.606625258799172E-2</c:v>
                </c:pt>
                <c:pt idx="2">
                  <c:v>8.1335403726708069E-2</c:v>
                </c:pt>
                <c:pt idx="3">
                  <c:v>0.11788819875776396</c:v>
                </c:pt>
                <c:pt idx="4">
                  <c:v>0.15785714285714289</c:v>
                </c:pt>
                <c:pt idx="5">
                  <c:v>0.19472049689440993</c:v>
                </c:pt>
                <c:pt idx="6">
                  <c:v>0.23262422360248447</c:v>
                </c:pt>
                <c:pt idx="7">
                  <c:v>0.28591097308488611</c:v>
                </c:pt>
                <c:pt idx="8">
                  <c:v>0.34360766045548657</c:v>
                </c:pt>
                <c:pt idx="9">
                  <c:v>0.57039337474120089</c:v>
                </c:pt>
                <c:pt idx="10">
                  <c:v>0.74121118012422371</c:v>
                </c:pt>
                <c:pt idx="11">
                  <c:v>0.85001552795031066</c:v>
                </c:pt>
              </c:numCache>
            </c:numRef>
          </c:yVal>
          <c:smooth val="1"/>
          <c:extLst>
            <c:ext xmlns:c16="http://schemas.microsoft.com/office/drawing/2014/chart" uri="{C3380CC4-5D6E-409C-BE32-E72D297353CC}">
              <c16:uniqueId val="{00000002-5187-43B7-B990-0249596148CE}"/>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9218306816473302"/>
                  <c:y val="0.28267071916203956"/>
                </c:manualLayout>
              </c:layout>
              <c:tx>
                <c:rich>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r>
                      <a:rPr lang="en-US" sz="1100" baseline="0"/>
                      <a:t>y = -0,0046x</a:t>
                    </a:r>
                    <a:r>
                      <a:rPr lang="en-US" sz="1100" baseline="30000"/>
                      <a:t>2</a:t>
                    </a:r>
                    <a:r>
                      <a:rPr lang="en-US" sz="1100" baseline="0"/>
                      <a:t> + 0,0982x + 1,3821</a:t>
                    </a:r>
                    <a:endParaRPr lang="en-US" sz="1100"/>
                  </a:p>
                </c:rich>
              </c:tx>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n-US"/>
                </a:p>
              </c:txPr>
            </c:trendlineLbl>
          </c:trendline>
          <c:xVal>
            <c:numRef>
              <c:f>Hoja1!$E$34:$H$34</c:f>
              <c:numCache>
                <c:formatCode>0.00</c:formatCode>
                <c:ptCount val="4"/>
                <c:pt idx="0">
                  <c:v>0</c:v>
                </c:pt>
                <c:pt idx="1">
                  <c:v>0</c:v>
                </c:pt>
                <c:pt idx="2">
                  <c:v>0</c:v>
                </c:pt>
                <c:pt idx="3">
                  <c:v>0</c:v>
                </c:pt>
              </c:numCache>
            </c:numRef>
          </c:xVal>
          <c:yVal>
            <c:numRef>
              <c:f>Hoja1!$E$37:$H$37</c:f>
              <c:numCache>
                <c:formatCode>0.0000</c:formatCode>
                <c:ptCount val="4"/>
                <c:pt idx="0">
                  <c:v>0</c:v>
                </c:pt>
                <c:pt idx="1">
                  <c:v>0</c:v>
                </c:pt>
                <c:pt idx="2">
                  <c:v>0</c:v>
                </c:pt>
                <c:pt idx="3">
                  <c:v>0</c:v>
                </c:pt>
              </c:numCache>
            </c:numRef>
          </c:yVal>
          <c:smooth val="0"/>
          <c:extLst>
            <c:ext xmlns:c16="http://schemas.microsoft.com/office/drawing/2014/chart" uri="{C3380CC4-5D6E-409C-BE32-E72D297353CC}">
              <c16:uniqueId val="{00000002-63E4-480E-A478-3714B086E52C}"/>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Hoja1!$E$34:$H$34</c:f>
              <c:numCache>
                <c:formatCode>0.00</c:formatCode>
                <c:ptCount val="4"/>
                <c:pt idx="0">
                  <c:v>0</c:v>
                </c:pt>
                <c:pt idx="1">
                  <c:v>0</c:v>
                </c:pt>
                <c:pt idx="2">
                  <c:v>0</c:v>
                </c:pt>
                <c:pt idx="3">
                  <c:v>0</c:v>
                </c:pt>
              </c:numCache>
            </c:numRef>
          </c:xVal>
          <c:yVal>
            <c:numRef>
              <c:f>Hoja1!$G$83:$J$83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4-63E4-480E-A478-3714B086E52C}"/>
            </c:ext>
          </c:extLst>
        </c:ser>
        <c:ser>
          <c:idx val="2"/>
          <c:order val="2"/>
          <c:spPr>
            <a:ln w="25400" cap="rnd">
              <a:solidFill>
                <a:srgbClr val="002060"/>
              </a:solidFill>
              <a:round/>
            </a:ln>
            <a:effectLst/>
          </c:spPr>
          <c:marker>
            <c:symbol val="circle"/>
            <c:size val="5"/>
            <c:spPr>
              <a:solidFill>
                <a:srgbClr val="002060"/>
              </a:solidFill>
              <a:ln w="9525">
                <a:solidFill>
                  <a:srgbClr val="002060"/>
                </a:solidFill>
              </a:ln>
              <a:effectLst/>
            </c:spPr>
          </c:marker>
          <c:dPt>
            <c:idx val="0"/>
            <c:marker>
              <c:symbol val="circle"/>
              <c:size val="5"/>
              <c:spPr>
                <a:solidFill>
                  <a:srgbClr val="002060"/>
                </a:solidFill>
                <a:ln w="9525">
                  <a:solidFill>
                    <a:srgbClr val="002060"/>
                  </a:solidFill>
                </a:ln>
                <a:effectLst/>
              </c:spPr>
            </c:marker>
            <c:bubble3D val="0"/>
            <c:spPr>
              <a:ln w="25400" cap="rnd">
                <a:solidFill>
                  <a:srgbClr val="002060"/>
                </a:solidFill>
                <a:round/>
              </a:ln>
              <a:effectLst/>
            </c:spPr>
            <c:extLst>
              <c:ext xmlns:c16="http://schemas.microsoft.com/office/drawing/2014/chart" uri="{C3380CC4-5D6E-409C-BE32-E72D297353CC}">
                <c16:uniqueId val="{00000003-7B54-4085-98C6-470C98A46423}"/>
              </c:ext>
            </c:extLst>
          </c:dPt>
          <c:trendline>
            <c:spPr>
              <a:ln w="19050" cap="rnd">
                <a:solidFill>
                  <a:schemeClr val="accent3"/>
                </a:solidFill>
                <a:prstDash val="sysDot"/>
              </a:ln>
              <a:effectLst/>
            </c:spPr>
            <c:trendlineType val="linear"/>
            <c:dispRSqr val="0"/>
            <c:dispEq val="0"/>
          </c:trendline>
          <c:xVal>
            <c:numRef>
              <c:f>(Hoja1!$M$42,Hoja1!$M$45)</c:f>
            </c:numRef>
          </c:xVal>
          <c:yVal>
            <c:numRef>
              <c:f>Hoja1!$M$37</c:f>
              <c:numCache>
                <c:formatCode>0.000</c:formatCode>
                <c:ptCount val="1"/>
                <c:pt idx="0">
                  <c:v>0</c:v>
                </c:pt>
              </c:numCache>
            </c:numRef>
          </c:yVal>
          <c:smooth val="0"/>
          <c:extLst>
            <c:ext xmlns:c16="http://schemas.microsoft.com/office/drawing/2014/chart" uri="{C3380CC4-5D6E-409C-BE32-E72D297353CC}">
              <c16:uniqueId val="{00000002-ED17-4A1D-8373-AB271C3DDF3D}"/>
            </c:ext>
          </c:extLst>
        </c:ser>
        <c:dLbls>
          <c:showLegendKey val="0"/>
          <c:showVal val="0"/>
          <c:showCatName val="0"/>
          <c:showSerName val="0"/>
          <c:showPercent val="0"/>
          <c:showBubbleSize val="0"/>
        </c:dLbls>
        <c:axId val="862226368"/>
        <c:axId val="862172912"/>
      </c:scatterChart>
      <c:valAx>
        <c:axId val="862226368"/>
        <c:scaling>
          <c:orientation val="minMax"/>
          <c:max val="1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2000000000000002"/>
          <c:min val="1.790000000000000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Hoja1!$AJ$91:$AL$91</c:f>
              <c:numCache>
                <c:formatCode>0.000</c:formatCode>
                <c:ptCount val="3"/>
                <c:pt idx="0">
                  <c:v>0</c:v>
                </c:pt>
                <c:pt idx="1">
                  <c:v>0</c:v>
                </c:pt>
                <c:pt idx="2">
                  <c:v>0</c:v>
                </c:pt>
              </c:numCache>
            </c:numRef>
          </c:xVal>
          <c:yVal>
            <c:numRef>
              <c:f>Hoja1!$AJ$94:$AL$94</c:f>
              <c:numCache>
                <c:formatCode>0.000</c:formatCode>
                <c:ptCount val="3"/>
                <c:pt idx="0">
                  <c:v>0</c:v>
                </c:pt>
                <c:pt idx="1">
                  <c:v>0</c:v>
                </c:pt>
                <c:pt idx="2">
                  <c:v>0</c:v>
                </c:pt>
              </c:numCache>
            </c:numRef>
          </c:yVal>
          <c:smooth val="1"/>
          <c:extLst>
            <c:ext xmlns:c16="http://schemas.microsoft.com/office/drawing/2014/chart" uri="{C3380CC4-5D6E-409C-BE32-E72D297353CC}">
              <c16:uniqueId val="{00000001-EDC5-4670-90CC-2123FC229DDF}"/>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Hoja1!$AJ$75:$AJ$86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Hoja1!$AM$75:$AM$86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0-D9B0-405E-AF81-E832A7AF2F5B}"/>
            </c:ext>
          </c:extLst>
        </c:ser>
        <c:ser>
          <c:idx val="1"/>
          <c:order val="1"/>
          <c:tx>
            <c:v>26 golpes</c:v>
          </c:tx>
          <c:marker>
            <c:symbol val="circle"/>
            <c:size val="3"/>
            <c:spPr>
              <a:solidFill>
                <a:srgbClr val="00B050"/>
              </a:solidFill>
              <a:ln>
                <a:solidFill>
                  <a:srgbClr val="00B050">
                    <a:alpha val="50000"/>
                  </a:srgbClr>
                </a:solidFill>
                <a:prstDash val="solid"/>
              </a:ln>
            </c:spPr>
          </c:marker>
          <c:xVal>
            <c:numRef>
              <c:f>Hoja1!$AJ$75:$AJ$86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Hoja1!$AO$75:$AO$86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1-D9B0-405E-AF81-E832A7AF2F5B}"/>
            </c:ext>
          </c:extLst>
        </c:ser>
        <c:ser>
          <c:idx val="2"/>
          <c:order val="2"/>
          <c:tx>
            <c:v>56 golpes</c:v>
          </c:tx>
          <c:marker>
            <c:symbol val="circle"/>
            <c:size val="3"/>
            <c:spPr>
              <a:solidFill>
                <a:srgbClr val="00B050"/>
              </a:solidFill>
              <a:ln>
                <a:solidFill>
                  <a:srgbClr val="00B050">
                    <a:alpha val="50000"/>
                  </a:srgbClr>
                </a:solidFill>
                <a:prstDash val="solid"/>
              </a:ln>
            </c:spPr>
          </c:marker>
          <c:xVal>
            <c:numRef>
              <c:f>Hoja1!$AJ$75:$AJ$86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Hoja1!$AQ$75:$AQ$86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2-D9B0-405E-AF81-E832A7AF2F5B}"/>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3096471881757247"/>
                  <c:y val="0.38481954277354669"/>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'AP1 M2 EL DORADO'!$E$34:$H$34</c:f>
              <c:numCache>
                <c:formatCode>0.00</c:formatCode>
                <c:ptCount val="4"/>
                <c:pt idx="0">
                  <c:v>4.1988416988416937</c:v>
                </c:pt>
                <c:pt idx="1">
                  <c:v>6.4024390243902385</c:v>
                </c:pt>
                <c:pt idx="2">
                  <c:v>8.3031619599324102</c:v>
                </c:pt>
                <c:pt idx="3">
                  <c:v>10.506183858217517</c:v>
                </c:pt>
              </c:numCache>
            </c:numRef>
          </c:xVal>
          <c:yVal>
            <c:numRef>
              <c:f>'AP1 M2 EL DORADO'!$E$37:$H$37</c:f>
              <c:numCache>
                <c:formatCode>0.0000</c:formatCode>
                <c:ptCount val="4"/>
                <c:pt idx="0">
                  <c:v>1.9873191171511053</c:v>
                </c:pt>
                <c:pt idx="1">
                  <c:v>2.043732291783388</c:v>
                </c:pt>
                <c:pt idx="2">
                  <c:v>2.0938362594360118</c:v>
                </c:pt>
                <c:pt idx="3">
                  <c:v>2.0352425744690956</c:v>
                </c:pt>
              </c:numCache>
            </c:numRef>
          </c:yVal>
          <c:smooth val="0"/>
          <c:extLst>
            <c:ext xmlns:c16="http://schemas.microsoft.com/office/drawing/2014/chart" uri="{C3380CC4-5D6E-409C-BE32-E72D297353CC}">
              <c16:uniqueId val="{00000001-905C-44D9-9CED-C7CEDD705F02}"/>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'AP1 M2 EL DORADO'!$E$34:$H$34</c:f>
              <c:numCache>
                <c:formatCode>0.00</c:formatCode>
                <c:ptCount val="4"/>
                <c:pt idx="0">
                  <c:v>4.1988416988416937</c:v>
                </c:pt>
                <c:pt idx="1">
                  <c:v>6.4024390243902385</c:v>
                </c:pt>
                <c:pt idx="2">
                  <c:v>8.3031619599324102</c:v>
                </c:pt>
                <c:pt idx="3">
                  <c:v>10.506183858217517</c:v>
                </c:pt>
              </c:numCache>
            </c:numRef>
          </c:xVal>
          <c:yVal>
            <c:numRef>
              <c:f>'AP1 M2 EL DORADO'!$G$83:$J$83</c:f>
              <c:numCache>
                <c:formatCode>General</c:formatCode>
                <c:ptCount val="4"/>
                <c:pt idx="0">
                  <c:v>2.3789962287051893</c:v>
                </c:pt>
                <c:pt idx="1">
                  <c:v>2.2583145308032235</c:v>
                </c:pt>
                <c:pt idx="2">
                  <c:v>2.1636429078433697</c:v>
                </c:pt>
                <c:pt idx="3">
                  <c:v>2.0633856552573553</c:v>
                </c:pt>
              </c:numCache>
            </c:numRef>
          </c:yVal>
          <c:smooth val="0"/>
          <c:extLst>
            <c:ext xmlns:c16="http://schemas.microsoft.com/office/drawing/2014/chart" uri="{C3380CC4-5D6E-409C-BE32-E72D297353CC}">
              <c16:uniqueId val="{00000003-905C-44D9-9CED-C7CEDD705F02}"/>
            </c:ext>
          </c:extLst>
        </c:ser>
        <c:dLbls>
          <c:showLegendKey val="0"/>
          <c:showVal val="0"/>
          <c:showCatName val="0"/>
          <c:showSerName val="0"/>
          <c:showPercent val="0"/>
          <c:showBubbleSize val="0"/>
        </c:dLbls>
        <c:axId val="862226368"/>
        <c:axId val="862172912"/>
      </c:scatterChart>
      <c:valAx>
        <c:axId val="862226368"/>
        <c:scaling>
          <c:orientation val="minMax"/>
          <c:max val="12"/>
          <c:min val="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9"/>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'AP1 M2 EL DORADO'!$AJ$91:$AL$91</c:f>
              <c:numCache>
                <c:formatCode>0.000</c:formatCode>
                <c:ptCount val="3"/>
                <c:pt idx="0">
                  <c:v>2.0904349399801889</c:v>
                </c:pt>
                <c:pt idx="1">
                  <c:v>2.0024228394735029</c:v>
                </c:pt>
                <c:pt idx="2">
                  <c:v>1.8092196065339023</c:v>
                </c:pt>
              </c:numCache>
            </c:numRef>
          </c:xVal>
          <c:yVal>
            <c:numRef>
              <c:f>'AP1 M2 EL DORADO'!$AJ$94:$AL$94</c:f>
              <c:numCache>
                <c:formatCode>0.000</c:formatCode>
                <c:ptCount val="3"/>
                <c:pt idx="0">
                  <c:v>39.34497554535362</c:v>
                </c:pt>
                <c:pt idx="1">
                  <c:v>31.987784996222459</c:v>
                </c:pt>
                <c:pt idx="2">
                  <c:v>26.006329265221506</c:v>
                </c:pt>
              </c:numCache>
            </c:numRef>
          </c:yVal>
          <c:smooth val="1"/>
          <c:extLst>
            <c:ext xmlns:c16="http://schemas.microsoft.com/office/drawing/2014/chart" uri="{C3380CC4-5D6E-409C-BE32-E72D297353CC}">
              <c16:uniqueId val="{00000001-26E1-4E2A-8E9B-A356CB2C57FF}"/>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2"/>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'AP1 M2 EL DORADO'!$AJ$75:$AJ$86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'AP1 M2 EL DORADO'!$AM$75:$AM$86</c:f>
              <c:numCache>
                <c:formatCode>0.000</c:formatCode>
                <c:ptCount val="12"/>
                <c:pt idx="0">
                  <c:v>0.11076604554865424</c:v>
                </c:pt>
                <c:pt idx="1">
                  <c:v>0.25517598343685299</c:v>
                </c:pt>
                <c:pt idx="2">
                  <c:v>0.68271221532091098</c:v>
                </c:pt>
                <c:pt idx="3">
                  <c:v>1.5408902691511386</c:v>
                </c:pt>
                <c:pt idx="4">
                  <c:v>2.7148033126293996</c:v>
                </c:pt>
                <c:pt idx="5">
                  <c:v>4.1154244306418217</c:v>
                </c:pt>
                <c:pt idx="6">
                  <c:v>6.1744306418219459</c:v>
                </c:pt>
                <c:pt idx="7">
                  <c:v>8.7789855072463769</c:v>
                </c:pt>
                <c:pt idx="8">
                  <c:v>11.122670807453417</c:v>
                </c:pt>
                <c:pt idx="9">
                  <c:v>19.581780538302279</c:v>
                </c:pt>
                <c:pt idx="10">
                  <c:v>25.879917184265011</c:v>
                </c:pt>
                <c:pt idx="11">
                  <c:v>25.879917184265011</c:v>
                </c:pt>
              </c:numCache>
            </c:numRef>
          </c:yVal>
          <c:smooth val="1"/>
          <c:extLst>
            <c:ext xmlns:c16="http://schemas.microsoft.com/office/drawing/2014/chart" uri="{C3380CC4-5D6E-409C-BE32-E72D297353CC}">
              <c16:uniqueId val="{00000000-998C-4C81-91A4-B29E81DFC480}"/>
            </c:ext>
          </c:extLst>
        </c:ser>
        <c:ser>
          <c:idx val="1"/>
          <c:order val="1"/>
          <c:tx>
            <c:v>26 golpes</c:v>
          </c:tx>
          <c:marker>
            <c:symbol val="circle"/>
            <c:size val="3"/>
            <c:spPr>
              <a:solidFill>
                <a:srgbClr val="00B050"/>
              </a:solidFill>
              <a:ln>
                <a:solidFill>
                  <a:srgbClr val="00B050">
                    <a:alpha val="50000"/>
                  </a:srgbClr>
                </a:solidFill>
                <a:prstDash val="solid"/>
              </a:ln>
            </c:spPr>
          </c:marker>
          <c:xVal>
            <c:numRef>
              <c:f>'AP1 M2 EL DORADO'!$AJ$75:$AJ$86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'AP1 M2 EL DORADO'!$AO$75:$AO$86</c:f>
              <c:numCache>
                <c:formatCode>0.000</c:formatCode>
                <c:ptCount val="12"/>
                <c:pt idx="0">
                  <c:v>9.0053695568011585E-2</c:v>
                </c:pt>
                <c:pt idx="1">
                  <c:v>0.20746014913565286</c:v>
                </c:pt>
                <c:pt idx="2">
                  <c:v>0.55505058156171616</c:v>
                </c:pt>
                <c:pt idx="3">
                  <c:v>1.2527563163830395</c:v>
                </c:pt>
                <c:pt idx="4">
                  <c:v>2.2071571647393498</c:v>
                </c:pt>
                <c:pt idx="5">
                  <c:v>3.3458735208470096</c:v>
                </c:pt>
                <c:pt idx="6">
                  <c:v>5.0198623104243465</c:v>
                </c:pt>
                <c:pt idx="7">
                  <c:v>7.1373865912572168</c:v>
                </c:pt>
                <c:pt idx="8">
                  <c:v>9.0428217946775753</c:v>
                </c:pt>
                <c:pt idx="9">
                  <c:v>15.920146779107542</c:v>
                </c:pt>
                <c:pt idx="10">
                  <c:v>19.55952380952381</c:v>
                </c:pt>
                <c:pt idx="11">
                  <c:v>21.572463768115941</c:v>
                </c:pt>
              </c:numCache>
            </c:numRef>
          </c:yVal>
          <c:smooth val="1"/>
          <c:extLst>
            <c:ext xmlns:c16="http://schemas.microsoft.com/office/drawing/2014/chart" uri="{C3380CC4-5D6E-409C-BE32-E72D297353CC}">
              <c16:uniqueId val="{00000001-998C-4C81-91A4-B29E81DFC480}"/>
            </c:ext>
          </c:extLst>
        </c:ser>
        <c:ser>
          <c:idx val="2"/>
          <c:order val="2"/>
          <c:tx>
            <c:v>56 golpes</c:v>
          </c:tx>
          <c:marker>
            <c:symbol val="circle"/>
            <c:size val="3"/>
            <c:spPr>
              <a:solidFill>
                <a:srgbClr val="00B050"/>
              </a:solidFill>
              <a:ln>
                <a:solidFill>
                  <a:srgbClr val="00B050">
                    <a:alpha val="50000"/>
                  </a:srgbClr>
                </a:solidFill>
                <a:prstDash val="solid"/>
              </a:ln>
            </c:spPr>
          </c:marker>
          <c:xVal>
            <c:numRef>
              <c:f>'AP1 M2 EL DORADO'!$AJ$75:$AJ$86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'AP1 M2 EL DORADO'!$AQ$75:$AQ$86</c:f>
              <c:numCache>
                <c:formatCode>0.000</c:formatCode>
                <c:ptCount val="12"/>
                <c:pt idx="0">
                  <c:v>7.3214386640659823E-2</c:v>
                </c:pt>
                <c:pt idx="1">
                  <c:v>0.16866678791516493</c:v>
                </c:pt>
                <c:pt idx="2">
                  <c:v>0.45126063541602945</c:v>
                </c:pt>
                <c:pt idx="3">
                  <c:v>1.0185010702301136</c:v>
                </c:pt>
                <c:pt idx="4">
                  <c:v>1.7944367193002841</c:v>
                </c:pt>
                <c:pt idx="5">
                  <c:v>2.7202223746723657</c:v>
                </c:pt>
                <c:pt idx="6">
                  <c:v>4.0811888702636967</c:v>
                </c:pt>
                <c:pt idx="7">
                  <c:v>5.8027533262253792</c:v>
                </c:pt>
                <c:pt idx="8">
                  <c:v>7.3518876379492486</c:v>
                </c:pt>
                <c:pt idx="9">
                  <c:v>12.943208763502067</c:v>
                </c:pt>
                <c:pt idx="10">
                  <c:v>16.923913043478262</c:v>
                </c:pt>
                <c:pt idx="11">
                  <c:v>17.891821946169774</c:v>
                </c:pt>
              </c:numCache>
            </c:numRef>
          </c:yVal>
          <c:smooth val="1"/>
          <c:extLst>
            <c:ext xmlns:c16="http://schemas.microsoft.com/office/drawing/2014/chart" uri="{C3380CC4-5D6E-409C-BE32-E72D297353CC}">
              <c16:uniqueId val="{00000002-998C-4C81-91A4-B29E81DFC480}"/>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9.6469291271035984E-2"/>
                  <c:y val="0.26564278215400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'SIN IDE'!$E$34:$H$34</c:f>
              <c:numCache>
                <c:formatCode>0.00</c:formatCode>
                <c:ptCount val="4"/>
                <c:pt idx="0">
                  <c:v>3.4997773678519168</c:v>
                </c:pt>
                <c:pt idx="1">
                  <c:v>6.0047287399450058</c:v>
                </c:pt>
                <c:pt idx="2">
                  <c:v>8.1958936385055612</c:v>
                </c:pt>
                <c:pt idx="3">
                  <c:v>10.70095814422592</c:v>
                </c:pt>
              </c:numCache>
            </c:numRef>
          </c:xVal>
          <c:yVal>
            <c:numRef>
              <c:f>'SIN IDE'!$E$37:$H$37</c:f>
              <c:numCache>
                <c:formatCode>0.0000</c:formatCode>
                <c:ptCount val="4"/>
                <c:pt idx="0">
                  <c:v>1.8806434897298976</c:v>
                </c:pt>
                <c:pt idx="1">
                  <c:v>2.1062972384873393</c:v>
                </c:pt>
                <c:pt idx="2">
                  <c:v>2.1316256962964313</c:v>
                </c:pt>
                <c:pt idx="3">
                  <c:v>1.9067592370148378</c:v>
                </c:pt>
              </c:numCache>
            </c:numRef>
          </c:yVal>
          <c:smooth val="0"/>
          <c:extLst>
            <c:ext xmlns:c16="http://schemas.microsoft.com/office/drawing/2014/chart" uri="{C3380CC4-5D6E-409C-BE32-E72D297353CC}">
              <c16:uniqueId val="{00000000-0B3B-41E0-8E46-BFC4D206361B}"/>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'SIN IDE'!$E$34:$H$34</c:f>
              <c:numCache>
                <c:formatCode>0.00</c:formatCode>
                <c:ptCount val="4"/>
                <c:pt idx="0">
                  <c:v>3.4997773678519168</c:v>
                </c:pt>
                <c:pt idx="1">
                  <c:v>6.0047287399450058</c:v>
                </c:pt>
                <c:pt idx="2">
                  <c:v>8.1958936385055612</c:v>
                </c:pt>
                <c:pt idx="3">
                  <c:v>10.70095814422592</c:v>
                </c:pt>
              </c:numCache>
            </c:numRef>
          </c:xVal>
          <c:yVal>
            <c:numRef>
              <c:f>'SIN IDE'!$G$83:$J$83</c:f>
              <c:numCache>
                <c:formatCode>General</c:formatCode>
                <c:ptCount val="4"/>
                <c:pt idx="0">
                  <c:v>2.4118305935955728</c:v>
                </c:pt>
                <c:pt idx="1">
                  <c:v>2.2719140739423027</c:v>
                </c:pt>
                <c:pt idx="2">
                  <c:v>2.1621924316363828</c:v>
                </c:pt>
                <c:pt idx="3">
                  <c:v>2.0490570862919757</c:v>
                </c:pt>
              </c:numCache>
            </c:numRef>
          </c:yVal>
          <c:smooth val="0"/>
          <c:extLst>
            <c:ext xmlns:c16="http://schemas.microsoft.com/office/drawing/2014/chart" uri="{C3380CC4-5D6E-409C-BE32-E72D297353CC}">
              <c16:uniqueId val="{00000001-0B3B-41E0-8E46-BFC4D206361B}"/>
            </c:ext>
          </c:extLst>
        </c:ser>
        <c:dLbls>
          <c:showLegendKey val="0"/>
          <c:showVal val="0"/>
          <c:showCatName val="0"/>
          <c:showSerName val="0"/>
          <c:showPercent val="0"/>
          <c:showBubbleSize val="0"/>
        </c:dLbls>
        <c:axId val="862226368"/>
        <c:axId val="862172912"/>
      </c:scatterChart>
      <c:valAx>
        <c:axId val="862226368"/>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'SIN IDE'!$AJ$91:$AL$91</c:f>
              <c:numCache>
                <c:formatCode>0.000</c:formatCode>
                <c:ptCount val="3"/>
                <c:pt idx="0">
                  <c:v>2.1824115440756784</c:v>
                </c:pt>
                <c:pt idx="1">
                  <c:v>2.0730724989949056</c:v>
                </c:pt>
                <c:pt idx="2">
                  <c:v>2.0269233661327792</c:v>
                </c:pt>
              </c:numCache>
            </c:numRef>
          </c:xVal>
          <c:yVal>
            <c:numRef>
              <c:f>'SIN IDE'!$AJ$94:$AL$94</c:f>
              <c:numCache>
                <c:formatCode>0.000</c:formatCode>
                <c:ptCount val="3"/>
                <c:pt idx="0">
                  <c:v>49.97979858891636</c:v>
                </c:pt>
                <c:pt idx="1">
                  <c:v>40.633982592614927</c:v>
                </c:pt>
                <c:pt idx="2">
                  <c:v>17.172984456582181</c:v>
                </c:pt>
              </c:numCache>
            </c:numRef>
          </c:yVal>
          <c:smooth val="1"/>
          <c:extLst>
            <c:ext xmlns:c16="http://schemas.microsoft.com/office/drawing/2014/chart" uri="{C3380CC4-5D6E-409C-BE32-E72D297353CC}">
              <c16:uniqueId val="{00000000-D5CC-4683-B32F-B06574C0F61D}"/>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'SIN IDE'!$AJ$75:$AJ$86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'SIN IDE'!$AM$75:$AM$86</c:f>
              <c:numCache>
                <c:formatCode>0.000</c:formatCode>
                <c:ptCount val="12"/>
                <c:pt idx="0">
                  <c:v>0.12608695652173912</c:v>
                </c:pt>
                <c:pt idx="1">
                  <c:v>0.53975155279503106</c:v>
                </c:pt>
                <c:pt idx="2">
                  <c:v>1.4745341614906835</c:v>
                </c:pt>
                <c:pt idx="3">
                  <c:v>2.517391304347826</c:v>
                </c:pt>
                <c:pt idx="4">
                  <c:v>3.6826086956521737</c:v>
                </c:pt>
                <c:pt idx="5">
                  <c:v>4.2187163561076595</c:v>
                </c:pt>
                <c:pt idx="6">
                  <c:v>4.5325051759834363</c:v>
                </c:pt>
                <c:pt idx="7">
                  <c:v>4.8414855072463761</c:v>
                </c:pt>
                <c:pt idx="8">
                  <c:v>5.147919254658385</c:v>
                </c:pt>
                <c:pt idx="9">
                  <c:v>6.3866294099378882</c:v>
                </c:pt>
                <c:pt idx="10">
                  <c:v>7.7878830227743281</c:v>
                </c:pt>
                <c:pt idx="11">
                  <c:v>8.7334497929606609</c:v>
                </c:pt>
              </c:numCache>
            </c:numRef>
          </c:yVal>
          <c:smooth val="1"/>
          <c:extLst>
            <c:ext xmlns:c16="http://schemas.microsoft.com/office/drawing/2014/chart" uri="{C3380CC4-5D6E-409C-BE32-E72D297353CC}">
              <c16:uniqueId val="{00000000-2999-4AF3-AF66-29E89BAC3664}"/>
            </c:ext>
          </c:extLst>
        </c:ser>
        <c:ser>
          <c:idx val="1"/>
          <c:order val="1"/>
          <c:tx>
            <c:v>26 golpes</c:v>
          </c:tx>
          <c:marker>
            <c:symbol val="circle"/>
            <c:size val="3"/>
            <c:spPr>
              <a:solidFill>
                <a:srgbClr val="00B050"/>
              </a:solidFill>
              <a:ln>
                <a:solidFill>
                  <a:srgbClr val="00B050">
                    <a:alpha val="50000"/>
                  </a:srgbClr>
                </a:solidFill>
                <a:prstDash val="solid"/>
              </a:ln>
            </c:spPr>
          </c:marker>
          <c:xVal>
            <c:numRef>
              <c:f>'SIN IDE'!$AJ$75:$AJ$86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'SIN IDE'!$AO$75:$AO$86</c:f>
              <c:numCache>
                <c:formatCode>0.000</c:formatCode>
                <c:ptCount val="12"/>
                <c:pt idx="0">
                  <c:v>0.10507246376811595</c:v>
                </c:pt>
                <c:pt idx="1">
                  <c:v>0.44979296066252589</c:v>
                </c:pt>
                <c:pt idx="2">
                  <c:v>1.2287784679089027</c:v>
                </c:pt>
                <c:pt idx="3">
                  <c:v>2.0978260869565215</c:v>
                </c:pt>
                <c:pt idx="4">
                  <c:v>3.0688405797101446</c:v>
                </c:pt>
                <c:pt idx="5">
                  <c:v>3.4865424430641823</c:v>
                </c:pt>
                <c:pt idx="6">
                  <c:v>3.6211180124223601</c:v>
                </c:pt>
                <c:pt idx="7">
                  <c:v>3.8731884057971011</c:v>
                </c:pt>
                <c:pt idx="8">
                  <c:v>4.1853002070393375</c:v>
                </c:pt>
                <c:pt idx="9">
                  <c:v>5.145445134575569</c:v>
                </c:pt>
                <c:pt idx="10">
                  <c:v>5.5890269151138714</c:v>
                </c:pt>
                <c:pt idx="11">
                  <c:v>5.8478260869565215</c:v>
                </c:pt>
              </c:numCache>
            </c:numRef>
          </c:yVal>
          <c:smooth val="1"/>
          <c:extLst>
            <c:ext xmlns:c16="http://schemas.microsoft.com/office/drawing/2014/chart" uri="{C3380CC4-5D6E-409C-BE32-E72D297353CC}">
              <c16:uniqueId val="{00000001-2999-4AF3-AF66-29E89BAC3664}"/>
            </c:ext>
          </c:extLst>
        </c:ser>
        <c:ser>
          <c:idx val="2"/>
          <c:order val="2"/>
          <c:tx>
            <c:v>56 golpes</c:v>
          </c:tx>
          <c:marker>
            <c:symbol val="circle"/>
            <c:size val="3"/>
            <c:spPr>
              <a:solidFill>
                <a:srgbClr val="00B050"/>
              </a:solidFill>
              <a:ln>
                <a:solidFill>
                  <a:srgbClr val="00B050">
                    <a:alpha val="50000"/>
                  </a:srgbClr>
                </a:solidFill>
                <a:prstDash val="solid"/>
              </a:ln>
            </c:spPr>
          </c:marker>
          <c:xVal>
            <c:numRef>
              <c:f>'SIN IDE'!$AJ$75:$AJ$86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'SIN IDE'!$AQ$75:$AQ$86</c:f>
              <c:numCache>
                <c:formatCode>0.000</c:formatCode>
                <c:ptCount val="12"/>
                <c:pt idx="0">
                  <c:v>4.4406372990684749E-2</c:v>
                </c:pt>
                <c:pt idx="1">
                  <c:v>0.1900942764970692</c:v>
                </c:pt>
                <c:pt idx="2">
                  <c:v>0.51931393832455952</c:v>
                </c:pt>
                <c:pt idx="3">
                  <c:v>0.88659620557263674</c:v>
                </c:pt>
                <c:pt idx="4">
                  <c:v>1.2969723421762058</c:v>
                </c:pt>
                <c:pt idx="5">
                  <c:v>1.4735040811096178</c:v>
                </c:pt>
                <c:pt idx="6">
                  <c:v>1.4735040811096178</c:v>
                </c:pt>
                <c:pt idx="7">
                  <c:v>1.636910783691103</c:v>
                </c:pt>
                <c:pt idx="8">
                  <c:v>1.7688173990279645</c:v>
                </c:pt>
                <c:pt idx="9">
                  <c:v>2.1745997729083597</c:v>
                </c:pt>
                <c:pt idx="10">
                  <c:v>2.4915694008073856</c:v>
                </c:pt>
                <c:pt idx="11">
                  <c:v>2.7442263505819704</c:v>
                </c:pt>
              </c:numCache>
            </c:numRef>
          </c:yVal>
          <c:smooth val="1"/>
          <c:extLst>
            <c:ext xmlns:c16="http://schemas.microsoft.com/office/drawing/2014/chart" uri="{C3380CC4-5D6E-409C-BE32-E72D297353CC}">
              <c16:uniqueId val="{00000002-2999-4AF3-AF66-29E89BAC3664}"/>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0355753316316932"/>
                  <c:y val="0.20529283187310757"/>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'CAV-S1-AP1 M2'!$E$34:$H$34</c:f>
              <c:numCache>
                <c:formatCode>0.00</c:formatCode>
                <c:ptCount val="4"/>
                <c:pt idx="0">
                  <c:v>9.3096728475256789</c:v>
                </c:pt>
                <c:pt idx="1">
                  <c:v>11.803888707409566</c:v>
                </c:pt>
                <c:pt idx="2">
                  <c:v>14.290993334186094</c:v>
                </c:pt>
                <c:pt idx="3">
                  <c:v>16.497100685292558</c:v>
                </c:pt>
              </c:numCache>
            </c:numRef>
          </c:xVal>
          <c:yVal>
            <c:numRef>
              <c:f>'CAV-S1-AP1 M2'!$E$37:$H$37</c:f>
              <c:numCache>
                <c:formatCode>0.0000</c:formatCode>
                <c:ptCount val="4"/>
                <c:pt idx="0">
                  <c:v>1.7155231790784404</c:v>
                </c:pt>
                <c:pt idx="1">
                  <c:v>1.9254251449637403</c:v>
                </c:pt>
                <c:pt idx="2">
                  <c:v>1.9222226618311693</c:v>
                </c:pt>
                <c:pt idx="3">
                  <c:v>1.6820137112230227</c:v>
                </c:pt>
              </c:numCache>
            </c:numRef>
          </c:yVal>
          <c:smooth val="0"/>
          <c:extLst>
            <c:ext xmlns:c16="http://schemas.microsoft.com/office/drawing/2014/chart" uri="{C3380CC4-5D6E-409C-BE32-E72D297353CC}">
              <c16:uniqueId val="{00000001-9A08-4806-94B0-83EEF19F1C08}"/>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'CAV-S1-AP1 M2'!$E$34:$H$34</c:f>
              <c:numCache>
                <c:formatCode>0.00</c:formatCode>
                <c:ptCount val="4"/>
                <c:pt idx="0">
                  <c:v>9.3096728475256789</c:v>
                </c:pt>
                <c:pt idx="1">
                  <c:v>11.803888707409566</c:v>
                </c:pt>
                <c:pt idx="2">
                  <c:v>14.290993334186094</c:v>
                </c:pt>
                <c:pt idx="3">
                  <c:v>16.497100685292558</c:v>
                </c:pt>
              </c:numCache>
            </c:numRef>
          </c:xVal>
          <c:yVal>
            <c:numRef>
              <c:f>'CAV-S1-AP1 M2'!$G$83:$J$83</c:f>
              <c:numCache>
                <c:formatCode>General</c:formatCode>
                <c:ptCount val="4"/>
                <c:pt idx="0">
                  <c:v>2.1291659856149829</c:v>
                </c:pt>
                <c:pt idx="1">
                  <c:v>2.0198237323646575</c:v>
                </c:pt>
                <c:pt idx="2">
                  <c:v>1.9214309372972291</c:v>
                </c:pt>
                <c:pt idx="3">
                  <c:v>1.8418451479937594</c:v>
                </c:pt>
              </c:numCache>
            </c:numRef>
          </c:yVal>
          <c:smooth val="0"/>
          <c:extLst>
            <c:ext xmlns:c16="http://schemas.microsoft.com/office/drawing/2014/chart" uri="{C3380CC4-5D6E-409C-BE32-E72D297353CC}">
              <c16:uniqueId val="{00000003-9A08-4806-94B0-83EEF19F1C08}"/>
            </c:ext>
          </c:extLst>
        </c:ser>
        <c:dLbls>
          <c:showLegendKey val="0"/>
          <c:showVal val="0"/>
          <c:showCatName val="0"/>
          <c:showSerName val="0"/>
          <c:showPercent val="0"/>
          <c:showBubbleSize val="0"/>
        </c:dLbls>
        <c:axId val="862226368"/>
        <c:axId val="862172912"/>
      </c:scatterChart>
      <c:valAx>
        <c:axId val="862226368"/>
        <c:scaling>
          <c:orientation val="minMax"/>
          <c:max val="20"/>
          <c:min val="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'CAV-S1-AP1 M2'!$AJ$91:$AL$91</c:f>
              <c:numCache>
                <c:formatCode>0.000</c:formatCode>
                <c:ptCount val="3"/>
                <c:pt idx="0">
                  <c:v>1.9445269691012697</c:v>
                </c:pt>
                <c:pt idx="1">
                  <c:v>1.86817988049984</c:v>
                </c:pt>
                <c:pt idx="2">
                  <c:v>1.7561274397709115</c:v>
                </c:pt>
              </c:numCache>
            </c:numRef>
          </c:xVal>
          <c:yVal>
            <c:numRef>
              <c:f>'CAV-S1-AP1 M2'!$AJ$94:$AL$94</c:f>
              <c:numCache>
                <c:formatCode>0.000</c:formatCode>
                <c:ptCount val="3"/>
                <c:pt idx="0">
                  <c:v>10.616017043238214</c:v>
                </c:pt>
                <c:pt idx="1">
                  <c:v>7.3213910643022171</c:v>
                </c:pt>
                <c:pt idx="2">
                  <c:v>5.7106850301557284</c:v>
                </c:pt>
              </c:numCache>
            </c:numRef>
          </c:yVal>
          <c:smooth val="1"/>
          <c:extLst>
            <c:ext xmlns:c16="http://schemas.microsoft.com/office/drawing/2014/chart" uri="{C3380CC4-5D6E-409C-BE32-E72D297353CC}">
              <c16:uniqueId val="{00000001-FE73-4210-834B-32DD448AAA02}"/>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'CAV-S1-AP1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'CAV-S1-AP1 M2'!$AM$75:$AM$86</c:f>
              <c:numCache>
                <c:formatCode>0.000</c:formatCode>
                <c:ptCount val="12"/>
                <c:pt idx="0">
                  <c:v>4.6185300207039343E-2</c:v>
                </c:pt>
                <c:pt idx="1">
                  <c:v>0.14561853002070393</c:v>
                </c:pt>
                <c:pt idx="2">
                  <c:v>0.30395962732919257</c:v>
                </c:pt>
                <c:pt idx="3">
                  <c:v>0.51785714285714279</c:v>
                </c:pt>
                <c:pt idx="4">
                  <c:v>0.73250517598343678</c:v>
                </c:pt>
                <c:pt idx="5">
                  <c:v>0.93271221532091098</c:v>
                </c:pt>
                <c:pt idx="6">
                  <c:v>1.1571708074534162</c:v>
                </c:pt>
                <c:pt idx="7">
                  <c:v>1.3297101449275361</c:v>
                </c:pt>
                <c:pt idx="8">
                  <c:v>1.4887784679089027</c:v>
                </c:pt>
                <c:pt idx="9">
                  <c:v>1.911087474120083</c:v>
                </c:pt>
                <c:pt idx="10">
                  <c:v>2.1972049689440993</c:v>
                </c:pt>
                <c:pt idx="11">
                  <c:v>2.4643892339544511</c:v>
                </c:pt>
              </c:numCache>
            </c:numRef>
          </c:yVal>
          <c:smooth val="1"/>
          <c:extLst>
            <c:ext xmlns:c16="http://schemas.microsoft.com/office/drawing/2014/chart" uri="{C3380CC4-5D6E-409C-BE32-E72D297353CC}">
              <c16:uniqueId val="{00000000-7ADA-470A-86FE-75142879E968}"/>
            </c:ext>
          </c:extLst>
        </c:ser>
        <c:ser>
          <c:idx val="1"/>
          <c:order val="1"/>
          <c:tx>
            <c:v>26 golpes</c:v>
          </c:tx>
          <c:marker>
            <c:symbol val="circle"/>
            <c:size val="3"/>
            <c:spPr>
              <a:solidFill>
                <a:srgbClr val="00B050"/>
              </a:solidFill>
              <a:ln>
                <a:solidFill>
                  <a:srgbClr val="00B050">
                    <a:alpha val="50000"/>
                  </a:srgbClr>
                </a:solidFill>
                <a:prstDash val="solid"/>
              </a:ln>
            </c:spPr>
          </c:marker>
          <c:xVal>
            <c:numRef>
              <c:f>'CAV-S1-AP1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'CAV-S1-AP1 M2'!$AO$75:$AO$86</c:f>
              <c:numCache>
                <c:formatCode>0.000</c:formatCode>
                <c:ptCount val="12"/>
                <c:pt idx="0">
                  <c:v>3.4161490683229816E-2</c:v>
                </c:pt>
                <c:pt idx="1">
                  <c:v>9.7308488612836433E-2</c:v>
                </c:pt>
                <c:pt idx="2">
                  <c:v>0.20962732919254659</c:v>
                </c:pt>
                <c:pt idx="3">
                  <c:v>0.3571428571428571</c:v>
                </c:pt>
                <c:pt idx="4">
                  <c:v>0.50517598343685299</c:v>
                </c:pt>
                <c:pt idx="5">
                  <c:v>0.63457556935817794</c:v>
                </c:pt>
                <c:pt idx="6">
                  <c:v>0.75672877846790887</c:v>
                </c:pt>
                <c:pt idx="7">
                  <c:v>0.86283643892339545</c:v>
                </c:pt>
                <c:pt idx="8">
                  <c:v>0.95548654244306419</c:v>
                </c:pt>
                <c:pt idx="9">
                  <c:v>1.2412008281573499</c:v>
                </c:pt>
                <c:pt idx="10">
                  <c:v>1.4844720496894408</c:v>
                </c:pt>
                <c:pt idx="11">
                  <c:v>1.7541407867494825</c:v>
                </c:pt>
              </c:numCache>
            </c:numRef>
          </c:yVal>
          <c:smooth val="1"/>
          <c:extLst>
            <c:ext xmlns:c16="http://schemas.microsoft.com/office/drawing/2014/chart" uri="{C3380CC4-5D6E-409C-BE32-E72D297353CC}">
              <c16:uniqueId val="{00000001-7ADA-470A-86FE-75142879E968}"/>
            </c:ext>
          </c:extLst>
        </c:ser>
        <c:ser>
          <c:idx val="2"/>
          <c:order val="2"/>
          <c:tx>
            <c:v>56 golpes</c:v>
          </c:tx>
          <c:marker>
            <c:symbol val="circle"/>
            <c:size val="3"/>
            <c:spPr>
              <a:solidFill>
                <a:srgbClr val="00B050"/>
              </a:solidFill>
              <a:ln>
                <a:solidFill>
                  <a:srgbClr val="00B050">
                    <a:alpha val="50000"/>
                  </a:srgbClr>
                </a:solidFill>
                <a:prstDash val="solid"/>
              </a:ln>
            </c:spPr>
          </c:marker>
          <c:xVal>
            <c:numRef>
              <c:f>'CAV-S1-AP1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'CAV-S1-AP1 M2'!$AQ$75:$AQ$86</c:f>
              <c:numCache>
                <c:formatCode>0.000</c:formatCode>
                <c:ptCount val="12"/>
                <c:pt idx="0">
                  <c:v>2.6920289855072464E-2</c:v>
                </c:pt>
                <c:pt idx="1">
                  <c:v>7.245341614906832E-2</c:v>
                </c:pt>
                <c:pt idx="2">
                  <c:v>0.16004140786749482</c:v>
                </c:pt>
                <c:pt idx="3">
                  <c:v>0.27422360248447208</c:v>
                </c:pt>
                <c:pt idx="4">
                  <c:v>0.39403726708074527</c:v>
                </c:pt>
                <c:pt idx="5">
                  <c:v>0.49496894409937886</c:v>
                </c:pt>
                <c:pt idx="6">
                  <c:v>0.59024844720496894</c:v>
                </c:pt>
                <c:pt idx="7">
                  <c:v>0.67301242236024839</c:v>
                </c:pt>
                <c:pt idx="8">
                  <c:v>0.7452795031055901</c:v>
                </c:pt>
                <c:pt idx="9">
                  <c:v>0.96813664596273297</c:v>
                </c:pt>
                <c:pt idx="10">
                  <c:v>1.1578881987577641</c:v>
                </c:pt>
                <c:pt idx="11">
                  <c:v>1.2713250517598342</c:v>
                </c:pt>
              </c:numCache>
            </c:numRef>
          </c:yVal>
          <c:smooth val="1"/>
          <c:extLst>
            <c:ext xmlns:c16="http://schemas.microsoft.com/office/drawing/2014/chart" uri="{C3380CC4-5D6E-409C-BE32-E72D297353CC}">
              <c16:uniqueId val="{00000002-7ADA-470A-86FE-75142879E968}"/>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8.5590745880870234E-2"/>
                  <c:y val="0.18072144803749618"/>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'CAV-S1-AP2 M3'!$E$34:$H$34</c:f>
              <c:numCache>
                <c:formatCode>0.00</c:formatCode>
                <c:ptCount val="4"/>
                <c:pt idx="0">
                  <c:v>5.5035685963521033</c:v>
                </c:pt>
                <c:pt idx="1">
                  <c:v>8.006255399656613</c:v>
                </c:pt>
                <c:pt idx="2">
                  <c:v>10.391961618538968</c:v>
                </c:pt>
                <c:pt idx="3">
                  <c:v>12.694111370082272</c:v>
                </c:pt>
              </c:numCache>
            </c:numRef>
          </c:xVal>
          <c:yVal>
            <c:numRef>
              <c:f>'CAV-S1-AP2 M3'!$E$37:$H$37</c:f>
              <c:numCache>
                <c:formatCode>0.0000</c:formatCode>
                <c:ptCount val="4"/>
                <c:pt idx="0">
                  <c:v>1.6635655705121097</c:v>
                </c:pt>
                <c:pt idx="1">
                  <c:v>1.9543319385236904</c:v>
                </c:pt>
                <c:pt idx="2">
                  <c:v>1.9327608927858368</c:v>
                </c:pt>
                <c:pt idx="3">
                  <c:v>1.7284474311186149</c:v>
                </c:pt>
              </c:numCache>
            </c:numRef>
          </c:yVal>
          <c:smooth val="0"/>
          <c:extLst>
            <c:ext xmlns:c16="http://schemas.microsoft.com/office/drawing/2014/chart" uri="{C3380CC4-5D6E-409C-BE32-E72D297353CC}">
              <c16:uniqueId val="{00000001-931F-4002-9844-65310F492DE4}"/>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'CAV-S1-AP2 M3'!$E$34:$H$34</c:f>
              <c:numCache>
                <c:formatCode>0.00</c:formatCode>
                <c:ptCount val="4"/>
                <c:pt idx="0">
                  <c:v>5.5035685963521033</c:v>
                </c:pt>
                <c:pt idx="1">
                  <c:v>8.006255399656613</c:v>
                </c:pt>
                <c:pt idx="2">
                  <c:v>10.391961618538968</c:v>
                </c:pt>
                <c:pt idx="3">
                  <c:v>12.694111370082272</c:v>
                </c:pt>
              </c:numCache>
            </c:numRef>
          </c:xVal>
          <c:yVal>
            <c:numRef>
              <c:f>'CAV-S1-AP2 M3'!$G$83:$J$83</c:f>
              <c:numCache>
                <c:formatCode>General</c:formatCode>
                <c:ptCount val="4"/>
                <c:pt idx="0">
                  <c:v>2.2985925746328966</c:v>
                </c:pt>
                <c:pt idx="1">
                  <c:v>2.171267807950529</c:v>
                </c:pt>
                <c:pt idx="2">
                  <c:v>2.0623679056138187</c:v>
                </c:pt>
                <c:pt idx="3">
                  <c:v>1.9671605482765802</c:v>
                </c:pt>
              </c:numCache>
            </c:numRef>
          </c:yVal>
          <c:smooth val="0"/>
          <c:extLst>
            <c:ext xmlns:c16="http://schemas.microsoft.com/office/drawing/2014/chart" uri="{C3380CC4-5D6E-409C-BE32-E72D297353CC}">
              <c16:uniqueId val="{00000003-931F-4002-9844-65310F492DE4}"/>
            </c:ext>
          </c:extLst>
        </c:ser>
        <c:dLbls>
          <c:showLegendKey val="0"/>
          <c:showVal val="0"/>
          <c:showCatName val="0"/>
          <c:showSerName val="0"/>
          <c:showPercent val="0"/>
          <c:showBubbleSize val="0"/>
        </c:dLbls>
        <c:axId val="862226368"/>
        <c:axId val="862172912"/>
      </c:scatterChart>
      <c:valAx>
        <c:axId val="862226368"/>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'CAV-S1-AP2 M3'!$AJ$91:$AL$91</c:f>
              <c:numCache>
                <c:formatCode>0.000</c:formatCode>
                <c:ptCount val="3"/>
                <c:pt idx="0">
                  <c:v>1.9322634910486292</c:v>
                </c:pt>
                <c:pt idx="1">
                  <c:v>1.8035182518544934</c:v>
                </c:pt>
                <c:pt idx="2">
                  <c:v>1.7616679407462503</c:v>
                </c:pt>
              </c:numCache>
            </c:numRef>
          </c:xVal>
          <c:yVal>
            <c:numRef>
              <c:f>'CAV-S1-AP2 M3'!$AJ$94:$AL$94</c:f>
              <c:numCache>
                <c:formatCode>0.000</c:formatCode>
                <c:ptCount val="3"/>
                <c:pt idx="0">
                  <c:v>17.862768926095956</c:v>
                </c:pt>
                <c:pt idx="1">
                  <c:v>14.065172382752722</c:v>
                </c:pt>
                <c:pt idx="2">
                  <c:v>10.970834458547126</c:v>
                </c:pt>
              </c:numCache>
            </c:numRef>
          </c:yVal>
          <c:smooth val="1"/>
          <c:extLst>
            <c:ext xmlns:c16="http://schemas.microsoft.com/office/drawing/2014/chart" uri="{C3380CC4-5D6E-409C-BE32-E72D297353CC}">
              <c16:uniqueId val="{00000001-5A16-4926-9334-5C0A2F36228A}"/>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'CAV-S1-AP2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'CAV-S1-AP2 M3'!$AM$75:$AM$86</c:f>
              <c:numCache>
                <c:formatCode>0.000</c:formatCode>
                <c:ptCount val="12"/>
                <c:pt idx="0">
                  <c:v>3.7577639751552795E-2</c:v>
                </c:pt>
                <c:pt idx="1">
                  <c:v>0.15579710144927536</c:v>
                </c:pt>
                <c:pt idx="2">
                  <c:v>0.44962732919254667</c:v>
                </c:pt>
                <c:pt idx="3">
                  <c:v>0.86441511387163561</c:v>
                </c:pt>
                <c:pt idx="4">
                  <c:v>1.2325310559006211</c:v>
                </c:pt>
                <c:pt idx="5">
                  <c:v>1.5690942028985508</c:v>
                </c:pt>
                <c:pt idx="6">
                  <c:v>1.9036853002070391</c:v>
                </c:pt>
                <c:pt idx="7">
                  <c:v>2.2271014492753625</c:v>
                </c:pt>
                <c:pt idx="8">
                  <c:v>2.5268530020703932</c:v>
                </c:pt>
                <c:pt idx="9">
                  <c:v>3.5117391304347825</c:v>
                </c:pt>
                <c:pt idx="10">
                  <c:v>4.3491200828157348</c:v>
                </c:pt>
                <c:pt idx="11">
                  <c:v>4.8675569358178059</c:v>
                </c:pt>
              </c:numCache>
            </c:numRef>
          </c:yVal>
          <c:smooth val="1"/>
          <c:extLst>
            <c:ext xmlns:c16="http://schemas.microsoft.com/office/drawing/2014/chart" uri="{C3380CC4-5D6E-409C-BE32-E72D297353CC}">
              <c16:uniqueId val="{00000000-0874-40F2-AA6E-2D79CC80D965}"/>
            </c:ext>
          </c:extLst>
        </c:ser>
        <c:ser>
          <c:idx val="1"/>
          <c:order val="1"/>
          <c:tx>
            <c:v>26 golpes</c:v>
          </c:tx>
          <c:marker>
            <c:symbol val="circle"/>
            <c:size val="3"/>
            <c:spPr>
              <a:solidFill>
                <a:srgbClr val="00B050"/>
              </a:solidFill>
              <a:ln>
                <a:solidFill>
                  <a:srgbClr val="00B050">
                    <a:alpha val="50000"/>
                  </a:srgbClr>
                </a:solidFill>
                <a:prstDash val="solid"/>
              </a:ln>
            </c:spPr>
          </c:marker>
          <c:xVal>
            <c:numRef>
              <c:f>'CAV-S1-AP2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'CAV-S1-AP2 M3'!$AO$75:$AO$86</c:f>
              <c:numCache>
                <c:formatCode>0.000</c:formatCode>
                <c:ptCount val="12"/>
                <c:pt idx="0">
                  <c:v>3.1055900621118009E-2</c:v>
                </c:pt>
                <c:pt idx="1">
                  <c:v>0.12784679089026915</c:v>
                </c:pt>
                <c:pt idx="2">
                  <c:v>0.35403726708074534</c:v>
                </c:pt>
                <c:pt idx="3">
                  <c:v>0.68064182194616973</c:v>
                </c:pt>
                <c:pt idx="4">
                  <c:v>0.97049689440993792</c:v>
                </c:pt>
                <c:pt idx="5">
                  <c:v>1.2355072463768115</c:v>
                </c:pt>
                <c:pt idx="6">
                  <c:v>1.4989648033126293</c:v>
                </c:pt>
                <c:pt idx="7">
                  <c:v>1.7536231884057971</c:v>
                </c:pt>
                <c:pt idx="8">
                  <c:v>1.989648033126294</c:v>
                </c:pt>
                <c:pt idx="9">
                  <c:v>2.8550724637681157</c:v>
                </c:pt>
                <c:pt idx="10">
                  <c:v>3.479296066252588</c:v>
                </c:pt>
                <c:pt idx="11">
                  <c:v>4.0227743271221534</c:v>
                </c:pt>
              </c:numCache>
            </c:numRef>
          </c:yVal>
          <c:smooth val="1"/>
          <c:extLst>
            <c:ext xmlns:c16="http://schemas.microsoft.com/office/drawing/2014/chart" uri="{C3380CC4-5D6E-409C-BE32-E72D297353CC}">
              <c16:uniqueId val="{00000001-0874-40F2-AA6E-2D79CC80D965}"/>
            </c:ext>
          </c:extLst>
        </c:ser>
        <c:ser>
          <c:idx val="2"/>
          <c:order val="2"/>
          <c:tx>
            <c:v>56 golpes</c:v>
          </c:tx>
          <c:marker>
            <c:symbol val="circle"/>
            <c:size val="3"/>
            <c:spPr>
              <a:solidFill>
                <a:srgbClr val="00B050"/>
              </a:solidFill>
              <a:ln>
                <a:solidFill>
                  <a:srgbClr val="00B050">
                    <a:alpha val="50000"/>
                  </a:srgbClr>
                </a:solidFill>
                <a:prstDash val="solid"/>
              </a:ln>
            </c:spPr>
          </c:marker>
          <c:xVal>
            <c:numRef>
              <c:f>'CAV-S1-AP2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'CAV-S1-AP2 M3'!$AQ$75:$AQ$86</c:f>
              <c:numCache>
                <c:formatCode>0.000</c:formatCode>
                <c:ptCount val="12"/>
                <c:pt idx="0">
                  <c:v>2.5155279503105591E-2</c:v>
                </c:pt>
                <c:pt idx="1">
                  <c:v>0.10196687370600414</c:v>
                </c:pt>
                <c:pt idx="2">
                  <c:v>0.2867701863354038</c:v>
                </c:pt>
                <c:pt idx="3">
                  <c:v>0.53090062111801239</c:v>
                </c:pt>
                <c:pt idx="4">
                  <c:v>0.75698757763975166</c:v>
                </c:pt>
                <c:pt idx="5">
                  <c:v>0.93898550724637686</c:v>
                </c:pt>
                <c:pt idx="6">
                  <c:v>1.0642650103519666</c:v>
                </c:pt>
                <c:pt idx="7">
                  <c:v>1.2450724637681159</c:v>
                </c:pt>
                <c:pt idx="8">
                  <c:v>1.4126501035196686</c:v>
                </c:pt>
                <c:pt idx="9">
                  <c:v>2.0271014492753618</c:v>
                </c:pt>
                <c:pt idx="10">
                  <c:v>2.4703002070393372</c:v>
                </c:pt>
                <c:pt idx="11">
                  <c:v>2.8561697722567287</c:v>
                </c:pt>
              </c:numCache>
            </c:numRef>
          </c:yVal>
          <c:smooth val="1"/>
          <c:extLst>
            <c:ext xmlns:c16="http://schemas.microsoft.com/office/drawing/2014/chart" uri="{C3380CC4-5D6E-409C-BE32-E72D297353CC}">
              <c16:uniqueId val="{00000002-0874-40F2-AA6E-2D79CC80D965}"/>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0355753316316932"/>
                  <c:y val="0.20529283187310757"/>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'CAV-S2 AP3 M2'!$E$34:$H$34</c:f>
              <c:numCache>
                <c:formatCode>0.00</c:formatCode>
                <c:ptCount val="4"/>
                <c:pt idx="0">
                  <c:v>2.09438131313131</c:v>
                </c:pt>
                <c:pt idx="1">
                  <c:v>4.3948152246853747</c:v>
                </c:pt>
                <c:pt idx="2">
                  <c:v>6.7966602842145107</c:v>
                </c:pt>
                <c:pt idx="3">
                  <c:v>9.2991704235503541</c:v>
                </c:pt>
              </c:numCache>
            </c:numRef>
          </c:xVal>
          <c:yVal>
            <c:numRef>
              <c:f>'CAV-S2 AP3 M2'!$E$37:$H$37</c:f>
              <c:numCache>
                <c:formatCode>0.0000</c:formatCode>
                <c:ptCount val="4"/>
                <c:pt idx="0">
                  <c:v>1.9498516837374094</c:v>
                </c:pt>
                <c:pt idx="1">
                  <c:v>2.2226179974445763</c:v>
                </c:pt>
                <c:pt idx="2">
                  <c:v>2.190940257852255</c:v>
                </c:pt>
                <c:pt idx="3">
                  <c:v>1.9026758670616579</c:v>
                </c:pt>
              </c:numCache>
            </c:numRef>
          </c:yVal>
          <c:smooth val="0"/>
          <c:extLst>
            <c:ext xmlns:c16="http://schemas.microsoft.com/office/drawing/2014/chart" uri="{C3380CC4-5D6E-409C-BE32-E72D297353CC}">
              <c16:uniqueId val="{00000001-33CC-4CF2-B59D-335A8A87A007}"/>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'CAV-S2 AP3 M2'!$E$34:$H$34</c:f>
              <c:numCache>
                <c:formatCode>0.00</c:formatCode>
                <c:ptCount val="4"/>
                <c:pt idx="0">
                  <c:v>2.09438131313131</c:v>
                </c:pt>
                <c:pt idx="1">
                  <c:v>4.3948152246853747</c:v>
                </c:pt>
                <c:pt idx="2">
                  <c:v>6.7966602842145107</c:v>
                </c:pt>
                <c:pt idx="3">
                  <c:v>9.2991704235503541</c:v>
                </c:pt>
              </c:numCache>
            </c:numRef>
          </c:xVal>
          <c:yVal>
            <c:numRef>
              <c:f>'CAV-S2 AP3 M2'!$G$83:$J$83</c:f>
              <c:numCache>
                <c:formatCode>General</c:formatCode>
                <c:ptCount val="4"/>
                <c:pt idx="0">
                  <c:v>2.4717570715543866</c:v>
                </c:pt>
                <c:pt idx="1">
                  <c:v>2.336337298586562</c:v>
                </c:pt>
                <c:pt idx="2">
                  <c:v>2.2099250744157271</c:v>
                </c:pt>
                <c:pt idx="3">
                  <c:v>2.0919897412017434</c:v>
                </c:pt>
              </c:numCache>
            </c:numRef>
          </c:yVal>
          <c:smooth val="0"/>
          <c:extLst>
            <c:ext xmlns:c16="http://schemas.microsoft.com/office/drawing/2014/chart" uri="{C3380CC4-5D6E-409C-BE32-E72D297353CC}">
              <c16:uniqueId val="{00000003-33CC-4CF2-B59D-335A8A87A007}"/>
            </c:ext>
          </c:extLst>
        </c:ser>
        <c:dLbls>
          <c:showLegendKey val="0"/>
          <c:showVal val="0"/>
          <c:showCatName val="0"/>
          <c:showSerName val="0"/>
          <c:showPercent val="0"/>
          <c:showBubbleSize val="0"/>
        </c:dLbls>
        <c:axId val="862226368"/>
        <c:axId val="862172912"/>
      </c:scatterChart>
      <c:valAx>
        <c:axId val="862226368"/>
        <c:scaling>
          <c:orientation val="minMax"/>
          <c:max val="12"/>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'CAV-S2 AP3 M2'!$AJ$91:$AL$91</c:f>
              <c:numCache>
                <c:formatCode>0.000</c:formatCode>
                <c:ptCount val="3"/>
                <c:pt idx="0">
                  <c:v>2.2343707496762164</c:v>
                </c:pt>
                <c:pt idx="1">
                  <c:v>2.107952950701661</c:v>
                </c:pt>
                <c:pt idx="2">
                  <c:v>1.9847601452621397</c:v>
                </c:pt>
              </c:numCache>
            </c:numRef>
          </c:xVal>
          <c:yVal>
            <c:numRef>
              <c:f>'CAV-S2 AP3 M2'!$AJ$94:$AL$94</c:f>
              <c:numCache>
                <c:formatCode>0.000</c:formatCode>
                <c:ptCount val="3"/>
                <c:pt idx="0">
                  <c:v>119.62880697332491</c:v>
                </c:pt>
                <c:pt idx="1">
                  <c:v>82.502625498844779</c:v>
                </c:pt>
                <c:pt idx="2">
                  <c:v>64.352047889098927</c:v>
                </c:pt>
              </c:numCache>
            </c:numRef>
          </c:yVal>
          <c:smooth val="1"/>
          <c:extLst>
            <c:ext xmlns:c16="http://schemas.microsoft.com/office/drawing/2014/chart" uri="{C3380CC4-5D6E-409C-BE32-E72D297353CC}">
              <c16:uniqueId val="{00000001-A937-406E-B7FE-674EF4DD182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'CAV-S2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'CAV-S2 AP3 M2'!$AM$75:$AM$86</c:f>
              <c:numCache>
                <c:formatCode>0.000</c:formatCode>
                <c:ptCount val="12"/>
                <c:pt idx="0">
                  <c:v>0</c:v>
                </c:pt>
                <c:pt idx="1">
                  <c:v>1.1038602484472051</c:v>
                </c:pt>
                <c:pt idx="2">
                  <c:v>3.9640269151138718</c:v>
                </c:pt>
                <c:pt idx="3">
                  <c:v>6.0880036231884045</c:v>
                </c:pt>
                <c:pt idx="4">
                  <c:v>8.2543876811594199</c:v>
                </c:pt>
                <c:pt idx="5">
                  <c:v>10.207001811594203</c:v>
                </c:pt>
                <c:pt idx="6">
                  <c:v>11.937650362318839</c:v>
                </c:pt>
                <c:pt idx="7">
                  <c:v>13.585659420289854</c:v>
                </c:pt>
                <c:pt idx="8">
                  <c:v>14.611481884057973</c:v>
                </c:pt>
                <c:pt idx="9">
                  <c:v>18.512116977225674</c:v>
                </c:pt>
                <c:pt idx="10">
                  <c:v>19.388664596273291</c:v>
                </c:pt>
                <c:pt idx="11">
                  <c:v>20.052432712215321</c:v>
                </c:pt>
              </c:numCache>
            </c:numRef>
          </c:yVal>
          <c:smooth val="1"/>
          <c:extLst>
            <c:ext xmlns:c16="http://schemas.microsoft.com/office/drawing/2014/chart" uri="{C3380CC4-5D6E-409C-BE32-E72D297353CC}">
              <c16:uniqueId val="{00000000-7405-43EB-81ED-A332E6ADCA9D}"/>
            </c:ext>
          </c:extLst>
        </c:ser>
        <c:ser>
          <c:idx val="1"/>
          <c:order val="1"/>
          <c:tx>
            <c:v>26 golpes</c:v>
          </c:tx>
          <c:marker>
            <c:symbol val="circle"/>
            <c:size val="3"/>
            <c:spPr>
              <a:solidFill>
                <a:srgbClr val="00B050"/>
              </a:solidFill>
              <a:ln>
                <a:solidFill>
                  <a:srgbClr val="00B050">
                    <a:alpha val="50000"/>
                  </a:srgbClr>
                </a:solidFill>
                <a:prstDash val="solid"/>
              </a:ln>
            </c:spPr>
          </c:marker>
          <c:xVal>
            <c:numRef>
              <c:f>'CAV-S2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'CAV-S2 AP3 M2'!$AO$75:$AO$86</c:f>
              <c:numCache>
                <c:formatCode>0.000</c:formatCode>
                <c:ptCount val="12"/>
                <c:pt idx="0">
                  <c:v>0</c:v>
                </c:pt>
                <c:pt idx="1">
                  <c:v>0.65113871635610765</c:v>
                </c:pt>
                <c:pt idx="2">
                  <c:v>2.0781573498964798</c:v>
                </c:pt>
                <c:pt idx="3">
                  <c:v>4.1986231884057972</c:v>
                </c:pt>
                <c:pt idx="4">
                  <c:v>5.6926811594202897</c:v>
                </c:pt>
                <c:pt idx="5">
                  <c:v>7.0393115942028999</c:v>
                </c:pt>
                <c:pt idx="6">
                  <c:v>8.2328623188405796</c:v>
                </c:pt>
                <c:pt idx="7">
                  <c:v>9.3694202898550731</c:v>
                </c:pt>
                <c:pt idx="8">
                  <c:v>10.076884057971014</c:v>
                </c:pt>
                <c:pt idx="9">
                  <c:v>12.766977225672878</c:v>
                </c:pt>
                <c:pt idx="10">
                  <c:v>13.968737060041407</c:v>
                </c:pt>
                <c:pt idx="11">
                  <c:v>14.631123188405796</c:v>
                </c:pt>
              </c:numCache>
            </c:numRef>
          </c:yVal>
          <c:smooth val="1"/>
          <c:extLst>
            <c:ext xmlns:c16="http://schemas.microsoft.com/office/drawing/2014/chart" uri="{C3380CC4-5D6E-409C-BE32-E72D297353CC}">
              <c16:uniqueId val="{00000001-7405-43EB-81ED-A332E6ADCA9D}"/>
            </c:ext>
          </c:extLst>
        </c:ser>
        <c:ser>
          <c:idx val="2"/>
          <c:order val="2"/>
          <c:tx>
            <c:v>56 golpes</c:v>
          </c:tx>
          <c:marker>
            <c:symbol val="circle"/>
            <c:size val="3"/>
            <c:spPr>
              <a:solidFill>
                <a:srgbClr val="00B050"/>
              </a:solidFill>
              <a:ln>
                <a:solidFill>
                  <a:srgbClr val="00B050">
                    <a:alpha val="50000"/>
                  </a:srgbClr>
                </a:solidFill>
                <a:prstDash val="solid"/>
              </a:ln>
            </c:spPr>
          </c:marker>
          <c:xVal>
            <c:numRef>
              <c:f>'CAV-S2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'CAV-S2 AP3 M2'!$AQ$75:$AQ$86</c:f>
              <c:numCache>
                <c:formatCode>0.000</c:formatCode>
                <c:ptCount val="12"/>
                <c:pt idx="0">
                  <c:v>0</c:v>
                </c:pt>
                <c:pt idx="1">
                  <c:v>0.50788819875776392</c:v>
                </c:pt>
                <c:pt idx="2">
                  <c:v>1.4970569358178052</c:v>
                </c:pt>
                <c:pt idx="3">
                  <c:v>3.1757453416149066</c:v>
                </c:pt>
                <c:pt idx="4">
                  <c:v>4.4402913043478263</c:v>
                </c:pt>
                <c:pt idx="5">
                  <c:v>5.4906630434782606</c:v>
                </c:pt>
                <c:pt idx="6">
                  <c:v>6.4216326086956519</c:v>
                </c:pt>
                <c:pt idx="7">
                  <c:v>7.308147826086957</c:v>
                </c:pt>
                <c:pt idx="8">
                  <c:v>7.8599695652173915</c:v>
                </c:pt>
                <c:pt idx="9">
                  <c:v>9.40455486542443</c:v>
                </c:pt>
                <c:pt idx="10">
                  <c:v>10.071946169772257</c:v>
                </c:pt>
                <c:pt idx="11">
                  <c:v>10.817546583850932</c:v>
                </c:pt>
              </c:numCache>
            </c:numRef>
          </c:yVal>
          <c:smooth val="1"/>
          <c:extLst>
            <c:ext xmlns:c16="http://schemas.microsoft.com/office/drawing/2014/chart" uri="{C3380CC4-5D6E-409C-BE32-E72D297353CC}">
              <c16:uniqueId val="{00000002-7405-43EB-81ED-A332E6ADCA9D}"/>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2600738383869264"/>
                  <c:y val="0.12639568436611329"/>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'CAV-S2-AP4 M3'!$E$34:$H$34</c:f>
              <c:numCache>
                <c:formatCode>0.00</c:formatCode>
                <c:ptCount val="4"/>
                <c:pt idx="0">
                  <c:v>4.6914788333018338</c:v>
                </c:pt>
                <c:pt idx="1">
                  <c:v>6.9957964629697358</c:v>
                </c:pt>
                <c:pt idx="2">
                  <c:v>9.0986177100017525</c:v>
                </c:pt>
                <c:pt idx="3">
                  <c:v>11.617893709164633</c:v>
                </c:pt>
              </c:numCache>
            </c:numRef>
          </c:xVal>
          <c:yVal>
            <c:numRef>
              <c:f>'CAV-S2-AP4 M3'!$E$37:$H$37</c:f>
              <c:numCache>
                <c:formatCode>0.0000</c:formatCode>
                <c:ptCount val="4"/>
                <c:pt idx="0">
                  <c:v>1.5866430515637291</c:v>
                </c:pt>
                <c:pt idx="1">
                  <c:v>1.8283319774560773</c:v>
                </c:pt>
                <c:pt idx="2">
                  <c:v>1.8221089860460749</c:v>
                </c:pt>
                <c:pt idx="3">
                  <c:v>1.6687852461409982</c:v>
                </c:pt>
              </c:numCache>
            </c:numRef>
          </c:yVal>
          <c:smooth val="0"/>
          <c:extLst>
            <c:ext xmlns:c16="http://schemas.microsoft.com/office/drawing/2014/chart" uri="{C3380CC4-5D6E-409C-BE32-E72D297353CC}">
              <c16:uniqueId val="{00000001-77D9-4BFF-B9A9-66014FDE5048}"/>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'CAV-S2-AP4 M3'!$E$34:$H$34</c:f>
              <c:numCache>
                <c:formatCode>0.00</c:formatCode>
                <c:ptCount val="4"/>
                <c:pt idx="0">
                  <c:v>4.6914788333018338</c:v>
                </c:pt>
                <c:pt idx="1">
                  <c:v>6.9957964629697358</c:v>
                </c:pt>
                <c:pt idx="2">
                  <c:v>9.0986177100017525</c:v>
                </c:pt>
                <c:pt idx="3">
                  <c:v>11.617893709164633</c:v>
                </c:pt>
              </c:numCache>
            </c:numRef>
          </c:xVal>
          <c:yVal>
            <c:numRef>
              <c:f>'CAV-S2-AP4 M3'!$G$83:$J$83</c:f>
              <c:numCache>
                <c:formatCode>General</c:formatCode>
                <c:ptCount val="4"/>
                <c:pt idx="0">
                  <c:v>2.3431789831978493</c:v>
                </c:pt>
                <c:pt idx="1">
                  <c:v>2.2209384271119719</c:v>
                </c:pt>
                <c:pt idx="2">
                  <c:v>2.1200112706987566</c:v>
                </c:pt>
                <c:pt idx="3">
                  <c:v>2.0105501663224388</c:v>
                </c:pt>
              </c:numCache>
            </c:numRef>
          </c:yVal>
          <c:smooth val="0"/>
          <c:extLst>
            <c:ext xmlns:c16="http://schemas.microsoft.com/office/drawing/2014/chart" uri="{C3380CC4-5D6E-409C-BE32-E72D297353CC}">
              <c16:uniqueId val="{00000003-77D9-4BFF-B9A9-66014FDE5048}"/>
            </c:ext>
          </c:extLst>
        </c:ser>
        <c:dLbls>
          <c:showLegendKey val="0"/>
          <c:showVal val="0"/>
          <c:showCatName val="0"/>
          <c:showSerName val="0"/>
          <c:showPercent val="0"/>
          <c:showBubbleSize val="0"/>
        </c:dLbls>
        <c:axId val="862226368"/>
        <c:axId val="862172912"/>
      </c:scatterChart>
      <c:valAx>
        <c:axId val="862226368"/>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'CAV-S2-AP4 M3'!$AJ$91:$AL$91</c:f>
              <c:numCache>
                <c:formatCode>0.000</c:formatCode>
                <c:ptCount val="3"/>
                <c:pt idx="0">
                  <c:v>1.8240247427648029</c:v>
                </c:pt>
                <c:pt idx="1">
                  <c:v>1.6937813607715224</c:v>
                </c:pt>
                <c:pt idx="2">
                  <c:v>1.5511633061147447</c:v>
                </c:pt>
              </c:numCache>
            </c:numRef>
          </c:xVal>
          <c:yVal>
            <c:numRef>
              <c:f>'CAV-S2-AP4 M3'!$AJ$94:$AL$94</c:f>
              <c:numCache>
                <c:formatCode>0.000</c:formatCode>
                <c:ptCount val="3"/>
                <c:pt idx="0">
                  <c:v>5.0844660485492232</c:v>
                </c:pt>
                <c:pt idx="1">
                  <c:v>2.9330572808833675</c:v>
                </c:pt>
                <c:pt idx="2">
                  <c:v>2.2877846790890275</c:v>
                </c:pt>
              </c:numCache>
            </c:numRef>
          </c:yVal>
          <c:smooth val="1"/>
          <c:extLst>
            <c:ext xmlns:c16="http://schemas.microsoft.com/office/drawing/2014/chart" uri="{C3380CC4-5D6E-409C-BE32-E72D297353CC}">
              <c16:uniqueId val="{00000001-624F-4FCC-A62B-7DE8FEE200A9}"/>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'CAV-S2-AP4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'CAV-S2-AP4 M3'!$AM$75:$AM$86</c:f>
              <c:numCache>
                <c:formatCode>0.000</c:formatCode>
                <c:ptCount val="12"/>
                <c:pt idx="0">
                  <c:v>3.1055900621118009E-2</c:v>
                </c:pt>
                <c:pt idx="1">
                  <c:v>9.7877846790890274E-2</c:v>
                </c:pt>
                <c:pt idx="2">
                  <c:v>0.16506211180124225</c:v>
                </c:pt>
                <c:pt idx="3">
                  <c:v>0.2582298136645963</c:v>
                </c:pt>
                <c:pt idx="4">
                  <c:v>0.35082815734989642</c:v>
                </c:pt>
                <c:pt idx="5">
                  <c:v>0.47269151138716359</c:v>
                </c:pt>
                <c:pt idx="6">
                  <c:v>0.58260869565217388</c:v>
                </c:pt>
                <c:pt idx="7">
                  <c:v>0.73732919254658391</c:v>
                </c:pt>
                <c:pt idx="8">
                  <c:v>0.86436335403726705</c:v>
                </c:pt>
                <c:pt idx="9">
                  <c:v>1.1847308488612835</c:v>
                </c:pt>
                <c:pt idx="10">
                  <c:v>1.3950310559006209</c:v>
                </c:pt>
                <c:pt idx="11">
                  <c:v>1.4902691511387165</c:v>
                </c:pt>
              </c:numCache>
            </c:numRef>
          </c:yVal>
          <c:smooth val="1"/>
          <c:extLst>
            <c:ext xmlns:c16="http://schemas.microsoft.com/office/drawing/2014/chart" uri="{C3380CC4-5D6E-409C-BE32-E72D297353CC}">
              <c16:uniqueId val="{00000000-0497-48F4-810E-C8B8A7A231BF}"/>
            </c:ext>
          </c:extLst>
        </c:ser>
        <c:ser>
          <c:idx val="1"/>
          <c:order val="1"/>
          <c:tx>
            <c:v>26 golpes</c:v>
          </c:tx>
          <c:marker>
            <c:symbol val="circle"/>
            <c:size val="3"/>
            <c:spPr>
              <a:solidFill>
                <a:srgbClr val="00B050"/>
              </a:solidFill>
              <a:ln>
                <a:solidFill>
                  <a:srgbClr val="00B050">
                    <a:alpha val="50000"/>
                  </a:srgbClr>
                </a:solidFill>
                <a:prstDash val="solid"/>
              </a:ln>
            </c:spPr>
          </c:marker>
          <c:xVal>
            <c:numRef>
              <c:f>'CAV-S2-AP4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'CAV-S2-AP4 M3'!$AO$75:$AO$86</c:f>
              <c:numCache>
                <c:formatCode>0.000</c:formatCode>
                <c:ptCount val="12"/>
                <c:pt idx="0">
                  <c:v>1.8115942028985511E-2</c:v>
                </c:pt>
                <c:pt idx="1">
                  <c:v>5.3830227743271217E-2</c:v>
                </c:pt>
                <c:pt idx="2">
                  <c:v>0.10041407867494825</c:v>
                </c:pt>
                <c:pt idx="3">
                  <c:v>0.15113871635610765</c:v>
                </c:pt>
                <c:pt idx="4">
                  <c:v>0.20238095238095238</c:v>
                </c:pt>
                <c:pt idx="5">
                  <c:v>0.25621118012422361</c:v>
                </c:pt>
                <c:pt idx="6">
                  <c:v>0.32763975155279507</c:v>
                </c:pt>
                <c:pt idx="7">
                  <c:v>0.40269151138716353</c:v>
                </c:pt>
                <c:pt idx="8">
                  <c:v>0.48395445134575565</c:v>
                </c:pt>
                <c:pt idx="9">
                  <c:v>0.7422360248447204</c:v>
                </c:pt>
                <c:pt idx="10">
                  <c:v>0.96635610766045543</c:v>
                </c:pt>
                <c:pt idx="11">
                  <c:v>1.1972049689440993</c:v>
                </c:pt>
              </c:numCache>
            </c:numRef>
          </c:yVal>
          <c:smooth val="1"/>
          <c:extLst>
            <c:ext xmlns:c16="http://schemas.microsoft.com/office/drawing/2014/chart" uri="{C3380CC4-5D6E-409C-BE32-E72D297353CC}">
              <c16:uniqueId val="{00000001-0497-48F4-810E-C8B8A7A231BF}"/>
            </c:ext>
          </c:extLst>
        </c:ser>
        <c:ser>
          <c:idx val="2"/>
          <c:order val="2"/>
          <c:tx>
            <c:v>56 golpes</c:v>
          </c:tx>
          <c:marker>
            <c:symbol val="circle"/>
            <c:size val="3"/>
            <c:spPr>
              <a:solidFill>
                <a:srgbClr val="00B050"/>
              </a:solidFill>
              <a:ln>
                <a:solidFill>
                  <a:srgbClr val="00B050">
                    <a:alpha val="50000"/>
                  </a:srgbClr>
                </a:solidFill>
                <a:prstDash val="solid"/>
              </a:ln>
            </c:spPr>
          </c:marker>
          <c:xVal>
            <c:numRef>
              <c:f>'CAV-S2-AP4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'CAV-S2-AP4 M3'!$AQ$75:$AQ$86</c:f>
              <c:numCache>
                <c:formatCode>0.000</c:formatCode>
                <c:ptCount val="12"/>
                <c:pt idx="0">
                  <c:v>1.2939958592132504E-2</c:v>
                </c:pt>
                <c:pt idx="1">
                  <c:v>4.606625258799172E-2</c:v>
                </c:pt>
                <c:pt idx="2">
                  <c:v>8.1335403726708069E-2</c:v>
                </c:pt>
                <c:pt idx="3">
                  <c:v>0.11788819875776396</c:v>
                </c:pt>
                <c:pt idx="4">
                  <c:v>0.15785714285714289</c:v>
                </c:pt>
                <c:pt idx="5">
                  <c:v>0.19472049689440993</c:v>
                </c:pt>
                <c:pt idx="6">
                  <c:v>0.23262422360248447</c:v>
                </c:pt>
                <c:pt idx="7">
                  <c:v>0.28591097308488611</c:v>
                </c:pt>
                <c:pt idx="8">
                  <c:v>0.34360766045548657</c:v>
                </c:pt>
                <c:pt idx="9">
                  <c:v>0.57039337474120089</c:v>
                </c:pt>
                <c:pt idx="10">
                  <c:v>0.74121118012422371</c:v>
                </c:pt>
                <c:pt idx="11">
                  <c:v>0.85001552795031066</c:v>
                </c:pt>
              </c:numCache>
            </c:numRef>
          </c:yVal>
          <c:smooth val="1"/>
          <c:extLst>
            <c:ext xmlns:c16="http://schemas.microsoft.com/office/drawing/2014/chart" uri="{C3380CC4-5D6E-409C-BE32-E72D297353CC}">
              <c16:uniqueId val="{00000002-0497-48F4-810E-C8B8A7A231BF}"/>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3.7375310454780035E-2"/>
                  <c:y val="0.13875040095349991"/>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'CAV-AP1-M3'!$E$34:$H$34</c:f>
              <c:numCache>
                <c:formatCode>0.00</c:formatCode>
                <c:ptCount val="4"/>
                <c:pt idx="0">
                  <c:v>5.3671604578067225</c:v>
                </c:pt>
                <c:pt idx="1">
                  <c:v>7.884807884807878</c:v>
                </c:pt>
                <c:pt idx="2">
                  <c:v>9.1687292103479194</c:v>
                </c:pt>
                <c:pt idx="3">
                  <c:v>11.410989798814107</c:v>
                </c:pt>
              </c:numCache>
            </c:numRef>
          </c:xVal>
          <c:yVal>
            <c:numRef>
              <c:f>'CAV-AP1-M3'!$E$37:$H$37</c:f>
              <c:numCache>
                <c:formatCode>0.0000</c:formatCode>
                <c:ptCount val="4"/>
                <c:pt idx="0">
                  <c:v>1.746575086166182</c:v>
                </c:pt>
                <c:pt idx="1">
                  <c:v>1.9785397068305073</c:v>
                </c:pt>
                <c:pt idx="2">
                  <c:v>1.9484471308340696</c:v>
                </c:pt>
                <c:pt idx="3">
                  <c:v>1.6898526506635974</c:v>
                </c:pt>
              </c:numCache>
            </c:numRef>
          </c:yVal>
          <c:smooth val="0"/>
          <c:extLst>
            <c:ext xmlns:c16="http://schemas.microsoft.com/office/drawing/2014/chart" uri="{C3380CC4-5D6E-409C-BE32-E72D297353CC}">
              <c16:uniqueId val="{00000001-4B63-4A03-A17B-1BCB5AA97E17}"/>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'CAV-AP1-M3'!$E$34:$H$34</c:f>
              <c:numCache>
                <c:formatCode>0.00</c:formatCode>
                <c:ptCount val="4"/>
                <c:pt idx="0">
                  <c:v>5.3671604578067225</c:v>
                </c:pt>
                <c:pt idx="1">
                  <c:v>7.884807884807878</c:v>
                </c:pt>
                <c:pt idx="2">
                  <c:v>9.1687292103479194</c:v>
                </c:pt>
                <c:pt idx="3">
                  <c:v>11.410989798814107</c:v>
                </c:pt>
              </c:numCache>
            </c:numRef>
          </c:xVal>
          <c:yVal>
            <c:numRef>
              <c:f>'CAV-AP1-M3'!$G$83:$J$83</c:f>
              <c:numCache>
                <c:formatCode>General</c:formatCode>
                <c:ptCount val="4"/>
                <c:pt idx="0">
                  <c:v>2.1928040656667096</c:v>
                </c:pt>
                <c:pt idx="1">
                  <c:v>2.0759757774590137</c:v>
                </c:pt>
                <c:pt idx="2">
                  <c:v>2.0210632304780067</c:v>
                </c:pt>
                <c:pt idx="3">
                  <c:v>1.9318222877628859</c:v>
                </c:pt>
              </c:numCache>
            </c:numRef>
          </c:yVal>
          <c:smooth val="0"/>
          <c:extLst>
            <c:ext xmlns:c16="http://schemas.microsoft.com/office/drawing/2014/chart" uri="{C3380CC4-5D6E-409C-BE32-E72D297353CC}">
              <c16:uniqueId val="{00000003-4B63-4A03-A17B-1BCB5AA97E17}"/>
            </c:ext>
          </c:extLst>
        </c:ser>
        <c:dLbls>
          <c:showLegendKey val="0"/>
          <c:showVal val="0"/>
          <c:showCatName val="0"/>
          <c:showSerName val="0"/>
          <c:showPercent val="0"/>
          <c:showBubbleSize val="0"/>
        </c:dLbls>
        <c:axId val="862226368"/>
        <c:axId val="862172912"/>
      </c:scatterChart>
      <c:valAx>
        <c:axId val="862226368"/>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'CAV-AP1-M3'!$AJ$91:$AL$91</c:f>
              <c:numCache>
                <c:formatCode>0.000</c:formatCode>
                <c:ptCount val="3"/>
                <c:pt idx="0">
                  <c:v>1.9751528114101451</c:v>
                </c:pt>
                <c:pt idx="1">
                  <c:v>1.8535165727084815</c:v>
                </c:pt>
                <c:pt idx="2">
                  <c:v>1.6607185154708477</c:v>
                </c:pt>
              </c:numCache>
            </c:numRef>
          </c:xVal>
          <c:yVal>
            <c:numRef>
              <c:f>'CAV-AP1-M3'!$AJ$94:$AL$94</c:f>
              <c:numCache>
                <c:formatCode>0.000</c:formatCode>
                <c:ptCount val="3"/>
                <c:pt idx="0">
                  <c:v>10.306958322081195</c:v>
                </c:pt>
                <c:pt idx="1">
                  <c:v>6.5649416064211428</c:v>
                </c:pt>
                <c:pt idx="2">
                  <c:v>4.9237062048158586</c:v>
                </c:pt>
              </c:numCache>
            </c:numRef>
          </c:yVal>
          <c:smooth val="1"/>
          <c:extLst>
            <c:ext xmlns:c16="http://schemas.microsoft.com/office/drawing/2014/chart" uri="{C3380CC4-5D6E-409C-BE32-E72D297353CC}">
              <c16:uniqueId val="{00000001-AA1E-47D5-AA25-D81C0732CAC3}"/>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'CAV-AP1-M3'!$AJ$75:$AJ$86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'CAV-AP1-M3'!$AM$75:$AM$86</c:f>
              <c:numCache>
                <c:formatCode>0.000</c:formatCode>
                <c:ptCount val="12"/>
                <c:pt idx="0">
                  <c:v>0</c:v>
                </c:pt>
                <c:pt idx="1">
                  <c:v>0.20755693581780538</c:v>
                </c:pt>
                <c:pt idx="2">
                  <c:v>0.35041407867494823</c:v>
                </c:pt>
                <c:pt idx="3">
                  <c:v>0.52691511387163559</c:v>
                </c:pt>
                <c:pt idx="4">
                  <c:v>0.71118012422360255</c:v>
                </c:pt>
                <c:pt idx="5">
                  <c:v>0.87577639751552794</c:v>
                </c:pt>
                <c:pt idx="6">
                  <c:v>1.0621118012422361</c:v>
                </c:pt>
                <c:pt idx="7">
                  <c:v>1.2665631469979297</c:v>
                </c:pt>
                <c:pt idx="8">
                  <c:v>1.4477225672877847</c:v>
                </c:pt>
                <c:pt idx="9">
                  <c:v>2.1149068322981366</c:v>
                </c:pt>
                <c:pt idx="10">
                  <c:v>2.5424430641821942</c:v>
                </c:pt>
                <c:pt idx="11">
                  <c:v>2.9130434782608692</c:v>
                </c:pt>
              </c:numCache>
            </c:numRef>
          </c:yVal>
          <c:smooth val="1"/>
          <c:extLst>
            <c:ext xmlns:c16="http://schemas.microsoft.com/office/drawing/2014/chart" uri="{C3380CC4-5D6E-409C-BE32-E72D297353CC}">
              <c16:uniqueId val="{00000000-B757-4924-BD94-18813DC4E1AA}"/>
            </c:ext>
          </c:extLst>
        </c:ser>
        <c:ser>
          <c:idx val="1"/>
          <c:order val="1"/>
          <c:tx>
            <c:v>26 golpes</c:v>
          </c:tx>
          <c:marker>
            <c:symbol val="circle"/>
            <c:size val="3"/>
            <c:spPr>
              <a:solidFill>
                <a:srgbClr val="00B050"/>
              </a:solidFill>
              <a:ln>
                <a:solidFill>
                  <a:srgbClr val="00B050">
                    <a:alpha val="50000"/>
                  </a:srgbClr>
                </a:solidFill>
                <a:prstDash val="solid"/>
              </a:ln>
            </c:spPr>
          </c:marker>
          <c:xVal>
            <c:numRef>
              <c:f>'CAV-AP1-M3'!$AJ$75:$AJ$86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'CAV-AP1-M3'!$AO$75:$AO$86</c:f>
              <c:numCache>
                <c:formatCode>0.000</c:formatCode>
                <c:ptCount val="12"/>
                <c:pt idx="0">
                  <c:v>0</c:v>
                </c:pt>
                <c:pt idx="1">
                  <c:v>0.13561076604554867</c:v>
                </c:pt>
                <c:pt idx="2">
                  <c:v>0.2360248447204969</c:v>
                </c:pt>
                <c:pt idx="3">
                  <c:v>0.34886128364389235</c:v>
                </c:pt>
                <c:pt idx="4">
                  <c:v>0.45298097084305888</c:v>
                </c:pt>
                <c:pt idx="5">
                  <c:v>0.55781936147485855</c:v>
                </c:pt>
                <c:pt idx="6">
                  <c:v>0.67650433200142412</c:v>
                </c:pt>
                <c:pt idx="7">
                  <c:v>0.80672811910696152</c:v>
                </c:pt>
                <c:pt idx="8">
                  <c:v>0.92211628489667807</c:v>
                </c:pt>
                <c:pt idx="9">
                  <c:v>1.2864132083184978</c:v>
                </c:pt>
                <c:pt idx="10">
                  <c:v>1.5831256346349116</c:v>
                </c:pt>
                <c:pt idx="11">
                  <c:v>1.855441705898643</c:v>
                </c:pt>
              </c:numCache>
            </c:numRef>
          </c:yVal>
          <c:smooth val="1"/>
          <c:extLst>
            <c:ext xmlns:c16="http://schemas.microsoft.com/office/drawing/2014/chart" uri="{C3380CC4-5D6E-409C-BE32-E72D297353CC}">
              <c16:uniqueId val="{00000001-B757-4924-BD94-18813DC4E1AA}"/>
            </c:ext>
          </c:extLst>
        </c:ser>
        <c:ser>
          <c:idx val="2"/>
          <c:order val="2"/>
          <c:tx>
            <c:v>56 golpes</c:v>
          </c:tx>
          <c:marker>
            <c:symbol val="circle"/>
            <c:size val="3"/>
            <c:spPr>
              <a:solidFill>
                <a:srgbClr val="00B050"/>
              </a:solidFill>
              <a:ln>
                <a:solidFill>
                  <a:srgbClr val="00B050">
                    <a:alpha val="50000"/>
                  </a:srgbClr>
                </a:solidFill>
                <a:prstDash val="solid"/>
              </a:ln>
            </c:spPr>
          </c:marker>
          <c:xVal>
            <c:numRef>
              <c:f>'CAV-AP1-M3'!$AJ$75:$AJ$86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'CAV-AP1-M3'!$AQ$75:$AQ$86</c:f>
              <c:numCache>
                <c:formatCode>0.000</c:formatCode>
                <c:ptCount val="12"/>
                <c:pt idx="0">
                  <c:v>0</c:v>
                </c:pt>
                <c:pt idx="1">
                  <c:v>9.5238095238095233E-2</c:v>
                </c:pt>
                <c:pt idx="2">
                  <c:v>0.16407867494824019</c:v>
                </c:pt>
                <c:pt idx="3">
                  <c:v>0.25171104165842462</c:v>
                </c:pt>
                <c:pt idx="4">
                  <c:v>0.33973572813229425</c:v>
                </c:pt>
                <c:pt idx="5">
                  <c:v>0.41836452110614386</c:v>
                </c:pt>
                <c:pt idx="6">
                  <c:v>0.50737824900106809</c:v>
                </c:pt>
                <c:pt idx="7">
                  <c:v>0.60504608933022119</c:v>
                </c:pt>
                <c:pt idx="8">
                  <c:v>0.69158721367250864</c:v>
                </c:pt>
                <c:pt idx="9">
                  <c:v>0.9648099062388733</c:v>
                </c:pt>
                <c:pt idx="10">
                  <c:v>1.1873442259761837</c:v>
                </c:pt>
                <c:pt idx="11">
                  <c:v>1.3100414078674949</c:v>
                </c:pt>
              </c:numCache>
            </c:numRef>
          </c:yVal>
          <c:smooth val="1"/>
          <c:extLst>
            <c:ext xmlns:c16="http://schemas.microsoft.com/office/drawing/2014/chart" uri="{C3380CC4-5D6E-409C-BE32-E72D297353CC}">
              <c16:uniqueId val="{00000002-B757-4924-BD94-18813DC4E1AA}"/>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0561353626928784"/>
                  <c:y val="0.35007563546596981"/>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'CAV-AP3-M2-'!$E$34:$H$34</c:f>
              <c:numCache>
                <c:formatCode>0.00</c:formatCode>
                <c:ptCount val="4"/>
                <c:pt idx="0">
                  <c:v>2.0832157172697943</c:v>
                </c:pt>
                <c:pt idx="1">
                  <c:v>4.131906407123406</c:v>
                </c:pt>
                <c:pt idx="2">
                  <c:v>5.7298755134912538</c:v>
                </c:pt>
                <c:pt idx="3">
                  <c:v>6.86247321316021</c:v>
                </c:pt>
              </c:numCache>
            </c:numRef>
          </c:xVal>
          <c:yVal>
            <c:numRef>
              <c:f>'CAV-AP3-M2-'!$E$37:$H$37</c:f>
              <c:numCache>
                <c:formatCode>0.0000</c:formatCode>
                <c:ptCount val="4"/>
                <c:pt idx="0">
                  <c:v>2.1589353343149984</c:v>
                </c:pt>
                <c:pt idx="1">
                  <c:v>2.3158565967358098</c:v>
                </c:pt>
                <c:pt idx="2">
                  <c:v>2.2236139001848301</c:v>
                </c:pt>
                <c:pt idx="3">
                  <c:v>2.0924403603244541</c:v>
                </c:pt>
              </c:numCache>
            </c:numRef>
          </c:yVal>
          <c:smooth val="0"/>
          <c:extLst>
            <c:ext xmlns:c16="http://schemas.microsoft.com/office/drawing/2014/chart" uri="{C3380CC4-5D6E-409C-BE32-E72D297353CC}">
              <c16:uniqueId val="{00000001-8F7B-4E6E-9E52-0A9B5A77D8CF}"/>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'CAV-AP3-M2-'!$E$34:$H$34</c:f>
              <c:numCache>
                <c:formatCode>0.00</c:formatCode>
                <c:ptCount val="4"/>
                <c:pt idx="0">
                  <c:v>2.0832157172697943</c:v>
                </c:pt>
                <c:pt idx="1">
                  <c:v>4.131906407123406</c:v>
                </c:pt>
                <c:pt idx="2">
                  <c:v>5.7298755134912538</c:v>
                </c:pt>
                <c:pt idx="3">
                  <c:v>6.86247321316021</c:v>
                </c:pt>
              </c:numCache>
            </c:numRef>
          </c:xVal>
          <c:yVal>
            <c:numRef>
              <c:f>'CAV-AP3-M2-'!$G$83:$J$83</c:f>
              <c:numCache>
                <c:formatCode>General</c:formatCode>
                <c:ptCount val="4"/>
                <c:pt idx="0">
                  <c:v>2.4812578254733206</c:v>
                </c:pt>
                <c:pt idx="1">
                  <c:v>2.3590185850386183</c:v>
                </c:pt>
                <c:pt idx="2">
                  <c:v>2.2717241944938591</c:v>
                </c:pt>
                <c:pt idx="3">
                  <c:v>2.2136645878761825</c:v>
                </c:pt>
              </c:numCache>
            </c:numRef>
          </c:yVal>
          <c:smooth val="0"/>
          <c:extLst>
            <c:ext xmlns:c16="http://schemas.microsoft.com/office/drawing/2014/chart" uri="{C3380CC4-5D6E-409C-BE32-E72D297353CC}">
              <c16:uniqueId val="{00000003-8F7B-4E6E-9E52-0A9B5A77D8CF}"/>
            </c:ext>
          </c:extLst>
        </c:ser>
        <c:dLbls>
          <c:showLegendKey val="0"/>
          <c:showVal val="0"/>
          <c:showCatName val="0"/>
          <c:showSerName val="0"/>
          <c:showPercent val="0"/>
          <c:showBubbleSize val="0"/>
        </c:dLbls>
        <c:axId val="862226368"/>
        <c:axId val="862172912"/>
      </c:scatterChart>
      <c:valAx>
        <c:axId val="862226368"/>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'CAV-AP3-M2-'!$AJ$91:$AL$91</c:f>
              <c:numCache>
                <c:formatCode>0.000</c:formatCode>
                <c:ptCount val="3"/>
                <c:pt idx="0">
                  <c:v>2.3284962054347549</c:v>
                </c:pt>
                <c:pt idx="1">
                  <c:v>2.0125396917832936</c:v>
                </c:pt>
                <c:pt idx="2">
                  <c:v>1.8579721816929309</c:v>
                </c:pt>
              </c:numCache>
            </c:numRef>
          </c:xVal>
          <c:yVal>
            <c:numRef>
              <c:f>'CAV-AP3-M2-'!$AJ$94:$AL$94</c:f>
              <c:numCache>
                <c:formatCode>0.000</c:formatCode>
                <c:ptCount val="3"/>
                <c:pt idx="0">
                  <c:v>3.2931256938818376</c:v>
                </c:pt>
                <c:pt idx="1">
                  <c:v>2.1665300617643668</c:v>
                </c:pt>
                <c:pt idx="2">
                  <c:v>1.5527950310559007</c:v>
                </c:pt>
              </c:numCache>
            </c:numRef>
          </c:yVal>
          <c:smooth val="1"/>
          <c:extLst>
            <c:ext xmlns:c16="http://schemas.microsoft.com/office/drawing/2014/chart" uri="{C3380CC4-5D6E-409C-BE32-E72D297353CC}">
              <c16:uniqueId val="{00000001-BF8B-4555-BA58-46A0D53C3A9C}"/>
            </c:ext>
          </c:extLst>
        </c:ser>
        <c:dLbls>
          <c:showLegendKey val="0"/>
          <c:showVal val="0"/>
          <c:showCatName val="0"/>
          <c:showSerName val="0"/>
          <c:showPercent val="0"/>
          <c:showBubbleSize val="0"/>
        </c:dLbls>
        <c:axId val="417040040"/>
        <c:axId val="417042784"/>
      </c:scatterChart>
      <c:valAx>
        <c:axId val="417040040"/>
        <c:scaling>
          <c:orientation val="minMax"/>
          <c:max val="2.6"/>
          <c:min val="1.4"/>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'CAV-AP3-M2-'!$AJ$75:$AJ$86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'CAV-AP3-M2-'!$AM$75:$AM$86</c:f>
              <c:numCache>
                <c:formatCode>0.000</c:formatCode>
                <c:ptCount val="12"/>
                <c:pt idx="0">
                  <c:v>0</c:v>
                </c:pt>
                <c:pt idx="1">
                  <c:v>0.10817805383022773</c:v>
                </c:pt>
                <c:pt idx="2">
                  <c:v>0.15269151138716355</c:v>
                </c:pt>
                <c:pt idx="3">
                  <c:v>0.19254658385093165</c:v>
                </c:pt>
                <c:pt idx="4">
                  <c:v>0.22722567287784678</c:v>
                </c:pt>
                <c:pt idx="5">
                  <c:v>0.25776397515527949</c:v>
                </c:pt>
                <c:pt idx="6">
                  <c:v>0.29037267080745344</c:v>
                </c:pt>
                <c:pt idx="7">
                  <c:v>0.32867494824016563</c:v>
                </c:pt>
                <c:pt idx="8">
                  <c:v>0.36231884057971009</c:v>
                </c:pt>
                <c:pt idx="9">
                  <c:v>0.51604554865424435</c:v>
                </c:pt>
                <c:pt idx="10">
                  <c:v>0.68478260869565211</c:v>
                </c:pt>
                <c:pt idx="11">
                  <c:v>0.85507246376811596</c:v>
                </c:pt>
              </c:numCache>
            </c:numRef>
          </c:yVal>
          <c:smooth val="1"/>
          <c:extLst>
            <c:ext xmlns:c16="http://schemas.microsoft.com/office/drawing/2014/chart" uri="{C3380CC4-5D6E-409C-BE32-E72D297353CC}">
              <c16:uniqueId val="{00000000-8D98-431B-9B67-72F21B1D220B}"/>
            </c:ext>
          </c:extLst>
        </c:ser>
        <c:ser>
          <c:idx val="1"/>
          <c:order val="1"/>
          <c:tx>
            <c:v>26 golpes</c:v>
          </c:tx>
          <c:marker>
            <c:symbol val="circle"/>
            <c:size val="3"/>
            <c:spPr>
              <a:solidFill>
                <a:srgbClr val="00B050"/>
              </a:solidFill>
              <a:ln>
                <a:solidFill>
                  <a:srgbClr val="00B050">
                    <a:alpha val="50000"/>
                  </a:srgbClr>
                </a:solidFill>
                <a:prstDash val="solid"/>
              </a:ln>
            </c:spPr>
          </c:marker>
          <c:xVal>
            <c:numRef>
              <c:f>'CAV-AP3-M2-'!$AJ$75:$AJ$86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'CAV-AP3-M2-'!$AO$75:$AO$86</c:f>
              <c:numCache>
                <c:formatCode>0.000</c:formatCode>
                <c:ptCount val="12"/>
                <c:pt idx="0">
                  <c:v>0</c:v>
                </c:pt>
                <c:pt idx="1">
                  <c:v>5.3830227743271217E-2</c:v>
                </c:pt>
                <c:pt idx="2">
                  <c:v>0.10045494170208129</c:v>
                </c:pt>
                <c:pt idx="3">
                  <c:v>0.12667538411245505</c:v>
                </c:pt>
                <c:pt idx="4">
                  <c:v>0.14949057426174131</c:v>
                </c:pt>
                <c:pt idx="5">
                  <c:v>0.17443064182194618</c:v>
                </c:pt>
                <c:pt idx="6">
                  <c:v>0.20134575569358176</c:v>
                </c:pt>
                <c:pt idx="7">
                  <c:v>0.2318840579710145</c:v>
                </c:pt>
                <c:pt idx="8">
                  <c:v>0.25983436853002073</c:v>
                </c:pt>
                <c:pt idx="9">
                  <c:v>0.36956521739130432</c:v>
                </c:pt>
                <c:pt idx="10">
                  <c:v>0.47877846790890272</c:v>
                </c:pt>
                <c:pt idx="11">
                  <c:v>0.56254767353165525</c:v>
                </c:pt>
              </c:numCache>
            </c:numRef>
          </c:yVal>
          <c:smooth val="1"/>
          <c:extLst>
            <c:ext xmlns:c16="http://schemas.microsoft.com/office/drawing/2014/chart" uri="{C3380CC4-5D6E-409C-BE32-E72D297353CC}">
              <c16:uniqueId val="{00000001-8D98-431B-9B67-72F21B1D220B}"/>
            </c:ext>
          </c:extLst>
        </c:ser>
        <c:ser>
          <c:idx val="2"/>
          <c:order val="2"/>
          <c:tx>
            <c:v>56 golpes</c:v>
          </c:tx>
          <c:marker>
            <c:symbol val="circle"/>
            <c:size val="3"/>
            <c:spPr>
              <a:solidFill>
                <a:srgbClr val="00B050"/>
              </a:solidFill>
              <a:ln>
                <a:solidFill>
                  <a:srgbClr val="00B050">
                    <a:alpha val="50000"/>
                  </a:srgbClr>
                </a:solidFill>
                <a:prstDash val="solid"/>
              </a:ln>
            </c:spPr>
          </c:marker>
          <c:xVal>
            <c:numRef>
              <c:f>'CAV-AP3-M2-'!$AJ$75:$AJ$86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'CAV-AP3-M2-'!$AQ$75:$AQ$86</c:f>
              <c:numCache>
                <c:formatCode>0.000</c:formatCode>
                <c:ptCount val="12"/>
                <c:pt idx="0">
                  <c:v>0</c:v>
                </c:pt>
                <c:pt idx="1">
                  <c:v>2.8985507246376812E-2</c:v>
                </c:pt>
                <c:pt idx="2">
                  <c:v>5.745341614906832E-2</c:v>
                </c:pt>
                <c:pt idx="3">
                  <c:v>7.5569358178053825E-2</c:v>
                </c:pt>
                <c:pt idx="4">
                  <c:v>0.10714285714285715</c:v>
                </c:pt>
                <c:pt idx="5">
                  <c:v>0.12718617195161816</c:v>
                </c:pt>
                <c:pt idx="6">
                  <c:v>0.14327598888525661</c:v>
                </c:pt>
                <c:pt idx="7">
                  <c:v>0.16217513893429225</c:v>
                </c:pt>
                <c:pt idx="8">
                  <c:v>0.17877574370709381</c:v>
                </c:pt>
                <c:pt idx="9">
                  <c:v>0.25462773782281795</c:v>
                </c:pt>
                <c:pt idx="10">
                  <c:v>0.33788615560640728</c:v>
                </c:pt>
                <c:pt idx="11">
                  <c:v>0.38561076604554867</c:v>
                </c:pt>
              </c:numCache>
            </c:numRef>
          </c:yVal>
          <c:smooth val="1"/>
          <c:extLst>
            <c:ext xmlns:c16="http://schemas.microsoft.com/office/drawing/2014/chart" uri="{C3380CC4-5D6E-409C-BE32-E72D297353CC}">
              <c16:uniqueId val="{00000002-8D98-431B-9B67-72F21B1D220B}"/>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3.7375310454780035E-2"/>
                  <c:y val="0.13875040095349991"/>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'CAV-AP4-M2-'!$E$34:$H$34</c:f>
              <c:numCache>
                <c:formatCode>0.00</c:formatCode>
                <c:ptCount val="4"/>
                <c:pt idx="0">
                  <c:v>1.9667538556093922</c:v>
                </c:pt>
                <c:pt idx="1">
                  <c:v>3.8420885741465014</c:v>
                </c:pt>
                <c:pt idx="2">
                  <c:v>6.9363199695629474</c:v>
                </c:pt>
                <c:pt idx="3">
                  <c:v>8.840863829694694</c:v>
                </c:pt>
              </c:numCache>
            </c:numRef>
          </c:xVal>
          <c:yVal>
            <c:numRef>
              <c:f>'CAV-AP4-M2-'!$E$37:$H$37</c:f>
              <c:numCache>
                <c:formatCode>0.0000</c:formatCode>
                <c:ptCount val="4"/>
                <c:pt idx="0">
                  <c:v>1.9874481007004012</c:v>
                </c:pt>
                <c:pt idx="1">
                  <c:v>2.3474261937600795</c:v>
                </c:pt>
                <c:pt idx="2">
                  <c:v>1.992605849405868</c:v>
                </c:pt>
                <c:pt idx="3">
                  <c:v>1.7725295731643707</c:v>
                </c:pt>
              </c:numCache>
            </c:numRef>
          </c:yVal>
          <c:smooth val="0"/>
          <c:extLst>
            <c:ext xmlns:c16="http://schemas.microsoft.com/office/drawing/2014/chart" uri="{C3380CC4-5D6E-409C-BE32-E72D297353CC}">
              <c16:uniqueId val="{00000001-C505-41AE-BF9A-97F103629AB6}"/>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'CAV-AP4-M2-'!$E$34:$H$34</c:f>
              <c:numCache>
                <c:formatCode>0.00</c:formatCode>
                <c:ptCount val="4"/>
                <c:pt idx="0">
                  <c:v>1.9667538556093922</c:v>
                </c:pt>
                <c:pt idx="1">
                  <c:v>3.8420885741465014</c:v>
                </c:pt>
                <c:pt idx="2">
                  <c:v>6.9363199695629474</c:v>
                </c:pt>
                <c:pt idx="3">
                  <c:v>8.840863829694694</c:v>
                </c:pt>
              </c:numCache>
            </c:numRef>
          </c:xVal>
          <c:yVal>
            <c:numRef>
              <c:f>'CAV-AP4-M2-'!$G$83:$J$83</c:f>
              <c:numCache>
                <c:formatCode>General</c:formatCode>
                <c:ptCount val="4"/>
                <c:pt idx="0">
                  <c:v>2.4620069330194019</c:v>
                </c:pt>
                <c:pt idx="1">
                  <c:v>2.3513408235962476</c:v>
                </c:pt>
                <c:pt idx="2">
                  <c:v>2.1889939511460987</c:v>
                </c:pt>
                <c:pt idx="3">
                  <c:v>2.0997588041134447</c:v>
                </c:pt>
              </c:numCache>
            </c:numRef>
          </c:yVal>
          <c:smooth val="0"/>
          <c:extLst>
            <c:ext xmlns:c16="http://schemas.microsoft.com/office/drawing/2014/chart" uri="{C3380CC4-5D6E-409C-BE32-E72D297353CC}">
              <c16:uniqueId val="{00000003-C505-41AE-BF9A-97F103629AB6}"/>
            </c:ext>
          </c:extLst>
        </c:ser>
        <c:dLbls>
          <c:showLegendKey val="0"/>
          <c:showVal val="0"/>
          <c:showCatName val="0"/>
          <c:showSerName val="0"/>
          <c:showPercent val="0"/>
          <c:showBubbleSize val="0"/>
        </c:dLbls>
        <c:axId val="862226368"/>
        <c:axId val="862172912"/>
      </c:scatterChart>
      <c:valAx>
        <c:axId val="862226368"/>
        <c:scaling>
          <c:orientation val="minMax"/>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'CAV-AP4-M2-'!$AJ$91:$AL$91</c:f>
              <c:numCache>
                <c:formatCode>0.000</c:formatCode>
                <c:ptCount val="3"/>
                <c:pt idx="0">
                  <c:v>2.3399781125110763</c:v>
                </c:pt>
                <c:pt idx="1">
                  <c:v>2.079861278476999</c:v>
                </c:pt>
                <c:pt idx="2">
                  <c:v>1.8941051883840563</c:v>
                </c:pt>
              </c:numCache>
            </c:numRef>
          </c:xVal>
          <c:yVal>
            <c:numRef>
              <c:f>'CAV-AP4-M2-'!$AJ$94:$AL$94</c:f>
              <c:numCache>
                <c:formatCode>0.000</c:formatCode>
                <c:ptCount val="3"/>
                <c:pt idx="0">
                  <c:v>68.48051129714645</c:v>
                </c:pt>
                <c:pt idx="1">
                  <c:v>43.618160061876715</c:v>
                </c:pt>
                <c:pt idx="2">
                  <c:v>32.713620046407534</c:v>
                </c:pt>
              </c:numCache>
            </c:numRef>
          </c:yVal>
          <c:smooth val="1"/>
          <c:extLst>
            <c:ext xmlns:c16="http://schemas.microsoft.com/office/drawing/2014/chart" uri="{C3380CC4-5D6E-409C-BE32-E72D297353CC}">
              <c16:uniqueId val="{00000001-2A55-48CB-AA61-4D4F1FFC7A5E}"/>
            </c:ext>
          </c:extLst>
        </c:ser>
        <c:dLbls>
          <c:showLegendKey val="0"/>
          <c:showVal val="0"/>
          <c:showCatName val="0"/>
          <c:showSerName val="0"/>
          <c:showPercent val="0"/>
          <c:showBubbleSize val="0"/>
        </c:dLbls>
        <c:axId val="417040040"/>
        <c:axId val="417042784"/>
      </c:scatterChart>
      <c:valAx>
        <c:axId val="417040040"/>
        <c:scaling>
          <c:orientation val="minMax"/>
          <c:min val="1.5"/>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'CAV-AP4-M2-'!$AJ$75:$AJ$86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'CAV-AP4-M2-'!$AM$75:$AM$86</c:f>
              <c:numCache>
                <c:formatCode>0.000</c:formatCode>
                <c:ptCount val="12"/>
                <c:pt idx="0">
                  <c:v>0</c:v>
                </c:pt>
                <c:pt idx="1">
                  <c:v>1.1133540372670807</c:v>
                </c:pt>
                <c:pt idx="2">
                  <c:v>2.4342650103519672</c:v>
                </c:pt>
                <c:pt idx="3">
                  <c:v>3.4912008281573499</c:v>
                </c:pt>
                <c:pt idx="4">
                  <c:v>4.7251552795031051</c:v>
                </c:pt>
                <c:pt idx="5">
                  <c:v>6.1325051759834368</c:v>
                </c:pt>
                <c:pt idx="6">
                  <c:v>7.2137681159420284</c:v>
                </c:pt>
                <c:pt idx="7">
                  <c:v>8.2225672877846794</c:v>
                </c:pt>
                <c:pt idx="8">
                  <c:v>9.2096273291925463</c:v>
                </c:pt>
                <c:pt idx="9">
                  <c:v>12.585921325051759</c:v>
                </c:pt>
                <c:pt idx="10">
                  <c:v>14.812111801242235</c:v>
                </c:pt>
                <c:pt idx="11">
                  <c:v>16.672877846790893</c:v>
                </c:pt>
              </c:numCache>
            </c:numRef>
          </c:yVal>
          <c:smooth val="1"/>
          <c:extLst>
            <c:ext xmlns:c16="http://schemas.microsoft.com/office/drawing/2014/chart" uri="{C3380CC4-5D6E-409C-BE32-E72D297353CC}">
              <c16:uniqueId val="{00000000-F14A-40BC-885E-569326584BDF}"/>
            </c:ext>
          </c:extLst>
        </c:ser>
        <c:ser>
          <c:idx val="1"/>
          <c:order val="1"/>
          <c:tx>
            <c:v>26 golpes</c:v>
          </c:tx>
          <c:marker>
            <c:symbol val="circle"/>
            <c:size val="3"/>
            <c:spPr>
              <a:solidFill>
                <a:srgbClr val="00B050"/>
              </a:solidFill>
              <a:ln>
                <a:solidFill>
                  <a:srgbClr val="00B050">
                    <a:alpha val="50000"/>
                  </a:srgbClr>
                </a:solidFill>
                <a:prstDash val="solid"/>
              </a:ln>
            </c:spPr>
          </c:marker>
          <c:xVal>
            <c:numRef>
              <c:f>'CAV-AP4-M2-'!$AJ$75:$AJ$86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'CAV-AP4-M2-'!$AO$75:$AO$86</c:f>
              <c:numCache>
                <c:formatCode>0.000</c:formatCode>
                <c:ptCount val="12"/>
                <c:pt idx="0">
                  <c:v>0.12258908139915003</c:v>
                </c:pt>
                <c:pt idx="1">
                  <c:v>0.70914269889622961</c:v>
                </c:pt>
                <c:pt idx="2">
                  <c:v>1.5504872677401063</c:v>
                </c:pt>
                <c:pt idx="3">
                  <c:v>2.2236947950046817</c:v>
                </c:pt>
                <c:pt idx="4">
                  <c:v>3.0096530442694935</c:v>
                </c:pt>
                <c:pt idx="5">
                  <c:v>3.9060542522187496</c:v>
                </c:pt>
                <c:pt idx="6">
                  <c:v>4.594756761746515</c:v>
                </c:pt>
                <c:pt idx="7">
                  <c:v>5.2373040049583945</c:v>
                </c:pt>
                <c:pt idx="8">
                  <c:v>5.8660046682755072</c:v>
                </c:pt>
                <c:pt idx="9">
                  <c:v>8.0165103981221382</c:v>
                </c:pt>
                <c:pt idx="10">
                  <c:v>9.4344661154409142</c:v>
                </c:pt>
                <c:pt idx="11">
                  <c:v>10.619667418338148</c:v>
                </c:pt>
              </c:numCache>
            </c:numRef>
          </c:yVal>
          <c:smooth val="1"/>
          <c:extLst>
            <c:ext xmlns:c16="http://schemas.microsoft.com/office/drawing/2014/chart" uri="{C3380CC4-5D6E-409C-BE32-E72D297353CC}">
              <c16:uniqueId val="{00000001-F14A-40BC-885E-569326584BDF}"/>
            </c:ext>
          </c:extLst>
        </c:ser>
        <c:ser>
          <c:idx val="2"/>
          <c:order val="2"/>
          <c:tx>
            <c:v>56 golpes</c:v>
          </c:tx>
          <c:marker>
            <c:symbol val="circle"/>
            <c:size val="3"/>
            <c:spPr>
              <a:solidFill>
                <a:srgbClr val="00B050"/>
              </a:solidFill>
              <a:ln>
                <a:solidFill>
                  <a:srgbClr val="00B050">
                    <a:alpha val="50000"/>
                  </a:srgbClr>
                </a:solidFill>
                <a:prstDash val="solid"/>
              </a:ln>
            </c:spPr>
          </c:marker>
          <c:xVal>
            <c:numRef>
              <c:f>'CAV-AP4-M2-'!$AJ$75:$AJ$86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'CAV-AP4-M2-'!$AQ$75:$AQ$86</c:f>
              <c:numCache>
                <c:formatCode>0.000</c:formatCode>
                <c:ptCount val="12"/>
                <c:pt idx="0">
                  <c:v>9.1941811049362526E-2</c:v>
                </c:pt>
                <c:pt idx="1">
                  <c:v>0.53185702417217229</c:v>
                </c:pt>
                <c:pt idx="2">
                  <c:v>1.1628654508050797</c:v>
                </c:pt>
                <c:pt idx="3">
                  <c:v>1.6677710962535111</c:v>
                </c:pt>
                <c:pt idx="4">
                  <c:v>2.2572397832021203</c:v>
                </c:pt>
                <c:pt idx="5">
                  <c:v>2.9295406891640625</c:v>
                </c:pt>
                <c:pt idx="6">
                  <c:v>3.4460675713098858</c:v>
                </c:pt>
                <c:pt idx="7">
                  <c:v>3.9279780037187955</c:v>
                </c:pt>
                <c:pt idx="8">
                  <c:v>4.399503501206631</c:v>
                </c:pt>
                <c:pt idx="9">
                  <c:v>6.0123827985916041</c:v>
                </c:pt>
                <c:pt idx="10">
                  <c:v>7.0758495865806843</c:v>
                </c:pt>
                <c:pt idx="11">
                  <c:v>7.9647505637536113</c:v>
                </c:pt>
              </c:numCache>
            </c:numRef>
          </c:yVal>
          <c:smooth val="1"/>
          <c:extLst>
            <c:ext xmlns:c16="http://schemas.microsoft.com/office/drawing/2014/chart" uri="{C3380CC4-5D6E-409C-BE32-E72D297353CC}">
              <c16:uniqueId val="{00000002-F14A-40BC-885E-569326584BDF}"/>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0759538607140479"/>
                  <c:y val="0.21253475059298041"/>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'CAV-AP5-M3'!$E$34:$H$34</c:f>
              <c:numCache>
                <c:formatCode>0.00</c:formatCode>
                <c:ptCount val="4"/>
                <c:pt idx="0">
                  <c:v>6.3897610046773874</c:v>
                </c:pt>
                <c:pt idx="1">
                  <c:v>8.312227473302169</c:v>
                </c:pt>
                <c:pt idx="2">
                  <c:v>10.185962075330655</c:v>
                </c:pt>
                <c:pt idx="3">
                  <c:v>12.14398943196829</c:v>
                </c:pt>
              </c:numCache>
            </c:numRef>
          </c:xVal>
          <c:yVal>
            <c:numRef>
              <c:f>'CAV-AP5-M3'!$E$37:$H$37</c:f>
              <c:numCache>
                <c:formatCode>0.0000</c:formatCode>
                <c:ptCount val="4"/>
                <c:pt idx="0">
                  <c:v>1.7879865683577176</c:v>
                </c:pt>
                <c:pt idx="1">
                  <c:v>1.8804694964031525</c:v>
                </c:pt>
                <c:pt idx="2">
                  <c:v>1.8535618804986365</c:v>
                </c:pt>
                <c:pt idx="3">
                  <c:v>1.7057911721976846</c:v>
                </c:pt>
              </c:numCache>
            </c:numRef>
          </c:yVal>
          <c:smooth val="0"/>
          <c:extLst>
            <c:ext xmlns:c16="http://schemas.microsoft.com/office/drawing/2014/chart" uri="{C3380CC4-5D6E-409C-BE32-E72D297353CC}">
              <c16:uniqueId val="{00000001-4B20-43EE-9A79-53C0DECF0C17}"/>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'CAV-AP5-M3'!$E$34:$H$34</c:f>
              <c:numCache>
                <c:formatCode>0.00</c:formatCode>
                <c:ptCount val="4"/>
                <c:pt idx="0">
                  <c:v>6.3897610046773874</c:v>
                </c:pt>
                <c:pt idx="1">
                  <c:v>8.312227473302169</c:v>
                </c:pt>
                <c:pt idx="2">
                  <c:v>10.185962075330655</c:v>
                </c:pt>
                <c:pt idx="3">
                  <c:v>12.14398943196829</c:v>
                </c:pt>
              </c:numCache>
            </c:numRef>
          </c:xVal>
          <c:yVal>
            <c:numRef>
              <c:f>'CAV-AP5-M3'!$G$83:$J$83</c:f>
              <c:numCache>
                <c:formatCode>General</c:formatCode>
                <c:ptCount val="4"/>
                <c:pt idx="0">
                  <c:v>2.1583084720450927</c:v>
                </c:pt>
                <c:pt idx="1">
                  <c:v>2.0707243129848893</c:v>
                </c:pt>
                <c:pt idx="2">
                  <c:v>1.9919403747054241</c:v>
                </c:pt>
                <c:pt idx="3">
                  <c:v>1.9157728070840183</c:v>
                </c:pt>
              </c:numCache>
            </c:numRef>
          </c:yVal>
          <c:smooth val="0"/>
          <c:extLst>
            <c:ext xmlns:c16="http://schemas.microsoft.com/office/drawing/2014/chart" uri="{C3380CC4-5D6E-409C-BE32-E72D297353CC}">
              <c16:uniqueId val="{00000003-4B20-43EE-9A79-53C0DECF0C17}"/>
            </c:ext>
          </c:extLst>
        </c:ser>
        <c:dLbls>
          <c:showLegendKey val="0"/>
          <c:showVal val="0"/>
          <c:showCatName val="0"/>
          <c:showSerName val="0"/>
          <c:showPercent val="0"/>
          <c:showBubbleSize val="0"/>
        </c:dLbls>
        <c:axId val="862226368"/>
        <c:axId val="862172912"/>
      </c:scatterChart>
      <c:valAx>
        <c:axId val="862226368"/>
        <c:scaling>
          <c:orientation val="minMax"/>
          <c:min val="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'CAV-AP5-M3'!$AJ$91:$AL$91</c:f>
              <c:numCache>
                <c:formatCode>0.000</c:formatCode>
                <c:ptCount val="3"/>
                <c:pt idx="0">
                  <c:v>1.8763552729334183</c:v>
                </c:pt>
                <c:pt idx="1">
                  <c:v>1.8313083626735134</c:v>
                </c:pt>
                <c:pt idx="2">
                  <c:v>1.6554781933832878</c:v>
                </c:pt>
              </c:numCache>
            </c:numRef>
          </c:xVal>
          <c:yVal>
            <c:numRef>
              <c:f>'CAV-AP5-M3'!$AJ$94:$AL$94</c:f>
              <c:numCache>
                <c:formatCode>0.000</c:formatCode>
                <c:ptCount val="3"/>
                <c:pt idx="0">
                  <c:v>8.2440663726107957</c:v>
                </c:pt>
                <c:pt idx="1">
                  <c:v>5.2509976895610153</c:v>
                </c:pt>
                <c:pt idx="2">
                  <c:v>3.9382482671707622</c:v>
                </c:pt>
              </c:numCache>
            </c:numRef>
          </c:yVal>
          <c:smooth val="1"/>
          <c:extLst>
            <c:ext xmlns:c16="http://schemas.microsoft.com/office/drawing/2014/chart" uri="{C3380CC4-5D6E-409C-BE32-E72D297353CC}">
              <c16:uniqueId val="{00000001-CC4A-4044-AF3A-7F4A3D2D224B}"/>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'CAV-AP5-M3'!$AJ$75:$AJ$86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'CAV-AP5-M3'!$AM$75:$AM$86</c:f>
              <c:numCache>
                <c:formatCode>0.000</c:formatCode>
                <c:ptCount val="12"/>
                <c:pt idx="0">
                  <c:v>0</c:v>
                </c:pt>
                <c:pt idx="1">
                  <c:v>0.14285714285714288</c:v>
                </c:pt>
                <c:pt idx="2">
                  <c:v>0.29917184265010349</c:v>
                </c:pt>
                <c:pt idx="3">
                  <c:v>0.44254658385093171</c:v>
                </c:pt>
                <c:pt idx="4">
                  <c:v>0.5688405797101449</c:v>
                </c:pt>
                <c:pt idx="5">
                  <c:v>0.72774327122153204</c:v>
                </c:pt>
                <c:pt idx="6">
                  <c:v>0.8799171842650102</c:v>
                </c:pt>
                <c:pt idx="7">
                  <c:v>1.0062111801242235</c:v>
                </c:pt>
                <c:pt idx="8">
                  <c:v>1.1625258799171843</c:v>
                </c:pt>
                <c:pt idx="9">
                  <c:v>1.4994824016563146</c:v>
                </c:pt>
                <c:pt idx="10">
                  <c:v>1.9171842650103521</c:v>
                </c:pt>
                <c:pt idx="11">
                  <c:v>2.4032091097308488</c:v>
                </c:pt>
              </c:numCache>
            </c:numRef>
          </c:yVal>
          <c:smooth val="1"/>
          <c:extLst>
            <c:ext xmlns:c16="http://schemas.microsoft.com/office/drawing/2014/chart" uri="{C3380CC4-5D6E-409C-BE32-E72D297353CC}">
              <c16:uniqueId val="{00000000-D4D8-44D4-B459-B25D264982B7}"/>
            </c:ext>
          </c:extLst>
        </c:ser>
        <c:ser>
          <c:idx val="1"/>
          <c:order val="1"/>
          <c:tx>
            <c:v>26 golpes</c:v>
          </c:tx>
          <c:marker>
            <c:symbol val="circle"/>
            <c:size val="3"/>
            <c:spPr>
              <a:solidFill>
                <a:srgbClr val="00B050"/>
              </a:solidFill>
              <a:ln>
                <a:solidFill>
                  <a:srgbClr val="00B050">
                    <a:alpha val="50000"/>
                  </a:srgbClr>
                </a:solidFill>
                <a:prstDash val="solid"/>
              </a:ln>
            </c:spPr>
          </c:marker>
          <c:xVal>
            <c:numRef>
              <c:f>'CAV-AP5-M3'!$AJ$75:$AJ$86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'CAV-AP5-M3'!$AO$75:$AO$86</c:f>
              <c:numCache>
                <c:formatCode>0.000</c:formatCode>
                <c:ptCount val="12"/>
                <c:pt idx="0">
                  <c:v>0</c:v>
                </c:pt>
                <c:pt idx="1">
                  <c:v>8.0745341614906832E-2</c:v>
                </c:pt>
                <c:pt idx="2">
                  <c:v>0.18322981366459626</c:v>
                </c:pt>
                <c:pt idx="3">
                  <c:v>0.27639751552795033</c:v>
                </c:pt>
                <c:pt idx="4">
                  <c:v>0.36231884057971009</c:v>
                </c:pt>
                <c:pt idx="5">
                  <c:v>0.46353074600097577</c:v>
                </c:pt>
                <c:pt idx="6">
                  <c:v>0.56045680526433783</c:v>
                </c:pt>
                <c:pt idx="7">
                  <c:v>0.61584312484340176</c:v>
                </c:pt>
                <c:pt idx="8">
                  <c:v>0.67287784679089024</c:v>
                </c:pt>
                <c:pt idx="9">
                  <c:v>0.93167701863354035</c:v>
                </c:pt>
                <c:pt idx="10">
                  <c:v>1.1904761904761905</c:v>
                </c:pt>
                <c:pt idx="11">
                  <c:v>1.4492753623188404</c:v>
                </c:pt>
              </c:numCache>
            </c:numRef>
          </c:yVal>
          <c:smooth val="1"/>
          <c:extLst>
            <c:ext xmlns:c16="http://schemas.microsoft.com/office/drawing/2014/chart" uri="{C3380CC4-5D6E-409C-BE32-E72D297353CC}">
              <c16:uniqueId val="{00000001-D4D8-44D4-B459-B25D264982B7}"/>
            </c:ext>
          </c:extLst>
        </c:ser>
        <c:ser>
          <c:idx val="2"/>
          <c:order val="2"/>
          <c:tx>
            <c:v>56 golpes</c:v>
          </c:tx>
          <c:marker>
            <c:symbol val="circle"/>
            <c:size val="3"/>
            <c:spPr>
              <a:solidFill>
                <a:srgbClr val="00B050"/>
              </a:solidFill>
              <a:ln>
                <a:solidFill>
                  <a:srgbClr val="00B050">
                    <a:alpha val="50000"/>
                  </a:srgbClr>
                </a:solidFill>
                <a:prstDash val="solid"/>
              </a:ln>
            </c:spPr>
          </c:marker>
          <c:xVal>
            <c:numRef>
              <c:f>'CAV-AP5-M3'!$AJ$75:$AJ$86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'CAV-AP5-M3'!$AQ$75:$AQ$86</c:f>
              <c:numCache>
                <c:formatCode>0.000</c:formatCode>
                <c:ptCount val="12"/>
                <c:pt idx="0">
                  <c:v>0</c:v>
                </c:pt>
                <c:pt idx="1">
                  <c:v>6.8243858052775261E-2</c:v>
                </c:pt>
                <c:pt idx="2">
                  <c:v>0.14291648534240614</c:v>
                </c:pt>
                <c:pt idx="3">
                  <c:v>0.21140760375044507</c:v>
                </c:pt>
                <c:pt idx="4">
                  <c:v>0.27173913043478259</c:v>
                </c:pt>
                <c:pt idx="5">
                  <c:v>0.34764805950073185</c:v>
                </c:pt>
                <c:pt idx="6">
                  <c:v>0.42034260394825329</c:v>
                </c:pt>
                <c:pt idx="7">
                  <c:v>0.46188234363255132</c:v>
                </c:pt>
                <c:pt idx="8">
                  <c:v>0.48017960992206349</c:v>
                </c:pt>
                <c:pt idx="9">
                  <c:v>0.62828856272500688</c:v>
                </c:pt>
                <c:pt idx="10">
                  <c:v>0.85650987063338202</c:v>
                </c:pt>
                <c:pt idx="11">
                  <c:v>1.1480298294892588</c:v>
                </c:pt>
              </c:numCache>
            </c:numRef>
          </c:yVal>
          <c:smooth val="1"/>
          <c:extLst>
            <c:ext xmlns:c16="http://schemas.microsoft.com/office/drawing/2014/chart" uri="{C3380CC4-5D6E-409C-BE32-E72D297353CC}">
              <c16:uniqueId val="{00000002-D4D8-44D4-B459-B25D264982B7}"/>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7503335868324879"/>
                  <c:y val="0.12301871017365176"/>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'PALMASECA AP1 M3'!$E$34:$H$34</c:f>
              <c:numCache>
                <c:formatCode>0.00</c:formatCode>
                <c:ptCount val="4"/>
                <c:pt idx="0">
                  <c:v>13.692728430674705</c:v>
                </c:pt>
                <c:pt idx="1">
                  <c:v>16.100183724197549</c:v>
                </c:pt>
                <c:pt idx="2">
                  <c:v>18.701648166834836</c:v>
                </c:pt>
                <c:pt idx="3">
                  <c:v>20.787603110350688</c:v>
                </c:pt>
              </c:numCache>
            </c:numRef>
          </c:xVal>
          <c:yVal>
            <c:numRef>
              <c:f>'PALMASECA AP1 M3'!$E$37:$H$37</c:f>
              <c:numCache>
                <c:formatCode>0.0000</c:formatCode>
                <c:ptCount val="4"/>
                <c:pt idx="0">
                  <c:v>1.5449692474803145</c:v>
                </c:pt>
                <c:pt idx="1">
                  <c:v>1.7090165222078015</c:v>
                </c:pt>
                <c:pt idx="2">
                  <c:v>1.722155690044658</c:v>
                </c:pt>
                <c:pt idx="3">
                  <c:v>1.5355454993650883</c:v>
                </c:pt>
              </c:numCache>
            </c:numRef>
          </c:yVal>
          <c:smooth val="0"/>
          <c:extLst>
            <c:ext xmlns:c16="http://schemas.microsoft.com/office/drawing/2014/chart" uri="{C3380CC4-5D6E-409C-BE32-E72D297353CC}">
              <c16:uniqueId val="{00000001-6542-4C33-85AF-EFD83C03B531}"/>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'PALMASECA AP1 M3'!$E$34:$H$34</c:f>
              <c:numCache>
                <c:formatCode>0.00</c:formatCode>
                <c:ptCount val="4"/>
                <c:pt idx="0">
                  <c:v>13.692728430674705</c:v>
                </c:pt>
                <c:pt idx="1">
                  <c:v>16.100183724197549</c:v>
                </c:pt>
                <c:pt idx="2">
                  <c:v>18.701648166834836</c:v>
                </c:pt>
                <c:pt idx="3">
                  <c:v>20.787603110350688</c:v>
                </c:pt>
              </c:numCache>
            </c:numRef>
          </c:xVal>
          <c:yVal>
            <c:numRef>
              <c:f>'PALMASECA AP1 M3'!$G$83:$J$83</c:f>
              <c:numCache>
                <c:formatCode>General</c:formatCode>
                <c:ptCount val="4"/>
                <c:pt idx="0">
                  <c:v>1.9494159329609246</c:v>
                </c:pt>
                <c:pt idx="1">
                  <c:v>1.8604132381958212</c:v>
                </c:pt>
                <c:pt idx="2">
                  <c:v>1.772944387291578</c:v>
                </c:pt>
                <c:pt idx="3">
                  <c:v>1.7085341794535123</c:v>
                </c:pt>
              </c:numCache>
            </c:numRef>
          </c:yVal>
          <c:smooth val="0"/>
          <c:extLst>
            <c:ext xmlns:c16="http://schemas.microsoft.com/office/drawing/2014/chart" uri="{C3380CC4-5D6E-409C-BE32-E72D297353CC}">
              <c16:uniqueId val="{00000003-6542-4C33-85AF-EFD83C03B531}"/>
            </c:ext>
          </c:extLst>
        </c:ser>
        <c:dLbls>
          <c:showLegendKey val="0"/>
          <c:showVal val="0"/>
          <c:showCatName val="0"/>
          <c:showSerName val="0"/>
          <c:showPercent val="0"/>
          <c:showBubbleSize val="0"/>
        </c:dLbls>
        <c:axId val="862226368"/>
        <c:axId val="862172912"/>
      </c:scatterChart>
      <c:valAx>
        <c:axId val="862226368"/>
        <c:scaling>
          <c:orientation val="minMax"/>
          <c:max val="24"/>
          <c:min val="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'PALMASECA AP1 M3'!$AJ$91:$AL$91</c:f>
              <c:numCache>
                <c:formatCode>0.000</c:formatCode>
                <c:ptCount val="3"/>
                <c:pt idx="0">
                  <c:v>1.721600746255143</c:v>
                </c:pt>
                <c:pt idx="1">
                  <c:v>1.687601496838913</c:v>
                </c:pt>
                <c:pt idx="2">
                  <c:v>1.5827789091108333</c:v>
                </c:pt>
              </c:numCache>
            </c:numRef>
          </c:xVal>
          <c:yVal>
            <c:numRef>
              <c:f>'PALMASECA AP1 M3'!$AJ$94:$AL$94</c:f>
              <c:numCache>
                <c:formatCode>0.000</c:formatCode>
                <c:ptCount val="3"/>
                <c:pt idx="0">
                  <c:v>1.0854489537478138</c:v>
                </c:pt>
                <c:pt idx="1">
                  <c:v>0.69758080299947833</c:v>
                </c:pt>
                <c:pt idx="2">
                  <c:v>0.52318560224960864</c:v>
                </c:pt>
              </c:numCache>
            </c:numRef>
          </c:yVal>
          <c:smooth val="1"/>
          <c:extLst>
            <c:ext xmlns:c16="http://schemas.microsoft.com/office/drawing/2014/chart" uri="{C3380CC4-5D6E-409C-BE32-E72D297353CC}">
              <c16:uniqueId val="{00000001-3253-4A23-A413-77ADBDEC55B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At val="2.0000000000000004E-2"/>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0;[Red]#,##0.00" sourceLinked="0"/>
        <c:majorTickMark val="out"/>
        <c:minorTickMark val="none"/>
        <c:tickLblPos val="nextTo"/>
        <c:crossAx val="417040040"/>
        <c:crosses val="autoZero"/>
        <c:crossBetween val="midCat"/>
        <c:majorUnit val="0.1"/>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'PALMASECA AP1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AP1 M3'!$AM$75:$AM$86</c:f>
              <c:numCache>
                <c:formatCode>0.000</c:formatCode>
                <c:ptCount val="12"/>
                <c:pt idx="0">
                  <c:v>0</c:v>
                </c:pt>
                <c:pt idx="1">
                  <c:v>4.0372670807453416E-2</c:v>
                </c:pt>
                <c:pt idx="2">
                  <c:v>6.0041407867494824E-2</c:v>
                </c:pt>
                <c:pt idx="3">
                  <c:v>7.4016563146997921E-2</c:v>
                </c:pt>
                <c:pt idx="4">
                  <c:v>8.5921325051759839E-2</c:v>
                </c:pt>
                <c:pt idx="5">
                  <c:v>9.4720496894409936E-2</c:v>
                </c:pt>
                <c:pt idx="6">
                  <c:v>0.10196687370600414</c:v>
                </c:pt>
                <c:pt idx="7">
                  <c:v>0.10817805383022773</c:v>
                </c:pt>
                <c:pt idx="8">
                  <c:v>0.11180124223602483</c:v>
                </c:pt>
                <c:pt idx="9">
                  <c:v>0.13354037267080746</c:v>
                </c:pt>
                <c:pt idx="10">
                  <c:v>0.14958592132505175</c:v>
                </c:pt>
                <c:pt idx="11">
                  <c:v>0.16459627329192544</c:v>
                </c:pt>
              </c:numCache>
            </c:numRef>
          </c:yVal>
          <c:smooth val="1"/>
          <c:extLst>
            <c:ext xmlns:c16="http://schemas.microsoft.com/office/drawing/2014/chart" uri="{C3380CC4-5D6E-409C-BE32-E72D297353CC}">
              <c16:uniqueId val="{00000000-7EB5-438D-9FC0-832ACCE51AB0}"/>
            </c:ext>
          </c:extLst>
        </c:ser>
        <c:ser>
          <c:idx val="1"/>
          <c:order val="1"/>
          <c:tx>
            <c:v>26 golpes</c:v>
          </c:tx>
          <c:marker>
            <c:symbol val="circle"/>
            <c:size val="3"/>
            <c:spPr>
              <a:solidFill>
                <a:srgbClr val="00B050"/>
              </a:solidFill>
              <a:ln>
                <a:solidFill>
                  <a:srgbClr val="00B050">
                    <a:alpha val="50000"/>
                  </a:srgbClr>
                </a:solidFill>
                <a:prstDash val="solid"/>
              </a:ln>
            </c:spPr>
          </c:marker>
          <c:xVal>
            <c:numRef>
              <c:f>'PALMASECA AP1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AP1 M3'!$AO$75:$AO$86</c:f>
              <c:numCache>
                <c:formatCode>0.000</c:formatCode>
                <c:ptCount val="12"/>
                <c:pt idx="0">
                  <c:v>0</c:v>
                </c:pt>
                <c:pt idx="1">
                  <c:v>3.1668846028113762E-2</c:v>
                </c:pt>
                <c:pt idx="2">
                  <c:v>4.2225128037485023E-2</c:v>
                </c:pt>
                <c:pt idx="3">
                  <c:v>4.8695107333551264E-2</c:v>
                </c:pt>
                <c:pt idx="4">
                  <c:v>5.6527187534052524E-2</c:v>
                </c:pt>
                <c:pt idx="5">
                  <c:v>6.2316116377901278E-2</c:v>
                </c:pt>
                <c:pt idx="6">
                  <c:v>6.7083469543423785E-2</c:v>
                </c:pt>
                <c:pt idx="7">
                  <c:v>7.0148196578402516E-2</c:v>
                </c:pt>
                <c:pt idx="8">
                  <c:v>7.1850822708946271E-2</c:v>
                </c:pt>
                <c:pt idx="9">
                  <c:v>8.7991718426501039E-2</c:v>
                </c:pt>
                <c:pt idx="10">
                  <c:v>0.10386019396316878</c:v>
                </c:pt>
                <c:pt idx="11">
                  <c:v>0.1181622534597363</c:v>
                </c:pt>
              </c:numCache>
            </c:numRef>
          </c:yVal>
          <c:smooth val="1"/>
          <c:extLst>
            <c:ext xmlns:c16="http://schemas.microsoft.com/office/drawing/2014/chart" uri="{C3380CC4-5D6E-409C-BE32-E72D297353CC}">
              <c16:uniqueId val="{00000001-7EB5-438D-9FC0-832ACCE51AB0}"/>
            </c:ext>
          </c:extLst>
        </c:ser>
        <c:ser>
          <c:idx val="2"/>
          <c:order val="2"/>
          <c:tx>
            <c:v>56 golpes</c:v>
          </c:tx>
          <c:marker>
            <c:symbol val="circle"/>
            <c:size val="3"/>
            <c:spPr>
              <a:solidFill>
                <a:srgbClr val="00B050"/>
              </a:solidFill>
              <a:ln>
                <a:solidFill>
                  <a:srgbClr val="00B050">
                    <a:alpha val="50000"/>
                  </a:srgbClr>
                </a:solidFill>
                <a:prstDash val="solid"/>
              </a:ln>
            </c:spPr>
          </c:marker>
          <c:xVal>
            <c:numRef>
              <c:f>'PALMASECA AP1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AP1 M3'!$AQ$75:$AQ$86</c:f>
              <c:numCache>
                <c:formatCode>0.000</c:formatCode>
                <c:ptCount val="12"/>
                <c:pt idx="0">
                  <c:v>0</c:v>
                </c:pt>
                <c:pt idx="1">
                  <c:v>1.2939958592132504E-2</c:v>
                </c:pt>
                <c:pt idx="2">
                  <c:v>2.6397515527950308E-2</c:v>
                </c:pt>
                <c:pt idx="3">
                  <c:v>3.4679089026915112E-2</c:v>
                </c:pt>
                <c:pt idx="4">
                  <c:v>4.2395390650539391E-2</c:v>
                </c:pt>
                <c:pt idx="5">
                  <c:v>4.6737087283425946E-2</c:v>
                </c:pt>
                <c:pt idx="6">
                  <c:v>5.0312602157567832E-2</c:v>
                </c:pt>
                <c:pt idx="7">
                  <c:v>5.2611147433801887E-2</c:v>
                </c:pt>
                <c:pt idx="8">
                  <c:v>5.3888117031709697E-2</c:v>
                </c:pt>
                <c:pt idx="9">
                  <c:v>6.5891631252043156E-2</c:v>
                </c:pt>
                <c:pt idx="10">
                  <c:v>7.7895145472376595E-2</c:v>
                </c:pt>
                <c:pt idx="11">
                  <c:v>8.5403726708074543E-2</c:v>
                </c:pt>
              </c:numCache>
            </c:numRef>
          </c:yVal>
          <c:smooth val="1"/>
          <c:extLst>
            <c:ext xmlns:c16="http://schemas.microsoft.com/office/drawing/2014/chart" uri="{C3380CC4-5D6E-409C-BE32-E72D297353CC}">
              <c16:uniqueId val="{00000002-7EB5-438D-9FC0-832ACCE51AB0}"/>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2415973813708123"/>
                  <c:y val="0.17869450955088809"/>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'PALMASECA AP2 M2 '!$E$34:$H$34</c:f>
              <c:numCache>
                <c:formatCode>0.00</c:formatCode>
                <c:ptCount val="4"/>
                <c:pt idx="0">
                  <c:v>19.18909720055591</c:v>
                </c:pt>
                <c:pt idx="1">
                  <c:v>21.157958442606407</c:v>
                </c:pt>
                <c:pt idx="2">
                  <c:v>23.328930445966147</c:v>
                </c:pt>
                <c:pt idx="3">
                  <c:v>25.485781632468036</c:v>
                </c:pt>
              </c:numCache>
            </c:numRef>
          </c:xVal>
          <c:yVal>
            <c:numRef>
              <c:f>'PALMASECA AP2 M2 '!$E$37:$H$37</c:f>
              <c:numCache>
                <c:formatCode>0.0000</c:formatCode>
                <c:ptCount val="4"/>
                <c:pt idx="0">
                  <c:v>1.5190327452715819</c:v>
                </c:pt>
                <c:pt idx="1">
                  <c:v>1.6165393781665931</c:v>
                </c:pt>
                <c:pt idx="2">
                  <c:v>1.6364014649954468</c:v>
                </c:pt>
                <c:pt idx="3">
                  <c:v>1.5333334432054238</c:v>
                </c:pt>
              </c:numCache>
            </c:numRef>
          </c:yVal>
          <c:smooth val="0"/>
          <c:extLst>
            <c:ext xmlns:c16="http://schemas.microsoft.com/office/drawing/2014/chart" uri="{C3380CC4-5D6E-409C-BE32-E72D297353CC}">
              <c16:uniqueId val="{00000001-924A-4519-B266-9BCD09F600B2}"/>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'PALMASECA AP2 M2 '!$E$34:$H$34</c:f>
              <c:numCache>
                <c:formatCode>0.00</c:formatCode>
                <c:ptCount val="4"/>
                <c:pt idx="0">
                  <c:v>19.18909720055591</c:v>
                </c:pt>
                <c:pt idx="1">
                  <c:v>21.157958442606407</c:v>
                </c:pt>
                <c:pt idx="2">
                  <c:v>23.328930445966147</c:v>
                </c:pt>
                <c:pt idx="3">
                  <c:v>25.485781632468036</c:v>
                </c:pt>
              </c:numCache>
            </c:numRef>
          </c:xVal>
          <c:yVal>
            <c:numRef>
              <c:f>'PALMASECA AP2 M2 '!$G$83:$J$83</c:f>
              <c:numCache>
                <c:formatCode>General</c:formatCode>
                <c:ptCount val="4"/>
                <c:pt idx="0">
                  <c:v>1.7658896998586673</c:v>
                </c:pt>
                <c:pt idx="1">
                  <c:v>1.7054464558996074</c:v>
                </c:pt>
                <c:pt idx="2">
                  <c:v>1.6434207011553579</c:v>
                </c:pt>
                <c:pt idx="3">
                  <c:v>1.5861103172576152</c:v>
                </c:pt>
              </c:numCache>
            </c:numRef>
          </c:yVal>
          <c:smooth val="0"/>
          <c:extLst>
            <c:ext xmlns:c16="http://schemas.microsoft.com/office/drawing/2014/chart" uri="{C3380CC4-5D6E-409C-BE32-E72D297353CC}">
              <c16:uniqueId val="{00000003-924A-4519-B266-9BCD09F600B2}"/>
            </c:ext>
          </c:extLst>
        </c:ser>
        <c:dLbls>
          <c:showLegendKey val="0"/>
          <c:showVal val="0"/>
          <c:showCatName val="0"/>
          <c:showSerName val="0"/>
          <c:showPercent val="0"/>
          <c:showBubbleSize val="0"/>
        </c:dLbls>
        <c:axId val="862226368"/>
        <c:axId val="862172912"/>
      </c:scatterChart>
      <c:valAx>
        <c:axId val="862226368"/>
        <c:scaling>
          <c:orientation val="minMax"/>
          <c:max val="30"/>
          <c:min val="1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'PALMASECA AP2 M2 '!$AJ$91:$AL$91</c:f>
              <c:numCache>
                <c:formatCode>0.000</c:formatCode>
                <c:ptCount val="3"/>
                <c:pt idx="0">
                  <c:v>1.6838744085800781</c:v>
                </c:pt>
                <c:pt idx="1">
                  <c:v>1.6142545760003713</c:v>
                </c:pt>
                <c:pt idx="2">
                  <c:v>1.5238725010795457</c:v>
                </c:pt>
              </c:numCache>
            </c:numRef>
          </c:xVal>
          <c:yVal>
            <c:numRef>
              <c:f>'PALMASECA AP2 M2 '!$AJ$94:$AL$94</c:f>
              <c:numCache>
                <c:formatCode>0.000</c:formatCode>
                <c:ptCount val="3"/>
                <c:pt idx="0">
                  <c:v>1.2713823393435044</c:v>
                </c:pt>
                <c:pt idx="1">
                  <c:v>0.86433898168807399</c:v>
                </c:pt>
                <c:pt idx="2">
                  <c:v>0.62732681217607111</c:v>
                </c:pt>
              </c:numCache>
            </c:numRef>
          </c:yVal>
          <c:smooth val="1"/>
          <c:extLst>
            <c:ext xmlns:c16="http://schemas.microsoft.com/office/drawing/2014/chart" uri="{C3380CC4-5D6E-409C-BE32-E72D297353CC}">
              <c16:uniqueId val="{00000001-3631-4DC9-9EF2-D0700F274DD6}"/>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'PALMASECA AP2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AP2 M2 '!$AM$75:$AM$86</c:f>
              <c:numCache>
                <c:formatCode>0.000</c:formatCode>
                <c:ptCount val="12"/>
                <c:pt idx="0">
                  <c:v>0</c:v>
                </c:pt>
                <c:pt idx="1">
                  <c:v>5.745341614906832E-2</c:v>
                </c:pt>
                <c:pt idx="2">
                  <c:v>8.2298136645962722E-2</c:v>
                </c:pt>
                <c:pt idx="3">
                  <c:v>9.3685300207039329E-2</c:v>
                </c:pt>
                <c:pt idx="4">
                  <c:v>0.10041407867494825</c:v>
                </c:pt>
                <c:pt idx="5">
                  <c:v>0.11024844720496893</c:v>
                </c:pt>
                <c:pt idx="6">
                  <c:v>0.11749482401656314</c:v>
                </c:pt>
                <c:pt idx="7">
                  <c:v>0.12370600414078675</c:v>
                </c:pt>
                <c:pt idx="8">
                  <c:v>0.13095238095238096</c:v>
                </c:pt>
                <c:pt idx="9">
                  <c:v>0.16252587991718426</c:v>
                </c:pt>
                <c:pt idx="10">
                  <c:v>0.19358178053830227</c:v>
                </c:pt>
                <c:pt idx="11">
                  <c:v>0.2142857142857143</c:v>
                </c:pt>
              </c:numCache>
            </c:numRef>
          </c:yVal>
          <c:smooth val="1"/>
          <c:extLst>
            <c:ext xmlns:c16="http://schemas.microsoft.com/office/drawing/2014/chart" uri="{C3380CC4-5D6E-409C-BE32-E72D297353CC}">
              <c16:uniqueId val="{00000000-5681-4B19-B3EC-9337C922D247}"/>
            </c:ext>
          </c:extLst>
        </c:ser>
        <c:ser>
          <c:idx val="1"/>
          <c:order val="1"/>
          <c:tx>
            <c:v>26 golpes</c:v>
          </c:tx>
          <c:marker>
            <c:symbol val="circle"/>
            <c:size val="3"/>
            <c:spPr>
              <a:solidFill>
                <a:srgbClr val="00B050"/>
              </a:solidFill>
              <a:ln>
                <a:solidFill>
                  <a:srgbClr val="00B050">
                    <a:alpha val="50000"/>
                  </a:srgbClr>
                </a:solidFill>
                <a:prstDash val="solid"/>
              </a:ln>
            </c:spPr>
          </c:marker>
          <c:xVal>
            <c:numRef>
              <c:f>'PALMASECA AP2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AP2 M2 '!$AO$75:$AO$86</c:f>
              <c:numCache>
                <c:formatCode>0.000</c:formatCode>
                <c:ptCount val="12"/>
                <c:pt idx="0">
                  <c:v>0</c:v>
                </c:pt>
                <c:pt idx="1">
                  <c:v>3.2091097308488616E-2</c:v>
                </c:pt>
                <c:pt idx="2">
                  <c:v>5.0724637681159424E-2</c:v>
                </c:pt>
                <c:pt idx="3">
                  <c:v>6.2629399585921328E-2</c:v>
                </c:pt>
                <c:pt idx="4">
                  <c:v>6.9467146126185028E-2</c:v>
                </c:pt>
                <c:pt idx="5">
                  <c:v>7.2531873161163773E-2</c:v>
                </c:pt>
                <c:pt idx="6">
                  <c:v>7.7299226326686274E-2</c:v>
                </c:pt>
                <c:pt idx="7">
                  <c:v>8.2298136645962722E-2</c:v>
                </c:pt>
                <c:pt idx="8">
                  <c:v>8.9026915113871619E-2</c:v>
                </c:pt>
                <c:pt idx="9">
                  <c:v>0.11490683229813664</c:v>
                </c:pt>
                <c:pt idx="10">
                  <c:v>0.14233954451345757</c:v>
                </c:pt>
                <c:pt idx="11">
                  <c:v>0.16873706004140787</c:v>
                </c:pt>
              </c:numCache>
            </c:numRef>
          </c:yVal>
          <c:smooth val="1"/>
          <c:extLst>
            <c:ext xmlns:c16="http://schemas.microsoft.com/office/drawing/2014/chart" uri="{C3380CC4-5D6E-409C-BE32-E72D297353CC}">
              <c16:uniqueId val="{00000001-5681-4B19-B3EC-9337C922D247}"/>
            </c:ext>
          </c:extLst>
        </c:ser>
        <c:ser>
          <c:idx val="2"/>
          <c:order val="2"/>
          <c:tx>
            <c:v>56 golpes</c:v>
          </c:tx>
          <c:marker>
            <c:symbol val="circle"/>
            <c:size val="3"/>
            <c:spPr>
              <a:solidFill>
                <a:srgbClr val="00B050"/>
              </a:solidFill>
              <a:ln>
                <a:solidFill>
                  <a:srgbClr val="00B050">
                    <a:alpha val="50000"/>
                  </a:srgbClr>
                </a:solidFill>
                <a:prstDash val="solid"/>
              </a:ln>
            </c:spPr>
          </c:marker>
          <c:xVal>
            <c:numRef>
              <c:f>'PALMASECA AP2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AP2 M2 '!$AQ$75:$AQ$86</c:f>
              <c:numCache>
                <c:formatCode>0.000</c:formatCode>
                <c:ptCount val="12"/>
                <c:pt idx="0">
                  <c:v>0</c:v>
                </c:pt>
                <c:pt idx="1">
                  <c:v>1.2422360248447206E-2</c:v>
                </c:pt>
                <c:pt idx="2">
                  <c:v>3.3643892339544512E-2</c:v>
                </c:pt>
                <c:pt idx="3">
                  <c:v>4.5548654244306416E-2</c:v>
                </c:pt>
                <c:pt idx="4">
                  <c:v>5.2100359594638775E-2</c:v>
                </c:pt>
                <c:pt idx="5">
                  <c:v>5.439890487087283E-2</c:v>
                </c:pt>
                <c:pt idx="6">
                  <c:v>5.7974419745014702E-2</c:v>
                </c:pt>
                <c:pt idx="7">
                  <c:v>6.1039146779993461E-2</c:v>
                </c:pt>
                <c:pt idx="8">
                  <c:v>6.4614661654135333E-2</c:v>
                </c:pt>
                <c:pt idx="9">
                  <c:v>8.0193690748610658E-2</c:v>
                </c:pt>
                <c:pt idx="10">
                  <c:v>9.213250517598344E-2</c:v>
                </c:pt>
                <c:pt idx="11">
                  <c:v>0.10403726708074534</c:v>
                </c:pt>
              </c:numCache>
            </c:numRef>
          </c:yVal>
          <c:smooth val="1"/>
          <c:extLst>
            <c:ext xmlns:c16="http://schemas.microsoft.com/office/drawing/2014/chart" uri="{C3380CC4-5D6E-409C-BE32-E72D297353CC}">
              <c16:uniqueId val="{00000002-5681-4B19-B3EC-9337C922D247}"/>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6358243711988851"/>
                  <c:y val="0.1221930402152657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'PALMASECA AP3 M2'!$E$34:$H$34</c:f>
              <c:numCache>
                <c:formatCode>0.00</c:formatCode>
                <c:ptCount val="4"/>
                <c:pt idx="0">
                  <c:v>1.398438570058901</c:v>
                </c:pt>
                <c:pt idx="1">
                  <c:v>3.6285659754577737</c:v>
                </c:pt>
                <c:pt idx="2">
                  <c:v>6.0219450339009324</c:v>
                </c:pt>
                <c:pt idx="3">
                  <c:v>8.1576036380875312</c:v>
                </c:pt>
              </c:numCache>
            </c:numRef>
          </c:xVal>
          <c:yVal>
            <c:numRef>
              <c:f>'PALMASECA AP3 M2'!$E$37:$H$37</c:f>
              <c:numCache>
                <c:formatCode>0.0000</c:formatCode>
                <c:ptCount val="4"/>
                <c:pt idx="0">
                  <c:v>1.7708594544934582</c:v>
                </c:pt>
                <c:pt idx="1">
                  <c:v>2.2395017040771581</c:v>
                </c:pt>
                <c:pt idx="2">
                  <c:v>2.2346134400661666</c:v>
                </c:pt>
                <c:pt idx="3">
                  <c:v>1.7325052179406408</c:v>
                </c:pt>
              </c:numCache>
            </c:numRef>
          </c:yVal>
          <c:smooth val="0"/>
          <c:extLst>
            <c:ext xmlns:c16="http://schemas.microsoft.com/office/drawing/2014/chart" uri="{C3380CC4-5D6E-409C-BE32-E72D297353CC}">
              <c16:uniqueId val="{00000001-CB41-47C9-B7FF-722C41F15925}"/>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'PALMASECA AP3 M2'!$E$34:$H$34</c:f>
              <c:numCache>
                <c:formatCode>0.00</c:formatCode>
                <c:ptCount val="4"/>
                <c:pt idx="0">
                  <c:v>1.398438570058901</c:v>
                </c:pt>
                <c:pt idx="1">
                  <c:v>3.6285659754577737</c:v>
                </c:pt>
                <c:pt idx="2">
                  <c:v>6.0219450339009324</c:v>
                </c:pt>
                <c:pt idx="3">
                  <c:v>8.1576036380875312</c:v>
                </c:pt>
              </c:numCache>
            </c:numRef>
          </c:xVal>
          <c:yVal>
            <c:numRef>
              <c:f>'PALMASECA AP3 M2'!$G$83:$J$83</c:f>
              <c:numCache>
                <c:formatCode>General</c:formatCode>
                <c:ptCount val="4"/>
                <c:pt idx="0">
                  <c:v>2.5523295458295006</c:v>
                </c:pt>
                <c:pt idx="1">
                  <c:v>2.4123581782337782</c:v>
                </c:pt>
                <c:pt idx="2">
                  <c:v>2.2782702999895386</c:v>
                </c:pt>
                <c:pt idx="3">
                  <c:v>2.1706113498097772</c:v>
                </c:pt>
              </c:numCache>
            </c:numRef>
          </c:yVal>
          <c:smooth val="0"/>
          <c:extLst>
            <c:ext xmlns:c16="http://schemas.microsoft.com/office/drawing/2014/chart" uri="{C3380CC4-5D6E-409C-BE32-E72D297353CC}">
              <c16:uniqueId val="{00000003-CB41-47C9-B7FF-722C41F15925}"/>
            </c:ext>
          </c:extLst>
        </c:ser>
        <c:dLbls>
          <c:showLegendKey val="0"/>
          <c:showVal val="0"/>
          <c:showCatName val="0"/>
          <c:showSerName val="0"/>
          <c:showPercent val="0"/>
          <c:showBubbleSize val="0"/>
        </c:dLbls>
        <c:axId val="862226368"/>
        <c:axId val="862172912"/>
      </c:scatterChart>
      <c:valAx>
        <c:axId val="862226368"/>
        <c:scaling>
          <c:orientation val="minMax"/>
          <c:max val="1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'PALMASECA AP3 M2'!$AJ$91:$AL$91</c:f>
              <c:numCache>
                <c:formatCode>0.000</c:formatCode>
                <c:ptCount val="3"/>
                <c:pt idx="0">
                  <c:v>2.2856306394454031</c:v>
                </c:pt>
                <c:pt idx="1">
                  <c:v>2.1442741722087613</c:v>
                </c:pt>
                <c:pt idx="2">
                  <c:v>2.0781152243105998</c:v>
                </c:pt>
              </c:numCache>
            </c:numRef>
          </c:xVal>
          <c:yVal>
            <c:numRef>
              <c:f>'PALMASECA AP3 M2'!$AJ$94:$AL$94</c:f>
              <c:numCache>
                <c:formatCode>0.000</c:formatCode>
                <c:ptCount val="3"/>
                <c:pt idx="0">
                  <c:v>18.489513007471416</c:v>
                </c:pt>
                <c:pt idx="1">
                  <c:v>11.281748795429024</c:v>
                </c:pt>
                <c:pt idx="2">
                  <c:v>8.4613115965717682</c:v>
                </c:pt>
              </c:numCache>
            </c:numRef>
          </c:yVal>
          <c:smooth val="1"/>
          <c:extLst>
            <c:ext xmlns:c16="http://schemas.microsoft.com/office/drawing/2014/chart" uri="{C3380CC4-5D6E-409C-BE32-E72D297353CC}">
              <c16:uniqueId val="{00000001-D2E3-4E89-9051-D410BBEDB447}"/>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'PALMASECA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AP3 M2'!$AM$75:$AM$86</c:f>
              <c:numCache>
                <c:formatCode>0.000</c:formatCode>
                <c:ptCount val="12"/>
                <c:pt idx="0">
                  <c:v>0</c:v>
                </c:pt>
                <c:pt idx="1">
                  <c:v>0.32349896480331264</c:v>
                </c:pt>
                <c:pt idx="2">
                  <c:v>0.65424430641821951</c:v>
                </c:pt>
                <c:pt idx="3">
                  <c:v>0.96583850931677029</c:v>
                </c:pt>
                <c:pt idx="4">
                  <c:v>1.2757763975155278</c:v>
                </c:pt>
                <c:pt idx="5">
                  <c:v>1.6379710144927535</c:v>
                </c:pt>
                <c:pt idx="6">
                  <c:v>1.9989648033126295</c:v>
                </c:pt>
                <c:pt idx="7">
                  <c:v>2.4834368530020705</c:v>
                </c:pt>
                <c:pt idx="8">
                  <c:v>2.9057971014492749</c:v>
                </c:pt>
                <c:pt idx="9">
                  <c:v>4.3995859213250519</c:v>
                </c:pt>
                <c:pt idx="10">
                  <c:v>5.7567287784679086</c:v>
                </c:pt>
                <c:pt idx="11">
                  <c:v>6.754658385093169</c:v>
                </c:pt>
              </c:numCache>
            </c:numRef>
          </c:yVal>
          <c:smooth val="1"/>
          <c:extLst>
            <c:ext xmlns:c16="http://schemas.microsoft.com/office/drawing/2014/chart" uri="{C3380CC4-5D6E-409C-BE32-E72D297353CC}">
              <c16:uniqueId val="{00000000-17AD-4B57-BED2-0FD3D395C1B0}"/>
            </c:ext>
          </c:extLst>
        </c:ser>
        <c:ser>
          <c:idx val="1"/>
          <c:order val="1"/>
          <c:tx>
            <c:v>26 golpes</c:v>
          </c:tx>
          <c:marker>
            <c:symbol val="circle"/>
            <c:size val="3"/>
            <c:spPr>
              <a:solidFill>
                <a:srgbClr val="00B050"/>
              </a:solidFill>
              <a:ln>
                <a:solidFill>
                  <a:srgbClr val="00B050">
                    <a:alpha val="50000"/>
                  </a:srgbClr>
                </a:solidFill>
                <a:prstDash val="solid"/>
              </a:ln>
            </c:spPr>
          </c:marker>
          <c:xVal>
            <c:numRef>
              <c:f>'PALMASECA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AP3 M2'!$AO$75:$AO$86</c:f>
              <c:numCache>
                <c:formatCode>0.000</c:formatCode>
                <c:ptCount val="12"/>
                <c:pt idx="0">
                  <c:v>0</c:v>
                </c:pt>
                <c:pt idx="1">
                  <c:v>0.20134575569358176</c:v>
                </c:pt>
                <c:pt idx="2">
                  <c:v>0.35144927536231885</c:v>
                </c:pt>
                <c:pt idx="3">
                  <c:v>0.55709926991391523</c:v>
                </c:pt>
                <c:pt idx="4">
                  <c:v>0.77844066688460278</c:v>
                </c:pt>
                <c:pt idx="5">
                  <c:v>1.0434782608695652</c:v>
                </c:pt>
                <c:pt idx="6">
                  <c:v>1.3151084232319932</c:v>
                </c:pt>
                <c:pt idx="7">
                  <c:v>1.6338400348697832</c:v>
                </c:pt>
                <c:pt idx="8">
                  <c:v>1.9117086193745234</c:v>
                </c:pt>
                <c:pt idx="9">
                  <c:v>2.8944099378881987</c:v>
                </c:pt>
                <c:pt idx="10">
                  <c:v>3.7873215647815188</c:v>
                </c:pt>
                <c:pt idx="11">
                  <c:v>4.4438542007191897</c:v>
                </c:pt>
              </c:numCache>
            </c:numRef>
          </c:yVal>
          <c:smooth val="1"/>
          <c:extLst>
            <c:ext xmlns:c16="http://schemas.microsoft.com/office/drawing/2014/chart" uri="{C3380CC4-5D6E-409C-BE32-E72D297353CC}">
              <c16:uniqueId val="{00000001-17AD-4B57-BED2-0FD3D395C1B0}"/>
            </c:ext>
          </c:extLst>
        </c:ser>
        <c:ser>
          <c:idx val="2"/>
          <c:order val="2"/>
          <c:tx>
            <c:v>56 golpes</c:v>
          </c:tx>
          <c:marker>
            <c:symbol val="circle"/>
            <c:size val="3"/>
            <c:spPr>
              <a:solidFill>
                <a:srgbClr val="00B050"/>
              </a:solidFill>
              <a:ln>
                <a:solidFill>
                  <a:srgbClr val="00B050">
                    <a:alpha val="50000"/>
                  </a:srgbClr>
                </a:solidFill>
                <a:prstDash val="solid"/>
              </a:ln>
            </c:spPr>
          </c:marker>
          <c:xVal>
            <c:numRef>
              <c:f>'PALMASECA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AP3 M2'!$AQ$75:$AQ$86</c:f>
              <c:numCache>
                <c:formatCode>0.000</c:formatCode>
                <c:ptCount val="12"/>
                <c:pt idx="0">
                  <c:v>0</c:v>
                </c:pt>
                <c:pt idx="1">
                  <c:v>0.10295031055900621</c:v>
                </c:pt>
                <c:pt idx="2">
                  <c:v>0.25156301078783916</c:v>
                </c:pt>
                <c:pt idx="3">
                  <c:v>0.41782445243543637</c:v>
                </c:pt>
                <c:pt idx="4">
                  <c:v>0.58383050016345206</c:v>
                </c:pt>
                <c:pt idx="5">
                  <c:v>0.76184006211180133</c:v>
                </c:pt>
                <c:pt idx="6">
                  <c:v>0.98633131742399494</c:v>
                </c:pt>
                <c:pt idx="7">
                  <c:v>1.2253800261523373</c:v>
                </c:pt>
                <c:pt idx="8">
                  <c:v>1.4337814645308924</c:v>
                </c:pt>
                <c:pt idx="9">
                  <c:v>2.1708483164432821</c:v>
                </c:pt>
                <c:pt idx="10">
                  <c:v>2.5326086956521738</c:v>
                </c:pt>
                <c:pt idx="11">
                  <c:v>2.7155797101449277</c:v>
                </c:pt>
              </c:numCache>
            </c:numRef>
          </c:yVal>
          <c:smooth val="1"/>
          <c:extLst>
            <c:ext xmlns:c16="http://schemas.microsoft.com/office/drawing/2014/chart" uri="{C3380CC4-5D6E-409C-BE32-E72D297353CC}">
              <c16:uniqueId val="{00000002-17AD-4B57-BED2-0FD3D395C1B0}"/>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1248383302432786"/>
                  <c:y val="0.1443564210834171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'PALMASECA AP4 M4'!$E$34:$H$34</c:f>
              <c:numCache>
                <c:formatCode>0.00</c:formatCode>
                <c:ptCount val="4"/>
                <c:pt idx="0">
                  <c:v>6.2987041902302225</c:v>
                </c:pt>
                <c:pt idx="1">
                  <c:v>8.7936881071076396</c:v>
                </c:pt>
                <c:pt idx="2">
                  <c:v>11.085151998240883</c:v>
                </c:pt>
                <c:pt idx="3">
                  <c:v>13.291548203670203</c:v>
                </c:pt>
              </c:numCache>
            </c:numRef>
          </c:xVal>
          <c:yVal>
            <c:numRef>
              <c:f>'PALMASECA AP4 M4'!$E$37:$H$37</c:f>
              <c:numCache>
                <c:formatCode>0.0000</c:formatCode>
                <c:ptCount val="4"/>
                <c:pt idx="0">
                  <c:v>1.7544811135942751</c:v>
                </c:pt>
                <c:pt idx="1">
                  <c:v>1.9423263687317338</c:v>
                </c:pt>
                <c:pt idx="2">
                  <c:v>1.9957176601880258</c:v>
                </c:pt>
                <c:pt idx="3">
                  <c:v>1.6589257968559632</c:v>
                </c:pt>
              </c:numCache>
            </c:numRef>
          </c:yVal>
          <c:smooth val="0"/>
          <c:extLst>
            <c:ext xmlns:c16="http://schemas.microsoft.com/office/drawing/2014/chart" uri="{C3380CC4-5D6E-409C-BE32-E72D297353CC}">
              <c16:uniqueId val="{00000001-44D5-4880-A8C3-4F4AEA9CE3E6}"/>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'PALMASECA AP4 M4'!$E$34:$H$34</c:f>
              <c:numCache>
                <c:formatCode>0.00</c:formatCode>
                <c:ptCount val="4"/>
                <c:pt idx="0">
                  <c:v>6.2987041902302225</c:v>
                </c:pt>
                <c:pt idx="1">
                  <c:v>8.7936881071076396</c:v>
                </c:pt>
                <c:pt idx="2">
                  <c:v>11.085151998240883</c:v>
                </c:pt>
                <c:pt idx="3">
                  <c:v>13.291548203670203</c:v>
                </c:pt>
              </c:numCache>
            </c:numRef>
          </c:xVal>
          <c:yVal>
            <c:numRef>
              <c:f>'PALMASECA AP4 M4'!$G$83:$J$83</c:f>
              <c:numCache>
                <c:formatCode>General</c:formatCode>
                <c:ptCount val="4"/>
                <c:pt idx="0">
                  <c:v>2.2851823306610139</c:v>
                </c:pt>
                <c:pt idx="1">
                  <c:v>2.1596643729170197</c:v>
                </c:pt>
                <c:pt idx="2">
                  <c:v>2.0559491185132375</c:v>
                </c:pt>
                <c:pt idx="3">
                  <c:v>1.9650818443921536</c:v>
                </c:pt>
              </c:numCache>
            </c:numRef>
          </c:yVal>
          <c:smooth val="0"/>
          <c:extLst>
            <c:ext xmlns:c16="http://schemas.microsoft.com/office/drawing/2014/chart" uri="{C3380CC4-5D6E-409C-BE32-E72D297353CC}">
              <c16:uniqueId val="{00000003-44D5-4880-A8C3-4F4AEA9CE3E6}"/>
            </c:ext>
          </c:extLst>
        </c:ser>
        <c:dLbls>
          <c:showLegendKey val="0"/>
          <c:showVal val="0"/>
          <c:showCatName val="0"/>
          <c:showSerName val="0"/>
          <c:showPercent val="0"/>
          <c:showBubbleSize val="0"/>
        </c:dLbls>
        <c:axId val="862226368"/>
        <c:axId val="862172912"/>
      </c:scatterChart>
      <c:valAx>
        <c:axId val="862226368"/>
        <c:scaling>
          <c:orientation val="minMax"/>
          <c:max val="17"/>
          <c:min val="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'PALMASECA AP4 M4'!$AJ$91:$AL$91</c:f>
              <c:numCache>
                <c:formatCode>0.000</c:formatCode>
                <c:ptCount val="3"/>
                <c:pt idx="0">
                  <c:v>1.9838907229177958</c:v>
                </c:pt>
                <c:pt idx="1">
                  <c:v>1.9159975981825126</c:v>
                </c:pt>
                <c:pt idx="2">
                  <c:v>1.7675578272408352</c:v>
                </c:pt>
              </c:numCache>
            </c:numRef>
          </c:xVal>
          <c:yVal>
            <c:numRef>
              <c:f>'PALMASECA AP4 M4'!$AJ$94:$AL$94</c:f>
              <c:numCache>
                <c:formatCode>0.000</c:formatCode>
                <c:ptCount val="3"/>
                <c:pt idx="0">
                  <c:v>1.3467607389093246</c:v>
                </c:pt>
                <c:pt idx="1">
                  <c:v>0.8860268019140296</c:v>
                </c:pt>
                <c:pt idx="2">
                  <c:v>0.6645201014355222</c:v>
                </c:pt>
              </c:numCache>
            </c:numRef>
          </c:yVal>
          <c:smooth val="1"/>
          <c:extLst>
            <c:ext xmlns:c16="http://schemas.microsoft.com/office/drawing/2014/chart" uri="{C3380CC4-5D6E-409C-BE32-E72D297353CC}">
              <c16:uniqueId val="{00000001-B0F5-4D24-BD3B-320649277F1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ax val="2"/>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'PALMASECA AP4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AP4 M4'!$AM$75:$AM$86</c:f>
              <c:numCache>
                <c:formatCode>0.000</c:formatCode>
                <c:ptCount val="12"/>
                <c:pt idx="0">
                  <c:v>0</c:v>
                </c:pt>
                <c:pt idx="1">
                  <c:v>4.7619047619047616E-2</c:v>
                </c:pt>
                <c:pt idx="2">
                  <c:v>6.8322981366459631E-2</c:v>
                </c:pt>
                <c:pt idx="3">
                  <c:v>8.5403726708074543E-2</c:v>
                </c:pt>
                <c:pt idx="4">
                  <c:v>9.7308488612836433E-2</c:v>
                </c:pt>
                <c:pt idx="5">
                  <c:v>0.10610766045548654</c:v>
                </c:pt>
                <c:pt idx="6">
                  <c:v>0.11697722567287785</c:v>
                </c:pt>
                <c:pt idx="7">
                  <c:v>0.12888198757763975</c:v>
                </c:pt>
                <c:pt idx="8">
                  <c:v>0.13871635610766045</c:v>
                </c:pt>
                <c:pt idx="9">
                  <c:v>0.17598343685300208</c:v>
                </c:pt>
                <c:pt idx="10">
                  <c:v>0.21273291925465837</c:v>
                </c:pt>
                <c:pt idx="11">
                  <c:v>0.24068322981366461</c:v>
                </c:pt>
              </c:numCache>
            </c:numRef>
          </c:yVal>
          <c:smooth val="1"/>
          <c:extLst>
            <c:ext xmlns:c16="http://schemas.microsoft.com/office/drawing/2014/chart" uri="{C3380CC4-5D6E-409C-BE32-E72D297353CC}">
              <c16:uniqueId val="{00000000-AC67-418D-A6C5-B10EDA7E8138}"/>
            </c:ext>
          </c:extLst>
        </c:ser>
        <c:ser>
          <c:idx val="1"/>
          <c:order val="1"/>
          <c:tx>
            <c:v>26 golpes</c:v>
          </c:tx>
          <c:marker>
            <c:symbol val="circle"/>
            <c:size val="3"/>
            <c:spPr>
              <a:solidFill>
                <a:srgbClr val="00B050"/>
              </a:solidFill>
              <a:ln>
                <a:solidFill>
                  <a:srgbClr val="00B050">
                    <a:alpha val="50000"/>
                  </a:srgbClr>
                </a:solidFill>
                <a:prstDash val="solid"/>
              </a:ln>
            </c:spPr>
          </c:marker>
          <c:xVal>
            <c:numRef>
              <c:f>'PALMASECA AP4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AP4 M4'!$AO$75:$AO$86</c:f>
              <c:numCache>
                <c:formatCode>0.000</c:formatCode>
                <c:ptCount val="12"/>
                <c:pt idx="0">
                  <c:v>0</c:v>
                </c:pt>
                <c:pt idx="1">
                  <c:v>2.6397515527950308E-2</c:v>
                </c:pt>
                <c:pt idx="2">
                  <c:v>4.296066252587992E-2</c:v>
                </c:pt>
                <c:pt idx="3">
                  <c:v>5.6186662307943773E-2</c:v>
                </c:pt>
                <c:pt idx="4">
                  <c:v>6.4018742508445026E-2</c:v>
                </c:pt>
                <c:pt idx="5">
                  <c:v>7.0910973084886128E-2</c:v>
                </c:pt>
                <c:pt idx="6">
                  <c:v>7.6958701100577523E-2</c:v>
                </c:pt>
                <c:pt idx="7">
                  <c:v>8.410973084886128E-2</c:v>
                </c:pt>
                <c:pt idx="8">
                  <c:v>9.1260760597145052E-2</c:v>
                </c:pt>
                <c:pt idx="9">
                  <c:v>0.11387163561076605</c:v>
                </c:pt>
                <c:pt idx="10">
                  <c:v>0.1365506156696088</c:v>
                </c:pt>
                <c:pt idx="11">
                  <c:v>0.16038738149722132</c:v>
                </c:pt>
              </c:numCache>
            </c:numRef>
          </c:yVal>
          <c:smooth val="1"/>
          <c:extLst>
            <c:ext xmlns:c16="http://schemas.microsoft.com/office/drawing/2014/chart" uri="{C3380CC4-5D6E-409C-BE32-E72D297353CC}">
              <c16:uniqueId val="{00000001-AC67-418D-A6C5-B10EDA7E8138}"/>
            </c:ext>
          </c:extLst>
        </c:ser>
        <c:ser>
          <c:idx val="2"/>
          <c:order val="2"/>
          <c:tx>
            <c:v>56 golpes</c:v>
          </c:tx>
          <c:marker>
            <c:symbol val="circle"/>
            <c:size val="3"/>
            <c:spPr>
              <a:solidFill>
                <a:srgbClr val="00B050"/>
              </a:solidFill>
              <a:ln>
                <a:solidFill>
                  <a:srgbClr val="00B050">
                    <a:alpha val="50000"/>
                  </a:srgbClr>
                </a:solidFill>
                <a:prstDash val="solid"/>
              </a:ln>
            </c:spPr>
          </c:marker>
          <c:xVal>
            <c:numRef>
              <c:f>'PALMASECA AP4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'PALMASECA AP4 M4'!$AQ$75:$AQ$86</c:f>
              <c:numCache>
                <c:formatCode>0.000</c:formatCode>
                <c:ptCount val="12"/>
                <c:pt idx="0">
                  <c:v>0</c:v>
                </c:pt>
                <c:pt idx="1">
                  <c:v>1.8115942028985511E-2</c:v>
                </c:pt>
                <c:pt idx="2">
                  <c:v>3.0020703933747412E-2</c:v>
                </c:pt>
                <c:pt idx="3">
                  <c:v>3.7267080745341609E-2</c:v>
                </c:pt>
                <c:pt idx="4">
                  <c:v>4.606625258799172E-2</c:v>
                </c:pt>
                <c:pt idx="5">
                  <c:v>5.227743271221532E-2</c:v>
                </c:pt>
                <c:pt idx="6">
                  <c:v>5.7971014492753624E-2</c:v>
                </c:pt>
                <c:pt idx="7">
                  <c:v>6.3082298136645967E-2</c:v>
                </c:pt>
                <c:pt idx="8">
                  <c:v>6.8445570447858789E-2</c:v>
                </c:pt>
                <c:pt idx="9">
                  <c:v>8.5556963059823465E-2</c:v>
                </c:pt>
                <c:pt idx="10">
                  <c:v>9.6790890269151136E-2</c:v>
                </c:pt>
                <c:pt idx="11">
                  <c:v>0.10403726708074534</c:v>
                </c:pt>
              </c:numCache>
            </c:numRef>
          </c:yVal>
          <c:smooth val="1"/>
          <c:extLst>
            <c:ext xmlns:c16="http://schemas.microsoft.com/office/drawing/2014/chart" uri="{C3380CC4-5D6E-409C-BE32-E72D297353CC}">
              <c16:uniqueId val="{00000002-AC67-418D-A6C5-B10EDA7E8138}"/>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0791508835858855"/>
                  <c:y val="5.9392395080205877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FORMATO!$E$34:$H$34</c:f>
              <c:numCache>
                <c:formatCode>0.00</c:formatCode>
                <c:ptCount val="4"/>
                <c:pt idx="0">
                  <c:v>0</c:v>
                </c:pt>
                <c:pt idx="1">
                  <c:v>0</c:v>
                </c:pt>
                <c:pt idx="2">
                  <c:v>0</c:v>
                </c:pt>
                <c:pt idx="3">
                  <c:v>0</c:v>
                </c:pt>
              </c:numCache>
            </c:numRef>
          </c:xVal>
          <c:yVal>
            <c:numRef>
              <c:f>FORMATO!$E$37:$H$37</c:f>
              <c:numCache>
                <c:formatCode>0.0000</c:formatCode>
                <c:ptCount val="4"/>
                <c:pt idx="0">
                  <c:v>0</c:v>
                </c:pt>
                <c:pt idx="1">
                  <c:v>0</c:v>
                </c:pt>
                <c:pt idx="2">
                  <c:v>0</c:v>
                </c:pt>
                <c:pt idx="3">
                  <c:v>0</c:v>
                </c:pt>
              </c:numCache>
            </c:numRef>
          </c:yVal>
          <c:smooth val="0"/>
          <c:extLst>
            <c:ext xmlns:c16="http://schemas.microsoft.com/office/drawing/2014/chart" uri="{C3380CC4-5D6E-409C-BE32-E72D297353CC}">
              <c16:uniqueId val="{00000001-81AB-4772-B4B1-C7FFD388BABD}"/>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FORMATO!$E$34:$H$34</c:f>
              <c:numCache>
                <c:formatCode>0.00</c:formatCode>
                <c:ptCount val="4"/>
                <c:pt idx="0">
                  <c:v>0</c:v>
                </c:pt>
                <c:pt idx="1">
                  <c:v>0</c:v>
                </c:pt>
                <c:pt idx="2">
                  <c:v>0</c:v>
                </c:pt>
                <c:pt idx="3">
                  <c:v>0</c:v>
                </c:pt>
              </c:numCache>
            </c:numRef>
          </c:xVal>
          <c:yVal>
            <c:numRef>
              <c:f>FORMATO!$G$83:$J$83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3-81AB-4772-B4B1-C7FFD388BABD}"/>
            </c:ext>
          </c:extLst>
        </c:ser>
        <c:dLbls>
          <c:showLegendKey val="0"/>
          <c:showVal val="0"/>
          <c:showCatName val="0"/>
          <c:showSerName val="0"/>
          <c:showPercent val="0"/>
          <c:showBubbleSize val="0"/>
        </c:dLbls>
        <c:axId val="862226368"/>
        <c:axId val="862172912"/>
      </c:scatterChart>
      <c:valAx>
        <c:axId val="862226368"/>
        <c:scaling>
          <c:orientation val="minMax"/>
          <c:max val="20"/>
          <c:min val="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
          <c:min val="1.66000000000000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FORMATO!$AJ$91:$AL$91</c:f>
              <c:numCache>
                <c:formatCode>0.000</c:formatCode>
                <c:ptCount val="3"/>
                <c:pt idx="0">
                  <c:v>0</c:v>
                </c:pt>
                <c:pt idx="1">
                  <c:v>0</c:v>
                </c:pt>
                <c:pt idx="2">
                  <c:v>0</c:v>
                </c:pt>
              </c:numCache>
            </c:numRef>
          </c:xVal>
          <c:yVal>
            <c:numRef>
              <c:f>FORMATO!$AJ$94:$AL$94</c:f>
              <c:numCache>
                <c:formatCode>0.000</c:formatCode>
                <c:ptCount val="3"/>
                <c:pt idx="0">
                  <c:v>0</c:v>
                </c:pt>
                <c:pt idx="1">
                  <c:v>0</c:v>
                </c:pt>
                <c:pt idx="2">
                  <c:v>0</c:v>
                </c:pt>
              </c:numCache>
            </c:numRef>
          </c:yVal>
          <c:smooth val="1"/>
          <c:extLst>
            <c:ext xmlns:c16="http://schemas.microsoft.com/office/drawing/2014/chart" uri="{C3380CC4-5D6E-409C-BE32-E72D297353CC}">
              <c16:uniqueId val="{00000001-E751-4D3F-8B5C-0A6132977C3A}"/>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FORMATO!$AJ$75:$AJ$86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FORMATO!$AM$75:$AM$86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0-D2BA-4E7D-8E94-55CACBC655B1}"/>
            </c:ext>
          </c:extLst>
        </c:ser>
        <c:ser>
          <c:idx val="1"/>
          <c:order val="1"/>
          <c:tx>
            <c:v>26 golpes</c:v>
          </c:tx>
          <c:marker>
            <c:symbol val="circle"/>
            <c:size val="3"/>
            <c:spPr>
              <a:solidFill>
                <a:srgbClr val="00B050"/>
              </a:solidFill>
              <a:ln>
                <a:solidFill>
                  <a:srgbClr val="00B050">
                    <a:alpha val="50000"/>
                  </a:srgbClr>
                </a:solidFill>
                <a:prstDash val="solid"/>
              </a:ln>
            </c:spPr>
          </c:marker>
          <c:xVal>
            <c:numRef>
              <c:f>FORMATO!$AJ$75:$AJ$86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FORMATO!$AO$75:$AO$86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1-D2BA-4E7D-8E94-55CACBC655B1}"/>
            </c:ext>
          </c:extLst>
        </c:ser>
        <c:ser>
          <c:idx val="2"/>
          <c:order val="2"/>
          <c:tx>
            <c:v>56 golpes</c:v>
          </c:tx>
          <c:marker>
            <c:symbol val="circle"/>
            <c:size val="3"/>
            <c:spPr>
              <a:solidFill>
                <a:srgbClr val="00B050"/>
              </a:solidFill>
              <a:ln>
                <a:solidFill>
                  <a:srgbClr val="00B050">
                    <a:alpha val="50000"/>
                  </a:srgbClr>
                </a:solidFill>
                <a:prstDash val="solid"/>
              </a:ln>
            </c:spPr>
          </c:marker>
          <c:xVal>
            <c:numRef>
              <c:f>FORMATO!$AJ$75:$AJ$86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FORMATO!$AQ$75:$AQ$86</c:f>
              <c:numCache>
                <c:formatCode>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2-D2BA-4E7D-8E94-55CACBC655B1}"/>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FORMATO!$E$34:$H$34</c:f>
              <c:numCache>
                <c:formatCode>0.00</c:formatCode>
                <c:ptCount val="4"/>
                <c:pt idx="0">
                  <c:v>0</c:v>
                </c:pt>
                <c:pt idx="1">
                  <c:v>0</c:v>
                </c:pt>
                <c:pt idx="2">
                  <c:v>0</c:v>
                </c:pt>
                <c:pt idx="3">
                  <c:v>0</c:v>
                </c:pt>
              </c:numCache>
            </c:numRef>
          </c:xVal>
          <c:yVal>
            <c:numRef>
              <c:f>FORMATO!$E$37:$H$37</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0-5179-4358-B69C-1DC57406F560}"/>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majorUnit val="1"/>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30651570291850966"/>
                  <c:y val="3.6576006001267342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'V. RICA AP1 M2'!$E$34:$H$34</c:f>
              <c:numCache>
                <c:formatCode>0.00</c:formatCode>
                <c:ptCount val="4"/>
                <c:pt idx="0">
                  <c:v>20.151582701738747</c:v>
                </c:pt>
                <c:pt idx="1">
                  <c:v>23.937351826616148</c:v>
                </c:pt>
                <c:pt idx="2">
                  <c:v>26.787262619221668</c:v>
                </c:pt>
                <c:pt idx="3">
                  <c:v>29.794333555784728</c:v>
                </c:pt>
              </c:numCache>
            </c:numRef>
          </c:xVal>
          <c:yVal>
            <c:numRef>
              <c:f>'V. RICA AP1 M2'!$E$37:$H$37</c:f>
              <c:numCache>
                <c:formatCode>0.0000</c:formatCode>
                <c:ptCount val="4"/>
                <c:pt idx="0">
                  <c:v>1.4820664172220437</c:v>
                </c:pt>
                <c:pt idx="1">
                  <c:v>1.5690182167849975</c:v>
                </c:pt>
                <c:pt idx="2">
                  <c:v>1.5201639832420966</c:v>
                </c:pt>
                <c:pt idx="3">
                  <c:v>1.4480005924144834</c:v>
                </c:pt>
              </c:numCache>
            </c:numRef>
          </c:yVal>
          <c:smooth val="0"/>
          <c:extLst>
            <c:ext xmlns:c16="http://schemas.microsoft.com/office/drawing/2014/chart" uri="{C3380CC4-5D6E-409C-BE32-E72D297353CC}">
              <c16:uniqueId val="{00000001-C79E-4497-9AE6-8C111FBBBFF3}"/>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'V. RICA AP1 M2'!$E$34:$H$34</c:f>
              <c:numCache>
                <c:formatCode>0.00</c:formatCode>
                <c:ptCount val="4"/>
                <c:pt idx="0">
                  <c:v>20.151582701738747</c:v>
                </c:pt>
                <c:pt idx="1">
                  <c:v>23.937351826616148</c:v>
                </c:pt>
                <c:pt idx="2">
                  <c:v>26.787262619221668</c:v>
                </c:pt>
                <c:pt idx="3">
                  <c:v>29.794333555784728</c:v>
                </c:pt>
              </c:numCache>
            </c:numRef>
          </c:xVal>
          <c:yVal>
            <c:numRef>
              <c:f>'V. RICA AP1 M2'!$G$83:$J$83</c:f>
              <c:numCache>
                <c:formatCode>General</c:formatCode>
                <c:ptCount val="4"/>
                <c:pt idx="0">
                  <c:v>1.723583923696306</c:v>
                </c:pt>
                <c:pt idx="1">
                  <c:v>1.6160901903907807</c:v>
                </c:pt>
                <c:pt idx="2">
                  <c:v>1.5436185898406813</c:v>
                </c:pt>
                <c:pt idx="3">
                  <c:v>1.4738794433951774</c:v>
                </c:pt>
              </c:numCache>
            </c:numRef>
          </c:yVal>
          <c:smooth val="0"/>
          <c:extLst>
            <c:ext xmlns:c16="http://schemas.microsoft.com/office/drawing/2014/chart" uri="{C3380CC4-5D6E-409C-BE32-E72D297353CC}">
              <c16:uniqueId val="{00000003-C79E-4497-9AE6-8C111FBBBFF3}"/>
            </c:ext>
          </c:extLst>
        </c:ser>
        <c:dLbls>
          <c:showLegendKey val="0"/>
          <c:showVal val="0"/>
          <c:showCatName val="0"/>
          <c:showSerName val="0"/>
          <c:showPercent val="0"/>
          <c:showBubbleSize val="0"/>
        </c:dLbls>
        <c:axId val="862226368"/>
        <c:axId val="862172912"/>
      </c:scatterChart>
      <c:valAx>
        <c:axId val="862226368"/>
        <c:scaling>
          <c:orientation val="minMax"/>
          <c:max val="40"/>
          <c:min val="1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'V. RICA AP1 M2'!$AJ$91:$AL$91</c:f>
              <c:numCache>
                <c:formatCode>0.000</c:formatCode>
                <c:ptCount val="3"/>
                <c:pt idx="0">
                  <c:v>1.5424865242927284</c:v>
                </c:pt>
                <c:pt idx="1">
                  <c:v>1.4837061662729543</c:v>
                </c:pt>
                <c:pt idx="2">
                  <c:v>1.4535036779097672</c:v>
                </c:pt>
              </c:numCache>
            </c:numRef>
          </c:xVal>
          <c:yVal>
            <c:numRef>
              <c:f>'V. RICA AP1 M2'!$AJ$94:$AL$94</c:f>
              <c:numCache>
                <c:formatCode>0.000</c:formatCode>
                <c:ptCount val="3"/>
                <c:pt idx="0">
                  <c:v>12.654904431842052</c:v>
                </c:pt>
                <c:pt idx="1">
                  <c:v>8.2815734989648053</c:v>
                </c:pt>
                <c:pt idx="2">
                  <c:v>6.2441962657115369</c:v>
                </c:pt>
              </c:numCache>
            </c:numRef>
          </c:yVal>
          <c:smooth val="1"/>
          <c:extLst>
            <c:ext xmlns:c16="http://schemas.microsoft.com/office/drawing/2014/chart" uri="{C3380CC4-5D6E-409C-BE32-E72D297353CC}">
              <c16:uniqueId val="{00000001-E744-426F-B110-1058D0D49CA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'V. RICA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AP1 M2'!$AM$75:$AM$86</c:f>
              <c:numCache>
                <c:formatCode>0.000</c:formatCode>
                <c:ptCount val="12"/>
                <c:pt idx="0">
                  <c:v>0</c:v>
                </c:pt>
                <c:pt idx="1">
                  <c:v>0.31780538302277428</c:v>
                </c:pt>
                <c:pt idx="2">
                  <c:v>0.56573498964803315</c:v>
                </c:pt>
                <c:pt idx="3">
                  <c:v>0.74120082815734989</c:v>
                </c:pt>
                <c:pt idx="4">
                  <c:v>0.87318840579710155</c:v>
                </c:pt>
                <c:pt idx="5">
                  <c:v>1.0331262939958592</c:v>
                </c:pt>
                <c:pt idx="6">
                  <c:v>1.1739130434782608</c:v>
                </c:pt>
                <c:pt idx="7">
                  <c:v>1.3059006211180124</c:v>
                </c:pt>
                <c:pt idx="8">
                  <c:v>1.3959627329192548</c:v>
                </c:pt>
                <c:pt idx="9">
                  <c:v>1.8043478260869565</c:v>
                </c:pt>
                <c:pt idx="10">
                  <c:v>2.1066252587991716</c:v>
                </c:pt>
                <c:pt idx="11">
                  <c:v>2.2836438923395446</c:v>
                </c:pt>
              </c:numCache>
            </c:numRef>
          </c:yVal>
          <c:smooth val="1"/>
          <c:extLst>
            <c:ext xmlns:c16="http://schemas.microsoft.com/office/drawing/2014/chart" uri="{C3380CC4-5D6E-409C-BE32-E72D297353CC}">
              <c16:uniqueId val="{00000000-F573-4402-BF19-EDF47F4C47C6}"/>
            </c:ext>
          </c:extLst>
        </c:ser>
        <c:ser>
          <c:idx val="1"/>
          <c:order val="1"/>
          <c:tx>
            <c:v>26 golpes</c:v>
          </c:tx>
          <c:marker>
            <c:symbol val="circle"/>
            <c:size val="3"/>
            <c:spPr>
              <a:solidFill>
                <a:srgbClr val="00B050"/>
              </a:solidFill>
              <a:ln>
                <a:solidFill>
                  <a:srgbClr val="00B050">
                    <a:alpha val="50000"/>
                  </a:srgbClr>
                </a:solidFill>
                <a:prstDash val="solid"/>
              </a:ln>
            </c:spPr>
          </c:marker>
          <c:xVal>
            <c:numRef>
              <c:f>'V. RICA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AP1 M2'!$AO$75:$AO$86</c:f>
              <c:numCache>
                <c:formatCode>0.000</c:formatCode>
                <c:ptCount val="12"/>
                <c:pt idx="0">
                  <c:v>0</c:v>
                </c:pt>
                <c:pt idx="1">
                  <c:v>0.2060041407867495</c:v>
                </c:pt>
                <c:pt idx="2">
                  <c:v>0.36128364389233952</c:v>
                </c:pt>
                <c:pt idx="3">
                  <c:v>0.48395445134575565</c:v>
                </c:pt>
                <c:pt idx="4">
                  <c:v>0.57142857142857151</c:v>
                </c:pt>
                <c:pt idx="5">
                  <c:v>0.67968835131306526</c:v>
                </c:pt>
                <c:pt idx="6">
                  <c:v>0.77231121281464521</c:v>
                </c:pt>
                <c:pt idx="7">
                  <c:v>0.85914514547237653</c:v>
                </c:pt>
                <c:pt idx="8">
                  <c:v>0.91839653481529904</c:v>
                </c:pt>
                <c:pt idx="9">
                  <c:v>1.1868530020703933</c:v>
                </c:pt>
                <c:pt idx="10">
                  <c:v>1.3859376702626132</c:v>
                </c:pt>
                <c:pt idx="11">
                  <c:v>1.5618530020703933</c:v>
                </c:pt>
              </c:numCache>
            </c:numRef>
          </c:yVal>
          <c:smooth val="1"/>
          <c:extLst>
            <c:ext xmlns:c16="http://schemas.microsoft.com/office/drawing/2014/chart" uri="{C3380CC4-5D6E-409C-BE32-E72D297353CC}">
              <c16:uniqueId val="{00000001-F573-4402-BF19-EDF47F4C47C6}"/>
            </c:ext>
          </c:extLst>
        </c:ser>
        <c:ser>
          <c:idx val="2"/>
          <c:order val="2"/>
          <c:tx>
            <c:v>56 golpes</c:v>
          </c:tx>
          <c:marker>
            <c:symbol val="circle"/>
            <c:size val="3"/>
            <c:spPr>
              <a:solidFill>
                <a:srgbClr val="00B050"/>
              </a:solidFill>
              <a:ln>
                <a:solidFill>
                  <a:srgbClr val="00B050">
                    <a:alpha val="50000"/>
                  </a:srgbClr>
                </a:solidFill>
                <a:prstDash val="solid"/>
              </a:ln>
            </c:spPr>
          </c:marker>
          <c:xVal>
            <c:numRef>
              <c:f>'V. RICA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AP1 M2'!$AQ$75:$AQ$86</c:f>
              <c:numCache>
                <c:formatCode>0.000</c:formatCode>
                <c:ptCount val="12"/>
                <c:pt idx="0">
                  <c:v>0</c:v>
                </c:pt>
                <c:pt idx="1">
                  <c:v>0.14389233954451347</c:v>
                </c:pt>
                <c:pt idx="2">
                  <c:v>0.25931677018633537</c:v>
                </c:pt>
                <c:pt idx="3">
                  <c:v>0.35662525879917184</c:v>
                </c:pt>
                <c:pt idx="4">
                  <c:v>0.43084954233409606</c:v>
                </c:pt>
                <c:pt idx="5">
                  <c:v>0.50976626348479892</c:v>
                </c:pt>
                <c:pt idx="6">
                  <c:v>0.57923340961098402</c:v>
                </c:pt>
                <c:pt idx="7">
                  <c:v>0.64435885910428248</c:v>
                </c:pt>
                <c:pt idx="8">
                  <c:v>0.68879740111147436</c:v>
                </c:pt>
                <c:pt idx="9">
                  <c:v>0.8903032036613272</c:v>
                </c:pt>
                <c:pt idx="10">
                  <c:v>0.9557660455486543</c:v>
                </c:pt>
                <c:pt idx="11">
                  <c:v>1.0287267080745341</c:v>
                </c:pt>
              </c:numCache>
            </c:numRef>
          </c:yVal>
          <c:smooth val="1"/>
          <c:extLst>
            <c:ext xmlns:c16="http://schemas.microsoft.com/office/drawing/2014/chart" uri="{C3380CC4-5D6E-409C-BE32-E72D297353CC}">
              <c16:uniqueId val="{00000002-F573-4402-BF19-EDF47F4C47C6}"/>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44347835390144225"/>
                  <c:y val="0.14274155328489635"/>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'V. RICA AP2 M1'!$E$34:$H$34</c:f>
              <c:numCache>
                <c:formatCode>0.00</c:formatCode>
                <c:ptCount val="4"/>
                <c:pt idx="0">
                  <c:v>17.153334704229199</c:v>
                </c:pt>
                <c:pt idx="1">
                  <c:v>19.543457523277223</c:v>
                </c:pt>
                <c:pt idx="2">
                  <c:v>22.334876442589813</c:v>
                </c:pt>
                <c:pt idx="3">
                  <c:v>25.483199524234319</c:v>
                </c:pt>
              </c:numCache>
            </c:numRef>
          </c:xVal>
          <c:yVal>
            <c:numRef>
              <c:f>'V. RICA AP2 M1'!$E$37:$H$37</c:f>
              <c:numCache>
                <c:formatCode>0.0000</c:formatCode>
                <c:ptCount val="4"/>
                <c:pt idx="0">
                  <c:v>1.424623906456818</c:v>
                </c:pt>
                <c:pt idx="1">
                  <c:v>1.4977840112642273</c:v>
                </c:pt>
                <c:pt idx="2">
                  <c:v>1.4670327788922839</c:v>
                </c:pt>
                <c:pt idx="3">
                  <c:v>1.3734617013953241</c:v>
                </c:pt>
              </c:numCache>
            </c:numRef>
          </c:yVal>
          <c:smooth val="0"/>
          <c:extLst>
            <c:ext xmlns:c16="http://schemas.microsoft.com/office/drawing/2014/chart" uri="{C3380CC4-5D6E-409C-BE32-E72D297353CC}">
              <c16:uniqueId val="{00000001-1B10-4BDE-83AD-F36D9920A0E8}"/>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'V. RICA AP2 M1'!$E$34:$H$34</c:f>
              <c:numCache>
                <c:formatCode>0.00</c:formatCode>
                <c:ptCount val="4"/>
                <c:pt idx="0">
                  <c:v>17.153334704229199</c:v>
                </c:pt>
                <c:pt idx="1">
                  <c:v>19.543457523277223</c:v>
                </c:pt>
                <c:pt idx="2">
                  <c:v>22.334876442589813</c:v>
                </c:pt>
                <c:pt idx="3">
                  <c:v>25.483199524234319</c:v>
                </c:pt>
              </c:numCache>
            </c:numRef>
          </c:xVal>
          <c:yVal>
            <c:numRef>
              <c:f>'V. RICA AP2 M1'!$G$83:$J$83</c:f>
              <c:numCache>
                <c:formatCode>General</c:formatCode>
                <c:ptCount val="4"/>
                <c:pt idx="0">
                  <c:v>1.8102846843048386</c:v>
                </c:pt>
                <c:pt idx="1">
                  <c:v>1.7338130527548916</c:v>
                </c:pt>
                <c:pt idx="2">
                  <c:v>1.6522964184683471</c:v>
                </c:pt>
                <c:pt idx="3">
                  <c:v>1.5690919515932991</c:v>
                </c:pt>
              </c:numCache>
            </c:numRef>
          </c:yVal>
          <c:smooth val="0"/>
          <c:extLst>
            <c:ext xmlns:c16="http://schemas.microsoft.com/office/drawing/2014/chart" uri="{C3380CC4-5D6E-409C-BE32-E72D297353CC}">
              <c16:uniqueId val="{00000003-1B10-4BDE-83AD-F36D9920A0E8}"/>
            </c:ext>
          </c:extLst>
        </c:ser>
        <c:dLbls>
          <c:showLegendKey val="0"/>
          <c:showVal val="0"/>
          <c:showCatName val="0"/>
          <c:showSerName val="0"/>
          <c:showPercent val="0"/>
          <c:showBubbleSize val="0"/>
        </c:dLbls>
        <c:axId val="862226368"/>
        <c:axId val="862172912"/>
      </c:scatterChart>
      <c:valAx>
        <c:axId val="862226368"/>
        <c:scaling>
          <c:orientation val="minMax"/>
          <c:max val="40"/>
          <c:min val="1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'V. RICA AP2 M1'!$AJ$91:$AL$91</c:f>
              <c:numCache>
                <c:formatCode>0.000</c:formatCode>
                <c:ptCount val="3"/>
                <c:pt idx="0">
                  <c:v>1.4523433090273499</c:v>
                </c:pt>
                <c:pt idx="1">
                  <c:v>1.3941363952149537</c:v>
                </c:pt>
                <c:pt idx="2">
                  <c:v>1.314406884831077</c:v>
                </c:pt>
              </c:numCache>
            </c:numRef>
          </c:xVal>
          <c:yVal>
            <c:numRef>
              <c:f>'V. RICA AP2 M1'!$AJ$94:$AL$94</c:f>
              <c:numCache>
                <c:formatCode>0.000</c:formatCode>
                <c:ptCount val="3"/>
                <c:pt idx="0">
                  <c:v>3.0980886368409997</c:v>
                </c:pt>
                <c:pt idx="1">
                  <c:v>2.0382162084480262</c:v>
                </c:pt>
                <c:pt idx="2">
                  <c:v>1.5286621563360194</c:v>
                </c:pt>
              </c:numCache>
            </c:numRef>
          </c:yVal>
          <c:smooth val="1"/>
          <c:extLst>
            <c:ext xmlns:c16="http://schemas.microsoft.com/office/drawing/2014/chart" uri="{C3380CC4-5D6E-409C-BE32-E72D297353CC}">
              <c16:uniqueId val="{00000001-41A5-41FD-B2BF-E2DA41E7287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'V. RICA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AP2 M1'!$AM$75:$AM$86</c:f>
              <c:numCache>
                <c:formatCode>0.000</c:formatCode>
                <c:ptCount val="12"/>
                <c:pt idx="0">
                  <c:v>0</c:v>
                </c:pt>
                <c:pt idx="1">
                  <c:v>7.2463768115942045E-2</c:v>
                </c:pt>
                <c:pt idx="2">
                  <c:v>0.12888198757763975</c:v>
                </c:pt>
                <c:pt idx="3">
                  <c:v>0.17701863354037267</c:v>
                </c:pt>
                <c:pt idx="4">
                  <c:v>0.21376811594202899</c:v>
                </c:pt>
                <c:pt idx="5">
                  <c:v>0.24844720496894407</c:v>
                </c:pt>
                <c:pt idx="6">
                  <c:v>0.28105590062111802</c:v>
                </c:pt>
                <c:pt idx="7">
                  <c:v>0.30745341614906829</c:v>
                </c:pt>
                <c:pt idx="8">
                  <c:v>0.32971014492753625</c:v>
                </c:pt>
                <c:pt idx="9">
                  <c:v>0.40320910973084884</c:v>
                </c:pt>
                <c:pt idx="10">
                  <c:v>0.45962732919254656</c:v>
                </c:pt>
                <c:pt idx="11">
                  <c:v>0.51501035196687373</c:v>
                </c:pt>
              </c:numCache>
            </c:numRef>
          </c:yVal>
          <c:smooth val="1"/>
          <c:extLst>
            <c:ext xmlns:c16="http://schemas.microsoft.com/office/drawing/2014/chart" uri="{C3380CC4-5D6E-409C-BE32-E72D297353CC}">
              <c16:uniqueId val="{00000000-0550-48E9-B2FE-5B84F733C0E6}"/>
            </c:ext>
          </c:extLst>
        </c:ser>
        <c:ser>
          <c:idx val="1"/>
          <c:order val="1"/>
          <c:tx>
            <c:v>26 golpes</c:v>
          </c:tx>
          <c:marker>
            <c:symbol val="circle"/>
            <c:size val="3"/>
            <c:spPr>
              <a:solidFill>
                <a:srgbClr val="00B050"/>
              </a:solidFill>
              <a:ln>
                <a:solidFill>
                  <a:srgbClr val="00B050">
                    <a:alpha val="50000"/>
                  </a:srgbClr>
                </a:solidFill>
                <a:prstDash val="solid"/>
              </a:ln>
            </c:spPr>
          </c:marker>
          <c:xVal>
            <c:numRef>
              <c:f>'V. RICA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AP2 M1'!$AO$75:$AO$86</c:f>
              <c:numCache>
                <c:formatCode>0.000</c:formatCode>
                <c:ptCount val="12"/>
                <c:pt idx="0">
                  <c:v>0</c:v>
                </c:pt>
                <c:pt idx="1">
                  <c:v>4.606625258799172E-2</c:v>
                </c:pt>
                <c:pt idx="2">
                  <c:v>8.2815734989648032E-2</c:v>
                </c:pt>
                <c:pt idx="3">
                  <c:v>0.11490683229813664</c:v>
                </c:pt>
                <c:pt idx="4">
                  <c:v>0.14063691838291381</c:v>
                </c:pt>
                <c:pt idx="5">
                  <c:v>0.16345210853220005</c:v>
                </c:pt>
                <c:pt idx="6">
                  <c:v>0.18490519777705133</c:v>
                </c:pt>
                <c:pt idx="7">
                  <c:v>0.20227198430859755</c:v>
                </c:pt>
                <c:pt idx="8">
                  <c:v>0.21691456903127382</c:v>
                </c:pt>
                <c:pt idx="9">
                  <c:v>0.26552795031055904</c:v>
                </c:pt>
                <c:pt idx="10">
                  <c:v>0.30238640078457013</c:v>
                </c:pt>
                <c:pt idx="11">
                  <c:v>0.32349896480331264</c:v>
                </c:pt>
              </c:numCache>
            </c:numRef>
          </c:yVal>
          <c:smooth val="1"/>
          <c:extLst>
            <c:ext xmlns:c16="http://schemas.microsoft.com/office/drawing/2014/chart" uri="{C3380CC4-5D6E-409C-BE32-E72D297353CC}">
              <c16:uniqueId val="{00000001-0550-48E9-B2FE-5B84F733C0E6}"/>
            </c:ext>
          </c:extLst>
        </c:ser>
        <c:ser>
          <c:idx val="2"/>
          <c:order val="2"/>
          <c:tx>
            <c:v>56 golpes</c:v>
          </c:tx>
          <c:marker>
            <c:symbol val="circle"/>
            <c:size val="3"/>
            <c:spPr>
              <a:solidFill>
                <a:srgbClr val="00B050"/>
              </a:solidFill>
              <a:ln>
                <a:solidFill>
                  <a:srgbClr val="00B050">
                    <a:alpha val="50000"/>
                  </a:srgbClr>
                </a:solidFill>
                <a:prstDash val="solid"/>
              </a:ln>
            </c:spPr>
          </c:marker>
          <c:xVal>
            <c:numRef>
              <c:f>'V. RICA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AP2 M1'!$AQ$75:$AQ$86</c:f>
              <c:numCache>
                <c:formatCode>0.000</c:formatCode>
                <c:ptCount val="12"/>
                <c:pt idx="0">
                  <c:v>0</c:v>
                </c:pt>
                <c:pt idx="1">
                  <c:v>3.2091097308488616E-2</c:v>
                </c:pt>
                <c:pt idx="2">
                  <c:v>5.7971014492753624E-2</c:v>
                </c:pt>
                <c:pt idx="3">
                  <c:v>8.2815734989648032E-2</c:v>
                </c:pt>
                <c:pt idx="4">
                  <c:v>0.10547768878718534</c:v>
                </c:pt>
                <c:pt idx="5">
                  <c:v>0.12258908139915003</c:v>
                </c:pt>
                <c:pt idx="6">
                  <c:v>0.13867889833278851</c:v>
                </c:pt>
                <c:pt idx="7">
                  <c:v>0.15170398823144818</c:v>
                </c:pt>
                <c:pt idx="8">
                  <c:v>0.16268592677345536</c:v>
                </c:pt>
                <c:pt idx="9">
                  <c:v>0.19895186335403725</c:v>
                </c:pt>
                <c:pt idx="10">
                  <c:v>0.20652173913043481</c:v>
                </c:pt>
                <c:pt idx="11">
                  <c:v>0.21376811594202899</c:v>
                </c:pt>
              </c:numCache>
            </c:numRef>
          </c:yVal>
          <c:smooth val="1"/>
          <c:extLst>
            <c:ext xmlns:c16="http://schemas.microsoft.com/office/drawing/2014/chart" uri="{C3380CC4-5D6E-409C-BE32-E72D297353CC}">
              <c16:uniqueId val="{00000002-0550-48E9-B2FE-5B84F733C0E6}"/>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'V. RICA AP2 M1'!$E$34:$H$34</c:f>
              <c:numCache>
                <c:formatCode>0.00</c:formatCode>
                <c:ptCount val="4"/>
                <c:pt idx="0">
                  <c:v>17.153334704229199</c:v>
                </c:pt>
                <c:pt idx="1">
                  <c:v>19.543457523277223</c:v>
                </c:pt>
                <c:pt idx="2">
                  <c:v>22.334876442589813</c:v>
                </c:pt>
                <c:pt idx="3">
                  <c:v>25.483199524234319</c:v>
                </c:pt>
              </c:numCache>
            </c:numRef>
          </c:xVal>
          <c:yVal>
            <c:numRef>
              <c:f>'V. RICA AP2 M1'!$E$37:$H$37</c:f>
              <c:numCache>
                <c:formatCode>0.0000</c:formatCode>
                <c:ptCount val="4"/>
                <c:pt idx="0">
                  <c:v>1.424623906456818</c:v>
                </c:pt>
                <c:pt idx="1">
                  <c:v>1.4977840112642273</c:v>
                </c:pt>
                <c:pt idx="2">
                  <c:v>1.4670327788922839</c:v>
                </c:pt>
                <c:pt idx="3">
                  <c:v>1.3734617013953241</c:v>
                </c:pt>
              </c:numCache>
            </c:numRef>
          </c:yVal>
          <c:smooth val="1"/>
          <c:extLst>
            <c:ext xmlns:c16="http://schemas.microsoft.com/office/drawing/2014/chart" uri="{C3380CC4-5D6E-409C-BE32-E72D297353CC}">
              <c16:uniqueId val="{00000000-C881-4499-85ED-85BCC1135053}"/>
            </c:ext>
          </c:extLst>
        </c:ser>
        <c:dLbls>
          <c:showLegendKey val="0"/>
          <c:showVal val="0"/>
          <c:showCatName val="0"/>
          <c:showSerName val="0"/>
          <c:showPercent val="0"/>
          <c:showBubbleSize val="0"/>
        </c:dLbls>
        <c:axId val="489554176"/>
        <c:axId val="459330528"/>
      </c:scatterChart>
      <c:valAx>
        <c:axId val="489554176"/>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59330528"/>
        <c:crosses val="autoZero"/>
        <c:crossBetween val="midCat"/>
      </c:valAx>
      <c:valAx>
        <c:axId val="4593305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8955417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36622088388982377"/>
                  <c:y val="1.1748736586167839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'V. RICA AP3 M1'!$E$34:$H$34</c:f>
              <c:numCache>
                <c:formatCode>0.00</c:formatCode>
                <c:ptCount val="4"/>
                <c:pt idx="0">
                  <c:v>16.703029435959792</c:v>
                </c:pt>
                <c:pt idx="1">
                  <c:v>19.382526081002876</c:v>
                </c:pt>
                <c:pt idx="2">
                  <c:v>22.32336995912214</c:v>
                </c:pt>
                <c:pt idx="3">
                  <c:v>25.439799396622654</c:v>
                </c:pt>
              </c:numCache>
            </c:numRef>
          </c:xVal>
          <c:yVal>
            <c:numRef>
              <c:f>'V. RICA AP3 M1'!$E$37:$H$37</c:f>
              <c:numCache>
                <c:formatCode>0.0000</c:formatCode>
                <c:ptCount val="4"/>
                <c:pt idx="0">
                  <c:v>1.4616354178312889</c:v>
                </c:pt>
                <c:pt idx="1">
                  <c:v>1.5095521816811628</c:v>
                </c:pt>
                <c:pt idx="2">
                  <c:v>1.5116996954802135</c:v>
                </c:pt>
                <c:pt idx="3">
                  <c:v>1.4266378798496469</c:v>
                </c:pt>
              </c:numCache>
            </c:numRef>
          </c:yVal>
          <c:smooth val="0"/>
          <c:extLst>
            <c:ext xmlns:c16="http://schemas.microsoft.com/office/drawing/2014/chart" uri="{C3380CC4-5D6E-409C-BE32-E72D297353CC}">
              <c16:uniqueId val="{00000001-5FA4-41CE-9057-B9DAC8E51AF0}"/>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'V. RICA AP3 M1'!$E$34:$H$34</c:f>
              <c:numCache>
                <c:formatCode>0.00</c:formatCode>
                <c:ptCount val="4"/>
                <c:pt idx="0">
                  <c:v>16.703029435959792</c:v>
                </c:pt>
                <c:pt idx="1">
                  <c:v>19.382526081002876</c:v>
                </c:pt>
                <c:pt idx="2">
                  <c:v>22.32336995912214</c:v>
                </c:pt>
                <c:pt idx="3">
                  <c:v>25.439799396622654</c:v>
                </c:pt>
              </c:numCache>
            </c:numRef>
          </c:xVal>
          <c:yVal>
            <c:numRef>
              <c:f>'V. RICA AP3 M1'!$G$83:$J$83</c:f>
              <c:numCache>
                <c:formatCode>General</c:formatCode>
                <c:ptCount val="4"/>
                <c:pt idx="0">
                  <c:v>1.8161130121113001</c:v>
                </c:pt>
                <c:pt idx="1">
                  <c:v>1.7302820496240012</c:v>
                </c:pt>
                <c:pt idx="2">
                  <c:v>1.6449573988282029</c:v>
                </c:pt>
                <c:pt idx="3">
                  <c:v>1.5632660902091686</c:v>
                </c:pt>
              </c:numCache>
            </c:numRef>
          </c:yVal>
          <c:smooth val="0"/>
          <c:extLst>
            <c:ext xmlns:c16="http://schemas.microsoft.com/office/drawing/2014/chart" uri="{C3380CC4-5D6E-409C-BE32-E72D297353CC}">
              <c16:uniqueId val="{00000003-5FA4-41CE-9057-B9DAC8E51AF0}"/>
            </c:ext>
          </c:extLst>
        </c:ser>
        <c:dLbls>
          <c:showLegendKey val="0"/>
          <c:showVal val="0"/>
          <c:showCatName val="0"/>
          <c:showSerName val="0"/>
          <c:showPercent val="0"/>
          <c:showBubbleSize val="0"/>
        </c:dLbls>
        <c:axId val="862226368"/>
        <c:axId val="862172912"/>
      </c:scatterChart>
      <c:valAx>
        <c:axId val="862226368"/>
        <c:scaling>
          <c:orientation val="minMax"/>
          <c:max val="35"/>
          <c:min val="1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'V. RICA AP3 M1'!$AJ$91:$AL$91</c:f>
              <c:numCache>
                <c:formatCode>0.000</c:formatCode>
                <c:ptCount val="3"/>
                <c:pt idx="0">
                  <c:v>1.5155006525306678</c:v>
                </c:pt>
                <c:pt idx="1">
                  <c:v>1.4760304304837706</c:v>
                </c:pt>
                <c:pt idx="2">
                  <c:v>1.4147875829671508</c:v>
                </c:pt>
              </c:numCache>
            </c:numRef>
          </c:xVal>
          <c:yVal>
            <c:numRef>
              <c:f>'V. RICA AP3 M1'!$AJ$94:$AL$94</c:f>
              <c:numCache>
                <c:formatCode>0.000</c:formatCode>
                <c:ptCount val="3"/>
                <c:pt idx="0">
                  <c:v>6.3537072043688303</c:v>
                </c:pt>
                <c:pt idx="1">
                  <c:v>3.9826646010110345</c:v>
                </c:pt>
                <c:pt idx="2">
                  <c:v>2.9030515798001622</c:v>
                </c:pt>
              </c:numCache>
            </c:numRef>
          </c:yVal>
          <c:smooth val="1"/>
          <c:extLst>
            <c:ext xmlns:c16="http://schemas.microsoft.com/office/drawing/2014/chart" uri="{C3380CC4-5D6E-409C-BE32-E72D297353CC}">
              <c16:uniqueId val="{00000001-CC24-45BB-8CD3-B52C41CC18DD}"/>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'V. RICA AP3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AP3 M1'!$AM$75:$AM$86</c:f>
              <c:numCache>
                <c:formatCode>0.000</c:formatCode>
                <c:ptCount val="12"/>
                <c:pt idx="0">
                  <c:v>0</c:v>
                </c:pt>
                <c:pt idx="1">
                  <c:v>0.13664596273291926</c:v>
                </c:pt>
                <c:pt idx="2">
                  <c:v>0.24068322981366461</c:v>
                </c:pt>
                <c:pt idx="3">
                  <c:v>0.35559006211180127</c:v>
                </c:pt>
                <c:pt idx="4">
                  <c:v>0.43840579710144928</c:v>
                </c:pt>
                <c:pt idx="5">
                  <c:v>0.54554865424430643</c:v>
                </c:pt>
                <c:pt idx="6">
                  <c:v>0.65993788819875776</c:v>
                </c:pt>
                <c:pt idx="7">
                  <c:v>0.74792960662525887</c:v>
                </c:pt>
                <c:pt idx="8">
                  <c:v>0.82194616977225676</c:v>
                </c:pt>
                <c:pt idx="9">
                  <c:v>1.0372670807453415</c:v>
                </c:pt>
                <c:pt idx="10">
                  <c:v>1.2148033126293996</c:v>
                </c:pt>
                <c:pt idx="11">
                  <c:v>1.3447204968944098</c:v>
                </c:pt>
              </c:numCache>
            </c:numRef>
          </c:yVal>
          <c:smooth val="1"/>
          <c:extLst>
            <c:ext xmlns:c16="http://schemas.microsoft.com/office/drawing/2014/chart" uri="{C3380CC4-5D6E-409C-BE32-E72D297353CC}">
              <c16:uniqueId val="{00000000-FECC-4DCA-8947-5B27D06484AA}"/>
            </c:ext>
          </c:extLst>
        </c:ser>
        <c:ser>
          <c:idx val="1"/>
          <c:order val="1"/>
          <c:tx>
            <c:v>26 golpes</c:v>
          </c:tx>
          <c:marker>
            <c:symbol val="circle"/>
            <c:size val="3"/>
            <c:spPr>
              <a:solidFill>
                <a:srgbClr val="00B050"/>
              </a:solidFill>
              <a:ln>
                <a:solidFill>
                  <a:srgbClr val="00B050">
                    <a:alpha val="50000"/>
                  </a:srgbClr>
                </a:solidFill>
                <a:prstDash val="solid"/>
              </a:ln>
            </c:spPr>
          </c:marker>
          <c:xVal>
            <c:numRef>
              <c:f>'V. RICA AP3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AP3 M1'!$AO$75:$AO$86</c:f>
              <c:numCache>
                <c:formatCode>0.000</c:formatCode>
                <c:ptCount val="12"/>
                <c:pt idx="0">
                  <c:v>0</c:v>
                </c:pt>
                <c:pt idx="1">
                  <c:v>7.2191347935055022E-2</c:v>
                </c:pt>
                <c:pt idx="2">
                  <c:v>0.13859376702626128</c:v>
                </c:pt>
                <c:pt idx="3">
                  <c:v>0.20737986270022882</c:v>
                </c:pt>
                <c:pt idx="4">
                  <c:v>0.27480385746976138</c:v>
                </c:pt>
                <c:pt idx="5">
                  <c:v>0.35891358831862263</c:v>
                </c:pt>
                <c:pt idx="6">
                  <c:v>0.43416966328865636</c:v>
                </c:pt>
                <c:pt idx="7">
                  <c:v>0.49205895172714398</c:v>
                </c:pt>
                <c:pt idx="8">
                  <c:v>0.54075405906069529</c:v>
                </c:pt>
                <c:pt idx="9">
                  <c:v>0.68219461697722572</c:v>
                </c:pt>
                <c:pt idx="10">
                  <c:v>0.79921270567723668</c:v>
                </c:pt>
                <c:pt idx="11">
                  <c:v>0.88612836438923392</c:v>
                </c:pt>
              </c:numCache>
            </c:numRef>
          </c:yVal>
          <c:smooth val="1"/>
          <c:extLst>
            <c:ext xmlns:c16="http://schemas.microsoft.com/office/drawing/2014/chart" uri="{C3380CC4-5D6E-409C-BE32-E72D297353CC}">
              <c16:uniqueId val="{00000001-FECC-4DCA-8947-5B27D06484AA}"/>
            </c:ext>
          </c:extLst>
        </c:ser>
        <c:ser>
          <c:idx val="2"/>
          <c:order val="2"/>
          <c:tx>
            <c:v>56 golpes</c:v>
          </c:tx>
          <c:marker>
            <c:symbol val="circle"/>
            <c:size val="3"/>
            <c:spPr>
              <a:solidFill>
                <a:srgbClr val="00B050"/>
              </a:solidFill>
              <a:ln>
                <a:solidFill>
                  <a:srgbClr val="00B050">
                    <a:alpha val="50000"/>
                  </a:srgbClr>
                </a:solidFill>
                <a:prstDash val="solid"/>
              </a:ln>
            </c:spPr>
          </c:marker>
          <c:xVal>
            <c:numRef>
              <c:f>'V. RICA AP3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 RICA AP3 M1'!$AQ$75:$AQ$86</c:f>
              <c:numCache>
                <c:formatCode>0.000</c:formatCode>
                <c:ptCount val="12"/>
                <c:pt idx="0">
                  <c:v>0</c:v>
                </c:pt>
                <c:pt idx="1">
                  <c:v>5.0724637681159424E-2</c:v>
                </c:pt>
                <c:pt idx="2">
                  <c:v>9.7826086956521743E-2</c:v>
                </c:pt>
                <c:pt idx="3">
                  <c:v>0.14958592132505175</c:v>
                </c:pt>
                <c:pt idx="4">
                  <c:v>0.2003105590062112</c:v>
                </c:pt>
                <c:pt idx="5">
                  <c:v>0.26242236024844723</c:v>
                </c:pt>
                <c:pt idx="6">
                  <c:v>0.31780538302277428</c:v>
                </c:pt>
                <c:pt idx="7">
                  <c:v>0.36904421379535801</c:v>
                </c:pt>
                <c:pt idx="8">
                  <c:v>0.40556554429552139</c:v>
                </c:pt>
                <c:pt idx="9">
                  <c:v>0.51180941484145137</c:v>
                </c:pt>
                <c:pt idx="10">
                  <c:v>0.56262939958592129</c:v>
                </c:pt>
                <c:pt idx="11">
                  <c:v>0.58002070393374749</c:v>
                </c:pt>
              </c:numCache>
            </c:numRef>
          </c:yVal>
          <c:smooth val="1"/>
          <c:extLst>
            <c:ext xmlns:c16="http://schemas.microsoft.com/office/drawing/2014/chart" uri="{C3380CC4-5D6E-409C-BE32-E72D297353CC}">
              <c16:uniqueId val="{00000002-FECC-4DCA-8947-5B27D06484AA}"/>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4134489362279951"/>
                  <c:y val="0.12552935093278603"/>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'V.RICA AP4 M4'!$E$34:$H$34</c:f>
              <c:numCache>
                <c:formatCode>0.00</c:formatCode>
                <c:ptCount val="4"/>
                <c:pt idx="0">
                  <c:v>22.282030048503483</c:v>
                </c:pt>
                <c:pt idx="1">
                  <c:v>24.275629543778315</c:v>
                </c:pt>
                <c:pt idx="2">
                  <c:v>27.717312736209475</c:v>
                </c:pt>
                <c:pt idx="3">
                  <c:v>29.954972999823724</c:v>
                </c:pt>
              </c:numCache>
            </c:numRef>
          </c:xVal>
          <c:yVal>
            <c:numRef>
              <c:f>'V.RICA AP4 M4'!$E$37:$H$37</c:f>
              <c:numCache>
                <c:formatCode>0.0000</c:formatCode>
                <c:ptCount val="4"/>
                <c:pt idx="0">
                  <c:v>1.4132241507175536</c:v>
                </c:pt>
                <c:pt idx="1">
                  <c:v>1.4935713930483754</c:v>
                </c:pt>
                <c:pt idx="2">
                  <c:v>1.4580618343966247</c:v>
                </c:pt>
                <c:pt idx="3">
                  <c:v>1.3888924613094229</c:v>
                </c:pt>
              </c:numCache>
            </c:numRef>
          </c:yVal>
          <c:smooth val="0"/>
          <c:extLst>
            <c:ext xmlns:c16="http://schemas.microsoft.com/office/drawing/2014/chart" uri="{C3380CC4-5D6E-409C-BE32-E72D297353CC}">
              <c16:uniqueId val="{00000001-E85D-4C1C-A64E-97CD95D9FA2F}"/>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'V.RICA AP4 M4'!$E$34:$H$34</c:f>
              <c:numCache>
                <c:formatCode>0.00</c:formatCode>
                <c:ptCount val="4"/>
                <c:pt idx="0">
                  <c:v>22.282030048503483</c:v>
                </c:pt>
                <c:pt idx="1">
                  <c:v>24.275629543778315</c:v>
                </c:pt>
                <c:pt idx="2">
                  <c:v>27.717312736209475</c:v>
                </c:pt>
                <c:pt idx="3">
                  <c:v>29.954972999823724</c:v>
                </c:pt>
              </c:numCache>
            </c:numRef>
          </c:xVal>
          <c:yVal>
            <c:numRef>
              <c:f>'V.RICA AP4 M4'!$G$83:$J$83</c:f>
              <c:numCache>
                <c:formatCode>General</c:formatCode>
                <c:ptCount val="4"/>
                <c:pt idx="0">
                  <c:v>1.649938786718409</c:v>
                </c:pt>
                <c:pt idx="1">
                  <c:v>1.5964107418304569</c:v>
                </c:pt>
                <c:pt idx="2">
                  <c:v>1.5117417973394147</c:v>
                </c:pt>
                <c:pt idx="3">
                  <c:v>1.4613503187307635</c:v>
                </c:pt>
              </c:numCache>
            </c:numRef>
          </c:yVal>
          <c:smooth val="0"/>
          <c:extLst>
            <c:ext xmlns:c16="http://schemas.microsoft.com/office/drawing/2014/chart" uri="{C3380CC4-5D6E-409C-BE32-E72D297353CC}">
              <c16:uniqueId val="{00000003-E85D-4C1C-A64E-97CD95D9FA2F}"/>
            </c:ext>
          </c:extLst>
        </c:ser>
        <c:dLbls>
          <c:showLegendKey val="0"/>
          <c:showVal val="0"/>
          <c:showCatName val="0"/>
          <c:showSerName val="0"/>
          <c:showPercent val="0"/>
          <c:showBubbleSize val="0"/>
        </c:dLbls>
        <c:axId val="862226368"/>
        <c:axId val="862172912"/>
      </c:scatterChart>
      <c:valAx>
        <c:axId val="862226368"/>
        <c:scaling>
          <c:orientation val="minMax"/>
          <c:max val="36"/>
          <c:min val="16"/>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'V.RICA AP4 M4'!$AJ$91:$AL$91</c:f>
              <c:numCache>
                <c:formatCode>0.000</c:formatCode>
                <c:ptCount val="3"/>
                <c:pt idx="0">
                  <c:v>1.4703303654263153</c:v>
                </c:pt>
                <c:pt idx="1">
                  <c:v>1.3996389169674297</c:v>
                </c:pt>
                <c:pt idx="2">
                  <c:v>1.3032027910301629</c:v>
                </c:pt>
              </c:numCache>
            </c:numRef>
          </c:xVal>
          <c:yVal>
            <c:numRef>
              <c:f>'V.RICA AP4 M4'!$AJ$94:$AL$94</c:f>
              <c:numCache>
                <c:formatCode>0.000</c:formatCode>
                <c:ptCount val="3"/>
                <c:pt idx="0">
                  <c:v>9.984397035436734</c:v>
                </c:pt>
                <c:pt idx="1">
                  <c:v>6.5686822601557449</c:v>
                </c:pt>
                <c:pt idx="2">
                  <c:v>2.7530230743841329</c:v>
                </c:pt>
              </c:numCache>
            </c:numRef>
          </c:yVal>
          <c:smooth val="1"/>
          <c:extLst>
            <c:ext xmlns:c16="http://schemas.microsoft.com/office/drawing/2014/chart" uri="{C3380CC4-5D6E-409C-BE32-E72D297353CC}">
              <c16:uniqueId val="{00000001-3ABE-4DFD-B1F9-975AE08C96EA}"/>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'V.RICA AP4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AP4 M4'!$AM$75:$AM$86</c:f>
              <c:numCache>
                <c:formatCode>0.000</c:formatCode>
                <c:ptCount val="12"/>
                <c:pt idx="0">
                  <c:v>0</c:v>
                </c:pt>
                <c:pt idx="1">
                  <c:v>0.11024844720496893</c:v>
                </c:pt>
                <c:pt idx="2">
                  <c:v>0.21997929606625255</c:v>
                </c:pt>
                <c:pt idx="3">
                  <c:v>0.39855072463768121</c:v>
                </c:pt>
                <c:pt idx="4">
                  <c:v>0.68892339544513459</c:v>
                </c:pt>
                <c:pt idx="5">
                  <c:v>0.87732919254658381</c:v>
                </c:pt>
                <c:pt idx="6">
                  <c:v>1.025879917184265</c:v>
                </c:pt>
                <c:pt idx="7">
                  <c:v>1.1418219461697723</c:v>
                </c:pt>
                <c:pt idx="8">
                  <c:v>1.2303312629399585</c:v>
                </c:pt>
                <c:pt idx="9">
                  <c:v>1.4451345755693581</c:v>
                </c:pt>
                <c:pt idx="10">
                  <c:v>1.6035196687370599</c:v>
                </c:pt>
                <c:pt idx="11">
                  <c:v>1.7851966873706004</c:v>
                </c:pt>
              </c:numCache>
            </c:numRef>
          </c:yVal>
          <c:smooth val="1"/>
          <c:extLst>
            <c:ext xmlns:c16="http://schemas.microsoft.com/office/drawing/2014/chart" uri="{C3380CC4-5D6E-409C-BE32-E72D297353CC}">
              <c16:uniqueId val="{00000000-FD53-4191-9610-AA3D37EA9574}"/>
            </c:ext>
          </c:extLst>
        </c:ser>
        <c:ser>
          <c:idx val="1"/>
          <c:order val="1"/>
          <c:tx>
            <c:v>26 golpes</c:v>
          </c:tx>
          <c:marker>
            <c:symbol val="circle"/>
            <c:size val="3"/>
            <c:spPr>
              <a:solidFill>
                <a:srgbClr val="00B050"/>
              </a:solidFill>
              <a:ln>
                <a:solidFill>
                  <a:srgbClr val="00B050">
                    <a:alpha val="50000"/>
                  </a:srgbClr>
                </a:solidFill>
                <a:prstDash val="solid"/>
              </a:ln>
            </c:spPr>
          </c:marker>
          <c:xVal>
            <c:numRef>
              <c:f>'V.RICA AP4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AP4 M4'!$AO$75:$AO$86</c:f>
              <c:numCache>
                <c:formatCode>0.000</c:formatCode>
                <c:ptCount val="12"/>
                <c:pt idx="0">
                  <c:v>0</c:v>
                </c:pt>
                <c:pt idx="1">
                  <c:v>8.1262939958592129E-2</c:v>
                </c:pt>
                <c:pt idx="2">
                  <c:v>0.15890269151138714</c:v>
                </c:pt>
                <c:pt idx="3">
                  <c:v>0.26220442410373757</c:v>
                </c:pt>
                <c:pt idx="4">
                  <c:v>0.45323907595074642</c:v>
                </c:pt>
                <c:pt idx="5">
                  <c:v>0.57719025825433146</c:v>
                </c:pt>
                <c:pt idx="6">
                  <c:v>0.67492099814754258</c:v>
                </c:pt>
                <c:pt idx="7">
                  <c:v>0.7511986487959027</c:v>
                </c:pt>
                <c:pt idx="8">
                  <c:v>0.80942846246049882</c:v>
                </c:pt>
                <c:pt idx="9">
                  <c:v>0.95082815734989645</c:v>
                </c:pt>
                <c:pt idx="10">
                  <c:v>1.0549471504849079</c:v>
                </c:pt>
                <c:pt idx="11">
                  <c:v>1.1589026915113871</c:v>
                </c:pt>
              </c:numCache>
            </c:numRef>
          </c:yVal>
          <c:smooth val="1"/>
          <c:extLst>
            <c:ext xmlns:c16="http://schemas.microsoft.com/office/drawing/2014/chart" uri="{C3380CC4-5D6E-409C-BE32-E72D297353CC}">
              <c16:uniqueId val="{00000001-FD53-4191-9610-AA3D37EA9574}"/>
            </c:ext>
          </c:extLst>
        </c:ser>
        <c:ser>
          <c:idx val="2"/>
          <c:order val="2"/>
          <c:tx>
            <c:v>56 golpes</c:v>
          </c:tx>
          <c:marker>
            <c:symbol val="circle"/>
            <c:size val="3"/>
            <c:spPr>
              <a:solidFill>
                <a:srgbClr val="00B050"/>
              </a:solidFill>
              <a:ln>
                <a:solidFill>
                  <a:srgbClr val="00B050">
                    <a:alpha val="50000"/>
                  </a:srgbClr>
                </a:solidFill>
                <a:prstDash val="solid"/>
              </a:ln>
            </c:spPr>
          </c:marker>
          <c:xVal>
            <c:numRef>
              <c:f>'V.RICA AP4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AP4 M4'!$AQ$75:$AQ$86</c:f>
              <c:numCache>
                <c:formatCode>0.000</c:formatCode>
                <c:ptCount val="12"/>
                <c:pt idx="0">
                  <c:v>0</c:v>
                </c:pt>
                <c:pt idx="1">
                  <c:v>2.8985507246376812E-2</c:v>
                </c:pt>
                <c:pt idx="2">
                  <c:v>4.8654244306418216E-2</c:v>
                </c:pt>
                <c:pt idx="3">
                  <c:v>0.11728778467908903</c:v>
                </c:pt>
                <c:pt idx="4">
                  <c:v>0.18995859213250518</c:v>
                </c:pt>
                <c:pt idx="5">
                  <c:v>0.32349896480331264</c:v>
                </c:pt>
                <c:pt idx="6">
                  <c:v>0.4202898550724638</c:v>
                </c:pt>
                <c:pt idx="7">
                  <c:v>0.4751552795031056</c:v>
                </c:pt>
                <c:pt idx="8">
                  <c:v>0.52096273291925466</c:v>
                </c:pt>
                <c:pt idx="9">
                  <c:v>0.67184265010351962</c:v>
                </c:pt>
                <c:pt idx="10">
                  <c:v>0.75828157349896474</c:v>
                </c:pt>
                <c:pt idx="11">
                  <c:v>0.81055900621118016</c:v>
                </c:pt>
              </c:numCache>
            </c:numRef>
          </c:yVal>
          <c:smooth val="1"/>
          <c:extLst>
            <c:ext xmlns:c16="http://schemas.microsoft.com/office/drawing/2014/chart" uri="{C3380CC4-5D6E-409C-BE32-E72D297353CC}">
              <c16:uniqueId val="{00000002-FD53-4191-9610-AA3D37EA9574}"/>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5439591688253133"/>
                  <c:y val="0.11879320330036656"/>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'V.RICA AP5 M2'!$E$34:$H$34</c:f>
              <c:numCache>
                <c:formatCode>0.00</c:formatCode>
                <c:ptCount val="4"/>
                <c:pt idx="0">
                  <c:v>22.082855665700095</c:v>
                </c:pt>
                <c:pt idx="1">
                  <c:v>25.548282737087625</c:v>
                </c:pt>
                <c:pt idx="2">
                  <c:v>28.850823363206906</c:v>
                </c:pt>
                <c:pt idx="3">
                  <c:v>31.693191058597058</c:v>
                </c:pt>
              </c:numCache>
            </c:numRef>
          </c:xVal>
          <c:yVal>
            <c:numRef>
              <c:f>'V.RICA AP5 M2'!$E$37:$H$37</c:f>
              <c:numCache>
                <c:formatCode>0.0000</c:formatCode>
                <c:ptCount val="4"/>
                <c:pt idx="0">
                  <c:v>1.3293472036540228</c:v>
                </c:pt>
                <c:pt idx="1">
                  <c:v>1.3931444247360094</c:v>
                </c:pt>
                <c:pt idx="2">
                  <c:v>1.4065751117120644</c:v>
                </c:pt>
                <c:pt idx="3">
                  <c:v>1.3019794233488724</c:v>
                </c:pt>
              </c:numCache>
            </c:numRef>
          </c:yVal>
          <c:smooth val="0"/>
          <c:extLst>
            <c:ext xmlns:c16="http://schemas.microsoft.com/office/drawing/2014/chart" uri="{C3380CC4-5D6E-409C-BE32-E72D297353CC}">
              <c16:uniqueId val="{00000001-6B82-48DB-9D0E-B719E9C85D04}"/>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'V.RICA AP5 M2'!$E$34:$H$34</c:f>
              <c:numCache>
                <c:formatCode>0.00</c:formatCode>
                <c:ptCount val="4"/>
                <c:pt idx="0">
                  <c:v>22.082855665700095</c:v>
                </c:pt>
                <c:pt idx="1">
                  <c:v>25.548282737087625</c:v>
                </c:pt>
                <c:pt idx="2">
                  <c:v>28.850823363206906</c:v>
                </c:pt>
                <c:pt idx="3">
                  <c:v>31.693191058597058</c:v>
                </c:pt>
              </c:numCache>
            </c:numRef>
          </c:xVal>
          <c:yVal>
            <c:numRef>
              <c:f>'V.RICA AP5 M2'!$G$83:$J$83</c:f>
              <c:numCache>
                <c:formatCode>General</c:formatCode>
                <c:ptCount val="4"/>
                <c:pt idx="0">
                  <c:v>1.6631847537984794</c:v>
                </c:pt>
                <c:pt idx="1">
                  <c:v>1.5708905999637899</c:v>
                </c:pt>
                <c:pt idx="2">
                  <c:v>1.4919881521325744</c:v>
                </c:pt>
                <c:pt idx="3">
                  <c:v>1.4301634134592123</c:v>
                </c:pt>
              </c:numCache>
            </c:numRef>
          </c:yVal>
          <c:smooth val="0"/>
          <c:extLst>
            <c:ext xmlns:c16="http://schemas.microsoft.com/office/drawing/2014/chart" uri="{C3380CC4-5D6E-409C-BE32-E72D297353CC}">
              <c16:uniqueId val="{00000003-6B82-48DB-9D0E-B719E9C85D04}"/>
            </c:ext>
          </c:extLst>
        </c:ser>
        <c:dLbls>
          <c:showLegendKey val="0"/>
          <c:showVal val="0"/>
          <c:showCatName val="0"/>
          <c:showSerName val="0"/>
          <c:showPercent val="0"/>
          <c:showBubbleSize val="0"/>
        </c:dLbls>
        <c:axId val="862226368"/>
        <c:axId val="862172912"/>
      </c:scatterChart>
      <c:valAx>
        <c:axId val="862226368"/>
        <c:scaling>
          <c:orientation val="minMax"/>
          <c:max val="40"/>
          <c:min val="1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'V.RICA AP5 M2'!$AJ$91:$AL$91</c:f>
              <c:numCache>
                <c:formatCode>0.000</c:formatCode>
                <c:ptCount val="3"/>
                <c:pt idx="0">
                  <c:v>1.3996114250280576</c:v>
                </c:pt>
                <c:pt idx="1">
                  <c:v>1.3340211522365457</c:v>
                </c:pt>
                <c:pt idx="2">
                  <c:v>1.2905986601197321</c:v>
                </c:pt>
              </c:numCache>
            </c:numRef>
          </c:xVal>
          <c:yVal>
            <c:numRef>
              <c:f>'V.RICA AP5 M2'!$AJ$94:$AL$94</c:f>
              <c:numCache>
                <c:formatCode>0.000</c:formatCode>
                <c:ptCount val="3"/>
                <c:pt idx="0">
                  <c:v>7.5478904098574828</c:v>
                </c:pt>
                <c:pt idx="1">
                  <c:v>4.924722104966933</c:v>
                </c:pt>
                <c:pt idx="2">
                  <c:v>3.7287181651892496</c:v>
                </c:pt>
              </c:numCache>
            </c:numRef>
          </c:yVal>
          <c:smooth val="1"/>
          <c:extLst>
            <c:ext xmlns:c16="http://schemas.microsoft.com/office/drawing/2014/chart" uri="{C3380CC4-5D6E-409C-BE32-E72D297353CC}">
              <c16:uniqueId val="{00000001-6476-4E5D-95D5-0BE864FA5FE9}"/>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'V.RICA AP5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AP5 M2'!$AM$75:$AM$86</c:f>
              <c:numCache>
                <c:formatCode>0.000</c:formatCode>
                <c:ptCount val="12"/>
                <c:pt idx="0">
                  <c:v>0</c:v>
                </c:pt>
                <c:pt idx="1">
                  <c:v>0.19875776397515529</c:v>
                </c:pt>
                <c:pt idx="2">
                  <c:v>0.38354037267080748</c:v>
                </c:pt>
                <c:pt idx="3">
                  <c:v>0.50155279503105588</c:v>
                </c:pt>
                <c:pt idx="4">
                  <c:v>0.56677018633540366</c:v>
                </c:pt>
                <c:pt idx="5">
                  <c:v>0.63095238095238093</c:v>
                </c:pt>
                <c:pt idx="6">
                  <c:v>0.68012422360248448</c:v>
                </c:pt>
                <c:pt idx="7">
                  <c:v>0.72256728778467905</c:v>
                </c:pt>
                <c:pt idx="8">
                  <c:v>0.77743271221532084</c:v>
                </c:pt>
                <c:pt idx="9">
                  <c:v>0.96273291925465843</c:v>
                </c:pt>
                <c:pt idx="10">
                  <c:v>1.1666666666666667</c:v>
                </c:pt>
                <c:pt idx="11">
                  <c:v>1.3183229813664596</c:v>
                </c:pt>
              </c:numCache>
            </c:numRef>
          </c:yVal>
          <c:smooth val="1"/>
          <c:extLst>
            <c:ext xmlns:c16="http://schemas.microsoft.com/office/drawing/2014/chart" uri="{C3380CC4-5D6E-409C-BE32-E72D297353CC}">
              <c16:uniqueId val="{00000000-5A03-41B8-870A-FF1CEF264CC1}"/>
            </c:ext>
          </c:extLst>
        </c:ser>
        <c:ser>
          <c:idx val="1"/>
          <c:order val="1"/>
          <c:tx>
            <c:v>26 golpes</c:v>
          </c:tx>
          <c:marker>
            <c:symbol val="circle"/>
            <c:size val="3"/>
            <c:spPr>
              <a:solidFill>
                <a:srgbClr val="00B050"/>
              </a:solidFill>
              <a:ln>
                <a:solidFill>
                  <a:srgbClr val="00B050">
                    <a:alpha val="50000"/>
                  </a:srgbClr>
                </a:solidFill>
                <a:prstDash val="solid"/>
              </a:ln>
            </c:spPr>
          </c:marker>
          <c:xVal>
            <c:numRef>
              <c:f>'V.RICA AP5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AP5 M2'!$AO$75:$AO$86</c:f>
              <c:numCache>
                <c:formatCode>0.000</c:formatCode>
                <c:ptCount val="12"/>
                <c:pt idx="0">
                  <c:v>0</c:v>
                </c:pt>
                <c:pt idx="1">
                  <c:v>0.12888198757763975</c:v>
                </c:pt>
                <c:pt idx="2">
                  <c:v>0.2608695652173913</c:v>
                </c:pt>
                <c:pt idx="3">
                  <c:v>0.32996894409937888</c:v>
                </c:pt>
                <c:pt idx="4">
                  <c:v>0.37287512258908134</c:v>
                </c:pt>
                <c:pt idx="5">
                  <c:v>0.41510025062656641</c:v>
                </c:pt>
                <c:pt idx="6">
                  <c:v>0.44745014710689768</c:v>
                </c:pt>
                <c:pt idx="7">
                  <c:v>0.47537321564781515</c:v>
                </c:pt>
                <c:pt idx="8">
                  <c:v>0.50724637681159412</c:v>
                </c:pt>
                <c:pt idx="9">
                  <c:v>0.63457556935817794</c:v>
                </c:pt>
                <c:pt idx="10">
                  <c:v>0.76754385964912286</c:v>
                </c:pt>
                <c:pt idx="11">
                  <c:v>0.93633540372670798</c:v>
                </c:pt>
              </c:numCache>
            </c:numRef>
          </c:yVal>
          <c:smooth val="1"/>
          <c:extLst>
            <c:ext xmlns:c16="http://schemas.microsoft.com/office/drawing/2014/chart" uri="{C3380CC4-5D6E-409C-BE32-E72D297353CC}">
              <c16:uniqueId val="{00000001-5A03-41B8-870A-FF1CEF264CC1}"/>
            </c:ext>
          </c:extLst>
        </c:ser>
        <c:ser>
          <c:idx val="2"/>
          <c:order val="2"/>
          <c:tx>
            <c:v>56 golpes</c:v>
          </c:tx>
          <c:marker>
            <c:symbol val="circle"/>
            <c:size val="3"/>
            <c:spPr>
              <a:solidFill>
                <a:srgbClr val="00B050"/>
              </a:solidFill>
              <a:ln>
                <a:solidFill>
                  <a:srgbClr val="00B050">
                    <a:alpha val="50000"/>
                  </a:srgbClr>
                </a:solidFill>
                <a:prstDash val="solid"/>
              </a:ln>
            </c:spPr>
          </c:marker>
          <c:xVal>
            <c:numRef>
              <c:f>'V.RICA AP5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AP5 M2'!$AQ$75:$AQ$86</c:f>
              <c:numCache>
                <c:formatCode>0.000</c:formatCode>
                <c:ptCount val="12"/>
                <c:pt idx="0">
                  <c:v>0</c:v>
                </c:pt>
                <c:pt idx="1">
                  <c:v>4.5031055900621113E-2</c:v>
                </c:pt>
                <c:pt idx="2">
                  <c:v>0.15942028985507245</c:v>
                </c:pt>
                <c:pt idx="3">
                  <c:v>0.24792960662525876</c:v>
                </c:pt>
                <c:pt idx="4">
                  <c:v>0.27965634194181099</c:v>
                </c:pt>
                <c:pt idx="5">
                  <c:v>0.31132518796992481</c:v>
                </c:pt>
                <c:pt idx="6">
                  <c:v>0.33558761033017331</c:v>
                </c:pt>
                <c:pt idx="7">
                  <c:v>0.35652991173586135</c:v>
                </c:pt>
                <c:pt idx="8">
                  <c:v>0.38405797101449268</c:v>
                </c:pt>
                <c:pt idx="9">
                  <c:v>0.4642857142857143</c:v>
                </c:pt>
                <c:pt idx="10">
                  <c:v>0.51915113871635599</c:v>
                </c:pt>
                <c:pt idx="11">
                  <c:v>0.62577639751552794</c:v>
                </c:pt>
              </c:numCache>
            </c:numRef>
          </c:yVal>
          <c:smooth val="1"/>
          <c:extLst>
            <c:ext xmlns:c16="http://schemas.microsoft.com/office/drawing/2014/chart" uri="{C3380CC4-5D6E-409C-BE32-E72D297353CC}">
              <c16:uniqueId val="{00000002-5A03-41B8-870A-FF1CEF264CC1}"/>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1"/>
          <c:order val="0"/>
          <c:spPr>
            <a:ln w="19050"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trendlineLbl>
          </c:trendline>
          <c:xVal>
            <c:numRef>
              <c:f>'V.RICA AP5 M2'!$E$34:$H$34</c:f>
              <c:numCache>
                <c:formatCode>0.00</c:formatCode>
                <c:ptCount val="4"/>
                <c:pt idx="0">
                  <c:v>22.082855665700095</c:v>
                </c:pt>
                <c:pt idx="1">
                  <c:v>25.548282737087625</c:v>
                </c:pt>
                <c:pt idx="2">
                  <c:v>28.850823363206906</c:v>
                </c:pt>
                <c:pt idx="3">
                  <c:v>31.693191058597058</c:v>
                </c:pt>
              </c:numCache>
            </c:numRef>
          </c:xVal>
          <c:yVal>
            <c:numRef>
              <c:f>'V.RICA AP5 M2'!$E$37:$H$37</c:f>
              <c:numCache>
                <c:formatCode>0.0000</c:formatCode>
                <c:ptCount val="4"/>
                <c:pt idx="0">
                  <c:v>1.3293472036540228</c:v>
                </c:pt>
                <c:pt idx="1">
                  <c:v>1.3931444247360094</c:v>
                </c:pt>
                <c:pt idx="2">
                  <c:v>1.4065751117120644</c:v>
                </c:pt>
                <c:pt idx="3">
                  <c:v>1.3019794233488724</c:v>
                </c:pt>
              </c:numCache>
            </c:numRef>
          </c:yVal>
          <c:smooth val="1"/>
          <c:extLst>
            <c:ext xmlns:c16="http://schemas.microsoft.com/office/drawing/2014/chart" uri="{C3380CC4-5D6E-409C-BE32-E72D297353CC}">
              <c16:uniqueId val="{00000001-C940-4E6C-949D-841BB219D98A}"/>
            </c:ext>
          </c:extLst>
        </c:ser>
        <c:dLbls>
          <c:showLegendKey val="0"/>
          <c:showVal val="0"/>
          <c:showCatName val="0"/>
          <c:showSerName val="0"/>
          <c:showPercent val="0"/>
          <c:showBubbleSize val="0"/>
        </c:dLbls>
        <c:axId val="430017023"/>
        <c:axId val="432621199"/>
      </c:scatterChart>
      <c:valAx>
        <c:axId val="43001702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621199"/>
        <c:crosses val="autoZero"/>
        <c:crossBetween val="midCat"/>
        <c:majorUnit val="3"/>
      </c:valAx>
      <c:valAx>
        <c:axId val="432621199"/>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001702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30471329146530457"/>
                  <c:y val="8.7623943971682008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'V.RICA AP6 M2'!$E$34:$H$34</c:f>
              <c:numCache>
                <c:formatCode>0.00</c:formatCode>
                <c:ptCount val="4"/>
                <c:pt idx="0">
                  <c:v>13.984080622505623</c:v>
                </c:pt>
                <c:pt idx="1">
                  <c:v>15.737575924903375</c:v>
                </c:pt>
                <c:pt idx="2">
                  <c:v>17.457318539383735</c:v>
                </c:pt>
                <c:pt idx="3">
                  <c:v>19.603520550461781</c:v>
                </c:pt>
              </c:numCache>
            </c:numRef>
          </c:xVal>
          <c:yVal>
            <c:numRef>
              <c:f>'V.RICA AP6 M2'!$E$37:$H$37</c:f>
              <c:numCache>
                <c:formatCode>0.0000</c:formatCode>
                <c:ptCount val="4"/>
                <c:pt idx="0">
                  <c:v>1.5573575319551916</c:v>
                </c:pt>
                <c:pt idx="1">
                  <c:v>1.6842024774284281</c:v>
                </c:pt>
                <c:pt idx="2">
                  <c:v>1.6742085307081214</c:v>
                </c:pt>
                <c:pt idx="3">
                  <c:v>1.5110446260400021</c:v>
                </c:pt>
              </c:numCache>
            </c:numRef>
          </c:yVal>
          <c:smooth val="0"/>
          <c:extLst>
            <c:ext xmlns:c16="http://schemas.microsoft.com/office/drawing/2014/chart" uri="{C3380CC4-5D6E-409C-BE32-E72D297353CC}">
              <c16:uniqueId val="{00000001-F26D-40FE-8B6D-0591BE5A2D63}"/>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'V.RICA AP6 M2'!$E$34:$H$34</c:f>
              <c:numCache>
                <c:formatCode>0.00</c:formatCode>
                <c:ptCount val="4"/>
                <c:pt idx="0">
                  <c:v>13.984080622505623</c:v>
                </c:pt>
                <c:pt idx="1">
                  <c:v>15.737575924903375</c:v>
                </c:pt>
                <c:pt idx="2">
                  <c:v>17.457318539383735</c:v>
                </c:pt>
                <c:pt idx="3">
                  <c:v>19.603520550461781</c:v>
                </c:pt>
              </c:numCache>
            </c:numRef>
          </c:xVal>
          <c:yVal>
            <c:numRef>
              <c:f>'V.RICA AP6 M2'!$G$83:$J$83</c:f>
              <c:numCache>
                <c:formatCode>General</c:formatCode>
                <c:ptCount val="4"/>
                <c:pt idx="0">
                  <c:v>1.9175585925627341</c:v>
                </c:pt>
                <c:pt idx="1">
                  <c:v>1.854011361247953</c:v>
                </c:pt>
                <c:pt idx="2">
                  <c:v>1.7956495947555002</c:v>
                </c:pt>
                <c:pt idx="3">
                  <c:v>1.7277745311158115</c:v>
                </c:pt>
              </c:numCache>
            </c:numRef>
          </c:yVal>
          <c:smooth val="0"/>
          <c:extLst>
            <c:ext xmlns:c16="http://schemas.microsoft.com/office/drawing/2014/chart" uri="{C3380CC4-5D6E-409C-BE32-E72D297353CC}">
              <c16:uniqueId val="{00000003-F26D-40FE-8B6D-0591BE5A2D63}"/>
            </c:ext>
          </c:extLst>
        </c:ser>
        <c:dLbls>
          <c:showLegendKey val="0"/>
          <c:showVal val="0"/>
          <c:showCatName val="0"/>
          <c:showSerName val="0"/>
          <c:showPercent val="0"/>
          <c:showBubbleSize val="0"/>
        </c:dLbls>
        <c:axId val="862226368"/>
        <c:axId val="862172912"/>
      </c:scatterChart>
      <c:valAx>
        <c:axId val="862226368"/>
        <c:scaling>
          <c:orientation val="minMax"/>
          <c:max val="26"/>
          <c:min val="8"/>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'V.RICA AP6 M2'!$AJ$91:$AL$91</c:f>
              <c:numCache>
                <c:formatCode>0.000</c:formatCode>
                <c:ptCount val="3"/>
                <c:pt idx="0">
                  <c:v>1.6734580898379425</c:v>
                </c:pt>
                <c:pt idx="1">
                  <c:v>1.5997982509901874</c:v>
                </c:pt>
                <c:pt idx="2">
                  <c:v>1.5160940504340459</c:v>
                </c:pt>
              </c:numCache>
            </c:numRef>
          </c:xVal>
          <c:yVal>
            <c:numRef>
              <c:f>'V.RICA AP6 M2'!$AJ$94:$AL$94</c:f>
              <c:numCache>
                <c:formatCode>0.000</c:formatCode>
                <c:ptCount val="3"/>
                <c:pt idx="0">
                  <c:v>1.9953791220331862</c:v>
                </c:pt>
                <c:pt idx="1">
                  <c:v>1.051186567553098</c:v>
                </c:pt>
                <c:pt idx="2">
                  <c:v>0.78838992566482358</c:v>
                </c:pt>
              </c:numCache>
            </c:numRef>
          </c:yVal>
          <c:smooth val="1"/>
          <c:extLst>
            <c:ext xmlns:c16="http://schemas.microsoft.com/office/drawing/2014/chart" uri="{C3380CC4-5D6E-409C-BE32-E72D297353CC}">
              <c16:uniqueId val="{00000001-05EC-4447-9F41-187BC9B56A8B}"/>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'V.RICA AP6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AP6 M2'!$AM$75:$AM$86</c:f>
              <c:numCache>
                <c:formatCode>0.000</c:formatCode>
                <c:ptCount val="12"/>
                <c:pt idx="0">
                  <c:v>0</c:v>
                </c:pt>
                <c:pt idx="1">
                  <c:v>5.0724637681159424E-2</c:v>
                </c:pt>
                <c:pt idx="2">
                  <c:v>8.5714285714285715E-2</c:v>
                </c:pt>
                <c:pt idx="3">
                  <c:v>0.11180124223602483</c:v>
                </c:pt>
                <c:pt idx="4">
                  <c:v>0.13768115942028986</c:v>
                </c:pt>
                <c:pt idx="5">
                  <c:v>0.15786749482401657</c:v>
                </c:pt>
                <c:pt idx="6">
                  <c:v>0.17908902691511386</c:v>
                </c:pt>
                <c:pt idx="7">
                  <c:v>0.20548654244306419</c:v>
                </c:pt>
                <c:pt idx="8">
                  <c:v>0.23291925465838509</c:v>
                </c:pt>
                <c:pt idx="9">
                  <c:v>0.33799171842650105</c:v>
                </c:pt>
                <c:pt idx="10">
                  <c:v>0.43322981366459623</c:v>
                </c:pt>
                <c:pt idx="11">
                  <c:v>0.50983436853002073</c:v>
                </c:pt>
              </c:numCache>
            </c:numRef>
          </c:yVal>
          <c:smooth val="1"/>
          <c:extLst>
            <c:ext xmlns:c16="http://schemas.microsoft.com/office/drawing/2014/chart" uri="{C3380CC4-5D6E-409C-BE32-E72D297353CC}">
              <c16:uniqueId val="{00000000-ACEB-46BF-A74F-84929BF33703}"/>
            </c:ext>
          </c:extLst>
        </c:ser>
        <c:ser>
          <c:idx val="1"/>
          <c:order val="1"/>
          <c:tx>
            <c:v>26 golpes</c:v>
          </c:tx>
          <c:marker>
            <c:symbol val="circle"/>
            <c:size val="3"/>
            <c:spPr>
              <a:solidFill>
                <a:srgbClr val="00B050"/>
              </a:solidFill>
              <a:ln>
                <a:solidFill>
                  <a:srgbClr val="00B050">
                    <a:alpha val="50000"/>
                  </a:srgbClr>
                </a:solidFill>
                <a:prstDash val="solid"/>
              </a:ln>
            </c:spPr>
          </c:marker>
          <c:xVal>
            <c:numRef>
              <c:f>'V.RICA AP6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AP6 M2'!$AO$75:$AO$86</c:f>
              <c:numCache>
                <c:formatCode>0.000</c:formatCode>
                <c:ptCount val="12"/>
                <c:pt idx="0">
                  <c:v>0</c:v>
                </c:pt>
                <c:pt idx="1">
                  <c:v>2.2815190149286263E-2</c:v>
                </c:pt>
                <c:pt idx="2">
                  <c:v>3.9500926228615015E-2</c:v>
                </c:pt>
                <c:pt idx="3">
                  <c:v>5.6186662307943773E-2</c:v>
                </c:pt>
                <c:pt idx="4">
                  <c:v>7.2531873161163773E-2</c:v>
                </c:pt>
                <c:pt idx="5">
                  <c:v>9.2622861501580042E-2</c:v>
                </c:pt>
                <c:pt idx="6">
                  <c:v>0.11441647597254007</c:v>
                </c:pt>
                <c:pt idx="7">
                  <c:v>0.13518851476517382</c:v>
                </c:pt>
                <c:pt idx="8">
                  <c:v>0.15323635174893754</c:v>
                </c:pt>
                <c:pt idx="9">
                  <c:v>0.22256728778467907</c:v>
                </c:pt>
                <c:pt idx="10">
                  <c:v>0.28501961425302386</c:v>
                </c:pt>
                <c:pt idx="11">
                  <c:v>0.34699520540481638</c:v>
                </c:pt>
              </c:numCache>
            </c:numRef>
          </c:yVal>
          <c:smooth val="1"/>
          <c:extLst>
            <c:ext xmlns:c16="http://schemas.microsoft.com/office/drawing/2014/chart" uri="{C3380CC4-5D6E-409C-BE32-E72D297353CC}">
              <c16:uniqueId val="{00000001-ACEB-46BF-A74F-84929BF33703}"/>
            </c:ext>
          </c:extLst>
        </c:ser>
        <c:ser>
          <c:idx val="2"/>
          <c:order val="2"/>
          <c:tx>
            <c:v>56 golpes</c:v>
          </c:tx>
          <c:marker>
            <c:symbol val="circle"/>
            <c:size val="3"/>
            <c:spPr>
              <a:solidFill>
                <a:srgbClr val="00B050"/>
              </a:solidFill>
              <a:ln>
                <a:solidFill>
                  <a:srgbClr val="00B050">
                    <a:alpha val="50000"/>
                  </a:srgbClr>
                </a:solidFill>
                <a:prstDash val="solid"/>
              </a:ln>
            </c:spPr>
          </c:marker>
          <c:xVal>
            <c:numRef>
              <c:f>'V.RICA AP6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'V.RICA AP6 M2'!$AQ$75:$AQ$86</c:f>
              <c:numCache>
                <c:formatCode>0.000</c:formatCode>
                <c:ptCount val="12"/>
                <c:pt idx="0">
                  <c:v>0</c:v>
                </c:pt>
                <c:pt idx="1">
                  <c:v>1.8115942028985511E-2</c:v>
                </c:pt>
                <c:pt idx="2">
                  <c:v>2.6915113871635608E-2</c:v>
                </c:pt>
                <c:pt idx="3">
                  <c:v>4.2139996730957835E-2</c:v>
                </c:pt>
                <c:pt idx="4">
                  <c:v>5.439890487087283E-2</c:v>
                </c:pt>
                <c:pt idx="5">
                  <c:v>6.9467146126185028E-2</c:v>
                </c:pt>
                <c:pt idx="6">
                  <c:v>8.5812356979405036E-2</c:v>
                </c:pt>
                <c:pt idx="7">
                  <c:v>0.10139138607388035</c:v>
                </c:pt>
                <c:pt idx="8">
                  <c:v>0.11801242236024845</c:v>
                </c:pt>
                <c:pt idx="9">
                  <c:v>0.1667722294867604</c:v>
                </c:pt>
                <c:pt idx="10">
                  <c:v>0.20496894409937888</c:v>
                </c:pt>
                <c:pt idx="11">
                  <c:v>0.2251552795031056</c:v>
                </c:pt>
              </c:numCache>
            </c:numRef>
          </c:yVal>
          <c:smooth val="1"/>
          <c:extLst>
            <c:ext xmlns:c16="http://schemas.microsoft.com/office/drawing/2014/chart" uri="{C3380CC4-5D6E-409C-BE32-E72D297353CC}">
              <c16:uniqueId val="{00000002-ACEB-46BF-A74F-84929BF33703}"/>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'V.RICA AP6 M2'!$E$34:$H$34</c:f>
              <c:numCache>
                <c:formatCode>0.00</c:formatCode>
                <c:ptCount val="4"/>
                <c:pt idx="0">
                  <c:v>13.984080622505623</c:v>
                </c:pt>
                <c:pt idx="1">
                  <c:v>15.737575924903375</c:v>
                </c:pt>
                <c:pt idx="2">
                  <c:v>17.457318539383735</c:v>
                </c:pt>
                <c:pt idx="3">
                  <c:v>19.603520550461781</c:v>
                </c:pt>
              </c:numCache>
            </c:numRef>
          </c:xVal>
          <c:yVal>
            <c:numRef>
              <c:f>'V.RICA AP6 M2'!$E$37:$H$37</c:f>
              <c:numCache>
                <c:formatCode>0.0000</c:formatCode>
                <c:ptCount val="4"/>
                <c:pt idx="0">
                  <c:v>1.5573575319551916</c:v>
                </c:pt>
                <c:pt idx="1">
                  <c:v>1.6842024774284281</c:v>
                </c:pt>
                <c:pt idx="2">
                  <c:v>1.6742085307081214</c:v>
                </c:pt>
                <c:pt idx="3">
                  <c:v>1.5110446260400021</c:v>
                </c:pt>
              </c:numCache>
            </c:numRef>
          </c:yVal>
          <c:smooth val="1"/>
          <c:extLst>
            <c:ext xmlns:c16="http://schemas.microsoft.com/office/drawing/2014/chart" uri="{C3380CC4-5D6E-409C-BE32-E72D297353CC}">
              <c16:uniqueId val="{00000000-FE05-469F-A9F5-7B30ACB5AAF3}"/>
            </c:ext>
          </c:extLst>
        </c:ser>
        <c:dLbls>
          <c:showLegendKey val="0"/>
          <c:showVal val="0"/>
          <c:showCatName val="0"/>
          <c:showSerName val="0"/>
          <c:showPercent val="0"/>
          <c:showBubbleSize val="0"/>
        </c:dLbls>
        <c:axId val="429962783"/>
        <c:axId val="432547791"/>
      </c:scatterChart>
      <c:valAx>
        <c:axId val="429962783"/>
        <c:scaling>
          <c:orientation val="minMax"/>
          <c:max val="24"/>
          <c:min val="1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majorUnit val="1"/>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6725630228420061"/>
                  <c:y val="0.33111546408616577"/>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'P,CIAT AP1 M2'!$E$34:$H$34</c:f>
              <c:numCache>
                <c:formatCode>0.00</c:formatCode>
                <c:ptCount val="4"/>
                <c:pt idx="0">
                  <c:v>6.5092152128702274</c:v>
                </c:pt>
                <c:pt idx="1">
                  <c:v>8.3707277573467387</c:v>
                </c:pt>
                <c:pt idx="2">
                  <c:v>10.701213638990561</c:v>
                </c:pt>
                <c:pt idx="3">
                  <c:v>12.129817998115797</c:v>
                </c:pt>
              </c:numCache>
            </c:numRef>
          </c:xVal>
          <c:yVal>
            <c:numRef>
              <c:f>'P,CIAT AP1 M2'!$E$37:$H$37</c:f>
              <c:numCache>
                <c:formatCode>0.0000</c:formatCode>
                <c:ptCount val="4"/>
                <c:pt idx="0">
                  <c:v>1.6968133379073276</c:v>
                </c:pt>
                <c:pt idx="1">
                  <c:v>1.8841798736581397</c:v>
                </c:pt>
                <c:pt idx="2">
                  <c:v>1.8764755358334055</c:v>
                </c:pt>
                <c:pt idx="3">
                  <c:v>1.701024503343169</c:v>
                </c:pt>
              </c:numCache>
            </c:numRef>
          </c:yVal>
          <c:smooth val="0"/>
          <c:extLst>
            <c:ext xmlns:c16="http://schemas.microsoft.com/office/drawing/2014/chart" uri="{C3380CC4-5D6E-409C-BE32-E72D297353CC}">
              <c16:uniqueId val="{00000001-8E58-477C-B393-0D57F07FCA75}"/>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'P,CIAT AP1 M2'!$E$34:$H$34</c:f>
              <c:numCache>
                <c:formatCode>0.00</c:formatCode>
                <c:ptCount val="4"/>
                <c:pt idx="0">
                  <c:v>6.5092152128702274</c:v>
                </c:pt>
                <c:pt idx="1">
                  <c:v>8.3707277573467387</c:v>
                </c:pt>
                <c:pt idx="2">
                  <c:v>10.701213638990561</c:v>
                </c:pt>
                <c:pt idx="3">
                  <c:v>12.129817998115797</c:v>
                </c:pt>
              </c:numCache>
            </c:numRef>
          </c:xVal>
          <c:yVal>
            <c:numRef>
              <c:f>'P,CIAT AP1 M2'!$G$83:$J$83</c:f>
              <c:numCache>
                <c:formatCode>General</c:formatCode>
                <c:ptCount val="4"/>
                <c:pt idx="0">
                  <c:v>2.2527771032284165</c:v>
                </c:pt>
                <c:pt idx="1">
                  <c:v>2.1604234527776942</c:v>
                </c:pt>
                <c:pt idx="2">
                  <c:v>2.0549559024638127</c:v>
                </c:pt>
                <c:pt idx="3">
                  <c:v>1.9952465930526049</c:v>
                </c:pt>
              </c:numCache>
            </c:numRef>
          </c:yVal>
          <c:smooth val="0"/>
          <c:extLst>
            <c:ext xmlns:c16="http://schemas.microsoft.com/office/drawing/2014/chart" uri="{C3380CC4-5D6E-409C-BE32-E72D297353CC}">
              <c16:uniqueId val="{00000003-8E58-477C-B393-0D57F07FCA75}"/>
            </c:ext>
          </c:extLst>
        </c:ser>
        <c:dLbls>
          <c:showLegendKey val="0"/>
          <c:showVal val="0"/>
          <c:showCatName val="0"/>
          <c:showSerName val="0"/>
          <c:showPercent val="0"/>
          <c:showBubbleSize val="0"/>
        </c:dLbls>
        <c:axId val="862226368"/>
        <c:axId val="862172912"/>
      </c:scatterChart>
      <c:valAx>
        <c:axId val="862226368"/>
        <c:scaling>
          <c:orientation val="minMax"/>
          <c:max val="2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'P,CIAT AP1 M2'!$AJ$91:$AL$91</c:f>
              <c:numCache>
                <c:formatCode>0.000</c:formatCode>
                <c:ptCount val="3"/>
                <c:pt idx="0">
                  <c:v>1.8946783060218513</c:v>
                </c:pt>
                <c:pt idx="1">
                  <c:v>1.7830619655737445</c:v>
                </c:pt>
                <c:pt idx="2">
                  <c:v>1.7314730686415336</c:v>
                </c:pt>
              </c:numCache>
            </c:numRef>
          </c:xVal>
          <c:yVal>
            <c:numRef>
              <c:f>'P,CIAT AP1 M2'!$AJ$94:$AL$94</c:f>
              <c:numCache>
                <c:formatCode>0.000</c:formatCode>
                <c:ptCount val="3"/>
                <c:pt idx="0">
                  <c:v>10.537900259301693</c:v>
                </c:pt>
                <c:pt idx="1">
                  <c:v>6.9328291179616404</c:v>
                </c:pt>
                <c:pt idx="2">
                  <c:v>4.6844150388573818</c:v>
                </c:pt>
              </c:numCache>
            </c:numRef>
          </c:yVal>
          <c:smooth val="1"/>
          <c:extLst>
            <c:ext xmlns:c16="http://schemas.microsoft.com/office/drawing/2014/chart" uri="{C3380CC4-5D6E-409C-BE32-E72D297353CC}">
              <c16:uniqueId val="{00000001-E5D7-4B57-802B-BF3A5BE3DA57}"/>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'P,CIAT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AP1 M2'!$AM$75:$AM$86</c:f>
              <c:numCache>
                <c:formatCode>0.000</c:formatCode>
                <c:ptCount val="12"/>
                <c:pt idx="0">
                  <c:v>0</c:v>
                </c:pt>
                <c:pt idx="1">
                  <c:v>0.35093167701863354</c:v>
                </c:pt>
                <c:pt idx="2">
                  <c:v>0.59265010351966874</c:v>
                </c:pt>
                <c:pt idx="3">
                  <c:v>0.67753623188405787</c:v>
                </c:pt>
                <c:pt idx="4">
                  <c:v>0.74378881987577639</c:v>
                </c:pt>
                <c:pt idx="5">
                  <c:v>0.82246376811594202</c:v>
                </c:pt>
                <c:pt idx="6">
                  <c:v>0.90833333333333321</c:v>
                </c:pt>
                <c:pt idx="7">
                  <c:v>0.98706004140786741</c:v>
                </c:pt>
                <c:pt idx="8">
                  <c:v>1.0854037267080745</c:v>
                </c:pt>
                <c:pt idx="9">
                  <c:v>1.3612836438923395</c:v>
                </c:pt>
                <c:pt idx="10">
                  <c:v>1.5802277432712213</c:v>
                </c:pt>
                <c:pt idx="11">
                  <c:v>1.8043478260869565</c:v>
                </c:pt>
              </c:numCache>
            </c:numRef>
          </c:yVal>
          <c:smooth val="1"/>
          <c:extLst>
            <c:ext xmlns:c16="http://schemas.microsoft.com/office/drawing/2014/chart" uri="{C3380CC4-5D6E-409C-BE32-E72D297353CC}">
              <c16:uniqueId val="{00000000-8343-4A21-A795-BD875EE1F9B4}"/>
            </c:ext>
          </c:extLst>
        </c:ser>
        <c:ser>
          <c:idx val="1"/>
          <c:order val="1"/>
          <c:tx>
            <c:v>26 golpes</c:v>
          </c:tx>
          <c:marker>
            <c:symbol val="circle"/>
            <c:size val="3"/>
            <c:spPr>
              <a:solidFill>
                <a:srgbClr val="00B050"/>
              </a:solidFill>
              <a:ln>
                <a:solidFill>
                  <a:srgbClr val="00B050">
                    <a:alpha val="50000"/>
                  </a:srgbClr>
                </a:solidFill>
                <a:prstDash val="solid"/>
              </a:ln>
            </c:spPr>
          </c:marker>
          <c:xVal>
            <c:numRef>
              <c:f>'P,CIAT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AP1 M2'!$AO$75:$AO$86</c:f>
              <c:numCache>
                <c:formatCode>0.000</c:formatCode>
                <c:ptCount val="12"/>
                <c:pt idx="0">
                  <c:v>0</c:v>
                </c:pt>
                <c:pt idx="1">
                  <c:v>0.25776397515527949</c:v>
                </c:pt>
                <c:pt idx="2">
                  <c:v>0.38990138389451889</c:v>
                </c:pt>
                <c:pt idx="3">
                  <c:v>0.44574752097635389</c:v>
                </c:pt>
                <c:pt idx="4">
                  <c:v>0.48933474991827397</c:v>
                </c:pt>
                <c:pt idx="5">
                  <c:v>0.53053830227743259</c:v>
                </c:pt>
                <c:pt idx="6">
                  <c:v>0.5857033889070502</c:v>
                </c:pt>
                <c:pt idx="7">
                  <c:v>0.64938160618938656</c:v>
                </c:pt>
                <c:pt idx="8">
                  <c:v>0.71408139915004898</c:v>
                </c:pt>
                <c:pt idx="9">
                  <c:v>0.89544513457556929</c:v>
                </c:pt>
                <c:pt idx="10">
                  <c:v>1.039623515310014</c:v>
                </c:pt>
                <c:pt idx="11">
                  <c:v>1.187070938215103</c:v>
                </c:pt>
              </c:numCache>
            </c:numRef>
          </c:yVal>
          <c:smooth val="1"/>
          <c:extLst>
            <c:ext xmlns:c16="http://schemas.microsoft.com/office/drawing/2014/chart" uri="{C3380CC4-5D6E-409C-BE32-E72D297353CC}">
              <c16:uniqueId val="{00000001-8343-4A21-A795-BD875EE1F9B4}"/>
            </c:ext>
          </c:extLst>
        </c:ser>
        <c:ser>
          <c:idx val="2"/>
          <c:order val="2"/>
          <c:tx>
            <c:v>56 golpes</c:v>
          </c:tx>
          <c:marker>
            <c:symbol val="circle"/>
            <c:size val="3"/>
            <c:spPr>
              <a:solidFill>
                <a:srgbClr val="00B050"/>
              </a:solidFill>
              <a:ln>
                <a:solidFill>
                  <a:srgbClr val="00B050">
                    <a:alpha val="50000"/>
                  </a:srgbClr>
                </a:solidFill>
                <a:prstDash val="solid"/>
              </a:ln>
            </c:spPr>
          </c:marker>
          <c:xVal>
            <c:numRef>
              <c:f>'P,CIAT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AP1 M2'!$AQ$75:$AQ$86</c:f>
              <c:numCache>
                <c:formatCode>0.000</c:formatCode>
                <c:ptCount val="12"/>
                <c:pt idx="0">
                  <c:v>0</c:v>
                </c:pt>
                <c:pt idx="1">
                  <c:v>0.10533126293995859</c:v>
                </c:pt>
                <c:pt idx="2">
                  <c:v>0.20636645962732919</c:v>
                </c:pt>
                <c:pt idx="3">
                  <c:v>0.26604554865424435</c:v>
                </c:pt>
                <c:pt idx="4">
                  <c:v>0.32322463768115939</c:v>
                </c:pt>
                <c:pt idx="5">
                  <c:v>0.3979037267080745</c:v>
                </c:pt>
                <c:pt idx="6">
                  <c:v>0.43927754168028765</c:v>
                </c:pt>
                <c:pt idx="7">
                  <c:v>0.48703620464203989</c:v>
                </c:pt>
                <c:pt idx="8">
                  <c:v>0.53556104936253668</c:v>
                </c:pt>
                <c:pt idx="9">
                  <c:v>0.67168600849950966</c:v>
                </c:pt>
                <c:pt idx="10">
                  <c:v>0.77562111801242228</c:v>
                </c:pt>
                <c:pt idx="11">
                  <c:v>0.86899585921325062</c:v>
                </c:pt>
              </c:numCache>
            </c:numRef>
          </c:yVal>
          <c:smooth val="1"/>
          <c:extLst>
            <c:ext xmlns:c16="http://schemas.microsoft.com/office/drawing/2014/chart" uri="{C3380CC4-5D6E-409C-BE32-E72D297353CC}">
              <c16:uniqueId val="{00000002-8343-4A21-A795-BD875EE1F9B4}"/>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'P,CIAT AP1 M2'!$E$34:$H$34</c:f>
              <c:numCache>
                <c:formatCode>0.00</c:formatCode>
                <c:ptCount val="4"/>
                <c:pt idx="0">
                  <c:v>6.5092152128702274</c:v>
                </c:pt>
                <c:pt idx="1">
                  <c:v>8.3707277573467387</c:v>
                </c:pt>
                <c:pt idx="2">
                  <c:v>10.701213638990561</c:v>
                </c:pt>
                <c:pt idx="3">
                  <c:v>12.129817998115797</c:v>
                </c:pt>
              </c:numCache>
            </c:numRef>
          </c:xVal>
          <c:yVal>
            <c:numRef>
              <c:f>'P,CIAT AP1 M2'!$E$37:$H$37</c:f>
              <c:numCache>
                <c:formatCode>0.0000</c:formatCode>
                <c:ptCount val="4"/>
                <c:pt idx="0">
                  <c:v>1.6968133379073276</c:v>
                </c:pt>
                <c:pt idx="1">
                  <c:v>1.8841798736581397</c:v>
                </c:pt>
                <c:pt idx="2">
                  <c:v>1.8764755358334055</c:v>
                </c:pt>
                <c:pt idx="3">
                  <c:v>1.701024503343169</c:v>
                </c:pt>
              </c:numCache>
            </c:numRef>
          </c:yVal>
          <c:smooth val="1"/>
          <c:extLst>
            <c:ext xmlns:c16="http://schemas.microsoft.com/office/drawing/2014/chart" uri="{C3380CC4-5D6E-409C-BE32-E72D297353CC}">
              <c16:uniqueId val="{00000000-474E-45C2-B033-0A796D9FEDC9}"/>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35765116523027002"/>
                  <c:y val="0.25209725890899387"/>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'P.CIAT AP2 M1'!$E$34:$H$34</c:f>
              <c:numCache>
                <c:formatCode>0.00</c:formatCode>
                <c:ptCount val="4"/>
                <c:pt idx="0">
                  <c:v>2.1542126249287952</c:v>
                </c:pt>
                <c:pt idx="1">
                  <c:v>4.3452426588974848</c:v>
                </c:pt>
                <c:pt idx="2">
                  <c:v>6.1784462364662973</c:v>
                </c:pt>
                <c:pt idx="3">
                  <c:v>8.6552151036830622</c:v>
                </c:pt>
              </c:numCache>
            </c:numRef>
          </c:xVal>
          <c:yVal>
            <c:numRef>
              <c:f>'P.CIAT AP2 M1'!$E$37:$H$37</c:f>
              <c:numCache>
                <c:formatCode>0.0000</c:formatCode>
                <c:ptCount val="4"/>
                <c:pt idx="0">
                  <c:v>2.0580853227561811</c:v>
                </c:pt>
                <c:pt idx="1">
                  <c:v>2.310229449578181</c:v>
                </c:pt>
                <c:pt idx="2">
                  <c:v>2.1804584553782962</c:v>
                </c:pt>
                <c:pt idx="3">
                  <c:v>1.935375493898176</c:v>
                </c:pt>
              </c:numCache>
            </c:numRef>
          </c:yVal>
          <c:smooth val="0"/>
          <c:extLst>
            <c:ext xmlns:c16="http://schemas.microsoft.com/office/drawing/2014/chart" uri="{C3380CC4-5D6E-409C-BE32-E72D297353CC}">
              <c16:uniqueId val="{00000001-9D70-4EEA-8205-8019EB8D7D40}"/>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'P.CIAT AP2 M1'!$E$34:$H$34</c:f>
              <c:numCache>
                <c:formatCode>0.00</c:formatCode>
                <c:ptCount val="4"/>
                <c:pt idx="0">
                  <c:v>2.1542126249287952</c:v>
                </c:pt>
                <c:pt idx="1">
                  <c:v>4.3452426588974848</c:v>
                </c:pt>
                <c:pt idx="2">
                  <c:v>6.1784462364662973</c:v>
                </c:pt>
                <c:pt idx="3">
                  <c:v>8.6552151036830622</c:v>
                </c:pt>
              </c:numCache>
            </c:numRef>
          </c:xVal>
          <c:yVal>
            <c:numRef>
              <c:f>'P.CIAT AP2 M1'!$G$83:$J$83</c:f>
              <c:numCache>
                <c:formatCode>General</c:formatCode>
                <c:ptCount val="4"/>
                <c:pt idx="0">
                  <c:v>2.4768101300967791</c:v>
                </c:pt>
                <c:pt idx="1">
                  <c:v>2.3469783187224573</c:v>
                </c:pt>
                <c:pt idx="2">
                  <c:v>2.2483689137033447</c:v>
                </c:pt>
                <c:pt idx="3">
                  <c:v>2.1275950353291404</c:v>
                </c:pt>
              </c:numCache>
            </c:numRef>
          </c:yVal>
          <c:smooth val="0"/>
          <c:extLst>
            <c:ext xmlns:c16="http://schemas.microsoft.com/office/drawing/2014/chart" uri="{C3380CC4-5D6E-409C-BE32-E72D297353CC}">
              <c16:uniqueId val="{00000003-9D70-4EEA-8205-8019EB8D7D40}"/>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'P.CIAT AP2 M1'!$AJ$91:$AL$91</c:f>
              <c:numCache>
                <c:formatCode>0.000</c:formatCode>
                <c:ptCount val="3"/>
                <c:pt idx="0">
                  <c:v>2.3051835348366581</c:v>
                </c:pt>
                <c:pt idx="1">
                  <c:v>2.1842015558324976</c:v>
                </c:pt>
                <c:pt idx="2">
                  <c:v>1.9776187823131772</c:v>
                </c:pt>
              </c:numCache>
            </c:numRef>
          </c:xVal>
          <c:yVal>
            <c:numRef>
              <c:f>'P.CIAT AP2 M1'!$AJ$94:$AL$94</c:f>
              <c:numCache>
                <c:formatCode>0.000</c:formatCode>
                <c:ptCount val="3"/>
                <c:pt idx="0">
                  <c:v>61.106610255948638</c:v>
                </c:pt>
                <c:pt idx="1">
                  <c:v>39.487502625498841</c:v>
                </c:pt>
                <c:pt idx="2">
                  <c:v>24.314241416395426</c:v>
                </c:pt>
              </c:numCache>
            </c:numRef>
          </c:yVal>
          <c:smooth val="1"/>
          <c:extLst>
            <c:ext xmlns:c16="http://schemas.microsoft.com/office/drawing/2014/chart" uri="{C3380CC4-5D6E-409C-BE32-E72D297353CC}">
              <c16:uniqueId val="{00000001-74CB-477C-B867-131C08ACFDE0}"/>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'P.CIAT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AP2 M1'!$AM$75:$AM$86</c:f>
              <c:numCache>
                <c:formatCode>0.000</c:formatCode>
                <c:ptCount val="12"/>
                <c:pt idx="0">
                  <c:v>0</c:v>
                </c:pt>
                <c:pt idx="1">
                  <c:v>1.5315734989648033</c:v>
                </c:pt>
                <c:pt idx="2">
                  <c:v>2.5766045548654244</c:v>
                </c:pt>
                <c:pt idx="3">
                  <c:v>3.5684265010351961</c:v>
                </c:pt>
                <c:pt idx="4">
                  <c:v>4.2163561076604559</c:v>
                </c:pt>
                <c:pt idx="5">
                  <c:v>5.2287784679089029</c:v>
                </c:pt>
                <c:pt idx="6">
                  <c:v>6.3183229813664603</c:v>
                </c:pt>
                <c:pt idx="7">
                  <c:v>7.833333333333333</c:v>
                </c:pt>
                <c:pt idx="8">
                  <c:v>9.1319875776397517</c:v>
                </c:pt>
                <c:pt idx="9">
                  <c:v>14.530020703933745</c:v>
                </c:pt>
                <c:pt idx="10">
                  <c:v>18.342132505175982</c:v>
                </c:pt>
                <c:pt idx="11">
                  <c:v>21.246376811594203</c:v>
                </c:pt>
              </c:numCache>
            </c:numRef>
          </c:yVal>
          <c:smooth val="1"/>
          <c:extLst>
            <c:ext xmlns:c16="http://schemas.microsoft.com/office/drawing/2014/chart" uri="{C3380CC4-5D6E-409C-BE32-E72D297353CC}">
              <c16:uniqueId val="{00000000-5615-4B5F-9D7B-16469E7FBDAD}"/>
            </c:ext>
          </c:extLst>
        </c:ser>
        <c:ser>
          <c:idx val="1"/>
          <c:order val="1"/>
          <c:tx>
            <c:v>26 golpes</c:v>
          </c:tx>
          <c:marker>
            <c:symbol val="circle"/>
            <c:size val="3"/>
            <c:spPr>
              <a:solidFill>
                <a:srgbClr val="00B050"/>
              </a:solidFill>
              <a:ln>
                <a:solidFill>
                  <a:srgbClr val="00B050">
                    <a:alpha val="50000"/>
                  </a:srgbClr>
                </a:solidFill>
                <a:prstDash val="solid"/>
              </a:ln>
            </c:spPr>
          </c:marker>
          <c:xVal>
            <c:numRef>
              <c:f>'P.CIAT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AP2 M1'!$AO$75:$AO$86</c:f>
              <c:numCache>
                <c:formatCode>0.000</c:formatCode>
                <c:ptCount val="12"/>
                <c:pt idx="0">
                  <c:v>0</c:v>
                </c:pt>
                <c:pt idx="1">
                  <c:v>0.79140786749482395</c:v>
                </c:pt>
                <c:pt idx="2">
                  <c:v>1.4953416149068322</c:v>
                </c:pt>
                <c:pt idx="3">
                  <c:v>2.2600414078674946</c:v>
                </c:pt>
                <c:pt idx="4">
                  <c:v>2.7246376811594204</c:v>
                </c:pt>
                <c:pt idx="5">
                  <c:v>3.4649342650103518</c:v>
                </c:pt>
                <c:pt idx="6">
                  <c:v>4.1567914351095139</c:v>
                </c:pt>
                <c:pt idx="7">
                  <c:v>5.1535087719298245</c:v>
                </c:pt>
                <c:pt idx="8">
                  <c:v>6.0078865642366788</c:v>
                </c:pt>
                <c:pt idx="9">
                  <c:v>9.5590062111801242</c:v>
                </c:pt>
                <c:pt idx="10">
                  <c:v>12.067192437615777</c:v>
                </c:pt>
                <c:pt idx="11">
                  <c:v>13.470496894409937</c:v>
                </c:pt>
              </c:numCache>
            </c:numRef>
          </c:yVal>
          <c:smooth val="1"/>
          <c:extLst>
            <c:ext xmlns:c16="http://schemas.microsoft.com/office/drawing/2014/chart" uri="{C3380CC4-5D6E-409C-BE32-E72D297353CC}">
              <c16:uniqueId val="{00000001-5615-4B5F-9D7B-16469E7FBDAD}"/>
            </c:ext>
          </c:extLst>
        </c:ser>
        <c:ser>
          <c:idx val="2"/>
          <c:order val="2"/>
          <c:tx>
            <c:v>56 golpes</c:v>
          </c:tx>
          <c:marker>
            <c:symbol val="circle"/>
            <c:size val="3"/>
            <c:spPr>
              <a:solidFill>
                <a:srgbClr val="00B050"/>
              </a:solidFill>
              <a:ln>
                <a:solidFill>
                  <a:srgbClr val="00B050">
                    <a:alpha val="50000"/>
                  </a:srgbClr>
                </a:solidFill>
                <a:prstDash val="solid"/>
              </a:ln>
            </c:spPr>
          </c:marker>
          <c:xVal>
            <c:numRef>
              <c:f>'P.CIAT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AP2 M1'!$AQ$75:$AQ$86</c:f>
              <c:numCache>
                <c:formatCode>0.000</c:formatCode>
                <c:ptCount val="12"/>
                <c:pt idx="0">
                  <c:v>0</c:v>
                </c:pt>
                <c:pt idx="1">
                  <c:v>0.63516467799934628</c:v>
                </c:pt>
                <c:pt idx="2">
                  <c:v>1.0815932494279177</c:v>
                </c:pt>
                <c:pt idx="3">
                  <c:v>1.319620382477934</c:v>
                </c:pt>
                <c:pt idx="4">
                  <c:v>1.6776826577312844</c:v>
                </c:pt>
                <c:pt idx="5">
                  <c:v>2.3465593331153971</c:v>
                </c:pt>
                <c:pt idx="6">
                  <c:v>3.1175935763321352</c:v>
                </c:pt>
                <c:pt idx="7">
                  <c:v>3.6118012422360248</c:v>
                </c:pt>
                <c:pt idx="8">
                  <c:v>4.1697722567287778</c:v>
                </c:pt>
                <c:pt idx="9">
                  <c:v>6.1019668737060044</c:v>
                </c:pt>
                <c:pt idx="10">
                  <c:v>8.1770186335403725</c:v>
                </c:pt>
                <c:pt idx="11">
                  <c:v>8.8452380952380949</c:v>
                </c:pt>
              </c:numCache>
            </c:numRef>
          </c:yVal>
          <c:smooth val="1"/>
          <c:extLst>
            <c:ext xmlns:c16="http://schemas.microsoft.com/office/drawing/2014/chart" uri="{C3380CC4-5D6E-409C-BE32-E72D297353CC}">
              <c16:uniqueId val="{00000002-5615-4B5F-9D7B-16469E7FBDAD}"/>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'P.CIAT AP2 M1'!$E$34:$H$34</c:f>
              <c:numCache>
                <c:formatCode>0.00</c:formatCode>
                <c:ptCount val="4"/>
                <c:pt idx="0">
                  <c:v>2.1542126249287952</c:v>
                </c:pt>
                <c:pt idx="1">
                  <c:v>4.3452426588974848</c:v>
                </c:pt>
                <c:pt idx="2">
                  <c:v>6.1784462364662973</c:v>
                </c:pt>
                <c:pt idx="3">
                  <c:v>8.6552151036830622</c:v>
                </c:pt>
              </c:numCache>
            </c:numRef>
          </c:xVal>
          <c:yVal>
            <c:numRef>
              <c:f>'P.CIAT AP2 M1'!$E$37:$H$37</c:f>
              <c:numCache>
                <c:formatCode>0.0000</c:formatCode>
                <c:ptCount val="4"/>
                <c:pt idx="0">
                  <c:v>2.0580853227561811</c:v>
                </c:pt>
                <c:pt idx="1">
                  <c:v>2.310229449578181</c:v>
                </c:pt>
                <c:pt idx="2">
                  <c:v>2.1804584553782962</c:v>
                </c:pt>
                <c:pt idx="3">
                  <c:v>1.935375493898176</c:v>
                </c:pt>
              </c:numCache>
            </c:numRef>
          </c:yVal>
          <c:smooth val="1"/>
          <c:extLst>
            <c:ext xmlns:c16="http://schemas.microsoft.com/office/drawing/2014/chart" uri="{C3380CC4-5D6E-409C-BE32-E72D297353CC}">
              <c16:uniqueId val="{00000000-1D11-42AA-8A97-B6D704291386}"/>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0759538607140479"/>
                  <c:y val="0.21253475059298041"/>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'P.CIAT AP3 M2'!$E$34:$H$34</c:f>
              <c:numCache>
                <c:formatCode>0.00</c:formatCode>
                <c:ptCount val="4"/>
                <c:pt idx="0">
                  <c:v>0</c:v>
                </c:pt>
                <c:pt idx="1">
                  <c:v>0</c:v>
                </c:pt>
                <c:pt idx="2">
                  <c:v>0</c:v>
                </c:pt>
                <c:pt idx="3">
                  <c:v>0</c:v>
                </c:pt>
              </c:numCache>
            </c:numRef>
          </c:xVal>
          <c:yVal>
            <c:numRef>
              <c:f>'P.CIAT AP3 M2'!$E$37:$H$37</c:f>
              <c:numCache>
                <c:formatCode>0.0000</c:formatCode>
                <c:ptCount val="4"/>
                <c:pt idx="0">
                  <c:v>0</c:v>
                </c:pt>
                <c:pt idx="1">
                  <c:v>0</c:v>
                </c:pt>
                <c:pt idx="2">
                  <c:v>0</c:v>
                </c:pt>
                <c:pt idx="3">
                  <c:v>0</c:v>
                </c:pt>
              </c:numCache>
            </c:numRef>
          </c:yVal>
          <c:smooth val="0"/>
          <c:extLst>
            <c:ext xmlns:c16="http://schemas.microsoft.com/office/drawing/2014/chart" uri="{C3380CC4-5D6E-409C-BE32-E72D297353CC}">
              <c16:uniqueId val="{00000001-2516-455F-A58F-A6B6EA82BF59}"/>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'P.CIAT AP3 M2'!$E$34:$H$34</c:f>
              <c:numCache>
                <c:formatCode>0.00</c:formatCode>
                <c:ptCount val="4"/>
                <c:pt idx="0">
                  <c:v>0</c:v>
                </c:pt>
                <c:pt idx="1">
                  <c:v>0</c:v>
                </c:pt>
                <c:pt idx="2">
                  <c:v>0</c:v>
                </c:pt>
                <c:pt idx="3">
                  <c:v>0</c:v>
                </c:pt>
              </c:numCache>
            </c:numRef>
          </c:xVal>
          <c:yVal>
            <c:numRef>
              <c:f>'P.CIAT AP3 M2'!$G$83:$J$83</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3-2516-455F-A58F-A6B6EA82BF59}"/>
            </c:ext>
          </c:extLst>
        </c:ser>
        <c:dLbls>
          <c:showLegendKey val="0"/>
          <c:showVal val="0"/>
          <c:showCatName val="0"/>
          <c:showSerName val="0"/>
          <c:showPercent val="0"/>
          <c:showBubbleSize val="0"/>
        </c:dLbls>
        <c:axId val="862226368"/>
        <c:axId val="862172912"/>
      </c:scatterChart>
      <c:valAx>
        <c:axId val="862226368"/>
        <c:scaling>
          <c:orientation val="minMax"/>
          <c:max val="40"/>
          <c:min val="1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'P.CIAT AP3 M2'!$AJ$91:$AL$91</c:f>
              <c:numCache>
                <c:formatCode>0.000</c:formatCode>
                <c:ptCount val="3"/>
                <c:pt idx="0">
                  <c:v>0</c:v>
                </c:pt>
                <c:pt idx="1">
                  <c:v>0</c:v>
                </c:pt>
                <c:pt idx="2">
                  <c:v>0</c:v>
                </c:pt>
              </c:numCache>
            </c:numRef>
          </c:xVal>
          <c:yVal>
            <c:numRef>
              <c:f>'P.CIAT AP3 M2'!$AJ$94:$AL$94</c:f>
              <c:numCache>
                <c:formatCode>0.000</c:formatCode>
                <c:ptCount val="3"/>
                <c:pt idx="0">
                  <c:v>12.654904431842052</c:v>
                </c:pt>
                <c:pt idx="1">
                  <c:v>8.3255950209487164</c:v>
                </c:pt>
                <c:pt idx="2">
                  <c:v>6.2441962657115369</c:v>
                </c:pt>
              </c:numCache>
            </c:numRef>
          </c:yVal>
          <c:smooth val="1"/>
          <c:extLst>
            <c:ext xmlns:c16="http://schemas.microsoft.com/office/drawing/2014/chart" uri="{C3380CC4-5D6E-409C-BE32-E72D297353CC}">
              <c16:uniqueId val="{00000001-8514-4590-A723-3BD9144EEB8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'P.CIAT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AP3 M2'!$AM$75:$AM$86</c:f>
              <c:numCache>
                <c:formatCode>0.000</c:formatCode>
                <c:ptCount val="12"/>
                <c:pt idx="0">
                  <c:v>0</c:v>
                </c:pt>
                <c:pt idx="1">
                  <c:v>0.31780538302277428</c:v>
                </c:pt>
                <c:pt idx="2">
                  <c:v>0.56573498964803315</c:v>
                </c:pt>
                <c:pt idx="3">
                  <c:v>0.74120082815734989</c:v>
                </c:pt>
                <c:pt idx="4">
                  <c:v>0.87318840579710155</c:v>
                </c:pt>
                <c:pt idx="5">
                  <c:v>1.0331262939958592</c:v>
                </c:pt>
                <c:pt idx="6">
                  <c:v>1.1739130434782608</c:v>
                </c:pt>
                <c:pt idx="7">
                  <c:v>1.3059006211180124</c:v>
                </c:pt>
                <c:pt idx="8">
                  <c:v>1.3959627329192548</c:v>
                </c:pt>
                <c:pt idx="9">
                  <c:v>1.8043478260869565</c:v>
                </c:pt>
                <c:pt idx="10">
                  <c:v>2.1066252587991716</c:v>
                </c:pt>
                <c:pt idx="11">
                  <c:v>2.2836438923395446</c:v>
                </c:pt>
              </c:numCache>
            </c:numRef>
          </c:yVal>
          <c:smooth val="1"/>
          <c:extLst>
            <c:ext xmlns:c16="http://schemas.microsoft.com/office/drawing/2014/chart" uri="{C3380CC4-5D6E-409C-BE32-E72D297353CC}">
              <c16:uniqueId val="{00000000-0A08-4342-9920-1112F129F443}"/>
            </c:ext>
          </c:extLst>
        </c:ser>
        <c:ser>
          <c:idx val="1"/>
          <c:order val="1"/>
          <c:tx>
            <c:v>26 golpes</c:v>
          </c:tx>
          <c:marker>
            <c:symbol val="circle"/>
            <c:size val="3"/>
            <c:spPr>
              <a:solidFill>
                <a:srgbClr val="00B050"/>
              </a:solidFill>
              <a:ln>
                <a:solidFill>
                  <a:srgbClr val="00B050">
                    <a:alpha val="50000"/>
                  </a:srgbClr>
                </a:solidFill>
                <a:prstDash val="solid"/>
              </a:ln>
            </c:spPr>
          </c:marker>
          <c:xVal>
            <c:numRef>
              <c:f>'P.CIAT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AP3 M2'!$AO$75:$AO$86</c:f>
              <c:numCache>
                <c:formatCode>0.000</c:formatCode>
                <c:ptCount val="12"/>
                <c:pt idx="0">
                  <c:v>0</c:v>
                </c:pt>
                <c:pt idx="1">
                  <c:v>0.20908248883077257</c:v>
                </c:pt>
                <c:pt idx="2">
                  <c:v>0.3721940721368639</c:v>
                </c:pt>
                <c:pt idx="3">
                  <c:v>0.48763212378773013</c:v>
                </c:pt>
                <c:pt idx="4">
                  <c:v>0.57446605644546145</c:v>
                </c:pt>
                <c:pt idx="5">
                  <c:v>0.67968835131306526</c:v>
                </c:pt>
                <c:pt idx="6">
                  <c:v>0.77231121281464521</c:v>
                </c:pt>
                <c:pt idx="7">
                  <c:v>0.85914514547237653</c:v>
                </c:pt>
                <c:pt idx="8">
                  <c:v>0.91839653481529904</c:v>
                </c:pt>
                <c:pt idx="9">
                  <c:v>1.187070938215103</c:v>
                </c:pt>
                <c:pt idx="10">
                  <c:v>1.3859376702626132</c:v>
                </c:pt>
                <c:pt idx="11">
                  <c:v>1.5023972975918054</c:v>
                </c:pt>
              </c:numCache>
            </c:numRef>
          </c:yVal>
          <c:smooth val="1"/>
          <c:extLst>
            <c:ext xmlns:c16="http://schemas.microsoft.com/office/drawing/2014/chart" uri="{C3380CC4-5D6E-409C-BE32-E72D297353CC}">
              <c16:uniqueId val="{00000001-0A08-4342-9920-1112F129F443}"/>
            </c:ext>
          </c:extLst>
        </c:ser>
        <c:ser>
          <c:idx val="2"/>
          <c:order val="2"/>
          <c:tx>
            <c:v>56 golpes</c:v>
          </c:tx>
          <c:marker>
            <c:symbol val="circle"/>
            <c:size val="3"/>
            <c:spPr>
              <a:solidFill>
                <a:srgbClr val="00B050"/>
              </a:solidFill>
              <a:ln>
                <a:solidFill>
                  <a:srgbClr val="00B050">
                    <a:alpha val="50000"/>
                  </a:srgbClr>
                </a:solidFill>
                <a:prstDash val="solid"/>
              </a:ln>
            </c:spPr>
          </c:marker>
          <c:xVal>
            <c:numRef>
              <c:f>'P.CIAT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'P.CIAT AP3 M2'!$AQ$75:$AQ$86</c:f>
              <c:numCache>
                <c:formatCode>0.000</c:formatCode>
                <c:ptCount val="12"/>
                <c:pt idx="0">
                  <c:v>0</c:v>
                </c:pt>
                <c:pt idx="1">
                  <c:v>0.15681186662307944</c:v>
                </c:pt>
                <c:pt idx="2">
                  <c:v>0.27914555410264791</c:v>
                </c:pt>
                <c:pt idx="3">
                  <c:v>0.3657240928407976</c:v>
                </c:pt>
                <c:pt idx="4">
                  <c:v>0.43084954233409606</c:v>
                </c:pt>
                <c:pt idx="5">
                  <c:v>0.50976626348479892</c:v>
                </c:pt>
                <c:pt idx="6">
                  <c:v>0.57923340961098402</c:v>
                </c:pt>
                <c:pt idx="7">
                  <c:v>0.64435885910428248</c:v>
                </c:pt>
                <c:pt idx="8">
                  <c:v>0.68879740111147436</c:v>
                </c:pt>
                <c:pt idx="9">
                  <c:v>0.8903032036613272</c:v>
                </c:pt>
                <c:pt idx="10">
                  <c:v>1.03945325269696</c:v>
                </c:pt>
                <c:pt idx="11">
                  <c:v>1.1267979731938542</c:v>
                </c:pt>
              </c:numCache>
            </c:numRef>
          </c:yVal>
          <c:smooth val="1"/>
          <c:extLst>
            <c:ext xmlns:c16="http://schemas.microsoft.com/office/drawing/2014/chart" uri="{C3380CC4-5D6E-409C-BE32-E72D297353CC}">
              <c16:uniqueId val="{00000002-0A08-4342-9920-1112F129F443}"/>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'P.CIAT AP3 M2'!$E$34:$H$34</c:f>
              <c:numCache>
                <c:formatCode>0.00</c:formatCode>
                <c:ptCount val="4"/>
                <c:pt idx="0">
                  <c:v>0</c:v>
                </c:pt>
                <c:pt idx="1">
                  <c:v>0</c:v>
                </c:pt>
                <c:pt idx="2">
                  <c:v>0</c:v>
                </c:pt>
                <c:pt idx="3">
                  <c:v>0</c:v>
                </c:pt>
              </c:numCache>
            </c:numRef>
          </c:xVal>
          <c:yVal>
            <c:numRef>
              <c:f>'P.CIAT AP3 M2'!$E$37:$H$37</c:f>
              <c:numCache>
                <c:formatCode>0.0000</c:formatCode>
                <c:ptCount val="4"/>
                <c:pt idx="0">
                  <c:v>0</c:v>
                </c:pt>
                <c:pt idx="1">
                  <c:v>0</c:v>
                </c:pt>
                <c:pt idx="2">
                  <c:v>0</c:v>
                </c:pt>
                <c:pt idx="3">
                  <c:v>0</c:v>
                </c:pt>
              </c:numCache>
            </c:numRef>
          </c:yVal>
          <c:smooth val="1"/>
          <c:extLst>
            <c:ext xmlns:c16="http://schemas.microsoft.com/office/drawing/2014/chart" uri="{C3380CC4-5D6E-409C-BE32-E72D297353CC}">
              <c16:uniqueId val="{00000000-3D9A-4FD3-836E-A6926F2C56DE}"/>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36017762711455242"/>
                  <c:y val="0.15499611034925878"/>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'P.ESTAMBUL AP1 M2'!$E$34:$H$34</c:f>
              <c:numCache>
                <c:formatCode>0.00</c:formatCode>
                <c:ptCount val="4"/>
                <c:pt idx="0">
                  <c:v>10.525383546338936</c:v>
                </c:pt>
                <c:pt idx="1">
                  <c:v>13.581585550977426</c:v>
                </c:pt>
                <c:pt idx="2">
                  <c:v>16.332189988954124</c:v>
                </c:pt>
                <c:pt idx="3">
                  <c:v>19.207793769795146</c:v>
                </c:pt>
              </c:numCache>
            </c:numRef>
          </c:xVal>
          <c:yVal>
            <c:numRef>
              <c:f>'P.ESTAMBUL AP1 M2'!$E$37:$H$37</c:f>
              <c:numCache>
                <c:formatCode>0.0000</c:formatCode>
                <c:ptCount val="4"/>
                <c:pt idx="0">
                  <c:v>1.6848594713475062</c:v>
                </c:pt>
                <c:pt idx="1">
                  <c:v>1.7956886978692792</c:v>
                </c:pt>
                <c:pt idx="2">
                  <c:v>1.8376707317891439</c:v>
                </c:pt>
                <c:pt idx="3">
                  <c:v>1.5566764918340505</c:v>
                </c:pt>
              </c:numCache>
            </c:numRef>
          </c:yVal>
          <c:smooth val="0"/>
          <c:extLst>
            <c:ext xmlns:c16="http://schemas.microsoft.com/office/drawing/2014/chart" uri="{C3380CC4-5D6E-409C-BE32-E72D297353CC}">
              <c16:uniqueId val="{00000001-9203-474D-B5C5-CD4358EB36BB}"/>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'P.ESTAMBUL AP1 M2'!$E$34:$H$34</c:f>
              <c:numCache>
                <c:formatCode>0.00</c:formatCode>
                <c:ptCount val="4"/>
                <c:pt idx="0">
                  <c:v>10.525383546338936</c:v>
                </c:pt>
                <c:pt idx="1">
                  <c:v>13.581585550977426</c:v>
                </c:pt>
                <c:pt idx="2">
                  <c:v>16.332189988954124</c:v>
                </c:pt>
                <c:pt idx="3">
                  <c:v>19.207793769795146</c:v>
                </c:pt>
              </c:numCache>
            </c:numRef>
          </c:xVal>
          <c:yVal>
            <c:numRef>
              <c:f>'P.ESTAMBUL AP1 M2'!$G$83:$J$83</c:f>
              <c:numCache>
                <c:formatCode>General</c:formatCode>
                <c:ptCount val="4"/>
                <c:pt idx="0">
                  <c:v>2.0266848313217043</c:v>
                </c:pt>
                <c:pt idx="1">
                  <c:v>1.9063211838889955</c:v>
                </c:pt>
                <c:pt idx="2">
                  <c:v>1.8095965772713716</c:v>
                </c:pt>
                <c:pt idx="3">
                  <c:v>1.7184423583792392</c:v>
                </c:pt>
              </c:numCache>
            </c:numRef>
          </c:yVal>
          <c:smooth val="0"/>
          <c:extLst>
            <c:ext xmlns:c16="http://schemas.microsoft.com/office/drawing/2014/chart" uri="{C3380CC4-5D6E-409C-BE32-E72D297353CC}">
              <c16:uniqueId val="{00000003-9203-474D-B5C5-CD4358EB36BB}"/>
            </c:ext>
          </c:extLst>
        </c:ser>
        <c:dLbls>
          <c:showLegendKey val="0"/>
          <c:showVal val="0"/>
          <c:showCatName val="0"/>
          <c:showSerName val="0"/>
          <c:showPercent val="0"/>
          <c:showBubbleSize val="0"/>
        </c:dLbls>
        <c:axId val="862226368"/>
        <c:axId val="862172912"/>
      </c:scatterChart>
      <c:valAx>
        <c:axId val="862226368"/>
        <c:scaling>
          <c:orientation val="minMax"/>
          <c:max val="30"/>
          <c:min val="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'P.ESTAMBUL AP1 M2'!$AJ$91:$AL$91</c:f>
              <c:numCache>
                <c:formatCode>0.000</c:formatCode>
                <c:ptCount val="3"/>
                <c:pt idx="0">
                  <c:v>1.8256742919914009</c:v>
                </c:pt>
                <c:pt idx="1">
                  <c:v>1.7407930566382519</c:v>
                </c:pt>
                <c:pt idx="2">
                  <c:v>1.7095528035433778</c:v>
                </c:pt>
              </c:numCache>
            </c:numRef>
          </c:xVal>
          <c:yVal>
            <c:numRef>
              <c:f>'P.ESTAMBUL AP1 M2'!$AJ$94:$AL$94</c:f>
              <c:numCache>
                <c:formatCode>0.000</c:formatCode>
                <c:ptCount val="3"/>
                <c:pt idx="0">
                  <c:v>3.6231884057971007</c:v>
                </c:pt>
                <c:pt idx="1">
                  <c:v>2.3836765827612507</c:v>
                </c:pt>
                <c:pt idx="2">
                  <c:v>1.7877574370709377</c:v>
                </c:pt>
              </c:numCache>
            </c:numRef>
          </c:yVal>
          <c:smooth val="1"/>
          <c:extLst>
            <c:ext xmlns:c16="http://schemas.microsoft.com/office/drawing/2014/chart" uri="{C3380CC4-5D6E-409C-BE32-E72D297353CC}">
              <c16:uniqueId val="{00000001-B8CF-4C73-91F6-1C811D482D5E}"/>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'P.ESTAMBUL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AP1 M2'!$AM$75:$AM$86</c:f>
              <c:numCache>
                <c:formatCode>0.000</c:formatCode>
                <c:ptCount val="12"/>
                <c:pt idx="0">
                  <c:v>0</c:v>
                </c:pt>
                <c:pt idx="1">
                  <c:v>8.3850931677018639E-2</c:v>
                </c:pt>
                <c:pt idx="2">
                  <c:v>0.14440993788819878</c:v>
                </c:pt>
                <c:pt idx="3">
                  <c:v>0.20496894409937888</c:v>
                </c:pt>
                <c:pt idx="4">
                  <c:v>0.24999999999999997</c:v>
                </c:pt>
                <c:pt idx="5">
                  <c:v>0.3022774327122153</c:v>
                </c:pt>
                <c:pt idx="6">
                  <c:v>0.34886128364389235</c:v>
                </c:pt>
                <c:pt idx="7">
                  <c:v>0.39855072463768121</c:v>
                </c:pt>
                <c:pt idx="8">
                  <c:v>0.44151138716356109</c:v>
                </c:pt>
                <c:pt idx="9">
                  <c:v>0.6376811594202898</c:v>
                </c:pt>
                <c:pt idx="10">
                  <c:v>0.77070393374741208</c:v>
                </c:pt>
                <c:pt idx="11">
                  <c:v>0.91356107660455477</c:v>
                </c:pt>
              </c:numCache>
            </c:numRef>
          </c:yVal>
          <c:smooth val="1"/>
          <c:extLst>
            <c:ext xmlns:c16="http://schemas.microsoft.com/office/drawing/2014/chart" uri="{C3380CC4-5D6E-409C-BE32-E72D297353CC}">
              <c16:uniqueId val="{00000000-7E18-45A3-89D2-6EBFFDE8771D}"/>
            </c:ext>
          </c:extLst>
        </c:ser>
        <c:ser>
          <c:idx val="1"/>
          <c:order val="1"/>
          <c:tx>
            <c:v>26 golpes</c:v>
          </c:tx>
          <c:marker>
            <c:symbol val="circle"/>
            <c:size val="3"/>
            <c:spPr>
              <a:solidFill>
                <a:srgbClr val="00B050"/>
              </a:solidFill>
              <a:ln>
                <a:solidFill>
                  <a:srgbClr val="00B050">
                    <a:alpha val="50000"/>
                  </a:srgbClr>
                </a:solidFill>
                <a:prstDash val="solid"/>
              </a:ln>
            </c:spPr>
          </c:marker>
          <c:xVal>
            <c:numRef>
              <c:f>'P.ESTAMBUL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AP1 M2'!$AO$75:$AO$86</c:f>
              <c:numCache>
                <c:formatCode>0.000</c:formatCode>
                <c:ptCount val="12"/>
                <c:pt idx="0">
                  <c:v>0</c:v>
                </c:pt>
                <c:pt idx="1">
                  <c:v>5.516508662961752E-2</c:v>
                </c:pt>
                <c:pt idx="2">
                  <c:v>9.5006538084341299E-2</c:v>
                </c:pt>
                <c:pt idx="3">
                  <c:v>0.13484798953906507</c:v>
                </c:pt>
                <c:pt idx="4">
                  <c:v>0.1644736842105263</c:v>
                </c:pt>
                <c:pt idx="5">
                  <c:v>0.19886673204751004</c:v>
                </c:pt>
                <c:pt idx="6">
                  <c:v>0.22951400239729761</c:v>
                </c:pt>
                <c:pt idx="7">
                  <c:v>0.25777759616432383</c:v>
                </c:pt>
                <c:pt idx="8">
                  <c:v>0.27991173586139262</c:v>
                </c:pt>
                <c:pt idx="9">
                  <c:v>0.3768115942028985</c:v>
                </c:pt>
                <c:pt idx="10">
                  <c:v>0.48933474991827397</c:v>
                </c:pt>
                <c:pt idx="11">
                  <c:v>0.62179906287457776</c:v>
                </c:pt>
              </c:numCache>
            </c:numRef>
          </c:yVal>
          <c:smooth val="1"/>
          <c:extLst>
            <c:ext xmlns:c16="http://schemas.microsoft.com/office/drawing/2014/chart" uri="{C3380CC4-5D6E-409C-BE32-E72D297353CC}">
              <c16:uniqueId val="{00000001-7E18-45A3-89D2-6EBFFDE8771D}"/>
            </c:ext>
          </c:extLst>
        </c:ser>
        <c:ser>
          <c:idx val="2"/>
          <c:order val="2"/>
          <c:tx>
            <c:v>56 golpes</c:v>
          </c:tx>
          <c:marker>
            <c:symbol val="circle"/>
            <c:size val="3"/>
            <c:spPr>
              <a:solidFill>
                <a:srgbClr val="00B050"/>
              </a:solidFill>
              <a:ln>
                <a:solidFill>
                  <a:srgbClr val="00B050">
                    <a:alpha val="50000"/>
                  </a:srgbClr>
                </a:solidFill>
                <a:prstDash val="solid"/>
              </a:ln>
            </c:spPr>
          </c:marker>
          <c:xVal>
            <c:numRef>
              <c:f>'P.ESTAMBUL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AP1 M2'!$AQ$75:$AQ$86</c:f>
              <c:numCache>
                <c:formatCode>0.000</c:formatCode>
                <c:ptCount val="12"/>
                <c:pt idx="0">
                  <c:v>0</c:v>
                </c:pt>
                <c:pt idx="1">
                  <c:v>3.7267080745341609E-2</c:v>
                </c:pt>
                <c:pt idx="2">
                  <c:v>6.6252587991718431E-2</c:v>
                </c:pt>
                <c:pt idx="3">
                  <c:v>9.5755693581780543E-2</c:v>
                </c:pt>
                <c:pt idx="4">
                  <c:v>0.1233552631578947</c:v>
                </c:pt>
                <c:pt idx="5">
                  <c:v>0.14915004903563253</c:v>
                </c:pt>
                <c:pt idx="6">
                  <c:v>0.17213550179797321</c:v>
                </c:pt>
                <c:pt idx="7">
                  <c:v>0.19333319712324287</c:v>
                </c:pt>
                <c:pt idx="8">
                  <c:v>0.20993380189604446</c:v>
                </c:pt>
                <c:pt idx="9">
                  <c:v>0.2774327122153209</c:v>
                </c:pt>
                <c:pt idx="10">
                  <c:v>0.36853002070393376</c:v>
                </c:pt>
                <c:pt idx="11">
                  <c:v>0.43219461697722567</c:v>
                </c:pt>
              </c:numCache>
            </c:numRef>
          </c:yVal>
          <c:smooth val="1"/>
          <c:extLst>
            <c:ext xmlns:c16="http://schemas.microsoft.com/office/drawing/2014/chart" uri="{C3380CC4-5D6E-409C-BE32-E72D297353CC}">
              <c16:uniqueId val="{00000002-7E18-45A3-89D2-6EBFFDE8771D}"/>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'P.ESTAMBUL AP1 M2'!$E$34:$H$34</c:f>
              <c:numCache>
                <c:formatCode>0.00</c:formatCode>
                <c:ptCount val="4"/>
                <c:pt idx="0">
                  <c:v>10.525383546338936</c:v>
                </c:pt>
                <c:pt idx="1">
                  <c:v>13.581585550977426</c:v>
                </c:pt>
                <c:pt idx="2">
                  <c:v>16.332189988954124</c:v>
                </c:pt>
                <c:pt idx="3">
                  <c:v>19.207793769795146</c:v>
                </c:pt>
              </c:numCache>
            </c:numRef>
          </c:xVal>
          <c:yVal>
            <c:numRef>
              <c:f>'P.ESTAMBUL AP1 M2'!$E$37:$H$37</c:f>
              <c:numCache>
                <c:formatCode>0.0000</c:formatCode>
                <c:ptCount val="4"/>
                <c:pt idx="0">
                  <c:v>1.6848594713475062</c:v>
                </c:pt>
                <c:pt idx="1">
                  <c:v>1.7956886978692792</c:v>
                </c:pt>
                <c:pt idx="2">
                  <c:v>1.8376707317891439</c:v>
                </c:pt>
                <c:pt idx="3">
                  <c:v>1.5566764918340505</c:v>
                </c:pt>
              </c:numCache>
            </c:numRef>
          </c:yVal>
          <c:smooth val="1"/>
          <c:extLst>
            <c:ext xmlns:c16="http://schemas.microsoft.com/office/drawing/2014/chart" uri="{C3380CC4-5D6E-409C-BE32-E72D297353CC}">
              <c16:uniqueId val="{00000000-BA4E-4BFC-B716-592E7C2A8574}"/>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44604850263027157"/>
                  <c:y val="0.209966134815560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'P.ESTAMBUL AP2 M2 '!$E$34:$H$34</c:f>
              <c:numCache>
                <c:formatCode>0.00</c:formatCode>
                <c:ptCount val="4"/>
                <c:pt idx="0">
                  <c:v>8.1624197223948673</c:v>
                </c:pt>
                <c:pt idx="1">
                  <c:v>10.235359354302092</c:v>
                </c:pt>
                <c:pt idx="2">
                  <c:v>12.815458988666784</c:v>
                </c:pt>
                <c:pt idx="3">
                  <c:v>17.035174751397335</c:v>
                </c:pt>
              </c:numCache>
            </c:numRef>
          </c:xVal>
          <c:yVal>
            <c:numRef>
              <c:f>'P.ESTAMBUL AP2 M2 '!$E$37:$H$37</c:f>
              <c:numCache>
                <c:formatCode>0.0000</c:formatCode>
                <c:ptCount val="4"/>
                <c:pt idx="0">
                  <c:v>1.8305631319156948</c:v>
                </c:pt>
                <c:pt idx="1">
                  <c:v>1.9650692209893874</c:v>
                </c:pt>
                <c:pt idx="2">
                  <c:v>1.8920667262925073</c:v>
                </c:pt>
                <c:pt idx="3">
                  <c:v>1.7013300203235178</c:v>
                </c:pt>
              </c:numCache>
            </c:numRef>
          </c:yVal>
          <c:smooth val="0"/>
          <c:extLst>
            <c:ext xmlns:c16="http://schemas.microsoft.com/office/drawing/2014/chart" uri="{C3380CC4-5D6E-409C-BE32-E72D297353CC}">
              <c16:uniqueId val="{00000001-05C2-4978-A21F-D4328AAB2796}"/>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'P.ESTAMBUL AP2 M2 '!$E$34:$H$34</c:f>
              <c:numCache>
                <c:formatCode>0.00</c:formatCode>
                <c:ptCount val="4"/>
                <c:pt idx="0">
                  <c:v>8.1624197223948673</c:v>
                </c:pt>
                <c:pt idx="1">
                  <c:v>10.235359354302092</c:v>
                </c:pt>
                <c:pt idx="2">
                  <c:v>12.815458988666784</c:v>
                </c:pt>
                <c:pt idx="3">
                  <c:v>17.035174751397335</c:v>
                </c:pt>
              </c:numCache>
            </c:numRef>
          </c:xVal>
          <c:yVal>
            <c:numRef>
              <c:f>'P.ESTAMBUL AP2 M2 '!$G$83:$J$83</c:f>
              <c:numCache>
                <c:formatCode>General</c:formatCode>
                <c:ptCount val="4"/>
                <c:pt idx="0">
                  <c:v>2.1637888500830664</c:v>
                </c:pt>
                <c:pt idx="1">
                  <c:v>2.0691802012269758</c:v>
                </c:pt>
                <c:pt idx="2">
                  <c:v>1.962385405497427</c:v>
                </c:pt>
                <c:pt idx="3">
                  <c:v>1.8096326933884785</c:v>
                </c:pt>
              </c:numCache>
            </c:numRef>
          </c:yVal>
          <c:smooth val="0"/>
          <c:extLst>
            <c:ext xmlns:c16="http://schemas.microsoft.com/office/drawing/2014/chart" uri="{C3380CC4-5D6E-409C-BE32-E72D297353CC}">
              <c16:uniqueId val="{00000003-05C2-4978-A21F-D4328AAB2796}"/>
            </c:ext>
          </c:extLst>
        </c:ser>
        <c:dLbls>
          <c:showLegendKey val="0"/>
          <c:showVal val="0"/>
          <c:showCatName val="0"/>
          <c:showSerName val="0"/>
          <c:showPercent val="0"/>
          <c:showBubbleSize val="0"/>
        </c:dLbls>
        <c:axId val="862226368"/>
        <c:axId val="862172912"/>
      </c:scatterChart>
      <c:valAx>
        <c:axId val="862226368"/>
        <c:scaling>
          <c:orientation val="minMax"/>
          <c:max val="30"/>
          <c:min val="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'P.ESTAMBUL AP2 M2 '!$AJ$91:$AL$91</c:f>
              <c:numCache>
                <c:formatCode>0.000</c:formatCode>
                <c:ptCount val="3"/>
                <c:pt idx="0">
                  <c:v>1.9462335389457492</c:v>
                </c:pt>
                <c:pt idx="1">
                  <c:v>1.7897386070204311</c:v>
                </c:pt>
                <c:pt idx="2">
                  <c:v>1.7548447203578936</c:v>
                </c:pt>
              </c:numCache>
            </c:numRef>
          </c:xVal>
          <c:yVal>
            <c:numRef>
              <c:f>'P.ESTAMBUL AP2 M2 '!$AJ$94:$AL$94</c:f>
              <c:numCache>
                <c:formatCode>0.000</c:formatCode>
                <c:ptCount val="3"/>
                <c:pt idx="0">
                  <c:v>5.1684820115822001</c:v>
                </c:pt>
                <c:pt idx="1">
                  <c:v>2.8574508103908163</c:v>
                </c:pt>
                <c:pt idx="2">
                  <c:v>2.1430881077931119</c:v>
                </c:pt>
              </c:numCache>
            </c:numRef>
          </c:yVal>
          <c:smooth val="1"/>
          <c:extLst>
            <c:ext xmlns:c16="http://schemas.microsoft.com/office/drawing/2014/chart" uri="{C3380CC4-5D6E-409C-BE32-E72D297353CC}">
              <c16:uniqueId val="{00000001-BA86-484A-A4B3-16F10B2859DB}"/>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'P.ESTAMBUL AP2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AP2 M2 '!$AM$75:$AM$86</c:f>
              <c:numCache>
                <c:formatCode>0.000</c:formatCode>
                <c:ptCount val="12"/>
                <c:pt idx="0">
                  <c:v>0</c:v>
                </c:pt>
                <c:pt idx="1">
                  <c:v>0.10559006211180123</c:v>
                </c:pt>
                <c:pt idx="2">
                  <c:v>0.19461697722567287</c:v>
                </c:pt>
                <c:pt idx="3">
                  <c:v>0.25724637681159418</c:v>
                </c:pt>
                <c:pt idx="4">
                  <c:v>0.35662525879917184</c:v>
                </c:pt>
                <c:pt idx="5">
                  <c:v>0.41149068322981369</c:v>
                </c:pt>
                <c:pt idx="6">
                  <c:v>0.48861283643892334</c:v>
                </c:pt>
                <c:pt idx="7">
                  <c:v>0.56832298136645965</c:v>
                </c:pt>
                <c:pt idx="8">
                  <c:v>0.63612836438923404</c:v>
                </c:pt>
                <c:pt idx="9">
                  <c:v>0.90424430641821951</c:v>
                </c:pt>
                <c:pt idx="10">
                  <c:v>1.1671842650103519</c:v>
                </c:pt>
                <c:pt idx="11">
                  <c:v>1.3907867494824018</c:v>
                </c:pt>
              </c:numCache>
            </c:numRef>
          </c:yVal>
          <c:smooth val="1"/>
          <c:extLst>
            <c:ext xmlns:c16="http://schemas.microsoft.com/office/drawing/2014/chart" uri="{C3380CC4-5D6E-409C-BE32-E72D297353CC}">
              <c16:uniqueId val="{00000000-13E7-4284-AEAD-636CA4D0BD86}"/>
            </c:ext>
          </c:extLst>
        </c:ser>
        <c:ser>
          <c:idx val="1"/>
          <c:order val="1"/>
          <c:tx>
            <c:v>26 golpes</c:v>
          </c:tx>
          <c:marker>
            <c:symbol val="circle"/>
            <c:size val="3"/>
            <c:spPr>
              <a:solidFill>
                <a:srgbClr val="00B050"/>
              </a:solidFill>
              <a:ln>
                <a:solidFill>
                  <a:srgbClr val="00B050">
                    <a:alpha val="50000"/>
                  </a:srgbClr>
                </a:solidFill>
                <a:prstDash val="solid"/>
              </a:ln>
            </c:spPr>
          </c:marker>
          <c:xVal>
            <c:numRef>
              <c:f>'P.ESTAMBUL AP2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AP2 M2 '!$AO$75:$AO$86</c:f>
              <c:numCache>
                <c:formatCode>0.000</c:formatCode>
                <c:ptCount val="12"/>
                <c:pt idx="0">
                  <c:v>0</c:v>
                </c:pt>
                <c:pt idx="1">
                  <c:v>5.7208237986270033E-2</c:v>
                </c:pt>
                <c:pt idx="2">
                  <c:v>0.10317914351095128</c:v>
                </c:pt>
                <c:pt idx="3">
                  <c:v>0.15017162471395878</c:v>
                </c:pt>
                <c:pt idx="4">
                  <c:v>0.19716410591696631</c:v>
                </c:pt>
                <c:pt idx="5">
                  <c:v>0.25539391958156255</c:v>
                </c:pt>
                <c:pt idx="6">
                  <c:v>0.31464530892448517</c:v>
                </c:pt>
                <c:pt idx="7">
                  <c:v>0.37491827394573385</c:v>
                </c:pt>
                <c:pt idx="8">
                  <c:v>0.41850550288765392</c:v>
                </c:pt>
                <c:pt idx="9">
                  <c:v>0.59472049689440998</c:v>
                </c:pt>
                <c:pt idx="10">
                  <c:v>0.76788438487523147</c:v>
                </c:pt>
                <c:pt idx="11">
                  <c:v>0.92384493843303916</c:v>
                </c:pt>
              </c:numCache>
            </c:numRef>
          </c:yVal>
          <c:smooth val="1"/>
          <c:extLst>
            <c:ext xmlns:c16="http://schemas.microsoft.com/office/drawing/2014/chart" uri="{C3380CC4-5D6E-409C-BE32-E72D297353CC}">
              <c16:uniqueId val="{00000001-13E7-4284-AEAD-636CA4D0BD86}"/>
            </c:ext>
          </c:extLst>
        </c:ser>
        <c:ser>
          <c:idx val="2"/>
          <c:order val="2"/>
          <c:tx>
            <c:v>56 golpes</c:v>
          </c:tx>
          <c:marker>
            <c:symbol val="circle"/>
            <c:size val="3"/>
            <c:spPr>
              <a:solidFill>
                <a:srgbClr val="00B050"/>
              </a:solidFill>
              <a:ln>
                <a:solidFill>
                  <a:srgbClr val="00B050">
                    <a:alpha val="50000"/>
                  </a:srgbClr>
                </a:solidFill>
                <a:prstDash val="solid"/>
              </a:ln>
            </c:spPr>
          </c:marker>
          <c:xVal>
            <c:numRef>
              <c:f>'P.ESTAMBUL AP2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AP2 M2 '!$AQ$75:$AQ$86</c:f>
              <c:numCache>
                <c:formatCode>0.000</c:formatCode>
                <c:ptCount val="12"/>
                <c:pt idx="0">
                  <c:v>0</c:v>
                </c:pt>
                <c:pt idx="1">
                  <c:v>4.0372670807453416E-2</c:v>
                </c:pt>
                <c:pt idx="2">
                  <c:v>7.5051759834368514E-2</c:v>
                </c:pt>
                <c:pt idx="3">
                  <c:v>0.11262871853546909</c:v>
                </c:pt>
                <c:pt idx="4">
                  <c:v>0.14787307943772474</c:v>
                </c:pt>
                <c:pt idx="5">
                  <c:v>0.19154543968617194</c:v>
                </c:pt>
                <c:pt idx="6">
                  <c:v>0.23598398169336385</c:v>
                </c:pt>
                <c:pt idx="7">
                  <c:v>0.28118870545930047</c:v>
                </c:pt>
                <c:pt idx="8">
                  <c:v>0.3138791271657404</c:v>
                </c:pt>
                <c:pt idx="9">
                  <c:v>0.44617317750898994</c:v>
                </c:pt>
                <c:pt idx="10">
                  <c:v>0.51190476190476186</c:v>
                </c:pt>
                <c:pt idx="11">
                  <c:v>0.57246376811594213</c:v>
                </c:pt>
              </c:numCache>
            </c:numRef>
          </c:yVal>
          <c:smooth val="1"/>
          <c:extLst>
            <c:ext xmlns:c16="http://schemas.microsoft.com/office/drawing/2014/chart" uri="{C3380CC4-5D6E-409C-BE32-E72D297353CC}">
              <c16:uniqueId val="{00000002-13E7-4284-AEAD-636CA4D0BD86}"/>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'P.ESTAMBUL AP2 M2 '!$E$34:$H$34</c:f>
              <c:numCache>
                <c:formatCode>0.00</c:formatCode>
                <c:ptCount val="4"/>
                <c:pt idx="0">
                  <c:v>8.1624197223948673</c:v>
                </c:pt>
                <c:pt idx="1">
                  <c:v>10.235359354302092</c:v>
                </c:pt>
                <c:pt idx="2">
                  <c:v>12.815458988666784</c:v>
                </c:pt>
                <c:pt idx="3">
                  <c:v>17.035174751397335</c:v>
                </c:pt>
              </c:numCache>
            </c:numRef>
          </c:xVal>
          <c:yVal>
            <c:numRef>
              <c:f>'P.ESTAMBUL AP2 M2 '!$E$37:$H$37</c:f>
              <c:numCache>
                <c:formatCode>0.0000</c:formatCode>
                <c:ptCount val="4"/>
                <c:pt idx="0">
                  <c:v>1.8305631319156948</c:v>
                </c:pt>
                <c:pt idx="1">
                  <c:v>1.9650692209893874</c:v>
                </c:pt>
                <c:pt idx="2">
                  <c:v>1.8920667262925073</c:v>
                </c:pt>
                <c:pt idx="3">
                  <c:v>1.7013300203235178</c:v>
                </c:pt>
              </c:numCache>
            </c:numRef>
          </c:yVal>
          <c:smooth val="1"/>
          <c:extLst>
            <c:ext xmlns:c16="http://schemas.microsoft.com/office/drawing/2014/chart" uri="{C3380CC4-5D6E-409C-BE32-E72D297353CC}">
              <c16:uniqueId val="{00000000-3CDC-4521-8CAA-65CD88F98830}"/>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2867456423282381"/>
                  <c:y val="0.26047268549186825"/>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'P.ESTAMBUL AP3 M2 '!$E$34:$H$34</c:f>
              <c:numCache>
                <c:formatCode>0.00</c:formatCode>
                <c:ptCount val="4"/>
                <c:pt idx="0">
                  <c:v>4.3742547189017715</c:v>
                </c:pt>
                <c:pt idx="1">
                  <c:v>6.2554251953070237</c:v>
                </c:pt>
                <c:pt idx="2">
                  <c:v>8.0313517915309536</c:v>
                </c:pt>
                <c:pt idx="3">
                  <c:v>10.870397177989657</c:v>
                </c:pt>
              </c:numCache>
            </c:numRef>
          </c:xVal>
          <c:yVal>
            <c:numRef>
              <c:f>'P.ESTAMBUL AP3 M2 '!$E$37:$H$37</c:f>
              <c:numCache>
                <c:formatCode>0.0000</c:formatCode>
                <c:ptCount val="4"/>
                <c:pt idx="0">
                  <c:v>2.0450864702099532</c:v>
                </c:pt>
                <c:pt idx="1">
                  <c:v>2.1880797529083371</c:v>
                </c:pt>
                <c:pt idx="2">
                  <c:v>2.125822640130222</c:v>
                </c:pt>
                <c:pt idx="3">
                  <c:v>1.9294593593696656</c:v>
                </c:pt>
              </c:numCache>
            </c:numRef>
          </c:yVal>
          <c:smooth val="0"/>
          <c:extLst>
            <c:ext xmlns:c16="http://schemas.microsoft.com/office/drawing/2014/chart" uri="{C3380CC4-5D6E-409C-BE32-E72D297353CC}">
              <c16:uniqueId val="{00000001-2717-4369-821B-EE561F72B087}"/>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'P.ESTAMBUL AP3 M2 '!$E$34:$H$34</c:f>
              <c:numCache>
                <c:formatCode>0.00</c:formatCode>
                <c:ptCount val="4"/>
                <c:pt idx="0">
                  <c:v>4.3742547189017715</c:v>
                </c:pt>
                <c:pt idx="1">
                  <c:v>6.2554251953070237</c:v>
                </c:pt>
                <c:pt idx="2">
                  <c:v>8.0313517915309536</c:v>
                </c:pt>
                <c:pt idx="3">
                  <c:v>10.870397177989657</c:v>
                </c:pt>
              </c:numCache>
            </c:numRef>
          </c:xVal>
          <c:yVal>
            <c:numRef>
              <c:f>'P.ESTAMBUL AP3 M2 '!$G$83:$J$83</c:f>
              <c:numCache>
                <c:formatCode>General</c:formatCode>
                <c:ptCount val="4"/>
                <c:pt idx="0">
                  <c:v>2.368919100088962</c:v>
                </c:pt>
                <c:pt idx="1">
                  <c:v>2.2659833823613966</c:v>
                </c:pt>
                <c:pt idx="2">
                  <c:v>2.176691968580343</c:v>
                </c:pt>
                <c:pt idx="3">
                  <c:v>2.0476988928208946</c:v>
                </c:pt>
              </c:numCache>
            </c:numRef>
          </c:yVal>
          <c:smooth val="0"/>
          <c:extLst>
            <c:ext xmlns:c16="http://schemas.microsoft.com/office/drawing/2014/chart" uri="{C3380CC4-5D6E-409C-BE32-E72D297353CC}">
              <c16:uniqueId val="{00000003-2717-4369-821B-EE561F72B087}"/>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'P.ESTAMBUL AP3 M2 '!$AJ$91:$AL$91</c:f>
              <c:numCache>
                <c:formatCode>0.000</c:formatCode>
                <c:ptCount val="3"/>
                <c:pt idx="0">
                  <c:v>2.1483628756063595</c:v>
                </c:pt>
                <c:pt idx="1">
                  <c:v>2.0109027911588413</c:v>
                </c:pt>
                <c:pt idx="2">
                  <c:v>1.8109062617301852</c:v>
                </c:pt>
              </c:numCache>
            </c:numRef>
          </c:xVal>
          <c:yVal>
            <c:numRef>
              <c:f>'P.ESTAMBUL AP3 M2 '!$AJ$94:$AL$94</c:f>
              <c:numCache>
                <c:formatCode>0.000</c:formatCode>
                <c:ptCount val="3"/>
                <c:pt idx="0">
                  <c:v>17.14825816905212</c:v>
                </c:pt>
                <c:pt idx="1">
                  <c:v>11.281748795429024</c:v>
                </c:pt>
                <c:pt idx="2">
                  <c:v>8.4613115965717682</c:v>
                </c:pt>
              </c:numCache>
            </c:numRef>
          </c:yVal>
          <c:smooth val="1"/>
          <c:extLst>
            <c:ext xmlns:c16="http://schemas.microsoft.com/office/drawing/2014/chart" uri="{C3380CC4-5D6E-409C-BE32-E72D297353CC}">
              <c16:uniqueId val="{00000001-B9DD-4FFF-B396-49643259890D}"/>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'P.ESTAMBUL AP3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AP3 M2 '!$AM$75:$AM$86</c:f>
              <c:numCache>
                <c:formatCode>0.000</c:formatCode>
                <c:ptCount val="12"/>
                <c:pt idx="0">
                  <c:v>6.4699792960662528E-2</c:v>
                </c:pt>
                <c:pt idx="1">
                  <c:v>0.25724637681159418</c:v>
                </c:pt>
                <c:pt idx="2">
                  <c:v>0.54658385093167705</c:v>
                </c:pt>
                <c:pt idx="3">
                  <c:v>0.89648033126293991</c:v>
                </c:pt>
                <c:pt idx="4">
                  <c:v>1.1832298136645965</c:v>
                </c:pt>
                <c:pt idx="5">
                  <c:v>1.6035196687370599</c:v>
                </c:pt>
                <c:pt idx="6">
                  <c:v>1.9989648033126295</c:v>
                </c:pt>
                <c:pt idx="7">
                  <c:v>2.4834368530020705</c:v>
                </c:pt>
                <c:pt idx="8">
                  <c:v>2.9057971014492749</c:v>
                </c:pt>
                <c:pt idx="9">
                  <c:v>4.3995859213250519</c:v>
                </c:pt>
                <c:pt idx="10">
                  <c:v>5.7567287784679086</c:v>
                </c:pt>
                <c:pt idx="11">
                  <c:v>6.5625776397515532</c:v>
                </c:pt>
              </c:numCache>
            </c:numRef>
          </c:yVal>
          <c:smooth val="1"/>
          <c:extLst>
            <c:ext xmlns:c16="http://schemas.microsoft.com/office/drawing/2014/chart" uri="{C3380CC4-5D6E-409C-BE32-E72D297353CC}">
              <c16:uniqueId val="{00000000-F3E9-4C66-B2E9-B01C370CF223}"/>
            </c:ext>
          </c:extLst>
        </c:ser>
        <c:ser>
          <c:idx val="1"/>
          <c:order val="1"/>
          <c:tx>
            <c:v>26 golpes</c:v>
          </c:tx>
          <c:marker>
            <c:symbol val="circle"/>
            <c:size val="3"/>
            <c:spPr>
              <a:solidFill>
                <a:srgbClr val="00B050"/>
              </a:solidFill>
              <a:ln>
                <a:solidFill>
                  <a:srgbClr val="00B050">
                    <a:alpha val="50000"/>
                  </a:srgbClr>
                </a:solidFill>
                <a:prstDash val="solid"/>
              </a:ln>
            </c:spPr>
          </c:marker>
          <c:xVal>
            <c:numRef>
              <c:f>'P.ESTAMBUL AP3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AP3 M2 '!$AO$75:$AO$86</c:f>
              <c:numCache>
                <c:formatCode>0.000</c:formatCode>
                <c:ptCount val="12"/>
                <c:pt idx="0">
                  <c:v>3.5921325051759836E-2</c:v>
                </c:pt>
                <c:pt idx="1">
                  <c:v>0.16140895717554754</c:v>
                </c:pt>
                <c:pt idx="2">
                  <c:v>0.33541734771711884</c:v>
                </c:pt>
                <c:pt idx="3">
                  <c:v>0.55709926991391523</c:v>
                </c:pt>
                <c:pt idx="4">
                  <c:v>0.77844066688460278</c:v>
                </c:pt>
                <c:pt idx="5">
                  <c:v>1.0157867494824018</c:v>
                </c:pt>
                <c:pt idx="6">
                  <c:v>1.3151084232319932</c:v>
                </c:pt>
                <c:pt idx="7">
                  <c:v>1.6338400348697832</c:v>
                </c:pt>
                <c:pt idx="8">
                  <c:v>1.9117086193745234</c:v>
                </c:pt>
                <c:pt idx="9">
                  <c:v>2.8944099378881987</c:v>
                </c:pt>
                <c:pt idx="10">
                  <c:v>3.7873215647815188</c:v>
                </c:pt>
                <c:pt idx="11">
                  <c:v>4.4438542007191897</c:v>
                </c:pt>
              </c:numCache>
            </c:numRef>
          </c:yVal>
          <c:smooth val="1"/>
          <c:extLst>
            <c:ext xmlns:c16="http://schemas.microsoft.com/office/drawing/2014/chart" uri="{C3380CC4-5D6E-409C-BE32-E72D297353CC}">
              <c16:uniqueId val="{00000001-F3E9-4C66-B2E9-B01C370CF223}"/>
            </c:ext>
          </c:extLst>
        </c:ser>
        <c:ser>
          <c:idx val="2"/>
          <c:order val="2"/>
          <c:tx>
            <c:v>56 golpes</c:v>
          </c:tx>
          <c:marker>
            <c:symbol val="circle"/>
            <c:size val="3"/>
            <c:spPr>
              <a:solidFill>
                <a:srgbClr val="00B050"/>
              </a:solidFill>
              <a:ln>
                <a:solidFill>
                  <a:srgbClr val="00B050">
                    <a:alpha val="50000"/>
                  </a:srgbClr>
                </a:solidFill>
                <a:prstDash val="solid"/>
              </a:ln>
            </c:spPr>
          </c:marker>
          <c:xVal>
            <c:numRef>
              <c:f>'P.ESTAMBUL AP3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'P.ESTAMBUL AP3 M2 '!$AQ$75:$AQ$86</c:f>
              <c:numCache>
                <c:formatCode>0.000</c:formatCode>
                <c:ptCount val="12"/>
                <c:pt idx="0">
                  <c:v>2.6563146997929603E-2</c:v>
                </c:pt>
                <c:pt idx="1">
                  <c:v>0.10714285714285715</c:v>
                </c:pt>
                <c:pt idx="2">
                  <c:v>0.24275362318840576</c:v>
                </c:pt>
                <c:pt idx="3">
                  <c:v>0.41782445243543637</c:v>
                </c:pt>
                <c:pt idx="4">
                  <c:v>0.58383050016345206</c:v>
                </c:pt>
                <c:pt idx="5">
                  <c:v>0.76184006211180133</c:v>
                </c:pt>
                <c:pt idx="6">
                  <c:v>0.98633131742399494</c:v>
                </c:pt>
                <c:pt idx="7">
                  <c:v>1.2253800261523373</c:v>
                </c:pt>
                <c:pt idx="8">
                  <c:v>1.4337814645308924</c:v>
                </c:pt>
                <c:pt idx="9">
                  <c:v>2.1708483164432821</c:v>
                </c:pt>
                <c:pt idx="10">
                  <c:v>2.7305383022774325</c:v>
                </c:pt>
                <c:pt idx="11">
                  <c:v>3.0432194616977224</c:v>
                </c:pt>
              </c:numCache>
            </c:numRef>
          </c:yVal>
          <c:smooth val="1"/>
          <c:extLst>
            <c:ext xmlns:c16="http://schemas.microsoft.com/office/drawing/2014/chart" uri="{C3380CC4-5D6E-409C-BE32-E72D297353CC}">
              <c16:uniqueId val="{00000002-F3E9-4C66-B2E9-B01C370CF223}"/>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'P.ESTAMBUL AP3 M2 '!$E$34:$H$34</c:f>
              <c:numCache>
                <c:formatCode>0.00</c:formatCode>
                <c:ptCount val="4"/>
                <c:pt idx="0">
                  <c:v>4.3742547189017715</c:v>
                </c:pt>
                <c:pt idx="1">
                  <c:v>6.2554251953070237</c:v>
                </c:pt>
                <c:pt idx="2">
                  <c:v>8.0313517915309536</c:v>
                </c:pt>
                <c:pt idx="3">
                  <c:v>10.870397177989657</c:v>
                </c:pt>
              </c:numCache>
            </c:numRef>
          </c:xVal>
          <c:yVal>
            <c:numRef>
              <c:f>'P.ESTAMBUL AP3 M2 '!$E$37:$H$37</c:f>
              <c:numCache>
                <c:formatCode>0.0000</c:formatCode>
                <c:ptCount val="4"/>
                <c:pt idx="0">
                  <c:v>2.0450864702099532</c:v>
                </c:pt>
                <c:pt idx="1">
                  <c:v>2.1880797529083371</c:v>
                </c:pt>
                <c:pt idx="2">
                  <c:v>2.125822640130222</c:v>
                </c:pt>
                <c:pt idx="3">
                  <c:v>1.9294593593696656</c:v>
                </c:pt>
              </c:numCache>
            </c:numRef>
          </c:yVal>
          <c:smooth val="1"/>
          <c:extLst>
            <c:ext xmlns:c16="http://schemas.microsoft.com/office/drawing/2014/chart" uri="{C3380CC4-5D6E-409C-BE32-E72D297353CC}">
              <c16:uniqueId val="{00000000-8FB0-4BF8-BFF7-BF560E93E50E}"/>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1598600285793559"/>
                  <c:y val="0.15712198844217323"/>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'P-MEDIACANOA AP3 M2'!$E$34:$H$34</c:f>
              <c:numCache>
                <c:formatCode>0.00</c:formatCode>
                <c:ptCount val="4"/>
                <c:pt idx="0">
                  <c:v>6.4610928657125273</c:v>
                </c:pt>
                <c:pt idx="1">
                  <c:v>9.8484089953341112</c:v>
                </c:pt>
                <c:pt idx="2">
                  <c:v>12.20043219003362</c:v>
                </c:pt>
                <c:pt idx="3">
                  <c:v>15.014818521227047</c:v>
                </c:pt>
              </c:numCache>
            </c:numRef>
          </c:xVal>
          <c:yVal>
            <c:numRef>
              <c:f>'P-MEDIACANOA AP3 M2'!$E$37:$H$37</c:f>
              <c:numCache>
                <c:formatCode>0.0000</c:formatCode>
                <c:ptCount val="4"/>
                <c:pt idx="0">
                  <c:v>1.8501963856876547</c:v>
                </c:pt>
                <c:pt idx="1">
                  <c:v>1.9317293246610714</c:v>
                </c:pt>
                <c:pt idx="2">
                  <c:v>1.9451755237538038</c:v>
                </c:pt>
                <c:pt idx="3">
                  <c:v>1.7967889558645134</c:v>
                </c:pt>
              </c:numCache>
            </c:numRef>
          </c:yVal>
          <c:smooth val="0"/>
          <c:extLst>
            <c:ext xmlns:c16="http://schemas.microsoft.com/office/drawing/2014/chart" uri="{C3380CC4-5D6E-409C-BE32-E72D297353CC}">
              <c16:uniqueId val="{00000001-450B-452E-A9C7-13E05A5C1627}"/>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'P-MEDIACANOA AP3 M2'!$E$34:$H$34</c:f>
              <c:numCache>
                <c:formatCode>0.00</c:formatCode>
                <c:ptCount val="4"/>
                <c:pt idx="0">
                  <c:v>6.4610928657125273</c:v>
                </c:pt>
                <c:pt idx="1">
                  <c:v>9.8484089953341112</c:v>
                </c:pt>
                <c:pt idx="2">
                  <c:v>12.20043219003362</c:v>
                </c:pt>
                <c:pt idx="3">
                  <c:v>15.014818521227047</c:v>
                </c:pt>
              </c:numCache>
            </c:numRef>
          </c:xVal>
          <c:yVal>
            <c:numRef>
              <c:f>'P-MEDIACANOA AP3 M2'!$G$83:$J$83</c:f>
              <c:numCache>
                <c:formatCode>General</c:formatCode>
                <c:ptCount val="4"/>
                <c:pt idx="0">
                  <c:v>2.2124552063024576</c:v>
                </c:pt>
                <c:pt idx="1">
                  <c:v>2.0554318381348415</c:v>
                </c:pt>
                <c:pt idx="2">
                  <c:v>1.958896321971185</c:v>
                </c:pt>
                <c:pt idx="3">
                  <c:v>1.8546665027547136</c:v>
                </c:pt>
              </c:numCache>
            </c:numRef>
          </c:yVal>
          <c:smooth val="0"/>
          <c:extLst>
            <c:ext xmlns:c16="http://schemas.microsoft.com/office/drawing/2014/chart" uri="{C3380CC4-5D6E-409C-BE32-E72D297353CC}">
              <c16:uniqueId val="{00000003-450B-452E-A9C7-13E05A5C1627}"/>
            </c:ext>
          </c:extLst>
        </c:ser>
        <c:dLbls>
          <c:showLegendKey val="0"/>
          <c:showVal val="0"/>
          <c:showCatName val="0"/>
          <c:showSerName val="0"/>
          <c:showPercent val="0"/>
          <c:showBubbleSize val="0"/>
        </c:dLbls>
        <c:axId val="862226368"/>
        <c:axId val="862172912"/>
      </c:scatterChart>
      <c:valAx>
        <c:axId val="862226368"/>
        <c:scaling>
          <c:orientation val="minMax"/>
          <c:max val="2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'P-MEDIACANOA AP3 M2'!$AJ$91:$AL$91</c:f>
              <c:numCache>
                <c:formatCode>0.000</c:formatCode>
                <c:ptCount val="3"/>
                <c:pt idx="0">
                  <c:v>1.9383138189469469</c:v>
                </c:pt>
                <c:pt idx="1">
                  <c:v>1.819286173560652</c:v>
                </c:pt>
                <c:pt idx="2">
                  <c:v>1.6810400907309042</c:v>
                </c:pt>
              </c:numCache>
            </c:numRef>
          </c:xVal>
          <c:yVal>
            <c:numRef>
              <c:f>'P-MEDIACANOA AP3 M2'!$AJ$94:$AL$94</c:f>
              <c:numCache>
                <c:formatCode>0.000</c:formatCode>
                <c:ptCount val="3"/>
                <c:pt idx="0">
                  <c:v>5.1759834368530013</c:v>
                </c:pt>
                <c:pt idx="1">
                  <c:v>3.4052522610875013</c:v>
                </c:pt>
                <c:pt idx="2">
                  <c:v>2.5539391958156252</c:v>
                </c:pt>
              </c:numCache>
            </c:numRef>
          </c:yVal>
          <c:smooth val="1"/>
          <c:extLst>
            <c:ext xmlns:c16="http://schemas.microsoft.com/office/drawing/2014/chart" uri="{C3380CC4-5D6E-409C-BE32-E72D297353CC}">
              <c16:uniqueId val="{00000001-98E7-42BC-9F83-B03847A7ACD4}"/>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'P-MEDIACANOA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AP3 M2'!$AM$75:$AM$86</c:f>
              <c:numCache>
                <c:formatCode>0.000</c:formatCode>
                <c:ptCount val="12"/>
                <c:pt idx="0">
                  <c:v>0</c:v>
                </c:pt>
                <c:pt idx="1">
                  <c:v>8.7991718426501039E-2</c:v>
                </c:pt>
                <c:pt idx="2">
                  <c:v>0.17028985507246377</c:v>
                </c:pt>
                <c:pt idx="3">
                  <c:v>0.2691511387163561</c:v>
                </c:pt>
                <c:pt idx="4">
                  <c:v>0.3571428571428571</c:v>
                </c:pt>
                <c:pt idx="5">
                  <c:v>0.44306418219461696</c:v>
                </c:pt>
                <c:pt idx="6">
                  <c:v>0.55072463768115942</c:v>
                </c:pt>
                <c:pt idx="7">
                  <c:v>0.6454451345755694</c:v>
                </c:pt>
                <c:pt idx="8">
                  <c:v>0.70600414078674956</c:v>
                </c:pt>
                <c:pt idx="9">
                  <c:v>0.90476190476190477</c:v>
                </c:pt>
                <c:pt idx="10">
                  <c:v>1.0724637681159419</c:v>
                </c:pt>
                <c:pt idx="11">
                  <c:v>1.2769151138716355</c:v>
                </c:pt>
              </c:numCache>
            </c:numRef>
          </c:yVal>
          <c:smooth val="1"/>
          <c:extLst>
            <c:ext xmlns:c16="http://schemas.microsoft.com/office/drawing/2014/chart" uri="{C3380CC4-5D6E-409C-BE32-E72D297353CC}">
              <c16:uniqueId val="{00000000-FF2C-4B80-A6A5-4B9A1DE0C936}"/>
            </c:ext>
          </c:extLst>
        </c:ser>
        <c:ser>
          <c:idx val="1"/>
          <c:order val="1"/>
          <c:tx>
            <c:v>26 golpes</c:v>
          </c:tx>
          <c:marker>
            <c:symbol val="circle"/>
            <c:size val="3"/>
            <c:spPr>
              <a:solidFill>
                <a:srgbClr val="00B050"/>
              </a:solidFill>
              <a:ln>
                <a:solidFill>
                  <a:srgbClr val="00B050">
                    <a:alpha val="50000"/>
                  </a:srgbClr>
                </a:solidFill>
                <a:prstDash val="solid"/>
              </a:ln>
            </c:spPr>
          </c:marker>
          <c:xVal>
            <c:numRef>
              <c:f>'P-MEDIACANOA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AP3 M2'!$AO$75:$AO$86</c:f>
              <c:numCache>
                <c:formatCode>0.000</c:formatCode>
                <c:ptCount val="12"/>
                <c:pt idx="0">
                  <c:v>0</c:v>
                </c:pt>
                <c:pt idx="1">
                  <c:v>5.6935817805383024E-2</c:v>
                </c:pt>
                <c:pt idx="2">
                  <c:v>0.11203279938977879</c:v>
                </c:pt>
                <c:pt idx="3">
                  <c:v>0.17707311757655009</c:v>
                </c:pt>
                <c:pt idx="4">
                  <c:v>0.23496240601503759</c:v>
                </c:pt>
                <c:pt idx="5">
                  <c:v>0.2914895935490901</c:v>
                </c:pt>
                <c:pt idx="6">
                  <c:v>0.36231884057971014</c:v>
                </c:pt>
                <c:pt idx="7">
                  <c:v>0.41666666666666674</c:v>
                </c:pt>
                <c:pt idx="8">
                  <c:v>0.46376811594202899</c:v>
                </c:pt>
                <c:pt idx="9">
                  <c:v>0.62474120082815732</c:v>
                </c:pt>
                <c:pt idx="10">
                  <c:v>0.7360248447204969</c:v>
                </c:pt>
                <c:pt idx="11">
                  <c:v>0.84007573281028658</c:v>
                </c:pt>
              </c:numCache>
            </c:numRef>
          </c:yVal>
          <c:smooth val="1"/>
          <c:extLst>
            <c:ext xmlns:c16="http://schemas.microsoft.com/office/drawing/2014/chart" uri="{C3380CC4-5D6E-409C-BE32-E72D297353CC}">
              <c16:uniqueId val="{00000001-FF2C-4B80-A6A5-4B9A1DE0C936}"/>
            </c:ext>
          </c:extLst>
        </c:ser>
        <c:ser>
          <c:idx val="2"/>
          <c:order val="2"/>
          <c:tx>
            <c:v>56 golpes</c:v>
          </c:tx>
          <c:marker>
            <c:symbol val="circle"/>
            <c:size val="3"/>
            <c:spPr>
              <a:solidFill>
                <a:srgbClr val="00B050"/>
              </a:solidFill>
              <a:ln>
                <a:solidFill>
                  <a:srgbClr val="00B050">
                    <a:alpha val="50000"/>
                  </a:srgbClr>
                </a:solidFill>
                <a:prstDash val="solid"/>
              </a:ln>
            </c:spPr>
          </c:marker>
          <c:xVal>
            <c:numRef>
              <c:f>'P-MEDIACANOA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AP3 M2'!$AQ$75:$AQ$86</c:f>
              <c:numCache>
                <c:formatCode>0.000</c:formatCode>
                <c:ptCount val="12"/>
                <c:pt idx="0">
                  <c:v>0</c:v>
                </c:pt>
                <c:pt idx="1">
                  <c:v>4.0372670807453416E-2</c:v>
                </c:pt>
                <c:pt idx="2">
                  <c:v>8.40245995423341E-2</c:v>
                </c:pt>
                <c:pt idx="3">
                  <c:v>0.13280483818241257</c:v>
                </c:pt>
                <c:pt idx="4">
                  <c:v>0.17622180451127817</c:v>
                </c:pt>
                <c:pt idx="5">
                  <c:v>0.2186171951618176</c:v>
                </c:pt>
                <c:pt idx="6">
                  <c:v>0.27173913043478259</c:v>
                </c:pt>
                <c:pt idx="7">
                  <c:v>0.30952380952380948</c:v>
                </c:pt>
                <c:pt idx="8">
                  <c:v>0.33902691511387167</c:v>
                </c:pt>
                <c:pt idx="9">
                  <c:v>0.4464285714285714</c:v>
                </c:pt>
                <c:pt idx="10">
                  <c:v>0.50621118012422361</c:v>
                </c:pt>
                <c:pt idx="11">
                  <c:v>0.52220496894409929</c:v>
                </c:pt>
              </c:numCache>
            </c:numRef>
          </c:yVal>
          <c:smooth val="1"/>
          <c:extLst>
            <c:ext xmlns:c16="http://schemas.microsoft.com/office/drawing/2014/chart" uri="{C3380CC4-5D6E-409C-BE32-E72D297353CC}">
              <c16:uniqueId val="{00000002-FF2C-4B80-A6A5-4B9A1DE0C936}"/>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'P-MEDIACANOA AP3 M2'!$E$34:$H$34</c:f>
              <c:numCache>
                <c:formatCode>0.00</c:formatCode>
                <c:ptCount val="4"/>
                <c:pt idx="0">
                  <c:v>6.4610928657125273</c:v>
                </c:pt>
                <c:pt idx="1">
                  <c:v>9.8484089953341112</c:v>
                </c:pt>
                <c:pt idx="2">
                  <c:v>12.20043219003362</c:v>
                </c:pt>
                <c:pt idx="3">
                  <c:v>15.014818521227047</c:v>
                </c:pt>
              </c:numCache>
            </c:numRef>
          </c:xVal>
          <c:yVal>
            <c:numRef>
              <c:f>'P-MEDIACANOA AP3 M2'!$E$37:$H$37</c:f>
              <c:numCache>
                <c:formatCode>0.0000</c:formatCode>
                <c:ptCount val="4"/>
                <c:pt idx="0">
                  <c:v>1.8501963856876547</c:v>
                </c:pt>
                <c:pt idx="1">
                  <c:v>1.9317293246610714</c:v>
                </c:pt>
                <c:pt idx="2">
                  <c:v>1.9451755237538038</c:v>
                </c:pt>
                <c:pt idx="3">
                  <c:v>1.7967889558645134</c:v>
                </c:pt>
              </c:numCache>
            </c:numRef>
          </c:yVal>
          <c:smooth val="1"/>
          <c:extLst>
            <c:ext xmlns:c16="http://schemas.microsoft.com/office/drawing/2014/chart" uri="{C3380CC4-5D6E-409C-BE32-E72D297353CC}">
              <c16:uniqueId val="{00000000-58FE-4CC1-AE96-FF827DD00013}"/>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4.6753656613802763E-2"/>
                  <c:y val="0.15930091432416923"/>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'P-MEDIACANOA AP4 M2'!$E$34:$H$34</c:f>
              <c:numCache>
                <c:formatCode>0.00</c:formatCode>
                <c:ptCount val="4"/>
                <c:pt idx="0">
                  <c:v>6.0979309507918211</c:v>
                </c:pt>
                <c:pt idx="1">
                  <c:v>8.5490830636461723</c:v>
                </c:pt>
                <c:pt idx="2">
                  <c:v>11.532283970446516</c:v>
                </c:pt>
                <c:pt idx="3">
                  <c:v>14.092926597737113</c:v>
                </c:pt>
              </c:numCache>
            </c:numRef>
          </c:xVal>
          <c:yVal>
            <c:numRef>
              <c:f>'P-MEDIACANOA AP4 M2'!$E$37:$H$37</c:f>
              <c:numCache>
                <c:formatCode>0.0000</c:formatCode>
                <c:ptCount val="4"/>
                <c:pt idx="0">
                  <c:v>1.9850954985856202</c:v>
                </c:pt>
                <c:pt idx="1">
                  <c:v>2.0487775425934278</c:v>
                </c:pt>
                <c:pt idx="2">
                  <c:v>2.038641132250341</c:v>
                </c:pt>
                <c:pt idx="3">
                  <c:v>1.8921000557361083</c:v>
                </c:pt>
              </c:numCache>
            </c:numRef>
          </c:yVal>
          <c:smooth val="0"/>
          <c:extLst>
            <c:ext xmlns:c16="http://schemas.microsoft.com/office/drawing/2014/chart" uri="{C3380CC4-5D6E-409C-BE32-E72D297353CC}">
              <c16:uniqueId val="{00000001-1F9A-4414-BB9C-19219155D008}"/>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'P-MEDIACANOA AP4 M2'!$E$34:$H$34</c:f>
              <c:numCache>
                <c:formatCode>0.00</c:formatCode>
                <c:ptCount val="4"/>
                <c:pt idx="0">
                  <c:v>6.0979309507918211</c:v>
                </c:pt>
                <c:pt idx="1">
                  <c:v>8.5490830636461723</c:v>
                </c:pt>
                <c:pt idx="2">
                  <c:v>11.532283970446516</c:v>
                </c:pt>
                <c:pt idx="3">
                  <c:v>14.092926597737113</c:v>
                </c:pt>
              </c:numCache>
            </c:numRef>
          </c:xVal>
          <c:yVal>
            <c:numRef>
              <c:f>'P-MEDIACANOA AP4 M2'!$G$83:$J$83</c:f>
              <c:numCache>
                <c:formatCode>General</c:formatCode>
                <c:ptCount val="4"/>
                <c:pt idx="0">
                  <c:v>2.3031260763100021</c:v>
                </c:pt>
                <c:pt idx="1">
                  <c:v>2.1778012227471168</c:v>
                </c:pt>
                <c:pt idx="2">
                  <c:v>2.0425315305639229</c:v>
                </c:pt>
                <c:pt idx="3">
                  <c:v>1.9391461173151174</c:v>
                </c:pt>
              </c:numCache>
            </c:numRef>
          </c:yVal>
          <c:smooth val="0"/>
          <c:extLst>
            <c:ext xmlns:c16="http://schemas.microsoft.com/office/drawing/2014/chart" uri="{C3380CC4-5D6E-409C-BE32-E72D297353CC}">
              <c16:uniqueId val="{00000003-1F9A-4414-BB9C-19219155D008}"/>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700000000000000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'P-MEDIACANOA AP4 M2'!$AJ$91:$AL$91</c:f>
              <c:numCache>
                <c:formatCode>0.000</c:formatCode>
                <c:ptCount val="3"/>
                <c:pt idx="0">
                  <c:v>2.061070584828363</c:v>
                </c:pt>
                <c:pt idx="1">
                  <c:v>1.9347864637697743</c:v>
                </c:pt>
                <c:pt idx="2">
                  <c:v>1.7989515834604139</c:v>
                </c:pt>
              </c:numCache>
            </c:numRef>
          </c:xVal>
          <c:yVal>
            <c:numRef>
              <c:f>'P-MEDIACANOA AP4 M2'!$AJ$94:$AL$94</c:f>
              <c:numCache>
                <c:formatCode>0.000</c:formatCode>
                <c:ptCount val="3"/>
                <c:pt idx="0">
                  <c:v>22.129204548864287</c:v>
                </c:pt>
                <c:pt idx="1">
                  <c:v>14.185387531323258</c:v>
                </c:pt>
                <c:pt idx="2">
                  <c:v>7.8019631422277929</c:v>
                </c:pt>
              </c:numCache>
            </c:numRef>
          </c:yVal>
          <c:smooth val="1"/>
          <c:extLst>
            <c:ext xmlns:c16="http://schemas.microsoft.com/office/drawing/2014/chart" uri="{C3380CC4-5D6E-409C-BE32-E72D297353CC}">
              <c16:uniqueId val="{00000001-8902-4454-961C-E1784D22B466}"/>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'P-MEDIACANOA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AP4 M2'!$AM$75:$AM$86</c:f>
              <c:numCache>
                <c:formatCode>0.000</c:formatCode>
                <c:ptCount val="12"/>
                <c:pt idx="0">
                  <c:v>0</c:v>
                </c:pt>
                <c:pt idx="1">
                  <c:v>0.24171842650103523</c:v>
                </c:pt>
                <c:pt idx="2">
                  <c:v>0.65890269151138714</c:v>
                </c:pt>
                <c:pt idx="3">
                  <c:v>1.1159420289855073</c:v>
                </c:pt>
                <c:pt idx="4">
                  <c:v>1.5269151138716359</c:v>
                </c:pt>
                <c:pt idx="5">
                  <c:v>1.9285714285714286</c:v>
                </c:pt>
                <c:pt idx="6">
                  <c:v>2.2468944099378882</c:v>
                </c:pt>
                <c:pt idx="7">
                  <c:v>2.520703933747412</c:v>
                </c:pt>
                <c:pt idx="8">
                  <c:v>2.7308488612836439</c:v>
                </c:pt>
                <c:pt idx="9">
                  <c:v>3.5398550724637685</c:v>
                </c:pt>
                <c:pt idx="10">
                  <c:v>4.2826086956521738</c:v>
                </c:pt>
                <c:pt idx="11">
                  <c:v>4.9440993788819867</c:v>
                </c:pt>
              </c:numCache>
            </c:numRef>
          </c:yVal>
          <c:smooth val="1"/>
          <c:extLst>
            <c:ext xmlns:c16="http://schemas.microsoft.com/office/drawing/2014/chart" uri="{C3380CC4-5D6E-409C-BE32-E72D297353CC}">
              <c16:uniqueId val="{00000000-535B-44AC-8A40-FD180AAD162C}"/>
            </c:ext>
          </c:extLst>
        </c:ser>
        <c:ser>
          <c:idx val="1"/>
          <c:order val="1"/>
          <c:tx>
            <c:v>26 golpes</c:v>
          </c:tx>
          <c:marker>
            <c:symbol val="circle"/>
            <c:size val="3"/>
            <c:spPr>
              <a:solidFill>
                <a:srgbClr val="00B050"/>
              </a:solidFill>
              <a:ln>
                <a:solidFill>
                  <a:srgbClr val="00B050">
                    <a:alpha val="50000"/>
                  </a:srgbClr>
                </a:solidFill>
                <a:prstDash val="solid"/>
              </a:ln>
            </c:spPr>
          </c:marker>
          <c:xVal>
            <c:numRef>
              <c:f>'P-MEDIACANOA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AP4 M2'!$AO$75:$AO$86</c:f>
              <c:numCache>
                <c:formatCode>0.000</c:formatCode>
                <c:ptCount val="12"/>
                <c:pt idx="0">
                  <c:v>0</c:v>
                </c:pt>
                <c:pt idx="1">
                  <c:v>0.16407867494824019</c:v>
                </c:pt>
                <c:pt idx="2">
                  <c:v>0.42237352019960706</c:v>
                </c:pt>
                <c:pt idx="3">
                  <c:v>0.71534745447788928</c:v>
                </c:pt>
                <c:pt idx="4">
                  <c:v>0.97879173966130484</c:v>
                </c:pt>
                <c:pt idx="5">
                  <c:v>1.2362637362637361</c:v>
                </c:pt>
                <c:pt idx="6">
                  <c:v>1.4403169294473641</c:v>
                </c:pt>
                <c:pt idx="7">
                  <c:v>1.6158358549662897</c:v>
                </c:pt>
                <c:pt idx="8">
                  <c:v>1.7484472049689441</c:v>
                </c:pt>
                <c:pt idx="9">
                  <c:v>2.2691511387163561</c:v>
                </c:pt>
                <c:pt idx="10">
                  <c:v>2.7452619843924184</c:v>
                </c:pt>
                <c:pt idx="11">
                  <c:v>3.1692944736422994</c:v>
                </c:pt>
              </c:numCache>
            </c:numRef>
          </c:yVal>
          <c:smooth val="1"/>
          <c:extLst>
            <c:ext xmlns:c16="http://schemas.microsoft.com/office/drawing/2014/chart" uri="{C3380CC4-5D6E-409C-BE32-E72D297353CC}">
              <c16:uniqueId val="{00000001-535B-44AC-8A40-FD180AAD162C}"/>
            </c:ext>
          </c:extLst>
        </c:ser>
        <c:ser>
          <c:idx val="2"/>
          <c:order val="2"/>
          <c:tx>
            <c:v>56 golpes</c:v>
          </c:tx>
          <c:marker>
            <c:symbol val="circle"/>
            <c:size val="3"/>
            <c:spPr>
              <a:solidFill>
                <a:srgbClr val="00B050"/>
              </a:solidFill>
              <a:ln>
                <a:solidFill>
                  <a:srgbClr val="00B050">
                    <a:alpha val="50000"/>
                  </a:srgbClr>
                </a:solidFill>
                <a:prstDash val="solid"/>
              </a:ln>
            </c:spPr>
          </c:marker>
          <c:xVal>
            <c:numRef>
              <c:f>'P-MEDIACANOA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AP4 M2'!$AQ$75:$AQ$86</c:f>
              <c:numCache>
                <c:formatCode>0.000</c:formatCode>
                <c:ptCount val="12"/>
                <c:pt idx="0">
                  <c:v>0</c:v>
                </c:pt>
                <c:pt idx="1">
                  <c:v>8.643892339544515E-2</c:v>
                </c:pt>
                <c:pt idx="2">
                  <c:v>0.23230543610978394</c:v>
                </c:pt>
                <c:pt idx="3">
                  <c:v>0.3934410999628391</c:v>
                </c:pt>
                <c:pt idx="4">
                  <c:v>0.53833545681371775</c:v>
                </c:pt>
                <c:pt idx="5">
                  <c:v>0.67994505494505497</c:v>
                </c:pt>
                <c:pt idx="6">
                  <c:v>0.79217431119605042</c:v>
                </c:pt>
                <c:pt idx="7">
                  <c:v>0.88870972023145933</c:v>
                </c:pt>
                <c:pt idx="8">
                  <c:v>0.94720496894409933</c:v>
                </c:pt>
                <c:pt idx="9">
                  <c:v>1.2480258268301749</c:v>
                </c:pt>
                <c:pt idx="10">
                  <c:v>1.5098940914158305</c:v>
                </c:pt>
                <c:pt idx="11">
                  <c:v>1.7431119605032648</c:v>
                </c:pt>
              </c:numCache>
            </c:numRef>
          </c:yVal>
          <c:smooth val="1"/>
          <c:extLst>
            <c:ext xmlns:c16="http://schemas.microsoft.com/office/drawing/2014/chart" uri="{C3380CC4-5D6E-409C-BE32-E72D297353CC}">
              <c16:uniqueId val="{00000002-535B-44AC-8A40-FD180AAD162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'P-MEDIACANOA AP4 M2'!$E$34:$H$34</c:f>
              <c:numCache>
                <c:formatCode>0.00</c:formatCode>
                <c:ptCount val="4"/>
                <c:pt idx="0">
                  <c:v>6.0979309507918211</c:v>
                </c:pt>
                <c:pt idx="1">
                  <c:v>8.5490830636461723</c:v>
                </c:pt>
                <c:pt idx="2">
                  <c:v>11.532283970446516</c:v>
                </c:pt>
                <c:pt idx="3">
                  <c:v>14.092926597737113</c:v>
                </c:pt>
              </c:numCache>
            </c:numRef>
          </c:xVal>
          <c:yVal>
            <c:numRef>
              <c:f>'P-MEDIACANOA AP4 M2'!$E$37:$H$37</c:f>
              <c:numCache>
                <c:formatCode>0.0000</c:formatCode>
                <c:ptCount val="4"/>
                <c:pt idx="0">
                  <c:v>1.9850954985856202</c:v>
                </c:pt>
                <c:pt idx="1">
                  <c:v>2.0487775425934278</c:v>
                </c:pt>
                <c:pt idx="2">
                  <c:v>2.038641132250341</c:v>
                </c:pt>
                <c:pt idx="3">
                  <c:v>1.8921000557361083</c:v>
                </c:pt>
              </c:numCache>
            </c:numRef>
          </c:yVal>
          <c:smooth val="1"/>
          <c:extLst>
            <c:ext xmlns:c16="http://schemas.microsoft.com/office/drawing/2014/chart" uri="{C3380CC4-5D6E-409C-BE32-E72D297353CC}">
              <c16:uniqueId val="{00000000-E887-4B88-B674-D6A3ABAAAEFB}"/>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8899290306829544"/>
                  <c:y val="0.38180504320766101"/>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'P-MEDIACANOA AP2 M2'!$E$34:$H$34</c:f>
              <c:numCache>
                <c:formatCode>0.00</c:formatCode>
                <c:ptCount val="4"/>
                <c:pt idx="0">
                  <c:v>9.1128744405699997</c:v>
                </c:pt>
                <c:pt idx="1">
                  <c:v>12.024192653423587</c:v>
                </c:pt>
                <c:pt idx="2">
                  <c:v>15.07426617941767</c:v>
                </c:pt>
                <c:pt idx="3">
                  <c:v>15.603548633133959</c:v>
                </c:pt>
              </c:numCache>
            </c:numRef>
          </c:xVal>
          <c:yVal>
            <c:numRef>
              <c:f>'P-MEDIACANOA AP2 M2'!$E$37:$H$37</c:f>
              <c:numCache>
                <c:formatCode>0.0000</c:formatCode>
                <c:ptCount val="4"/>
                <c:pt idx="0">
                  <c:v>1.8747776984289874</c:v>
                </c:pt>
                <c:pt idx="1">
                  <c:v>1.896703894934028</c:v>
                </c:pt>
                <c:pt idx="2">
                  <c:v>1.8998337437874491</c:v>
                </c:pt>
                <c:pt idx="3">
                  <c:v>1.8424073424558889</c:v>
                </c:pt>
              </c:numCache>
            </c:numRef>
          </c:yVal>
          <c:smooth val="0"/>
          <c:extLst>
            <c:ext xmlns:c16="http://schemas.microsoft.com/office/drawing/2014/chart" uri="{C3380CC4-5D6E-409C-BE32-E72D297353CC}">
              <c16:uniqueId val="{00000001-220B-4203-B8D0-24DFA4A8F6A7}"/>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'P-MEDIACANOA AP2 M2'!$E$34:$H$34</c:f>
              <c:numCache>
                <c:formatCode>0.00</c:formatCode>
                <c:ptCount val="4"/>
                <c:pt idx="0">
                  <c:v>9.1128744405699997</c:v>
                </c:pt>
                <c:pt idx="1">
                  <c:v>12.024192653423587</c:v>
                </c:pt>
                <c:pt idx="2">
                  <c:v>15.07426617941767</c:v>
                </c:pt>
                <c:pt idx="3">
                  <c:v>15.603548633133959</c:v>
                </c:pt>
              </c:numCache>
            </c:numRef>
          </c:xVal>
          <c:yVal>
            <c:numRef>
              <c:f>'P-MEDIACANOA AP2 M2'!$G$83:$J$83</c:f>
              <c:numCache>
                <c:formatCode>General</c:formatCode>
                <c:ptCount val="4"/>
                <c:pt idx="0">
                  <c:v>2.1382993459876061</c:v>
                </c:pt>
                <c:pt idx="1">
                  <c:v>2.0107033145678423</c:v>
                </c:pt>
                <c:pt idx="2">
                  <c:v>1.8923986355884026</c:v>
                </c:pt>
                <c:pt idx="3">
                  <c:v>1.8732722888632622</c:v>
                </c:pt>
              </c:numCache>
            </c:numRef>
          </c:yVal>
          <c:smooth val="0"/>
          <c:extLst>
            <c:ext xmlns:c16="http://schemas.microsoft.com/office/drawing/2014/chart" uri="{C3380CC4-5D6E-409C-BE32-E72D297353CC}">
              <c16:uniqueId val="{00000003-220B-4203-B8D0-24DFA4A8F6A7}"/>
            </c:ext>
          </c:extLst>
        </c:ser>
        <c:dLbls>
          <c:showLegendKey val="0"/>
          <c:showVal val="0"/>
          <c:showCatName val="0"/>
          <c:showSerName val="0"/>
          <c:showPercent val="0"/>
          <c:showBubbleSize val="0"/>
        </c:dLbls>
        <c:axId val="862226368"/>
        <c:axId val="862172912"/>
      </c:scatterChart>
      <c:valAx>
        <c:axId val="862226368"/>
        <c:scaling>
          <c:orientation val="minMax"/>
          <c:max val="2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'P-MEDIACANOA AP2 M2'!$AJ$91:$AL$91</c:f>
              <c:numCache>
                <c:formatCode>0.000</c:formatCode>
                <c:ptCount val="3"/>
                <c:pt idx="0">
                  <c:v>1.9044851960136293</c:v>
                </c:pt>
                <c:pt idx="1">
                  <c:v>1.8253320869325003</c:v>
                </c:pt>
                <c:pt idx="2">
                  <c:v>1.7485933562484464</c:v>
                </c:pt>
              </c:numCache>
            </c:numRef>
          </c:xVal>
          <c:yVal>
            <c:numRef>
              <c:f>'P-MEDIACANOA AP2 M2'!$AJ$94:$AL$94</c:f>
              <c:numCache>
                <c:formatCode>0.000</c:formatCode>
                <c:ptCount val="3"/>
                <c:pt idx="0">
                  <c:v>8.5066162570888455</c:v>
                </c:pt>
                <c:pt idx="1">
                  <c:v>5.4182269153432143</c:v>
                </c:pt>
                <c:pt idx="2">
                  <c:v>3.5218474949730889</c:v>
                </c:pt>
              </c:numCache>
            </c:numRef>
          </c:yVal>
          <c:smooth val="1"/>
          <c:extLst>
            <c:ext xmlns:c16="http://schemas.microsoft.com/office/drawing/2014/chart" uri="{C3380CC4-5D6E-409C-BE32-E72D297353CC}">
              <c16:uniqueId val="{00000001-EE75-4329-BEE5-C70ADECA86B7}"/>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'P-MEDIACANOA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AP2 M2'!$AM$75:$AM$86</c:f>
              <c:numCache>
                <c:formatCode>0.000</c:formatCode>
                <c:ptCount val="12"/>
                <c:pt idx="0">
                  <c:v>0</c:v>
                </c:pt>
                <c:pt idx="1">
                  <c:v>0.14544513457556937</c:v>
                </c:pt>
                <c:pt idx="2">
                  <c:v>0.31780538302277428</c:v>
                </c:pt>
                <c:pt idx="3">
                  <c:v>0.47153209109730854</c:v>
                </c:pt>
                <c:pt idx="4">
                  <c:v>0.58695652173913038</c:v>
                </c:pt>
                <c:pt idx="5">
                  <c:v>0.6951345755693582</c:v>
                </c:pt>
                <c:pt idx="6">
                  <c:v>0.80175983436852993</c:v>
                </c:pt>
                <c:pt idx="7">
                  <c:v>0.87836438923395443</c:v>
                </c:pt>
                <c:pt idx="8">
                  <c:v>0.95548654244306419</c:v>
                </c:pt>
                <c:pt idx="9">
                  <c:v>1.2018633540372672</c:v>
                </c:pt>
                <c:pt idx="10">
                  <c:v>1.3990683229813663</c:v>
                </c:pt>
                <c:pt idx="11">
                  <c:v>1.5952380952380951</c:v>
                </c:pt>
              </c:numCache>
            </c:numRef>
          </c:yVal>
          <c:smooth val="1"/>
          <c:extLst>
            <c:ext xmlns:c16="http://schemas.microsoft.com/office/drawing/2014/chart" uri="{C3380CC4-5D6E-409C-BE32-E72D297353CC}">
              <c16:uniqueId val="{00000000-1431-41A3-B043-30CBBA5B0B7C}"/>
            </c:ext>
          </c:extLst>
        </c:ser>
        <c:ser>
          <c:idx val="1"/>
          <c:order val="1"/>
          <c:tx>
            <c:v>26 golpes</c:v>
          </c:tx>
          <c:marker>
            <c:symbol val="circle"/>
            <c:size val="3"/>
            <c:spPr>
              <a:solidFill>
                <a:srgbClr val="00B050"/>
              </a:solidFill>
              <a:ln>
                <a:solidFill>
                  <a:srgbClr val="00B050">
                    <a:alpha val="50000"/>
                  </a:srgbClr>
                </a:solidFill>
                <a:prstDash val="solid"/>
              </a:ln>
            </c:spPr>
          </c:marker>
          <c:xVal>
            <c:numRef>
              <c:f>'P-MEDIACANOA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AP2 M2'!$AO$75:$AO$86</c:f>
              <c:numCache>
                <c:formatCode>0.000</c:formatCode>
                <c:ptCount val="12"/>
                <c:pt idx="0">
                  <c:v>0</c:v>
                </c:pt>
                <c:pt idx="1">
                  <c:v>8.9026915113871619E-2</c:v>
                </c:pt>
                <c:pt idx="2">
                  <c:v>0.20242381084253139</c:v>
                </c:pt>
                <c:pt idx="3">
                  <c:v>0.30033891152694808</c:v>
                </c:pt>
                <c:pt idx="4">
                  <c:v>0.3738576571586818</c:v>
                </c:pt>
                <c:pt idx="5">
                  <c:v>0.44276087615882687</c:v>
                </c:pt>
                <c:pt idx="6">
                  <c:v>0.51067505373791711</c:v>
                </c:pt>
                <c:pt idx="7">
                  <c:v>0.55946776384328312</c:v>
                </c:pt>
                <c:pt idx="8">
                  <c:v>0.59627329192546574</c:v>
                </c:pt>
                <c:pt idx="9">
                  <c:v>0.76552795031055898</c:v>
                </c:pt>
                <c:pt idx="10">
                  <c:v>0.89112632037029693</c:v>
                </c:pt>
                <c:pt idx="11">
                  <c:v>1.0160752198968759</c:v>
                </c:pt>
              </c:numCache>
            </c:numRef>
          </c:yVal>
          <c:smooth val="1"/>
          <c:extLst>
            <c:ext xmlns:c16="http://schemas.microsoft.com/office/drawing/2014/chart" uri="{C3380CC4-5D6E-409C-BE32-E72D297353CC}">
              <c16:uniqueId val="{00000001-1431-41A3-B043-30CBBA5B0B7C}"/>
            </c:ext>
          </c:extLst>
        </c:ser>
        <c:ser>
          <c:idx val="2"/>
          <c:order val="2"/>
          <c:tx>
            <c:v>56 golpes</c:v>
          </c:tx>
          <c:marker>
            <c:symbol val="circle"/>
            <c:size val="3"/>
            <c:spPr>
              <a:solidFill>
                <a:srgbClr val="00B050"/>
              </a:solidFill>
              <a:ln>
                <a:solidFill>
                  <a:srgbClr val="00B050">
                    <a:alpha val="50000"/>
                  </a:srgbClr>
                </a:solidFill>
                <a:prstDash val="solid"/>
              </a:ln>
            </c:spPr>
          </c:marker>
          <c:xVal>
            <c:numRef>
              <c:f>'P-MEDIACANOA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AP2 M2'!$AQ$75:$AQ$86</c:f>
              <c:numCache>
                <c:formatCode>0.000</c:formatCode>
                <c:ptCount val="12"/>
                <c:pt idx="0">
                  <c:v>0</c:v>
                </c:pt>
                <c:pt idx="1">
                  <c:v>5.7971014492753624E-2</c:v>
                </c:pt>
                <c:pt idx="2">
                  <c:v>0.12991718426501037</c:v>
                </c:pt>
                <c:pt idx="3">
                  <c:v>0.19522029249251627</c:v>
                </c:pt>
                <c:pt idx="4">
                  <c:v>0.24300747715314316</c:v>
                </c:pt>
                <c:pt idx="5">
                  <c:v>0.2877945695032374</c:v>
                </c:pt>
                <c:pt idx="6">
                  <c:v>0.33193878492964618</c:v>
                </c:pt>
                <c:pt idx="7">
                  <c:v>0.3636540464981341</c:v>
                </c:pt>
                <c:pt idx="8">
                  <c:v>0.39699792960662528</c:v>
                </c:pt>
                <c:pt idx="9">
                  <c:v>0.4975867389326265</c:v>
                </c:pt>
                <c:pt idx="10">
                  <c:v>0.57923210824069304</c:v>
                </c:pt>
                <c:pt idx="11">
                  <c:v>0.62370600414078681</c:v>
                </c:pt>
              </c:numCache>
            </c:numRef>
          </c:yVal>
          <c:smooth val="1"/>
          <c:extLst>
            <c:ext xmlns:c16="http://schemas.microsoft.com/office/drawing/2014/chart" uri="{C3380CC4-5D6E-409C-BE32-E72D297353CC}">
              <c16:uniqueId val="{00000002-1431-41A3-B043-30CBBA5B0B7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'P-MEDIACANOA AP2 M2'!$E$34:$H$34</c:f>
              <c:numCache>
                <c:formatCode>0.00</c:formatCode>
                <c:ptCount val="4"/>
                <c:pt idx="0">
                  <c:v>9.1128744405699997</c:v>
                </c:pt>
                <c:pt idx="1">
                  <c:v>12.024192653423587</c:v>
                </c:pt>
                <c:pt idx="2">
                  <c:v>15.07426617941767</c:v>
                </c:pt>
                <c:pt idx="3">
                  <c:v>15.603548633133959</c:v>
                </c:pt>
              </c:numCache>
            </c:numRef>
          </c:xVal>
          <c:yVal>
            <c:numRef>
              <c:f>'P-MEDIACANOA AP2 M2'!$E$37:$H$37</c:f>
              <c:numCache>
                <c:formatCode>0.0000</c:formatCode>
                <c:ptCount val="4"/>
                <c:pt idx="0">
                  <c:v>1.8747776984289874</c:v>
                </c:pt>
                <c:pt idx="1">
                  <c:v>1.896703894934028</c:v>
                </c:pt>
                <c:pt idx="2">
                  <c:v>1.8998337437874491</c:v>
                </c:pt>
                <c:pt idx="3">
                  <c:v>1.8424073424558889</c:v>
                </c:pt>
              </c:numCache>
            </c:numRef>
          </c:yVal>
          <c:smooth val="1"/>
          <c:extLst>
            <c:ext xmlns:c16="http://schemas.microsoft.com/office/drawing/2014/chart" uri="{C3380CC4-5D6E-409C-BE32-E72D297353CC}">
              <c16:uniqueId val="{00000000-0349-4065-B469-C04D3F0E3D41}"/>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30787683398925192"/>
                  <c:y val="0.25551519652399363"/>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'P-MEDIACANOA AP1 M2'!$E$34:$H$34</c:f>
              <c:numCache>
                <c:formatCode>0.00</c:formatCode>
                <c:ptCount val="4"/>
                <c:pt idx="0">
                  <c:v>3.357430204773002</c:v>
                </c:pt>
                <c:pt idx="1">
                  <c:v>5.6743408782321918</c:v>
                </c:pt>
                <c:pt idx="2">
                  <c:v>7.3222889578245702</c:v>
                </c:pt>
                <c:pt idx="3">
                  <c:v>9.560471128985915</c:v>
                </c:pt>
              </c:numCache>
            </c:numRef>
          </c:xVal>
          <c:yVal>
            <c:numRef>
              <c:f>'P-MEDIACANOA AP1 M2'!$E$37:$H$37</c:f>
              <c:numCache>
                <c:formatCode>0.0000</c:formatCode>
                <c:ptCount val="4"/>
                <c:pt idx="0">
                  <c:v>1.9665624912976019</c:v>
                </c:pt>
                <c:pt idx="1">
                  <c:v>2.1692730436147118</c:v>
                </c:pt>
                <c:pt idx="2">
                  <c:v>2.1676299636360508</c:v>
                </c:pt>
                <c:pt idx="3">
                  <c:v>1.9036620220617999</c:v>
                </c:pt>
              </c:numCache>
            </c:numRef>
          </c:yVal>
          <c:smooth val="0"/>
          <c:extLst>
            <c:ext xmlns:c16="http://schemas.microsoft.com/office/drawing/2014/chart" uri="{C3380CC4-5D6E-409C-BE32-E72D297353CC}">
              <c16:uniqueId val="{00000001-5B36-4592-AFE4-863F53FB2771}"/>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'P-MEDIACANOA AP1 M2'!$E$34:$H$34</c:f>
              <c:numCache>
                <c:formatCode>0.00</c:formatCode>
                <c:ptCount val="4"/>
                <c:pt idx="0">
                  <c:v>3.357430204773002</c:v>
                </c:pt>
                <c:pt idx="1">
                  <c:v>5.6743408782321918</c:v>
                </c:pt>
                <c:pt idx="2">
                  <c:v>7.3222889578245702</c:v>
                </c:pt>
                <c:pt idx="3">
                  <c:v>9.560471128985915</c:v>
                </c:pt>
              </c:numCache>
            </c:numRef>
          </c:xVal>
          <c:yVal>
            <c:numRef>
              <c:f>'P-MEDIACANOA AP1 M2'!$G$83:$J$83</c:f>
              <c:numCache>
                <c:formatCode>General</c:formatCode>
                <c:ptCount val="4"/>
                <c:pt idx="0">
                  <c:v>2.428550410449831</c:v>
                </c:pt>
                <c:pt idx="1">
                  <c:v>2.2968118751544528</c:v>
                </c:pt>
                <c:pt idx="2">
                  <c:v>2.2114853596144242</c:v>
                </c:pt>
                <c:pt idx="3">
                  <c:v>2.1052627889559692</c:v>
                </c:pt>
              </c:numCache>
            </c:numRef>
          </c:yVal>
          <c:smooth val="0"/>
          <c:extLst>
            <c:ext xmlns:c16="http://schemas.microsoft.com/office/drawing/2014/chart" uri="{C3380CC4-5D6E-409C-BE32-E72D297353CC}">
              <c16:uniqueId val="{00000003-5B36-4592-AFE4-863F53FB2771}"/>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'P-MEDIACANOA AP1 M2'!$AJ$91:$AL$91</c:f>
              <c:numCache>
                <c:formatCode>0.000</c:formatCode>
                <c:ptCount val="3"/>
                <c:pt idx="0">
                  <c:v>2.1581980935272989</c:v>
                </c:pt>
                <c:pt idx="1">
                  <c:v>2.0882808089498184</c:v>
                </c:pt>
                <c:pt idx="2">
                  <c:v>2.0203617226530386</c:v>
                </c:pt>
              </c:numCache>
            </c:numRef>
          </c:xVal>
          <c:yVal>
            <c:numRef>
              <c:f>'P-MEDIACANOA AP1 M2'!$AJ$94:$AL$94</c:f>
              <c:numCache>
                <c:formatCode>0.000</c:formatCode>
                <c:ptCount val="3"/>
                <c:pt idx="0">
                  <c:v>13.03543789824921</c:v>
                </c:pt>
                <c:pt idx="1">
                  <c:v>8.575945985690268</c:v>
                </c:pt>
                <c:pt idx="2">
                  <c:v>5.8316432702693834</c:v>
                </c:pt>
              </c:numCache>
            </c:numRef>
          </c:yVal>
          <c:smooth val="1"/>
          <c:extLst>
            <c:ext xmlns:c16="http://schemas.microsoft.com/office/drawing/2014/chart" uri="{C3380CC4-5D6E-409C-BE32-E72D297353CC}">
              <c16:uniqueId val="{00000001-7CDA-4AF3-A97E-4E181236EFCD}"/>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'P-MEDIACANOA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AP1 M2'!$AM$75:$AM$86</c:f>
              <c:numCache>
                <c:formatCode>0.000</c:formatCode>
                <c:ptCount val="12"/>
                <c:pt idx="0">
                  <c:v>0</c:v>
                </c:pt>
                <c:pt idx="1">
                  <c:v>0.32194616977225671</c:v>
                </c:pt>
                <c:pt idx="2">
                  <c:v>0.62318840579710144</c:v>
                </c:pt>
                <c:pt idx="3">
                  <c:v>0.80331262939958603</c:v>
                </c:pt>
                <c:pt idx="4">
                  <c:v>0.93944099378881984</c:v>
                </c:pt>
                <c:pt idx="5">
                  <c:v>1.0579710144927537</c:v>
                </c:pt>
                <c:pt idx="6">
                  <c:v>1.1687370600414078</c:v>
                </c:pt>
                <c:pt idx="7">
                  <c:v>1.2634575569358177</c:v>
                </c:pt>
                <c:pt idx="8">
                  <c:v>1.3426501035196687</c:v>
                </c:pt>
                <c:pt idx="9">
                  <c:v>1.6402691511387162</c:v>
                </c:pt>
                <c:pt idx="10">
                  <c:v>1.9306418219461696</c:v>
                </c:pt>
                <c:pt idx="11">
                  <c:v>2.2173913043478262</c:v>
                </c:pt>
              </c:numCache>
            </c:numRef>
          </c:yVal>
          <c:smooth val="1"/>
          <c:extLst>
            <c:ext xmlns:c16="http://schemas.microsoft.com/office/drawing/2014/chart" uri="{C3380CC4-5D6E-409C-BE32-E72D297353CC}">
              <c16:uniqueId val="{00000000-4652-4783-B5AC-BE301803278C}"/>
            </c:ext>
          </c:extLst>
        </c:ser>
        <c:ser>
          <c:idx val="1"/>
          <c:order val="1"/>
          <c:tx>
            <c:v>26 golpes</c:v>
          </c:tx>
          <c:marker>
            <c:symbol val="circle"/>
            <c:size val="3"/>
            <c:spPr>
              <a:solidFill>
                <a:srgbClr val="00B050"/>
              </a:solidFill>
              <a:ln>
                <a:solidFill>
                  <a:srgbClr val="00B050">
                    <a:alpha val="50000"/>
                  </a:srgbClr>
                </a:solidFill>
                <a:prstDash val="solid"/>
              </a:ln>
            </c:spPr>
          </c:marker>
          <c:xVal>
            <c:numRef>
              <c:f>'P-MEDIACANOA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AP1 M2'!$AO$75:$AO$86</c:f>
              <c:numCache>
                <c:formatCode>0.000</c:formatCode>
                <c:ptCount val="12"/>
                <c:pt idx="0">
                  <c:v>0</c:v>
                </c:pt>
                <c:pt idx="1">
                  <c:v>0.21180669063964258</c:v>
                </c:pt>
                <c:pt idx="2">
                  <c:v>0.40999237223493512</c:v>
                </c:pt>
                <c:pt idx="3">
                  <c:v>0.52849515092078025</c:v>
                </c:pt>
                <c:pt idx="4">
                  <c:v>0.61805328538738147</c:v>
                </c:pt>
                <c:pt idx="5">
                  <c:v>0.6960335621662852</c:v>
                </c:pt>
                <c:pt idx="6">
                  <c:v>0.76890596055355775</c:v>
                </c:pt>
                <c:pt idx="7">
                  <c:v>0.83122207693145911</c:v>
                </c:pt>
                <c:pt idx="8">
                  <c:v>0.88332243652609777</c:v>
                </c:pt>
                <c:pt idx="9">
                  <c:v>1.1112836438923395</c:v>
                </c:pt>
                <c:pt idx="10">
                  <c:v>1.3178053830227743</c:v>
                </c:pt>
                <c:pt idx="11">
                  <c:v>1.4588100686498855</c:v>
                </c:pt>
              </c:numCache>
            </c:numRef>
          </c:yVal>
          <c:smooth val="1"/>
          <c:extLst>
            <c:ext xmlns:c16="http://schemas.microsoft.com/office/drawing/2014/chart" uri="{C3380CC4-5D6E-409C-BE32-E72D297353CC}">
              <c16:uniqueId val="{00000001-4652-4783-B5AC-BE301803278C}"/>
            </c:ext>
          </c:extLst>
        </c:ser>
        <c:ser>
          <c:idx val="2"/>
          <c:order val="2"/>
          <c:tx>
            <c:v>56 golpes</c:v>
          </c:tx>
          <c:marker>
            <c:symbol val="circle"/>
            <c:size val="3"/>
            <c:spPr>
              <a:solidFill>
                <a:srgbClr val="00B050"/>
              </a:solidFill>
              <a:ln>
                <a:solidFill>
                  <a:srgbClr val="00B050">
                    <a:alpha val="50000"/>
                  </a:srgbClr>
                </a:solidFill>
                <a:prstDash val="solid"/>
              </a:ln>
            </c:spPr>
          </c:marker>
          <c:xVal>
            <c:numRef>
              <c:f>'P-MEDIACANOA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'P-MEDIACANOA AP1 M2'!$AQ$75:$AQ$86</c:f>
              <c:numCache>
                <c:formatCode>0.000</c:formatCode>
                <c:ptCount val="12"/>
                <c:pt idx="0">
                  <c:v>0</c:v>
                </c:pt>
                <c:pt idx="1">
                  <c:v>0.13198757763975155</c:v>
                </c:pt>
                <c:pt idx="2">
                  <c:v>0.26449275362318841</c:v>
                </c:pt>
                <c:pt idx="3">
                  <c:v>0.35937670262613064</c:v>
                </c:pt>
                <c:pt idx="4">
                  <c:v>0.42027623406341946</c:v>
                </c:pt>
                <c:pt idx="5">
                  <c:v>0.47330282227307402</c:v>
                </c:pt>
                <c:pt idx="6">
                  <c:v>0.52285605317641937</c:v>
                </c:pt>
                <c:pt idx="7">
                  <c:v>0.56523101231339212</c:v>
                </c:pt>
                <c:pt idx="8">
                  <c:v>0.60065925683774657</c:v>
                </c:pt>
                <c:pt idx="9">
                  <c:v>0.71894409937888204</c:v>
                </c:pt>
                <c:pt idx="10">
                  <c:v>0.79813664596273282</c:v>
                </c:pt>
                <c:pt idx="11">
                  <c:v>0.86335403726708071</c:v>
                </c:pt>
              </c:numCache>
            </c:numRef>
          </c:yVal>
          <c:smooth val="1"/>
          <c:extLst>
            <c:ext xmlns:c16="http://schemas.microsoft.com/office/drawing/2014/chart" uri="{C3380CC4-5D6E-409C-BE32-E72D297353CC}">
              <c16:uniqueId val="{00000002-4652-4783-B5AC-BE301803278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'P-MEDIACANOA AP1 M2'!$E$34:$H$34</c:f>
              <c:numCache>
                <c:formatCode>0.00</c:formatCode>
                <c:ptCount val="4"/>
                <c:pt idx="0">
                  <c:v>3.357430204773002</c:v>
                </c:pt>
                <c:pt idx="1">
                  <c:v>5.6743408782321918</c:v>
                </c:pt>
                <c:pt idx="2">
                  <c:v>7.3222889578245702</c:v>
                </c:pt>
                <c:pt idx="3">
                  <c:v>9.560471128985915</c:v>
                </c:pt>
              </c:numCache>
            </c:numRef>
          </c:xVal>
          <c:yVal>
            <c:numRef>
              <c:f>'P-MEDIACANOA AP1 M2'!$E$37:$H$37</c:f>
              <c:numCache>
                <c:formatCode>0.0000</c:formatCode>
                <c:ptCount val="4"/>
                <c:pt idx="0">
                  <c:v>1.9665624912976019</c:v>
                </c:pt>
                <c:pt idx="1">
                  <c:v>2.1692730436147118</c:v>
                </c:pt>
                <c:pt idx="2">
                  <c:v>2.1676299636360508</c:v>
                </c:pt>
                <c:pt idx="3">
                  <c:v>1.9036620220617999</c:v>
                </c:pt>
              </c:numCache>
            </c:numRef>
          </c:yVal>
          <c:smooth val="1"/>
          <c:extLst>
            <c:ext xmlns:c16="http://schemas.microsoft.com/office/drawing/2014/chart" uri="{C3380CC4-5D6E-409C-BE32-E72D297353CC}">
              <c16:uniqueId val="{00000000-BE68-46D6-B9D2-60EDDCBF2ED3}"/>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5191227706135399"/>
                  <c:y val="0.2138052066855282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'P-LA TORRE AP1 M2 '!$E$34:$H$34</c:f>
              <c:numCache>
                <c:formatCode>0.00</c:formatCode>
                <c:ptCount val="4"/>
                <c:pt idx="0">
                  <c:v>7.4084349204613709</c:v>
                </c:pt>
                <c:pt idx="1">
                  <c:v>10.726889108799979</c:v>
                </c:pt>
                <c:pt idx="2">
                  <c:v>13.761482912770795</c:v>
                </c:pt>
                <c:pt idx="3">
                  <c:v>16.543477712469425</c:v>
                </c:pt>
              </c:numCache>
            </c:numRef>
          </c:xVal>
          <c:yVal>
            <c:numRef>
              <c:f>'P-LA TORRE AP1 M2 '!$E$37:$H$37</c:f>
              <c:numCache>
                <c:formatCode>0.0000</c:formatCode>
                <c:ptCount val="4"/>
                <c:pt idx="0">
                  <c:v>1.8607508371528949</c:v>
                </c:pt>
                <c:pt idx="1">
                  <c:v>2.0038567068278539</c:v>
                </c:pt>
                <c:pt idx="2">
                  <c:v>2.0027855227494702</c:v>
                </c:pt>
                <c:pt idx="3">
                  <c:v>1.7236875688337669</c:v>
                </c:pt>
              </c:numCache>
            </c:numRef>
          </c:yVal>
          <c:smooth val="0"/>
          <c:extLst>
            <c:ext xmlns:c16="http://schemas.microsoft.com/office/drawing/2014/chart" uri="{C3380CC4-5D6E-409C-BE32-E72D297353CC}">
              <c16:uniqueId val="{00000001-C48C-4261-B618-C1FC5AA66057}"/>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'P-LA TORRE AP1 M2 '!$E$34:$H$34</c:f>
              <c:numCache>
                <c:formatCode>0.00</c:formatCode>
                <c:ptCount val="4"/>
                <c:pt idx="0">
                  <c:v>7.4084349204613709</c:v>
                </c:pt>
                <c:pt idx="1">
                  <c:v>10.726889108799979</c:v>
                </c:pt>
                <c:pt idx="2">
                  <c:v>13.761482912770795</c:v>
                </c:pt>
                <c:pt idx="3">
                  <c:v>16.543477712469425</c:v>
                </c:pt>
              </c:numCache>
            </c:numRef>
          </c:xVal>
          <c:yVal>
            <c:numRef>
              <c:f>'P-LA TORRE AP1 M2 '!$G$83:$J$83</c:f>
              <c:numCache>
                <c:formatCode>General</c:formatCode>
                <c:ptCount val="4"/>
                <c:pt idx="0">
                  <c:v>2.2749028483363771</c:v>
                </c:pt>
                <c:pt idx="1">
                  <c:v>2.1123496632827417</c:v>
                </c:pt>
                <c:pt idx="2">
                  <c:v>1.9827888019177258</c:v>
                </c:pt>
                <c:pt idx="3">
                  <c:v>1.8772330380632856</c:v>
                </c:pt>
              </c:numCache>
            </c:numRef>
          </c:yVal>
          <c:smooth val="0"/>
          <c:extLst>
            <c:ext xmlns:c16="http://schemas.microsoft.com/office/drawing/2014/chart" uri="{C3380CC4-5D6E-409C-BE32-E72D297353CC}">
              <c16:uniqueId val="{00000003-C48C-4261-B618-C1FC5AA66057}"/>
            </c:ext>
          </c:extLst>
        </c:ser>
        <c:dLbls>
          <c:showLegendKey val="0"/>
          <c:showVal val="0"/>
          <c:showCatName val="0"/>
          <c:showSerName val="0"/>
          <c:showPercent val="0"/>
          <c:showBubbleSize val="0"/>
        </c:dLbls>
        <c:axId val="862226368"/>
        <c:axId val="862172912"/>
      </c:scatterChart>
      <c:valAx>
        <c:axId val="862226368"/>
        <c:scaling>
          <c:orientation val="minMax"/>
          <c:max val="2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'P-LA TORRE AP1 M2 '!$AJ$91:$AL$91</c:f>
              <c:numCache>
                <c:formatCode>0.000</c:formatCode>
                <c:ptCount val="3"/>
                <c:pt idx="0">
                  <c:v>2.0202024582183022</c:v>
                </c:pt>
                <c:pt idx="1">
                  <c:v>1.8501424081490374</c:v>
                </c:pt>
                <c:pt idx="2">
                  <c:v>1.7456186343872255</c:v>
                </c:pt>
              </c:numCache>
            </c:numRef>
          </c:xVal>
          <c:yVal>
            <c:numRef>
              <c:f>'P-LA TORRE AP1 M2 '!$AJ$94:$AL$94</c:f>
              <c:numCache>
                <c:formatCode>0.000</c:formatCode>
                <c:ptCount val="3"/>
                <c:pt idx="0">
                  <c:v>72.366249587421606</c:v>
                </c:pt>
                <c:pt idx="1">
                  <c:v>44.670524436679997</c:v>
                </c:pt>
                <c:pt idx="2">
                  <c:v>20.101735996506001</c:v>
                </c:pt>
              </c:numCache>
            </c:numRef>
          </c:yVal>
          <c:smooth val="1"/>
          <c:extLst>
            <c:ext xmlns:c16="http://schemas.microsoft.com/office/drawing/2014/chart" uri="{C3380CC4-5D6E-409C-BE32-E72D297353CC}">
              <c16:uniqueId val="{00000001-0802-43DD-B910-4CAEA24B3132}"/>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'P-LA TORRE AP1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AP1 M2 '!$AM$75:$AM$86</c:f>
              <c:numCache>
                <c:formatCode>0.000</c:formatCode>
                <c:ptCount val="12"/>
                <c:pt idx="0">
                  <c:v>0</c:v>
                </c:pt>
                <c:pt idx="1">
                  <c:v>0.81149068322981366</c:v>
                </c:pt>
                <c:pt idx="2">
                  <c:v>2.1340579710144927</c:v>
                </c:pt>
                <c:pt idx="3">
                  <c:v>3.820910973084886</c:v>
                </c:pt>
                <c:pt idx="4">
                  <c:v>4.9932712215320914</c:v>
                </c:pt>
                <c:pt idx="5">
                  <c:v>6.0103519668737064</c:v>
                </c:pt>
                <c:pt idx="6">
                  <c:v>6.9311594202898554</c:v>
                </c:pt>
                <c:pt idx="7">
                  <c:v>7.6288819875776408</c:v>
                </c:pt>
                <c:pt idx="8">
                  <c:v>8.1847826086956523</c:v>
                </c:pt>
                <c:pt idx="9">
                  <c:v>10.379399585921325</c:v>
                </c:pt>
                <c:pt idx="10">
                  <c:v>12.497412008281572</c:v>
                </c:pt>
                <c:pt idx="11">
                  <c:v>14.938405797101449</c:v>
                </c:pt>
              </c:numCache>
            </c:numRef>
          </c:yVal>
          <c:smooth val="1"/>
          <c:extLst>
            <c:ext xmlns:c16="http://schemas.microsoft.com/office/drawing/2014/chart" uri="{C3380CC4-5D6E-409C-BE32-E72D297353CC}">
              <c16:uniqueId val="{00000000-962A-4CAD-8896-D2F28B53A5B6}"/>
            </c:ext>
          </c:extLst>
        </c:ser>
        <c:ser>
          <c:idx val="1"/>
          <c:order val="1"/>
          <c:tx>
            <c:v>26 golpes</c:v>
          </c:tx>
          <c:marker>
            <c:symbol val="circle"/>
            <c:size val="3"/>
            <c:spPr>
              <a:solidFill>
                <a:srgbClr val="00B050"/>
              </a:solidFill>
              <a:ln>
                <a:solidFill>
                  <a:srgbClr val="00B050">
                    <a:alpha val="50000"/>
                  </a:srgbClr>
                </a:solidFill>
                <a:prstDash val="solid"/>
              </a:ln>
            </c:spPr>
          </c:marker>
          <c:xVal>
            <c:numRef>
              <c:f>'P-LA TORRE AP1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AP1 M2 '!$AO$75:$AO$86</c:f>
              <c:numCache>
                <c:formatCode>0.000</c:formatCode>
                <c:ptCount val="12"/>
                <c:pt idx="0">
                  <c:v>0</c:v>
                </c:pt>
                <c:pt idx="1">
                  <c:v>0.34937888198757766</c:v>
                </c:pt>
                <c:pt idx="2">
                  <c:v>1.3173197351941313</c:v>
                </c:pt>
                <c:pt idx="3">
                  <c:v>2.3585870204227692</c:v>
                </c:pt>
                <c:pt idx="4">
                  <c:v>3.0822661861309202</c:v>
                </c:pt>
                <c:pt idx="5">
                  <c:v>3.7100938067121643</c:v>
                </c:pt>
                <c:pt idx="6">
                  <c:v>4.278493469314725</c:v>
                </c:pt>
                <c:pt idx="7">
                  <c:v>4.8369565217391308</c:v>
                </c:pt>
                <c:pt idx="8">
                  <c:v>5.399275362318841</c:v>
                </c:pt>
                <c:pt idx="9">
                  <c:v>6.9591097308488612</c:v>
                </c:pt>
                <c:pt idx="10">
                  <c:v>8.1209109730848859</c:v>
                </c:pt>
                <c:pt idx="11">
                  <c:v>8.7976190476190474</c:v>
                </c:pt>
              </c:numCache>
            </c:numRef>
          </c:yVal>
          <c:smooth val="1"/>
          <c:extLst>
            <c:ext xmlns:c16="http://schemas.microsoft.com/office/drawing/2014/chart" uri="{C3380CC4-5D6E-409C-BE32-E72D297353CC}">
              <c16:uniqueId val="{00000001-962A-4CAD-8896-D2F28B53A5B6}"/>
            </c:ext>
          </c:extLst>
        </c:ser>
        <c:ser>
          <c:idx val="2"/>
          <c:order val="2"/>
          <c:tx>
            <c:v>56 golpes</c:v>
          </c:tx>
          <c:marker>
            <c:symbol val="circle"/>
            <c:size val="3"/>
            <c:spPr>
              <a:solidFill>
                <a:srgbClr val="00B050"/>
              </a:solidFill>
              <a:ln>
                <a:solidFill>
                  <a:srgbClr val="00B050">
                    <a:alpha val="50000"/>
                  </a:srgbClr>
                </a:solidFill>
                <a:prstDash val="solid"/>
              </a:ln>
            </c:spPr>
          </c:marker>
          <c:xVal>
            <c:numRef>
              <c:f>'P-LA TORRE AP1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AP1 M2 '!$AQ$75:$AQ$86</c:f>
              <c:numCache>
                <c:formatCode>0.000</c:formatCode>
                <c:ptCount val="12"/>
                <c:pt idx="0">
                  <c:v>0</c:v>
                </c:pt>
                <c:pt idx="1">
                  <c:v>0.12060041407867496</c:v>
                </c:pt>
                <c:pt idx="2">
                  <c:v>0.59279388083735907</c:v>
                </c:pt>
                <c:pt idx="3">
                  <c:v>1.0613641591902461</c:v>
                </c:pt>
                <c:pt idx="4">
                  <c:v>1.3870197837589142</c:v>
                </c:pt>
                <c:pt idx="5">
                  <c:v>1.6695422130204738</c:v>
                </c:pt>
                <c:pt idx="6">
                  <c:v>1.9253220611916264</c:v>
                </c:pt>
                <c:pt idx="7">
                  <c:v>2.1191338854382336</c:v>
                </c:pt>
                <c:pt idx="8">
                  <c:v>2.2735507246376812</c:v>
                </c:pt>
                <c:pt idx="9">
                  <c:v>2.8831665516448126</c:v>
                </c:pt>
                <c:pt idx="10">
                  <c:v>3.4715033356337699</c:v>
                </c:pt>
                <c:pt idx="11">
                  <c:v>3.9798136645962732</c:v>
                </c:pt>
              </c:numCache>
            </c:numRef>
          </c:yVal>
          <c:smooth val="1"/>
          <c:extLst>
            <c:ext xmlns:c16="http://schemas.microsoft.com/office/drawing/2014/chart" uri="{C3380CC4-5D6E-409C-BE32-E72D297353CC}">
              <c16:uniqueId val="{00000002-962A-4CAD-8896-D2F28B53A5B6}"/>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'P-LA TORRE AP1 M2 '!$E$34:$H$34</c:f>
              <c:numCache>
                <c:formatCode>0.00</c:formatCode>
                <c:ptCount val="4"/>
                <c:pt idx="0">
                  <c:v>7.4084349204613709</c:v>
                </c:pt>
                <c:pt idx="1">
                  <c:v>10.726889108799979</c:v>
                </c:pt>
                <c:pt idx="2">
                  <c:v>13.761482912770795</c:v>
                </c:pt>
                <c:pt idx="3">
                  <c:v>16.543477712469425</c:v>
                </c:pt>
              </c:numCache>
            </c:numRef>
          </c:xVal>
          <c:yVal>
            <c:numRef>
              <c:f>'P-LA TORRE AP1 M2 '!$E$37:$H$37</c:f>
              <c:numCache>
                <c:formatCode>0.0000</c:formatCode>
                <c:ptCount val="4"/>
                <c:pt idx="0">
                  <c:v>1.8607508371528949</c:v>
                </c:pt>
                <c:pt idx="1">
                  <c:v>2.0038567068278539</c:v>
                </c:pt>
                <c:pt idx="2">
                  <c:v>2.0027855227494702</c:v>
                </c:pt>
                <c:pt idx="3">
                  <c:v>1.7236875688337669</c:v>
                </c:pt>
              </c:numCache>
            </c:numRef>
          </c:yVal>
          <c:smooth val="1"/>
          <c:extLst>
            <c:ext xmlns:c16="http://schemas.microsoft.com/office/drawing/2014/chart" uri="{C3380CC4-5D6E-409C-BE32-E72D297353CC}">
              <c16:uniqueId val="{00000000-5D68-4C7C-A2F5-B9D4F05CEED4}"/>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7790050248362118E-2"/>
                  <c:y val="0.21795446210637673"/>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 LA TORRE AP2 M2'!$E$34:$H$34</c:f>
              <c:numCache>
                <c:formatCode>0.00</c:formatCode>
                <c:ptCount val="4"/>
                <c:pt idx="0">
                  <c:v>6.8378265873307402</c:v>
                </c:pt>
                <c:pt idx="1">
                  <c:v>9.0083207156648974</c:v>
                </c:pt>
                <c:pt idx="2">
                  <c:v>11.895685030869402</c:v>
                </c:pt>
                <c:pt idx="3">
                  <c:v>13.885386016533568</c:v>
                </c:pt>
              </c:numCache>
            </c:numRef>
          </c:xVal>
          <c:yVal>
            <c:numRef>
              <c:f>'P- LA TORRE AP2 M2'!$E$37:$H$37</c:f>
              <c:numCache>
                <c:formatCode>0.0000</c:formatCode>
                <c:ptCount val="4"/>
                <c:pt idx="0">
                  <c:v>1.8201415076250904</c:v>
                </c:pt>
                <c:pt idx="1">
                  <c:v>1.9329500135949851</c:v>
                </c:pt>
                <c:pt idx="2">
                  <c:v>1.9246776891549167</c:v>
                </c:pt>
                <c:pt idx="3">
                  <c:v>1.725083716403466</c:v>
                </c:pt>
              </c:numCache>
            </c:numRef>
          </c:yVal>
          <c:smooth val="0"/>
          <c:extLst>
            <c:ext xmlns:c16="http://schemas.microsoft.com/office/drawing/2014/chart" uri="{C3380CC4-5D6E-409C-BE32-E72D297353CC}">
              <c16:uniqueId val="{00000001-9300-4B25-B2E5-A1B4876F613B}"/>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 LA TORRE AP2 M2'!$E$34:$H$34</c:f>
              <c:numCache>
                <c:formatCode>0.00</c:formatCode>
                <c:ptCount val="4"/>
                <c:pt idx="0">
                  <c:v>6.8378265873307402</c:v>
                </c:pt>
                <c:pt idx="1">
                  <c:v>9.0083207156648974</c:v>
                </c:pt>
                <c:pt idx="2">
                  <c:v>11.895685030869402</c:v>
                </c:pt>
                <c:pt idx="3">
                  <c:v>13.885386016533568</c:v>
                </c:pt>
              </c:numCache>
            </c:numRef>
          </c:xVal>
          <c:yVal>
            <c:numRef>
              <c:f>'P- LA TORRE AP2 M2'!$G$83:$J$83</c:f>
              <c:numCache>
                <c:formatCode>General</c:formatCode>
                <c:ptCount val="4"/>
                <c:pt idx="0">
                  <c:v>2.1655932681212904</c:v>
                </c:pt>
                <c:pt idx="1">
                  <c:v>2.0665744895891955</c:v>
                </c:pt>
                <c:pt idx="2">
                  <c:v>1.9480819869822672</c:v>
                </c:pt>
                <c:pt idx="3">
                  <c:v>1.8740355995717342</c:v>
                </c:pt>
              </c:numCache>
            </c:numRef>
          </c:yVal>
          <c:smooth val="0"/>
          <c:extLst>
            <c:ext xmlns:c16="http://schemas.microsoft.com/office/drawing/2014/chart" uri="{C3380CC4-5D6E-409C-BE32-E72D297353CC}">
              <c16:uniqueId val="{00000003-9300-4B25-B2E5-A1B4876F613B}"/>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 LA TORRE AP2 M2'!$AJ$91:$AL$91</c:f>
              <c:numCache>
                <c:formatCode>0.000</c:formatCode>
                <c:ptCount val="3"/>
                <c:pt idx="0">
                  <c:v>1.9365935211320153</c:v>
                </c:pt>
                <c:pt idx="1">
                  <c:v>1.8284811847870373</c:v>
                </c:pt>
                <c:pt idx="2">
                  <c:v>1.7810160201636152</c:v>
                </c:pt>
              </c:numCache>
            </c:numRef>
          </c:xVal>
          <c:yVal>
            <c:numRef>
              <c:f>'P- LA TORRE AP2 M2'!$AJ$94:$AL$94</c:f>
              <c:numCache>
                <c:formatCode>0.000</c:formatCode>
                <c:ptCount val="3"/>
                <c:pt idx="0">
                  <c:v>3.0830857862993963</c:v>
                </c:pt>
                <c:pt idx="1">
                  <c:v>2.190416179074024</c:v>
                </c:pt>
                <c:pt idx="2">
                  <c:v>1.5212594340293075</c:v>
                </c:pt>
              </c:numCache>
            </c:numRef>
          </c:yVal>
          <c:smooth val="1"/>
          <c:extLst>
            <c:ext xmlns:c16="http://schemas.microsoft.com/office/drawing/2014/chart" uri="{C3380CC4-5D6E-409C-BE32-E72D297353CC}">
              <c16:uniqueId val="{00000001-1462-46D2-BCCE-DC81438F6C5B}"/>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 LA TORRE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LA TORRE AP2 M2'!$AM$75:$AM$86</c:f>
              <c:numCache>
                <c:formatCode>0.000</c:formatCode>
                <c:ptCount val="12"/>
                <c:pt idx="0">
                  <c:v>0</c:v>
                </c:pt>
                <c:pt idx="1">
                  <c:v>8.0227743271221535E-2</c:v>
                </c:pt>
                <c:pt idx="2">
                  <c:v>0.13095238095238096</c:v>
                </c:pt>
                <c:pt idx="3">
                  <c:v>0.17701863354037267</c:v>
                </c:pt>
                <c:pt idx="4">
                  <c:v>0.21273291925465837</c:v>
                </c:pt>
                <c:pt idx="5">
                  <c:v>0.25207039337474119</c:v>
                </c:pt>
                <c:pt idx="6">
                  <c:v>0.28674948240165632</c:v>
                </c:pt>
                <c:pt idx="7">
                  <c:v>0.31728778467908897</c:v>
                </c:pt>
                <c:pt idx="8">
                  <c:v>0.34109730848861286</c:v>
                </c:pt>
                <c:pt idx="9">
                  <c:v>0.43322981366459623</c:v>
                </c:pt>
                <c:pt idx="10">
                  <c:v>0.51759834368530022</c:v>
                </c:pt>
                <c:pt idx="11">
                  <c:v>0.6123188405797102</c:v>
                </c:pt>
              </c:numCache>
            </c:numRef>
          </c:yVal>
          <c:smooth val="1"/>
          <c:extLst>
            <c:ext xmlns:c16="http://schemas.microsoft.com/office/drawing/2014/chart" uri="{C3380CC4-5D6E-409C-BE32-E72D297353CC}">
              <c16:uniqueId val="{00000000-930C-4BFC-BFD8-4BFC44098E7B}"/>
            </c:ext>
          </c:extLst>
        </c:ser>
        <c:ser>
          <c:idx val="1"/>
          <c:order val="1"/>
          <c:tx>
            <c:v>26 golpes</c:v>
          </c:tx>
          <c:marker>
            <c:symbol val="circle"/>
            <c:size val="3"/>
            <c:spPr>
              <a:solidFill>
                <a:srgbClr val="00B050"/>
              </a:solidFill>
              <a:ln>
                <a:solidFill>
                  <a:srgbClr val="00B050">
                    <a:alpha val="50000"/>
                  </a:srgbClr>
                </a:solidFill>
                <a:prstDash val="solid"/>
              </a:ln>
            </c:spPr>
          </c:marker>
          <c:xVal>
            <c:numRef>
              <c:f>'P- LA TORRE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LA TORRE AP2 M2'!$AO$75:$AO$86</c:f>
              <c:numCache>
                <c:formatCode>0.000</c:formatCode>
                <c:ptCount val="12"/>
                <c:pt idx="0">
                  <c:v>0</c:v>
                </c:pt>
                <c:pt idx="1">
                  <c:v>5.0724637681159424E-2</c:v>
                </c:pt>
                <c:pt idx="2">
                  <c:v>9.1097308488612833E-2</c:v>
                </c:pt>
                <c:pt idx="3">
                  <c:v>0.12267080745341614</c:v>
                </c:pt>
                <c:pt idx="4">
                  <c:v>0.15113871635610765</c:v>
                </c:pt>
                <c:pt idx="5">
                  <c:v>0.18322981366459626</c:v>
                </c:pt>
                <c:pt idx="6">
                  <c:v>0.20548654244306419</c:v>
                </c:pt>
                <c:pt idx="7">
                  <c:v>0.22567287784679088</c:v>
                </c:pt>
                <c:pt idx="8">
                  <c:v>0.24223602484472051</c:v>
                </c:pt>
                <c:pt idx="9">
                  <c:v>0.29761904761904762</c:v>
                </c:pt>
                <c:pt idx="10">
                  <c:v>0.35559006211180127</c:v>
                </c:pt>
                <c:pt idx="11">
                  <c:v>0.40284134248665143</c:v>
                </c:pt>
              </c:numCache>
            </c:numRef>
          </c:yVal>
          <c:smooth val="1"/>
          <c:extLst>
            <c:ext xmlns:c16="http://schemas.microsoft.com/office/drawing/2014/chart" uri="{C3380CC4-5D6E-409C-BE32-E72D297353CC}">
              <c16:uniqueId val="{00000001-930C-4BFC-BFD8-4BFC44098E7B}"/>
            </c:ext>
          </c:extLst>
        </c:ser>
        <c:ser>
          <c:idx val="2"/>
          <c:order val="2"/>
          <c:tx>
            <c:v>56 golpes</c:v>
          </c:tx>
          <c:marker>
            <c:symbol val="circle"/>
            <c:size val="3"/>
            <c:spPr>
              <a:solidFill>
                <a:srgbClr val="00B050"/>
              </a:solidFill>
              <a:ln>
                <a:solidFill>
                  <a:srgbClr val="00B050">
                    <a:alpha val="50000"/>
                  </a:srgbClr>
                </a:solidFill>
                <a:prstDash val="solid"/>
              </a:ln>
            </c:spPr>
          </c:marker>
          <c:xVal>
            <c:numRef>
              <c:f>'P- LA TORRE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LA TORRE AP2 M2'!$AQ$75:$AQ$86</c:f>
              <c:numCache>
                <c:formatCode>0.000</c:formatCode>
                <c:ptCount val="12"/>
                <c:pt idx="0">
                  <c:v>0</c:v>
                </c:pt>
                <c:pt idx="1">
                  <c:v>3.9586057535142202E-2</c:v>
                </c:pt>
                <c:pt idx="2">
                  <c:v>6.4614661654135333E-2</c:v>
                </c:pt>
                <c:pt idx="3">
                  <c:v>8.7344720496894415E-2</c:v>
                </c:pt>
                <c:pt idx="4">
                  <c:v>0.10496690094802223</c:v>
                </c:pt>
                <c:pt idx="5">
                  <c:v>0.12437683883622098</c:v>
                </c:pt>
                <c:pt idx="6">
                  <c:v>0.1414882314481857</c:v>
                </c:pt>
                <c:pt idx="7">
                  <c:v>0.15655647270349787</c:v>
                </c:pt>
                <c:pt idx="8">
                  <c:v>0.16830459300424977</c:v>
                </c:pt>
                <c:pt idx="9">
                  <c:v>0.2003105590062112</c:v>
                </c:pt>
                <c:pt idx="10">
                  <c:v>0.22567287784679088</c:v>
                </c:pt>
                <c:pt idx="11">
                  <c:v>0.2474120082815735</c:v>
                </c:pt>
              </c:numCache>
            </c:numRef>
          </c:yVal>
          <c:smooth val="1"/>
          <c:extLst>
            <c:ext xmlns:c16="http://schemas.microsoft.com/office/drawing/2014/chart" uri="{C3380CC4-5D6E-409C-BE32-E72D297353CC}">
              <c16:uniqueId val="{00000002-930C-4BFC-BFD8-4BFC44098E7B}"/>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 LA TORRE AP2 M2'!$E$34:$H$34</c:f>
              <c:numCache>
                <c:formatCode>0.00</c:formatCode>
                <c:ptCount val="4"/>
                <c:pt idx="0">
                  <c:v>6.8378265873307402</c:v>
                </c:pt>
                <c:pt idx="1">
                  <c:v>9.0083207156648974</c:v>
                </c:pt>
                <c:pt idx="2">
                  <c:v>11.895685030869402</c:v>
                </c:pt>
                <c:pt idx="3">
                  <c:v>13.885386016533568</c:v>
                </c:pt>
              </c:numCache>
            </c:numRef>
          </c:xVal>
          <c:yVal>
            <c:numRef>
              <c:f>'P- LA TORRE AP2 M2'!$E$37:$H$37</c:f>
              <c:numCache>
                <c:formatCode>0.0000</c:formatCode>
                <c:ptCount val="4"/>
                <c:pt idx="0">
                  <c:v>1.8201415076250904</c:v>
                </c:pt>
                <c:pt idx="1">
                  <c:v>1.9329500135949851</c:v>
                </c:pt>
                <c:pt idx="2">
                  <c:v>1.9246776891549167</c:v>
                </c:pt>
                <c:pt idx="3">
                  <c:v>1.725083716403466</c:v>
                </c:pt>
              </c:numCache>
            </c:numRef>
          </c:yVal>
          <c:smooth val="1"/>
          <c:extLst>
            <c:ext xmlns:c16="http://schemas.microsoft.com/office/drawing/2014/chart" uri="{C3380CC4-5D6E-409C-BE32-E72D297353CC}">
              <c16:uniqueId val="{00000000-C46E-4A1D-8AEA-BE2512A4DA0E}"/>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6.1302680592022547E-2"/>
                  <c:y val="0.26094604283749639"/>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'P-LA TORRE AP3 M2'!$E$34:$H$34</c:f>
              <c:numCache>
                <c:formatCode>0.00</c:formatCode>
                <c:ptCount val="4"/>
                <c:pt idx="0">
                  <c:v>4.8367612202767782</c:v>
                </c:pt>
                <c:pt idx="1">
                  <c:v>7.9003841090653237</c:v>
                </c:pt>
                <c:pt idx="2">
                  <c:v>10.910297068150921</c:v>
                </c:pt>
                <c:pt idx="3">
                  <c:v>13.836730595441315</c:v>
                </c:pt>
              </c:numCache>
            </c:numRef>
          </c:xVal>
          <c:yVal>
            <c:numRef>
              <c:f>'P-LA TORRE AP3 M2'!$E$37:$H$37</c:f>
              <c:numCache>
                <c:formatCode>0.0000</c:formatCode>
                <c:ptCount val="4"/>
                <c:pt idx="0">
                  <c:v>1.9854401373263963</c:v>
                </c:pt>
                <c:pt idx="1">
                  <c:v>2.0766274666552635</c:v>
                </c:pt>
                <c:pt idx="2">
                  <c:v>2.1000244799345089</c:v>
                </c:pt>
                <c:pt idx="3">
                  <c:v>1.9106720155769519</c:v>
                </c:pt>
              </c:numCache>
            </c:numRef>
          </c:yVal>
          <c:smooth val="0"/>
          <c:extLst>
            <c:ext xmlns:c16="http://schemas.microsoft.com/office/drawing/2014/chart" uri="{C3380CC4-5D6E-409C-BE32-E72D297353CC}">
              <c16:uniqueId val="{00000001-6BD6-4188-9043-7A959AE9D14B}"/>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'P-LA TORRE AP3 M2'!$E$34:$H$34</c:f>
              <c:numCache>
                <c:formatCode>0.00</c:formatCode>
                <c:ptCount val="4"/>
                <c:pt idx="0">
                  <c:v>4.8367612202767782</c:v>
                </c:pt>
                <c:pt idx="1">
                  <c:v>7.9003841090653237</c:v>
                </c:pt>
                <c:pt idx="2">
                  <c:v>10.910297068150921</c:v>
                </c:pt>
                <c:pt idx="3">
                  <c:v>13.836730595441315</c:v>
                </c:pt>
              </c:numCache>
            </c:numRef>
          </c:xVal>
          <c:yVal>
            <c:numRef>
              <c:f>'P-LA TORRE AP3 M2'!$G$83:$J$83</c:f>
              <c:numCache>
                <c:formatCode>General</c:formatCode>
                <c:ptCount val="4"/>
                <c:pt idx="0">
                  <c:v>2.4271610436848166</c:v>
                </c:pt>
                <c:pt idx="1">
                  <c:v>2.2591711943941366</c:v>
                </c:pt>
                <c:pt idx="2">
                  <c:v>2.1153306429280407</c:v>
                </c:pt>
                <c:pt idx="3">
                  <c:v>1.9920173109793793</c:v>
                </c:pt>
              </c:numCache>
            </c:numRef>
          </c:yVal>
          <c:smooth val="0"/>
          <c:extLst>
            <c:ext xmlns:c16="http://schemas.microsoft.com/office/drawing/2014/chart" uri="{C3380CC4-5D6E-409C-BE32-E72D297353CC}">
              <c16:uniqueId val="{00000003-6BD6-4188-9043-7A959AE9D14B}"/>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'P-LA TORRE AP3 M2'!$AJ$91:$AL$91</c:f>
              <c:numCache>
                <c:formatCode>0.000</c:formatCode>
                <c:ptCount val="3"/>
                <c:pt idx="0">
                  <c:v>2.1422744344132156</c:v>
                </c:pt>
                <c:pt idx="1">
                  <c:v>1.999194277173767</c:v>
                </c:pt>
                <c:pt idx="2">
                  <c:v>1.8294575301503864</c:v>
                </c:pt>
              </c:numCache>
            </c:numRef>
          </c:xVal>
          <c:yVal>
            <c:numRef>
              <c:f>'P-LA TORRE AP3 M2'!$AJ$94:$AL$94</c:f>
              <c:numCache>
                <c:formatCode>0.000</c:formatCode>
                <c:ptCount val="3"/>
                <c:pt idx="0">
                  <c:v>36.895213974150224</c:v>
                </c:pt>
                <c:pt idx="1">
                  <c:v>24.273167088256727</c:v>
                </c:pt>
                <c:pt idx="2">
                  <c:v>14.563900252954037</c:v>
                </c:pt>
              </c:numCache>
            </c:numRef>
          </c:yVal>
          <c:smooth val="1"/>
          <c:extLst>
            <c:ext xmlns:c16="http://schemas.microsoft.com/office/drawing/2014/chart" uri="{C3380CC4-5D6E-409C-BE32-E72D297353CC}">
              <c16:uniqueId val="{00000001-1E9A-41E5-AE48-AB8CEB716B06}"/>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'P-LA TORRE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AP3 M2'!$AM$75:$AM$86</c:f>
              <c:numCache>
                <c:formatCode>0.000</c:formatCode>
                <c:ptCount val="12"/>
                <c:pt idx="0">
                  <c:v>0</c:v>
                </c:pt>
                <c:pt idx="1">
                  <c:v>0.59730848861283636</c:v>
                </c:pt>
                <c:pt idx="2">
                  <c:v>1.5393374741200829</c:v>
                </c:pt>
                <c:pt idx="3">
                  <c:v>2.1599378881987579</c:v>
                </c:pt>
                <c:pt idx="4">
                  <c:v>2.5988612836438922</c:v>
                </c:pt>
                <c:pt idx="5">
                  <c:v>3.0129399585921322</c:v>
                </c:pt>
                <c:pt idx="6">
                  <c:v>3.3322981366459627</c:v>
                </c:pt>
                <c:pt idx="7">
                  <c:v>3.601966873706004</c:v>
                </c:pt>
                <c:pt idx="8">
                  <c:v>3.8002070393374736</c:v>
                </c:pt>
                <c:pt idx="9">
                  <c:v>4.7028985507246377</c:v>
                </c:pt>
                <c:pt idx="10">
                  <c:v>5.5222567287784683</c:v>
                </c:pt>
                <c:pt idx="11">
                  <c:v>6.1982401656314696</c:v>
                </c:pt>
              </c:numCache>
            </c:numRef>
          </c:yVal>
          <c:smooth val="1"/>
          <c:extLst>
            <c:ext xmlns:c16="http://schemas.microsoft.com/office/drawing/2014/chart" uri="{C3380CC4-5D6E-409C-BE32-E72D297353CC}">
              <c16:uniqueId val="{00000000-683C-4CEF-BEB9-8B07CF6D4FB3}"/>
            </c:ext>
          </c:extLst>
        </c:ser>
        <c:ser>
          <c:idx val="1"/>
          <c:order val="1"/>
          <c:tx>
            <c:v>26 golpes</c:v>
          </c:tx>
          <c:marker>
            <c:symbol val="circle"/>
            <c:size val="3"/>
            <c:spPr>
              <a:solidFill>
                <a:srgbClr val="00B050"/>
              </a:solidFill>
              <a:ln>
                <a:solidFill>
                  <a:srgbClr val="00B050">
                    <a:alpha val="50000"/>
                  </a:srgbClr>
                </a:solidFill>
                <a:prstDash val="solid"/>
              </a:ln>
            </c:spPr>
          </c:marker>
          <c:xVal>
            <c:numRef>
              <c:f>'P-LA TORRE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AP3 M2'!$AO$75:$AO$86</c:f>
              <c:numCache>
                <c:formatCode>0.000</c:formatCode>
                <c:ptCount val="12"/>
                <c:pt idx="0">
                  <c:v>0</c:v>
                </c:pt>
                <c:pt idx="1">
                  <c:v>0.33902691511387167</c:v>
                </c:pt>
                <c:pt idx="2">
                  <c:v>1.0127220224474229</c:v>
                </c:pt>
                <c:pt idx="3">
                  <c:v>1.4210117685518142</c:v>
                </c:pt>
                <c:pt idx="4">
                  <c:v>1.7097771602920344</c:v>
                </c:pt>
                <c:pt idx="5">
                  <c:v>1.9821973411790346</c:v>
                </c:pt>
                <c:pt idx="6">
                  <c:v>2.1923014056881334</c:v>
                </c:pt>
                <c:pt idx="7">
                  <c:v>2.3697150484907921</c:v>
                </c:pt>
                <c:pt idx="8">
                  <c:v>2.5001362100904432</c:v>
                </c:pt>
                <c:pt idx="9">
                  <c:v>3.0942028985507246</c:v>
                </c:pt>
                <c:pt idx="10">
                  <c:v>3.6330636373542551</c:v>
                </c:pt>
                <c:pt idx="11">
                  <c:v>4.077789582652283</c:v>
                </c:pt>
              </c:numCache>
            </c:numRef>
          </c:yVal>
          <c:smooth val="1"/>
          <c:extLst>
            <c:ext xmlns:c16="http://schemas.microsoft.com/office/drawing/2014/chart" uri="{C3380CC4-5D6E-409C-BE32-E72D297353CC}">
              <c16:uniqueId val="{00000001-683C-4CEF-BEB9-8B07CF6D4FB3}"/>
            </c:ext>
          </c:extLst>
        </c:ser>
        <c:ser>
          <c:idx val="2"/>
          <c:order val="2"/>
          <c:tx>
            <c:v>56 golpes</c:v>
          </c:tx>
          <c:marker>
            <c:symbol val="circle"/>
            <c:size val="3"/>
            <c:spPr>
              <a:solidFill>
                <a:srgbClr val="00B050"/>
              </a:solidFill>
              <a:ln>
                <a:solidFill>
                  <a:srgbClr val="00B050">
                    <a:alpha val="50000"/>
                  </a:srgbClr>
                </a:solidFill>
                <a:prstDash val="solid"/>
              </a:ln>
            </c:spPr>
          </c:marker>
          <c:xVal>
            <c:numRef>
              <c:f>'P-LA TORRE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AP3 M2'!$AQ$75:$AQ$86</c:f>
              <c:numCache>
                <c:formatCode>0.000</c:formatCode>
                <c:ptCount val="12"/>
                <c:pt idx="0">
                  <c:v>0</c:v>
                </c:pt>
                <c:pt idx="1">
                  <c:v>0.13923395445134576</c:v>
                </c:pt>
                <c:pt idx="2">
                  <c:v>0.50621118012422361</c:v>
                </c:pt>
                <c:pt idx="3">
                  <c:v>0.85260706113108853</c:v>
                </c:pt>
                <c:pt idx="4">
                  <c:v>1.0258662961752205</c:v>
                </c:pt>
                <c:pt idx="5">
                  <c:v>1.1893184047074206</c:v>
                </c:pt>
                <c:pt idx="6">
                  <c:v>1.31538084341288</c:v>
                </c:pt>
                <c:pt idx="7">
                  <c:v>1.4218290290944748</c:v>
                </c:pt>
                <c:pt idx="8">
                  <c:v>1.5000817260542658</c:v>
                </c:pt>
                <c:pt idx="9">
                  <c:v>1.8564073226544622</c:v>
                </c:pt>
                <c:pt idx="10">
                  <c:v>2.1164596273291929</c:v>
                </c:pt>
                <c:pt idx="11">
                  <c:v>2.3234989648033126</c:v>
                </c:pt>
              </c:numCache>
            </c:numRef>
          </c:yVal>
          <c:smooth val="1"/>
          <c:extLst>
            <c:ext xmlns:c16="http://schemas.microsoft.com/office/drawing/2014/chart" uri="{C3380CC4-5D6E-409C-BE32-E72D297353CC}">
              <c16:uniqueId val="{00000002-683C-4CEF-BEB9-8B07CF6D4FB3}"/>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'P-LA TORRE AP3 M2'!$E$34:$H$34</c:f>
              <c:numCache>
                <c:formatCode>0.00</c:formatCode>
                <c:ptCount val="4"/>
                <c:pt idx="0">
                  <c:v>4.8367612202767782</c:v>
                </c:pt>
                <c:pt idx="1">
                  <c:v>7.9003841090653237</c:v>
                </c:pt>
                <c:pt idx="2">
                  <c:v>10.910297068150921</c:v>
                </c:pt>
                <c:pt idx="3">
                  <c:v>13.836730595441315</c:v>
                </c:pt>
              </c:numCache>
            </c:numRef>
          </c:xVal>
          <c:yVal>
            <c:numRef>
              <c:f>'P-LA TORRE AP3 M2'!$E$37:$H$37</c:f>
              <c:numCache>
                <c:formatCode>0.0000</c:formatCode>
                <c:ptCount val="4"/>
                <c:pt idx="0">
                  <c:v>1.9854401373263963</c:v>
                </c:pt>
                <c:pt idx="1">
                  <c:v>2.0766274666552635</c:v>
                </c:pt>
                <c:pt idx="2">
                  <c:v>2.1000244799345089</c:v>
                </c:pt>
                <c:pt idx="3">
                  <c:v>1.9106720155769519</c:v>
                </c:pt>
              </c:numCache>
            </c:numRef>
          </c:yVal>
          <c:smooth val="1"/>
          <c:extLst>
            <c:ext xmlns:c16="http://schemas.microsoft.com/office/drawing/2014/chart" uri="{C3380CC4-5D6E-409C-BE32-E72D297353CC}">
              <c16:uniqueId val="{00000000-FEE5-450D-8DD4-8E39B8FB3A73}"/>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837759199915793"/>
                  <c:y val="0.18239568497583339"/>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'P-LA TORRE AP4 M2 '!$E$34:$H$34</c:f>
              <c:numCache>
                <c:formatCode>0.00</c:formatCode>
                <c:ptCount val="4"/>
                <c:pt idx="0">
                  <c:v>5.1423149905123307</c:v>
                </c:pt>
                <c:pt idx="1">
                  <c:v>7.1227721953438223</c:v>
                </c:pt>
                <c:pt idx="2">
                  <c:v>9.331684679733792</c:v>
                </c:pt>
                <c:pt idx="3">
                  <c:v>11.651024088029953</c:v>
                </c:pt>
              </c:numCache>
            </c:numRef>
          </c:xVal>
          <c:yVal>
            <c:numRef>
              <c:f>'P-LA TORRE AP4 M2 '!$E$37:$H$37</c:f>
              <c:numCache>
                <c:formatCode>0.0000</c:formatCode>
                <c:ptCount val="4"/>
                <c:pt idx="0">
                  <c:v>1.8118565613975659</c:v>
                </c:pt>
                <c:pt idx="1">
                  <c:v>2.1229926368605101</c:v>
                </c:pt>
                <c:pt idx="2">
                  <c:v>2.1593015344037458</c:v>
                </c:pt>
                <c:pt idx="3">
                  <c:v>1.7812884672462928</c:v>
                </c:pt>
              </c:numCache>
            </c:numRef>
          </c:yVal>
          <c:smooth val="0"/>
          <c:extLst>
            <c:ext xmlns:c16="http://schemas.microsoft.com/office/drawing/2014/chart" uri="{C3380CC4-5D6E-409C-BE32-E72D297353CC}">
              <c16:uniqueId val="{00000001-5633-4597-B048-5464D339190F}"/>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'P-LA TORRE AP4 M2 '!$E$34:$H$34</c:f>
              <c:numCache>
                <c:formatCode>0.00</c:formatCode>
                <c:ptCount val="4"/>
                <c:pt idx="0">
                  <c:v>5.1423149905123307</c:v>
                </c:pt>
                <c:pt idx="1">
                  <c:v>7.1227721953438223</c:v>
                </c:pt>
                <c:pt idx="2">
                  <c:v>9.331684679733792</c:v>
                </c:pt>
                <c:pt idx="3">
                  <c:v>11.651024088029953</c:v>
                </c:pt>
              </c:numCache>
            </c:numRef>
          </c:xVal>
          <c:yVal>
            <c:numRef>
              <c:f>'P-LA TORRE AP4 M2 '!$G$83:$J$83</c:f>
              <c:numCache>
                <c:formatCode>General</c:formatCode>
                <c:ptCount val="4"/>
                <c:pt idx="0">
                  <c:v>2.3862350011319902</c:v>
                </c:pt>
                <c:pt idx="1">
                  <c:v>2.2785542569332353</c:v>
                </c:pt>
                <c:pt idx="2">
                  <c:v>2.1693672493795599</c:v>
                </c:pt>
                <c:pt idx="3">
                  <c:v>2.0654444343020852</c:v>
                </c:pt>
              </c:numCache>
            </c:numRef>
          </c:yVal>
          <c:smooth val="0"/>
          <c:extLst>
            <c:ext xmlns:c16="http://schemas.microsoft.com/office/drawing/2014/chart" uri="{C3380CC4-5D6E-409C-BE32-E72D297353CC}">
              <c16:uniqueId val="{00000003-5633-4597-B048-5464D339190F}"/>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'P-LA TORRE AP4 M2 '!$AJ$91:$AL$91</c:f>
              <c:numCache>
                <c:formatCode>0.000</c:formatCode>
                <c:ptCount val="3"/>
                <c:pt idx="0">
                  <c:v>2.1825140492067625</c:v>
                </c:pt>
                <c:pt idx="1">
                  <c:v>2.0380759413657086</c:v>
                </c:pt>
                <c:pt idx="2">
                  <c:v>1.8467423260002616</c:v>
                </c:pt>
              </c:numCache>
            </c:numRef>
          </c:xVal>
          <c:yVal>
            <c:numRef>
              <c:f>'P-LA TORRE AP4 M2 '!$AJ$94:$AL$94</c:f>
              <c:numCache>
                <c:formatCode>0.000</c:formatCode>
                <c:ptCount val="3"/>
                <c:pt idx="0">
                  <c:v>24.087076544543461</c:v>
                </c:pt>
                <c:pt idx="1">
                  <c:v>15.149104744995887</c:v>
                </c:pt>
                <c:pt idx="2">
                  <c:v>8.3320076097477376</c:v>
                </c:pt>
              </c:numCache>
            </c:numRef>
          </c:yVal>
          <c:smooth val="1"/>
          <c:extLst>
            <c:ext xmlns:c16="http://schemas.microsoft.com/office/drawing/2014/chart" uri="{C3380CC4-5D6E-409C-BE32-E72D297353CC}">
              <c16:uniqueId val="{00000001-8CB3-46E0-8E9C-C791D5731F5D}"/>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'P-LA TORRE AP4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AP4 M2 '!$AM$75:$AM$86</c:f>
              <c:numCache>
                <c:formatCode>0.000</c:formatCode>
                <c:ptCount val="12"/>
                <c:pt idx="0">
                  <c:v>0</c:v>
                </c:pt>
                <c:pt idx="1">
                  <c:v>0.26449275362318841</c:v>
                </c:pt>
                <c:pt idx="2">
                  <c:v>0.61645962732919257</c:v>
                </c:pt>
                <c:pt idx="3">
                  <c:v>1.1387163561076605</c:v>
                </c:pt>
                <c:pt idx="4">
                  <c:v>1.6620082815734989</c:v>
                </c:pt>
                <c:pt idx="5">
                  <c:v>2.1966873706004137</c:v>
                </c:pt>
                <c:pt idx="6">
                  <c:v>2.7303312629399592</c:v>
                </c:pt>
                <c:pt idx="7">
                  <c:v>3.1894409937888195</c:v>
                </c:pt>
                <c:pt idx="8">
                  <c:v>3.558488612836439</c:v>
                </c:pt>
                <c:pt idx="9">
                  <c:v>4.9554865424430634</c:v>
                </c:pt>
                <c:pt idx="10">
                  <c:v>6.1521739130434785</c:v>
                </c:pt>
                <c:pt idx="11">
                  <c:v>7.237060041407867</c:v>
                </c:pt>
              </c:numCache>
            </c:numRef>
          </c:yVal>
          <c:smooth val="1"/>
          <c:extLst>
            <c:ext xmlns:c16="http://schemas.microsoft.com/office/drawing/2014/chart" uri="{C3380CC4-5D6E-409C-BE32-E72D297353CC}">
              <c16:uniqueId val="{00000000-E902-4221-AFF3-09D1AC3F1357}"/>
            </c:ext>
          </c:extLst>
        </c:ser>
        <c:ser>
          <c:idx val="1"/>
          <c:order val="1"/>
          <c:tx>
            <c:v>26 golpes</c:v>
          </c:tx>
          <c:marker>
            <c:symbol val="circle"/>
            <c:size val="3"/>
            <c:spPr>
              <a:solidFill>
                <a:srgbClr val="00B050"/>
              </a:solidFill>
              <a:ln>
                <a:solidFill>
                  <a:srgbClr val="00B050">
                    <a:alpha val="50000"/>
                  </a:srgbClr>
                </a:solidFill>
                <a:prstDash val="solid"/>
              </a:ln>
            </c:spPr>
          </c:marker>
          <c:xVal>
            <c:numRef>
              <c:f>'P-LA TORRE AP4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AP4 M2 '!$AO$75:$AO$86</c:f>
              <c:numCache>
                <c:formatCode>0.000</c:formatCode>
                <c:ptCount val="12"/>
                <c:pt idx="0">
                  <c:v>0</c:v>
                </c:pt>
                <c:pt idx="1">
                  <c:v>0.16097308488612835</c:v>
                </c:pt>
                <c:pt idx="2">
                  <c:v>0.38771045743974375</c:v>
                </c:pt>
                <c:pt idx="3">
                  <c:v>0.71617380887274251</c:v>
                </c:pt>
                <c:pt idx="4">
                  <c:v>1.0452882274047162</c:v>
                </c:pt>
                <c:pt idx="5">
                  <c:v>1.3815643840254175</c:v>
                </c:pt>
                <c:pt idx="6">
                  <c:v>1.7171894735471438</c:v>
                </c:pt>
                <c:pt idx="7">
                  <c:v>2.0059377319426539</c:v>
                </c:pt>
                <c:pt idx="8">
                  <c:v>2.2380431527273199</c:v>
                </c:pt>
                <c:pt idx="9">
                  <c:v>3.116459627329192</c:v>
                </c:pt>
                <c:pt idx="10">
                  <c:v>3.8692917692097346</c:v>
                </c:pt>
                <c:pt idx="11">
                  <c:v>4.4327122153209109</c:v>
                </c:pt>
              </c:numCache>
            </c:numRef>
          </c:yVal>
          <c:smooth val="1"/>
          <c:extLst>
            <c:ext xmlns:c16="http://schemas.microsoft.com/office/drawing/2014/chart" uri="{C3380CC4-5D6E-409C-BE32-E72D297353CC}">
              <c16:uniqueId val="{00000001-E902-4221-AFF3-09D1AC3F1357}"/>
            </c:ext>
          </c:extLst>
        </c:ser>
        <c:ser>
          <c:idx val="2"/>
          <c:order val="2"/>
          <c:tx>
            <c:v>56 golpes</c:v>
          </c:tx>
          <c:marker>
            <c:symbol val="circle"/>
            <c:size val="3"/>
            <c:spPr>
              <a:solidFill>
                <a:srgbClr val="00B050"/>
              </a:solidFill>
              <a:ln>
                <a:solidFill>
                  <a:srgbClr val="00B050">
                    <a:alpha val="50000"/>
                  </a:srgbClr>
                </a:solidFill>
                <a:prstDash val="solid"/>
              </a:ln>
            </c:spPr>
          </c:marker>
          <c:xVal>
            <c:numRef>
              <c:f>'P-LA TORRE AP4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'P-LA TORRE AP4 M2 '!$AQ$75:$AQ$86</c:f>
              <c:numCache>
                <c:formatCode>0.000</c:formatCode>
                <c:ptCount val="12"/>
                <c:pt idx="0">
                  <c:v>0</c:v>
                </c:pt>
                <c:pt idx="1">
                  <c:v>8.643892339544515E-2</c:v>
                </c:pt>
                <c:pt idx="2">
                  <c:v>0.21324075159185907</c:v>
                </c:pt>
                <c:pt idx="3">
                  <c:v>0.39389559488000836</c:v>
                </c:pt>
                <c:pt idx="4">
                  <c:v>0.57490852507259393</c:v>
                </c:pt>
                <c:pt idx="5">
                  <c:v>0.75986041121397974</c:v>
                </c:pt>
                <c:pt idx="6">
                  <c:v>0.94445421045092914</c:v>
                </c:pt>
                <c:pt idx="7">
                  <c:v>1.1032657525684597</c:v>
                </c:pt>
                <c:pt idx="8">
                  <c:v>1.2309237340000263</c:v>
                </c:pt>
                <c:pt idx="9">
                  <c:v>1.7141620115369092</c:v>
                </c:pt>
                <c:pt idx="10">
                  <c:v>2.1281104730653539</c:v>
                </c:pt>
                <c:pt idx="11">
                  <c:v>2.4218426501035197</c:v>
                </c:pt>
              </c:numCache>
            </c:numRef>
          </c:yVal>
          <c:smooth val="1"/>
          <c:extLst>
            <c:ext xmlns:c16="http://schemas.microsoft.com/office/drawing/2014/chart" uri="{C3380CC4-5D6E-409C-BE32-E72D297353CC}">
              <c16:uniqueId val="{00000002-E902-4221-AFF3-09D1AC3F1357}"/>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'P-LA TORRE AP4 M2 '!$E$34:$H$34</c:f>
              <c:numCache>
                <c:formatCode>0.00</c:formatCode>
                <c:ptCount val="4"/>
                <c:pt idx="0">
                  <c:v>5.1423149905123307</c:v>
                </c:pt>
                <c:pt idx="1">
                  <c:v>7.1227721953438223</c:v>
                </c:pt>
                <c:pt idx="2">
                  <c:v>9.331684679733792</c:v>
                </c:pt>
                <c:pt idx="3">
                  <c:v>11.651024088029953</c:v>
                </c:pt>
              </c:numCache>
            </c:numRef>
          </c:xVal>
          <c:yVal>
            <c:numRef>
              <c:f>'P-LA TORRE AP4 M2 '!$E$37:$H$37</c:f>
              <c:numCache>
                <c:formatCode>0.0000</c:formatCode>
                <c:ptCount val="4"/>
                <c:pt idx="0">
                  <c:v>1.8118565613975659</c:v>
                </c:pt>
                <c:pt idx="1">
                  <c:v>2.1229926368605101</c:v>
                </c:pt>
                <c:pt idx="2">
                  <c:v>2.1593015344037458</c:v>
                </c:pt>
                <c:pt idx="3">
                  <c:v>1.7812884672462928</c:v>
                </c:pt>
              </c:numCache>
            </c:numRef>
          </c:yVal>
          <c:smooth val="1"/>
          <c:extLst>
            <c:ext xmlns:c16="http://schemas.microsoft.com/office/drawing/2014/chart" uri="{C3380CC4-5D6E-409C-BE32-E72D297353CC}">
              <c16:uniqueId val="{00000000-1DE3-4972-84CE-13FDE43DDB16}"/>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3740537668048677"/>
                  <c:y val="0.38629219310050855"/>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 CERRITO AP1 M2'!$E$34:$H$34</c:f>
              <c:numCache>
                <c:formatCode>0.00</c:formatCode>
                <c:ptCount val="4"/>
                <c:pt idx="0">
                  <c:v>6.8321674643664911</c:v>
                </c:pt>
                <c:pt idx="1">
                  <c:v>8.3694564854951601</c:v>
                </c:pt>
                <c:pt idx="2">
                  <c:v>10.721562295775184</c:v>
                </c:pt>
                <c:pt idx="3">
                  <c:v>12.521539345203902</c:v>
                </c:pt>
              </c:numCache>
            </c:numRef>
          </c:xVal>
          <c:yVal>
            <c:numRef>
              <c:f>'P- CERRITO AP1 M2'!$E$37:$H$37</c:f>
              <c:numCache>
                <c:formatCode>0.0000</c:formatCode>
                <c:ptCount val="4"/>
                <c:pt idx="0">
                  <c:v>1.9278746892976086</c:v>
                </c:pt>
                <c:pt idx="1">
                  <c:v>2.0590469846726833</c:v>
                </c:pt>
                <c:pt idx="2">
                  <c:v>2.035067785097171</c:v>
                </c:pt>
                <c:pt idx="3">
                  <c:v>1.932177135942311</c:v>
                </c:pt>
              </c:numCache>
            </c:numRef>
          </c:yVal>
          <c:smooth val="0"/>
          <c:extLst>
            <c:ext xmlns:c16="http://schemas.microsoft.com/office/drawing/2014/chart" uri="{C3380CC4-5D6E-409C-BE32-E72D297353CC}">
              <c16:uniqueId val="{00000001-E0E2-4447-B5FF-B9F31B5B9A10}"/>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 CERRITO AP1 M2'!$E$34:$H$34</c:f>
              <c:numCache>
                <c:formatCode>0.00</c:formatCode>
                <c:ptCount val="4"/>
                <c:pt idx="0">
                  <c:v>6.8321674643664911</c:v>
                </c:pt>
                <c:pt idx="1">
                  <c:v>8.3694564854951601</c:v>
                </c:pt>
                <c:pt idx="2">
                  <c:v>10.721562295775184</c:v>
                </c:pt>
                <c:pt idx="3">
                  <c:v>12.521539345203902</c:v>
                </c:pt>
              </c:numCache>
            </c:numRef>
          </c:xVal>
          <c:yVal>
            <c:numRef>
              <c:f>'P- CERRITO AP1 M2'!$G$83:$J$83</c:f>
              <c:numCache>
                <c:formatCode>General</c:formatCode>
                <c:ptCount val="4"/>
                <c:pt idx="0">
                  <c:v>2.250161364091992</c:v>
                </c:pt>
                <c:pt idx="1">
                  <c:v>2.1735198983083999</c:v>
                </c:pt>
                <c:pt idx="2">
                  <c:v>2.0658603795103914</c:v>
                </c:pt>
                <c:pt idx="3">
                  <c:v>1.9904133404171453</c:v>
                </c:pt>
              </c:numCache>
            </c:numRef>
          </c:yVal>
          <c:smooth val="0"/>
          <c:extLst>
            <c:ext xmlns:c16="http://schemas.microsoft.com/office/drawing/2014/chart" uri="{C3380CC4-5D6E-409C-BE32-E72D297353CC}">
              <c16:uniqueId val="{00000003-E0E2-4447-B5FF-B9F31B5B9A10}"/>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 CERRITO AP1 M2'!$AJ$91:$AL$91</c:f>
              <c:numCache>
                <c:formatCode>0.000</c:formatCode>
                <c:ptCount val="3"/>
                <c:pt idx="0">
                  <c:v>2.107979043352338</c:v>
                </c:pt>
                <c:pt idx="1">
                  <c:v>1.9535357367475668</c:v>
                </c:pt>
                <c:pt idx="2">
                  <c:v>1.8004321805942183</c:v>
                </c:pt>
              </c:numCache>
            </c:numRef>
          </c:xVal>
          <c:yVal>
            <c:numRef>
              <c:f>'P- CERRITO AP1 M2'!$AJ$94:$AL$94</c:f>
              <c:numCache>
                <c:formatCode>0.000</c:formatCode>
                <c:ptCount val="3"/>
                <c:pt idx="0">
                  <c:v>10.340714735799803</c:v>
                </c:pt>
                <c:pt idx="1">
                  <c:v>5.8316432702693834</c:v>
                </c:pt>
                <c:pt idx="2">
                  <c:v>4.2269823719336861</c:v>
                </c:pt>
              </c:numCache>
            </c:numRef>
          </c:yVal>
          <c:smooth val="1"/>
          <c:extLst>
            <c:ext xmlns:c16="http://schemas.microsoft.com/office/drawing/2014/chart" uri="{C3380CC4-5D6E-409C-BE32-E72D297353CC}">
              <c16:uniqueId val="{00000001-A8AF-4444-A8D8-FDD367FE937A}"/>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 CERRITO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AP1 M2'!$AM$75:$AM$86</c:f>
              <c:numCache>
                <c:formatCode>0.000</c:formatCode>
                <c:ptCount val="12"/>
                <c:pt idx="0">
                  <c:v>0</c:v>
                </c:pt>
                <c:pt idx="1">
                  <c:v>0.16200828157349897</c:v>
                </c:pt>
                <c:pt idx="2">
                  <c:v>0.38612836438923392</c:v>
                </c:pt>
                <c:pt idx="3">
                  <c:v>0.56521739130434789</c:v>
                </c:pt>
                <c:pt idx="4">
                  <c:v>0.71350931677018647</c:v>
                </c:pt>
                <c:pt idx="5">
                  <c:v>0.80538302277432705</c:v>
                </c:pt>
                <c:pt idx="6">
                  <c:v>0.92028985507246375</c:v>
                </c:pt>
                <c:pt idx="7">
                  <c:v>0.99120082815734989</c:v>
                </c:pt>
                <c:pt idx="8">
                  <c:v>1.0702898550724638</c:v>
                </c:pt>
                <c:pt idx="9">
                  <c:v>1.2412008281573499</c:v>
                </c:pt>
                <c:pt idx="10">
                  <c:v>1.3711180124223601</c:v>
                </c:pt>
                <c:pt idx="11">
                  <c:v>1.4435300207039337</c:v>
                </c:pt>
              </c:numCache>
            </c:numRef>
          </c:yVal>
          <c:smooth val="1"/>
          <c:extLst>
            <c:ext xmlns:c16="http://schemas.microsoft.com/office/drawing/2014/chart" uri="{C3380CC4-5D6E-409C-BE32-E72D297353CC}">
              <c16:uniqueId val="{00000000-43B0-4D67-8AF7-72D27522FFBF}"/>
            </c:ext>
          </c:extLst>
        </c:ser>
        <c:ser>
          <c:idx val="1"/>
          <c:order val="1"/>
          <c:tx>
            <c:v>26 golpes</c:v>
          </c:tx>
          <c:marker>
            <c:symbol val="circle"/>
            <c:size val="3"/>
            <c:spPr>
              <a:solidFill>
                <a:srgbClr val="00B050"/>
              </a:solidFill>
              <a:ln>
                <a:solidFill>
                  <a:srgbClr val="00B050">
                    <a:alpha val="50000"/>
                  </a:srgbClr>
                </a:solidFill>
                <a:prstDash val="solid"/>
              </a:ln>
            </c:spPr>
          </c:marker>
          <c:xVal>
            <c:numRef>
              <c:f>'P- CERRITO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AP1 M2'!$AO$75:$AO$86</c:f>
              <c:numCache>
                <c:formatCode>0.000</c:formatCode>
                <c:ptCount val="12"/>
                <c:pt idx="0">
                  <c:v>0</c:v>
                </c:pt>
                <c:pt idx="1">
                  <c:v>0.14402854963495698</c:v>
                </c:pt>
                <c:pt idx="2">
                  <c:v>0.27879481311975585</c:v>
                </c:pt>
                <c:pt idx="3">
                  <c:v>0.35937670262613064</c:v>
                </c:pt>
                <c:pt idx="4">
                  <c:v>0.42027623406341946</c:v>
                </c:pt>
                <c:pt idx="5">
                  <c:v>0.47330282227307402</c:v>
                </c:pt>
                <c:pt idx="6">
                  <c:v>0.52285605317641937</c:v>
                </c:pt>
                <c:pt idx="7">
                  <c:v>0.56523101231339212</c:v>
                </c:pt>
                <c:pt idx="8">
                  <c:v>0.60065925683774657</c:v>
                </c:pt>
                <c:pt idx="9">
                  <c:v>0.73395445134575565</c:v>
                </c:pt>
                <c:pt idx="10">
                  <c:v>0.86370818350223399</c:v>
                </c:pt>
                <c:pt idx="11">
                  <c:v>0.99199084668192228</c:v>
                </c:pt>
              </c:numCache>
            </c:numRef>
          </c:yVal>
          <c:smooth val="1"/>
          <c:extLst>
            <c:ext xmlns:c16="http://schemas.microsoft.com/office/drawing/2014/chart" uri="{C3380CC4-5D6E-409C-BE32-E72D297353CC}">
              <c16:uniqueId val="{00000001-43B0-4D67-8AF7-72D27522FFBF}"/>
            </c:ext>
          </c:extLst>
        </c:ser>
        <c:ser>
          <c:idx val="2"/>
          <c:order val="2"/>
          <c:tx>
            <c:v>56 golpes</c:v>
          </c:tx>
          <c:marker>
            <c:symbol val="circle"/>
            <c:size val="3"/>
            <c:spPr>
              <a:solidFill>
                <a:srgbClr val="00B050"/>
              </a:solidFill>
              <a:ln>
                <a:solidFill>
                  <a:srgbClr val="00B050">
                    <a:alpha val="50000"/>
                  </a:srgbClr>
                </a:solidFill>
                <a:prstDash val="solid"/>
              </a:ln>
            </c:spPr>
          </c:marker>
          <c:xVal>
            <c:numRef>
              <c:f>'P- CERRITO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AP1 M2'!$AQ$75:$AQ$86</c:f>
              <c:numCache>
                <c:formatCode>0.000</c:formatCode>
                <c:ptCount val="12"/>
                <c:pt idx="0">
                  <c:v>0</c:v>
                </c:pt>
                <c:pt idx="1">
                  <c:v>5.6040600544292093E-2</c:v>
                </c:pt>
                <c:pt idx="2">
                  <c:v>0.13356641535476646</c:v>
                </c:pt>
                <c:pt idx="3">
                  <c:v>0.22004440277615014</c:v>
                </c:pt>
                <c:pt idx="4">
                  <c:v>0.29166178366342432</c:v>
                </c:pt>
                <c:pt idx="5">
                  <c:v>0.35790786098415306</c:v>
                </c:pt>
                <c:pt idx="6">
                  <c:v>0.42415393830488174</c:v>
                </c:pt>
                <c:pt idx="7">
                  <c:v>0.46855671445499181</c:v>
                </c:pt>
                <c:pt idx="8">
                  <c:v>0.49684557990546507</c:v>
                </c:pt>
                <c:pt idx="9">
                  <c:v>0.49666653645324682</c:v>
                </c:pt>
                <c:pt idx="10">
                  <c:v>0.46372254124510071</c:v>
                </c:pt>
                <c:pt idx="11">
                  <c:v>0.46372254124510071</c:v>
                </c:pt>
              </c:numCache>
            </c:numRef>
          </c:yVal>
          <c:smooth val="1"/>
          <c:extLst>
            <c:ext xmlns:c16="http://schemas.microsoft.com/office/drawing/2014/chart" uri="{C3380CC4-5D6E-409C-BE32-E72D297353CC}">
              <c16:uniqueId val="{00000002-43B0-4D67-8AF7-72D27522FFBF}"/>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 CERRITO AP1 M2'!$E$34:$H$34</c:f>
              <c:numCache>
                <c:formatCode>0.00</c:formatCode>
                <c:ptCount val="4"/>
                <c:pt idx="0">
                  <c:v>6.8321674643664911</c:v>
                </c:pt>
                <c:pt idx="1">
                  <c:v>8.3694564854951601</c:v>
                </c:pt>
                <c:pt idx="2">
                  <c:v>10.721562295775184</c:v>
                </c:pt>
                <c:pt idx="3">
                  <c:v>12.521539345203902</c:v>
                </c:pt>
              </c:numCache>
            </c:numRef>
          </c:xVal>
          <c:yVal>
            <c:numRef>
              <c:f>'P- CERRITO AP1 M2'!$E$37:$H$37</c:f>
              <c:numCache>
                <c:formatCode>0.0000</c:formatCode>
                <c:ptCount val="4"/>
                <c:pt idx="0">
                  <c:v>1.9278746892976086</c:v>
                </c:pt>
                <c:pt idx="1">
                  <c:v>2.0590469846726833</c:v>
                </c:pt>
                <c:pt idx="2">
                  <c:v>2.035067785097171</c:v>
                </c:pt>
                <c:pt idx="3">
                  <c:v>1.932177135942311</c:v>
                </c:pt>
              </c:numCache>
            </c:numRef>
          </c:yVal>
          <c:smooth val="1"/>
          <c:extLst>
            <c:ext xmlns:c16="http://schemas.microsoft.com/office/drawing/2014/chart" uri="{C3380CC4-5D6E-409C-BE32-E72D297353CC}">
              <c16:uniqueId val="{00000001-E8DD-461C-B61D-BB9F24075AAD}"/>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977240697749215E-2"/>
                  <c:y val="6.5823445867021713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 CERRITO AP2 M3'!$E$34:$H$34</c:f>
              <c:numCache>
                <c:formatCode>0.00</c:formatCode>
                <c:ptCount val="4"/>
                <c:pt idx="0">
                  <c:v>18.487915719892591</c:v>
                </c:pt>
                <c:pt idx="1">
                  <c:v>21.326946789338912</c:v>
                </c:pt>
                <c:pt idx="2">
                  <c:v>24.085137314585552</c:v>
                </c:pt>
                <c:pt idx="3">
                  <c:v>27.725558456628928</c:v>
                </c:pt>
              </c:numCache>
            </c:numRef>
          </c:xVal>
          <c:yVal>
            <c:numRef>
              <c:f>'P- CERRITO AP2 M3'!$E$37:$H$37</c:f>
              <c:numCache>
                <c:formatCode>0.0000</c:formatCode>
                <c:ptCount val="4"/>
                <c:pt idx="0">
                  <c:v>1.5103411041765684</c:v>
                </c:pt>
                <c:pt idx="1">
                  <c:v>1.5421494400487521</c:v>
                </c:pt>
                <c:pt idx="2">
                  <c:v>1.5510165417372415</c:v>
                </c:pt>
                <c:pt idx="3">
                  <c:v>1.4630705916493854</c:v>
                </c:pt>
              </c:numCache>
            </c:numRef>
          </c:yVal>
          <c:smooth val="0"/>
          <c:extLst>
            <c:ext xmlns:c16="http://schemas.microsoft.com/office/drawing/2014/chart" uri="{C3380CC4-5D6E-409C-BE32-E72D297353CC}">
              <c16:uniqueId val="{00000001-1D3D-45AC-B294-39058CF6F814}"/>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 CERRITO AP2 M3'!$E$34:$H$34</c:f>
              <c:numCache>
                <c:formatCode>0.00</c:formatCode>
                <c:ptCount val="4"/>
                <c:pt idx="0">
                  <c:v>18.487915719892591</c:v>
                </c:pt>
                <c:pt idx="1">
                  <c:v>21.326946789338912</c:v>
                </c:pt>
                <c:pt idx="2">
                  <c:v>24.085137314585552</c:v>
                </c:pt>
                <c:pt idx="3">
                  <c:v>27.725558456628928</c:v>
                </c:pt>
              </c:numCache>
            </c:numRef>
          </c:xVal>
          <c:yVal>
            <c:numRef>
              <c:f>'P- CERRITO AP2 M3'!$G$83:$J$83</c:f>
              <c:numCache>
                <c:formatCode>General</c:formatCode>
                <c:ptCount val="4"/>
                <c:pt idx="0">
                  <c:v>1.7536301812423503</c:v>
                </c:pt>
                <c:pt idx="1">
                  <c:v>1.6689313120391958</c:v>
                </c:pt>
                <c:pt idx="2">
                  <c:v>1.594128644860763</c:v>
                </c:pt>
                <c:pt idx="3">
                  <c:v>1.5050919521317809</c:v>
                </c:pt>
              </c:numCache>
            </c:numRef>
          </c:yVal>
          <c:smooth val="0"/>
          <c:extLst>
            <c:ext xmlns:c16="http://schemas.microsoft.com/office/drawing/2014/chart" uri="{C3380CC4-5D6E-409C-BE32-E72D297353CC}">
              <c16:uniqueId val="{00000003-1D3D-45AC-B294-39058CF6F814}"/>
            </c:ext>
          </c:extLst>
        </c:ser>
        <c:dLbls>
          <c:showLegendKey val="0"/>
          <c:showVal val="0"/>
          <c:showCatName val="0"/>
          <c:showSerName val="0"/>
          <c:showPercent val="0"/>
          <c:showBubbleSize val="0"/>
        </c:dLbls>
        <c:axId val="862226368"/>
        <c:axId val="862172912"/>
      </c:scatterChart>
      <c:valAx>
        <c:axId val="862226368"/>
        <c:scaling>
          <c:orientation val="minMax"/>
          <c:max val="3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 CERRITO AP2 M3'!$AJ$91:$AL$91</c:f>
              <c:numCache>
                <c:formatCode>0.000</c:formatCode>
                <c:ptCount val="3"/>
                <c:pt idx="0">
                  <c:v>1.5488124519435635</c:v>
                </c:pt>
                <c:pt idx="1">
                  <c:v>1.4863968492047772</c:v>
                </c:pt>
                <c:pt idx="2">
                  <c:v>1.4053605964376128</c:v>
                </c:pt>
              </c:numCache>
            </c:numRef>
          </c:xVal>
          <c:yVal>
            <c:numRef>
              <c:f>'P- CERRITO AP2 M3'!$AJ$94:$AL$94</c:f>
              <c:numCache>
                <c:formatCode>0.000</c:formatCode>
                <c:ptCount val="3"/>
                <c:pt idx="0">
                  <c:v>6.143667296786389</c:v>
                </c:pt>
                <c:pt idx="1">
                  <c:v>3.8639416960920681</c:v>
                </c:pt>
                <c:pt idx="2">
                  <c:v>2.1251679328506374</c:v>
                </c:pt>
              </c:numCache>
            </c:numRef>
          </c:yVal>
          <c:smooth val="1"/>
          <c:extLst>
            <c:ext xmlns:c16="http://schemas.microsoft.com/office/drawing/2014/chart" uri="{C3380CC4-5D6E-409C-BE32-E72D297353CC}">
              <c16:uniqueId val="{00000001-A63D-46F1-8268-15C8835823A2}"/>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 CERRITO AP2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AP2 M3'!$AM$75:$AM$86</c:f>
              <c:numCache>
                <c:formatCode>0.000</c:formatCode>
                <c:ptCount val="12"/>
                <c:pt idx="0">
                  <c:v>0</c:v>
                </c:pt>
                <c:pt idx="1">
                  <c:v>0.10714285714285715</c:v>
                </c:pt>
                <c:pt idx="2">
                  <c:v>0.21739130434782608</c:v>
                </c:pt>
                <c:pt idx="3">
                  <c:v>0.32815734989648038</c:v>
                </c:pt>
                <c:pt idx="4">
                  <c:v>0.42391304347826086</c:v>
                </c:pt>
                <c:pt idx="5">
                  <c:v>0.51449275362318836</c:v>
                </c:pt>
                <c:pt idx="6">
                  <c:v>0.59937888198757761</c:v>
                </c:pt>
                <c:pt idx="7">
                  <c:v>0.66252587991718426</c:v>
                </c:pt>
                <c:pt idx="8">
                  <c:v>0.71480331262939956</c:v>
                </c:pt>
                <c:pt idx="9">
                  <c:v>0.93840579710144922</c:v>
                </c:pt>
                <c:pt idx="10">
                  <c:v>1.1997929606625259</c:v>
                </c:pt>
                <c:pt idx="11">
                  <c:v>1.5833333333333333</c:v>
                </c:pt>
              </c:numCache>
            </c:numRef>
          </c:yVal>
          <c:smooth val="1"/>
          <c:extLst>
            <c:ext xmlns:c16="http://schemas.microsoft.com/office/drawing/2014/chart" uri="{C3380CC4-5D6E-409C-BE32-E72D297353CC}">
              <c16:uniqueId val="{00000000-B2BF-4AC6-9166-A70400DD6062}"/>
            </c:ext>
          </c:extLst>
        </c:ser>
        <c:ser>
          <c:idx val="1"/>
          <c:order val="1"/>
          <c:tx>
            <c:v>26 golpes</c:v>
          </c:tx>
          <c:marker>
            <c:symbol val="circle"/>
            <c:size val="3"/>
            <c:spPr>
              <a:solidFill>
                <a:srgbClr val="00B050"/>
              </a:solidFill>
              <a:ln>
                <a:solidFill>
                  <a:srgbClr val="00B050">
                    <a:alpha val="50000"/>
                  </a:srgbClr>
                </a:solidFill>
                <a:prstDash val="solid"/>
              </a:ln>
            </c:spPr>
          </c:marker>
          <c:xVal>
            <c:numRef>
              <c:f>'P- CERRITO AP2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AP2 M3'!$AO$75:$AO$86</c:f>
              <c:numCache>
                <c:formatCode>0.000</c:formatCode>
                <c:ptCount val="12"/>
                <c:pt idx="0">
                  <c:v>0</c:v>
                </c:pt>
                <c:pt idx="1">
                  <c:v>6.5217391304347824E-2</c:v>
                </c:pt>
                <c:pt idx="2">
                  <c:v>0.13405797101449274</c:v>
                </c:pt>
                <c:pt idx="3">
                  <c:v>0.20638827037514484</c:v>
                </c:pt>
                <c:pt idx="4">
                  <c:v>0.26661197703035272</c:v>
                </c:pt>
                <c:pt idx="5">
                  <c:v>0.32358034819068454</c:v>
                </c:pt>
                <c:pt idx="6">
                  <c:v>0.37696785030665259</c:v>
                </c:pt>
                <c:pt idx="7">
                  <c:v>0.41668294334414102</c:v>
                </c:pt>
                <c:pt idx="8">
                  <c:v>0.44772256728778465</c:v>
                </c:pt>
                <c:pt idx="9">
                  <c:v>0.59006211180124213</c:v>
                </c:pt>
                <c:pt idx="10">
                  <c:v>0.75458676771228039</c:v>
                </c:pt>
                <c:pt idx="11">
                  <c:v>0.89803312629399579</c:v>
                </c:pt>
              </c:numCache>
            </c:numRef>
          </c:yVal>
          <c:smooth val="1"/>
          <c:extLst>
            <c:ext xmlns:c16="http://schemas.microsoft.com/office/drawing/2014/chart" uri="{C3380CC4-5D6E-409C-BE32-E72D297353CC}">
              <c16:uniqueId val="{00000001-B2BF-4AC6-9166-A70400DD6062}"/>
            </c:ext>
          </c:extLst>
        </c:ser>
        <c:ser>
          <c:idx val="2"/>
          <c:order val="2"/>
          <c:tx>
            <c:v>56 golpes</c:v>
          </c:tx>
          <c:marker>
            <c:symbol val="circle"/>
            <c:size val="3"/>
            <c:spPr>
              <a:solidFill>
                <a:srgbClr val="00B050"/>
              </a:solidFill>
              <a:ln>
                <a:solidFill>
                  <a:srgbClr val="00B050">
                    <a:alpha val="50000"/>
                  </a:srgbClr>
                </a:solidFill>
                <a:prstDash val="solid"/>
              </a:ln>
            </c:spPr>
          </c:marker>
          <c:xVal>
            <c:numRef>
              <c:f>'P- CERRITO AP2 M3'!$AJ$75:$AJ$86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AP2 M3'!$AQ$75:$AQ$86</c:f>
              <c:numCache>
                <c:formatCode>0.000</c:formatCode>
                <c:ptCount val="12"/>
                <c:pt idx="0">
                  <c:v>0</c:v>
                </c:pt>
                <c:pt idx="1">
                  <c:v>3.7061994609164421E-2</c:v>
                </c:pt>
                <c:pt idx="2">
                  <c:v>7.519824993163797E-2</c:v>
                </c:pt>
                <c:pt idx="3">
                  <c:v>0.11351354870632968</c:v>
                </c:pt>
                <c:pt idx="4">
                  <c:v>0.14663658736669399</c:v>
                </c:pt>
                <c:pt idx="5">
                  <c:v>0.17796919150487647</c:v>
                </c:pt>
                <c:pt idx="6">
                  <c:v>0.20733231766865892</c:v>
                </c:pt>
                <c:pt idx="7">
                  <c:v>0.22917561883927756</c:v>
                </c:pt>
                <c:pt idx="8">
                  <c:v>0.24725900751331434</c:v>
                </c:pt>
                <c:pt idx="9">
                  <c:v>0.32460577887157049</c:v>
                </c:pt>
                <c:pt idx="10">
                  <c:v>0.41304347826086962</c:v>
                </c:pt>
                <c:pt idx="11">
                  <c:v>0.47308488612836436</c:v>
                </c:pt>
              </c:numCache>
            </c:numRef>
          </c:yVal>
          <c:smooth val="1"/>
          <c:extLst>
            <c:ext xmlns:c16="http://schemas.microsoft.com/office/drawing/2014/chart" uri="{C3380CC4-5D6E-409C-BE32-E72D297353CC}">
              <c16:uniqueId val="{00000002-B2BF-4AC6-9166-A70400DD6062}"/>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 CERRITO AP2 M3'!$E$34:$H$34</c:f>
              <c:numCache>
                <c:formatCode>0.00</c:formatCode>
                <c:ptCount val="4"/>
                <c:pt idx="0">
                  <c:v>18.487915719892591</c:v>
                </c:pt>
                <c:pt idx="1">
                  <c:v>21.326946789338912</c:v>
                </c:pt>
                <c:pt idx="2">
                  <c:v>24.085137314585552</c:v>
                </c:pt>
                <c:pt idx="3">
                  <c:v>27.725558456628928</c:v>
                </c:pt>
              </c:numCache>
            </c:numRef>
          </c:xVal>
          <c:yVal>
            <c:numRef>
              <c:f>'P- CERRITO AP2 M3'!$E$37:$H$37</c:f>
              <c:numCache>
                <c:formatCode>0.0000</c:formatCode>
                <c:ptCount val="4"/>
                <c:pt idx="0">
                  <c:v>1.5103411041765684</c:v>
                </c:pt>
                <c:pt idx="1">
                  <c:v>1.5421494400487521</c:v>
                </c:pt>
                <c:pt idx="2">
                  <c:v>1.5510165417372415</c:v>
                </c:pt>
                <c:pt idx="3">
                  <c:v>1.4630705916493854</c:v>
                </c:pt>
              </c:numCache>
            </c:numRef>
          </c:yVal>
          <c:smooth val="1"/>
          <c:extLst>
            <c:ext xmlns:c16="http://schemas.microsoft.com/office/drawing/2014/chart" uri="{C3380CC4-5D6E-409C-BE32-E72D297353CC}">
              <c16:uniqueId val="{00000001-E18F-48C0-93EF-EA25062ACF1B}"/>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3528229107580392"/>
                  <c:y val="0.16538515571983783"/>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 CERRITO AP3 M2 '!$E$34:$H$34</c:f>
              <c:numCache>
                <c:formatCode>0.00</c:formatCode>
                <c:ptCount val="4"/>
                <c:pt idx="0">
                  <c:v>6.3903614457831281</c:v>
                </c:pt>
                <c:pt idx="1">
                  <c:v>8.7024358436961471</c:v>
                </c:pt>
                <c:pt idx="2">
                  <c:v>10.545996839317112</c:v>
                </c:pt>
                <c:pt idx="3">
                  <c:v>12.656442799224408</c:v>
                </c:pt>
              </c:numCache>
            </c:numRef>
          </c:xVal>
          <c:yVal>
            <c:numRef>
              <c:f>'P- CERRITO AP3 M2 '!$E$37:$H$37</c:f>
              <c:numCache>
                <c:formatCode>0.0000</c:formatCode>
                <c:ptCount val="4"/>
                <c:pt idx="0">
                  <c:v>2.0640932559706555</c:v>
                </c:pt>
                <c:pt idx="1">
                  <c:v>2.1079876216273732</c:v>
                </c:pt>
                <c:pt idx="2">
                  <c:v>2.1174734407682307</c:v>
                </c:pt>
                <c:pt idx="3">
                  <c:v>1.9773868017961709</c:v>
                </c:pt>
              </c:numCache>
            </c:numRef>
          </c:yVal>
          <c:smooth val="0"/>
          <c:extLst>
            <c:ext xmlns:c16="http://schemas.microsoft.com/office/drawing/2014/chart" uri="{C3380CC4-5D6E-409C-BE32-E72D297353CC}">
              <c16:uniqueId val="{00000001-82C7-49AE-8F89-9E5978F6C0A2}"/>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 CERRITO AP3 M2 '!$E$34:$H$34</c:f>
              <c:numCache>
                <c:formatCode>0.00</c:formatCode>
                <c:ptCount val="4"/>
                <c:pt idx="0">
                  <c:v>6.3903614457831281</c:v>
                </c:pt>
                <c:pt idx="1">
                  <c:v>8.7024358436961471</c:v>
                </c:pt>
                <c:pt idx="2">
                  <c:v>10.545996839317112</c:v>
                </c:pt>
                <c:pt idx="3">
                  <c:v>12.656442799224408</c:v>
                </c:pt>
              </c:numCache>
            </c:numRef>
          </c:xVal>
          <c:yVal>
            <c:numRef>
              <c:f>'P- CERRITO AP3 M2 '!$G$83:$J$83</c:f>
              <c:numCache>
                <c:formatCode>General</c:formatCode>
                <c:ptCount val="4"/>
                <c:pt idx="0">
                  <c:v>2.3317245780298275</c:v>
                </c:pt>
                <c:pt idx="1">
                  <c:v>2.2124487931678343</c:v>
                </c:pt>
                <c:pt idx="2">
                  <c:v>2.1257442696418116</c:v>
                </c:pt>
                <c:pt idx="3">
                  <c:v>2.034472378120288</c:v>
                </c:pt>
              </c:numCache>
            </c:numRef>
          </c:yVal>
          <c:smooth val="0"/>
          <c:extLst>
            <c:ext xmlns:c16="http://schemas.microsoft.com/office/drawing/2014/chart" uri="{C3380CC4-5D6E-409C-BE32-E72D297353CC}">
              <c16:uniqueId val="{00000003-82C7-49AE-8F89-9E5978F6C0A2}"/>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 CERRITO AP3 M2 '!$AJ$91:$AL$91</c:f>
              <c:numCache>
                <c:formatCode>0.000</c:formatCode>
                <c:ptCount val="3"/>
                <c:pt idx="0">
                  <c:v>2.152427031387715</c:v>
                </c:pt>
                <c:pt idx="1">
                  <c:v>1.9560633617683294</c:v>
                </c:pt>
                <c:pt idx="2">
                  <c:v>1.833389916000624</c:v>
                </c:pt>
              </c:numCache>
            </c:numRef>
          </c:xVal>
          <c:yVal>
            <c:numRef>
              <c:f>'P- CERRITO AP3 M2 '!$AJ$94:$AL$94</c:f>
              <c:numCache>
                <c:formatCode>0.000</c:formatCode>
                <c:ptCount val="3"/>
                <c:pt idx="0">
                  <c:v>36.741980976385506</c:v>
                </c:pt>
                <c:pt idx="1">
                  <c:v>23.108164136091514</c:v>
                </c:pt>
                <c:pt idx="2">
                  <c:v>12.709490274850332</c:v>
                </c:pt>
              </c:numCache>
            </c:numRef>
          </c:yVal>
          <c:smooth val="1"/>
          <c:extLst>
            <c:ext xmlns:c16="http://schemas.microsoft.com/office/drawing/2014/chart" uri="{C3380CC4-5D6E-409C-BE32-E72D297353CC}">
              <c16:uniqueId val="{00000001-356C-4EEF-9209-FC19EB1C914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 CERRITO AP3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AP3 M2 '!$AM$75:$AM$86</c:f>
              <c:numCache>
                <c:formatCode>0.000</c:formatCode>
                <c:ptCount val="12"/>
                <c:pt idx="0">
                  <c:v>0</c:v>
                </c:pt>
                <c:pt idx="1">
                  <c:v>0.4503105590062112</c:v>
                </c:pt>
                <c:pt idx="2">
                  <c:v>1.3286749482401659</c:v>
                </c:pt>
                <c:pt idx="3">
                  <c:v>2.048136645962733</c:v>
                </c:pt>
                <c:pt idx="4">
                  <c:v>2.5351966873706</c:v>
                </c:pt>
                <c:pt idx="5">
                  <c:v>2.9239130434782608</c:v>
                </c:pt>
                <c:pt idx="6">
                  <c:v>3.2950310559006208</c:v>
                </c:pt>
                <c:pt idx="7">
                  <c:v>3.6568322981366466</c:v>
                </c:pt>
                <c:pt idx="8">
                  <c:v>3.9943064182194616</c:v>
                </c:pt>
                <c:pt idx="9">
                  <c:v>5.1878881987577641</c:v>
                </c:pt>
                <c:pt idx="10">
                  <c:v>6.2148033126293987</c:v>
                </c:pt>
                <c:pt idx="11">
                  <c:v>7.1485507246376816</c:v>
                </c:pt>
              </c:numCache>
            </c:numRef>
          </c:yVal>
          <c:smooth val="1"/>
          <c:extLst>
            <c:ext xmlns:c16="http://schemas.microsoft.com/office/drawing/2014/chart" uri="{C3380CC4-5D6E-409C-BE32-E72D297353CC}">
              <c16:uniqueId val="{00000000-CA74-497D-801A-48F559A10E9A}"/>
            </c:ext>
          </c:extLst>
        </c:ser>
        <c:ser>
          <c:idx val="1"/>
          <c:order val="1"/>
          <c:tx>
            <c:v>26 golpes</c:v>
          </c:tx>
          <c:marker>
            <c:symbol val="circle"/>
            <c:size val="3"/>
            <c:spPr>
              <a:solidFill>
                <a:srgbClr val="00B050"/>
              </a:solidFill>
              <a:ln>
                <a:solidFill>
                  <a:srgbClr val="00B050">
                    <a:alpha val="50000"/>
                  </a:srgbClr>
                </a:solidFill>
                <a:prstDash val="solid"/>
              </a:ln>
            </c:spPr>
          </c:marker>
          <c:xVal>
            <c:numRef>
              <c:f>'P- CERRITO AP3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AP3 M2 '!$AO$75:$AO$86</c:f>
              <c:numCache>
                <c:formatCode>0.000</c:formatCode>
                <c:ptCount val="12"/>
                <c:pt idx="0">
                  <c:v>0</c:v>
                </c:pt>
                <c:pt idx="1">
                  <c:v>0.21029467296899615</c:v>
                </c:pt>
                <c:pt idx="2">
                  <c:v>0.74742502962355295</c:v>
                </c:pt>
                <c:pt idx="3">
                  <c:v>1.2881362553224736</c:v>
                </c:pt>
                <c:pt idx="4">
                  <c:v>1.5944633253903144</c:v>
                </c:pt>
                <c:pt idx="5">
                  <c:v>1.8389390210555099</c:v>
                </c:pt>
                <c:pt idx="6">
                  <c:v>2.0723465760381261</c:v>
                </c:pt>
                <c:pt idx="7">
                  <c:v>2.299894527129966</c:v>
                </c:pt>
                <c:pt idx="8">
                  <c:v>2.5121424013958875</c:v>
                </c:pt>
                <c:pt idx="9">
                  <c:v>3.2629399585921326</c:v>
                </c:pt>
                <c:pt idx="10">
                  <c:v>3.9086813286977358</c:v>
                </c:pt>
                <c:pt idx="11">
                  <c:v>4.4959438519733839</c:v>
                </c:pt>
              </c:numCache>
            </c:numRef>
          </c:yVal>
          <c:smooth val="1"/>
          <c:extLst>
            <c:ext xmlns:c16="http://schemas.microsoft.com/office/drawing/2014/chart" uri="{C3380CC4-5D6E-409C-BE32-E72D297353CC}">
              <c16:uniqueId val="{00000001-CA74-497D-801A-48F559A10E9A}"/>
            </c:ext>
          </c:extLst>
        </c:ser>
        <c:ser>
          <c:idx val="2"/>
          <c:order val="2"/>
          <c:tx>
            <c:v>56 golpes</c:v>
          </c:tx>
          <c:marker>
            <c:symbol val="circle"/>
            <c:size val="3"/>
            <c:spPr>
              <a:solidFill>
                <a:srgbClr val="00B050"/>
              </a:solidFill>
              <a:ln>
                <a:solidFill>
                  <a:srgbClr val="00B050">
                    <a:alpha val="50000"/>
                  </a:srgbClr>
                </a:solidFill>
                <a:prstDash val="solid"/>
              </a:ln>
            </c:spPr>
          </c:marker>
          <c:xVal>
            <c:numRef>
              <c:f>'P- CERRITO AP3 M2 '!$AJ$75:$AJ$86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AP3 M2 '!$AQ$75:$AQ$86</c:f>
              <c:numCache>
                <c:formatCode>0.000</c:formatCode>
                <c:ptCount val="12"/>
                <c:pt idx="0">
                  <c:v>0</c:v>
                </c:pt>
                <c:pt idx="1">
                  <c:v>0.10559006211180123</c:v>
                </c:pt>
                <c:pt idx="2">
                  <c:v>0.37008281573498958</c:v>
                </c:pt>
                <c:pt idx="3">
                  <c:v>0.67184265010351962</c:v>
                </c:pt>
                <c:pt idx="4">
                  <c:v>0.87695482896467292</c:v>
                </c:pt>
                <c:pt idx="5">
                  <c:v>1.0114164615805306</c:v>
                </c:pt>
                <c:pt idx="6">
                  <c:v>1.1397906168209695</c:v>
                </c:pt>
                <c:pt idx="7">
                  <c:v>1.2649419899214815</c:v>
                </c:pt>
                <c:pt idx="8">
                  <c:v>1.3816783207677383</c:v>
                </c:pt>
                <c:pt idx="9">
                  <c:v>1.7945525215828741</c:v>
                </c:pt>
                <c:pt idx="10">
                  <c:v>2.0072463768115942</c:v>
                </c:pt>
                <c:pt idx="11">
                  <c:v>2.1785714285714284</c:v>
                </c:pt>
              </c:numCache>
            </c:numRef>
          </c:yVal>
          <c:smooth val="1"/>
          <c:extLst>
            <c:ext xmlns:c16="http://schemas.microsoft.com/office/drawing/2014/chart" uri="{C3380CC4-5D6E-409C-BE32-E72D297353CC}">
              <c16:uniqueId val="{00000002-CA74-497D-801A-48F559A10E9A}"/>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 CERRITO AP3 M2 '!$E$34:$H$34</c:f>
              <c:numCache>
                <c:formatCode>0.00</c:formatCode>
                <c:ptCount val="4"/>
                <c:pt idx="0">
                  <c:v>6.3903614457831281</c:v>
                </c:pt>
                <c:pt idx="1">
                  <c:v>8.7024358436961471</c:v>
                </c:pt>
                <c:pt idx="2">
                  <c:v>10.545996839317112</c:v>
                </c:pt>
                <c:pt idx="3">
                  <c:v>12.656442799224408</c:v>
                </c:pt>
              </c:numCache>
            </c:numRef>
          </c:xVal>
          <c:yVal>
            <c:numRef>
              <c:f>'P- CERRITO AP3 M2 '!$E$37:$H$37</c:f>
              <c:numCache>
                <c:formatCode>0.0000</c:formatCode>
                <c:ptCount val="4"/>
                <c:pt idx="0">
                  <c:v>2.0640932559706555</c:v>
                </c:pt>
                <c:pt idx="1">
                  <c:v>2.1079876216273732</c:v>
                </c:pt>
                <c:pt idx="2">
                  <c:v>2.1174734407682307</c:v>
                </c:pt>
                <c:pt idx="3">
                  <c:v>1.9773868017961709</c:v>
                </c:pt>
              </c:numCache>
            </c:numRef>
          </c:yVal>
          <c:smooth val="1"/>
          <c:extLst>
            <c:ext xmlns:c16="http://schemas.microsoft.com/office/drawing/2014/chart" uri="{C3380CC4-5D6E-409C-BE32-E72D297353CC}">
              <c16:uniqueId val="{00000001-EC1F-49EE-82BE-63A7B3351B43}"/>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9.1342112457384786E-2"/>
                  <c:y val="0.29520819650728075"/>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 CERRITO AP4 M2'!$E$34:$H$34</c:f>
              <c:numCache>
                <c:formatCode>0.00</c:formatCode>
                <c:ptCount val="4"/>
                <c:pt idx="0">
                  <c:v>7.5464083938660167</c:v>
                </c:pt>
                <c:pt idx="1">
                  <c:v>9.0994884021258589</c:v>
                </c:pt>
                <c:pt idx="2">
                  <c:v>11.78612574061882</c:v>
                </c:pt>
                <c:pt idx="3">
                  <c:v>13.404403414294624</c:v>
                </c:pt>
              </c:numCache>
            </c:numRef>
          </c:xVal>
          <c:yVal>
            <c:numRef>
              <c:f>'P- CERRITO AP4 M2'!$E$37:$H$37</c:f>
              <c:numCache>
                <c:formatCode>0.0000</c:formatCode>
                <c:ptCount val="4"/>
                <c:pt idx="0">
                  <c:v>1.8397497039001331</c:v>
                </c:pt>
                <c:pt idx="1">
                  <c:v>1.9053048463337432</c:v>
                </c:pt>
                <c:pt idx="2">
                  <c:v>1.946554314513306</c:v>
                </c:pt>
                <c:pt idx="3">
                  <c:v>1.7574421272651537</c:v>
                </c:pt>
              </c:numCache>
            </c:numRef>
          </c:yVal>
          <c:smooth val="0"/>
          <c:extLst>
            <c:ext xmlns:c16="http://schemas.microsoft.com/office/drawing/2014/chart" uri="{C3380CC4-5D6E-409C-BE32-E72D297353CC}">
              <c16:uniqueId val="{00000001-4477-441A-AA8A-9BC8C9FD9A0E}"/>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 CERRITO AP4 M2'!$E$34:$H$34</c:f>
              <c:numCache>
                <c:formatCode>0.00</c:formatCode>
                <c:ptCount val="4"/>
                <c:pt idx="0">
                  <c:v>7.5464083938660167</c:v>
                </c:pt>
                <c:pt idx="1">
                  <c:v>9.0994884021258589</c:v>
                </c:pt>
                <c:pt idx="2">
                  <c:v>11.78612574061882</c:v>
                </c:pt>
                <c:pt idx="3">
                  <c:v>13.404403414294624</c:v>
                </c:pt>
              </c:numCache>
            </c:numRef>
          </c:xVal>
          <c:yVal>
            <c:numRef>
              <c:f>'P- CERRITO AP4 M2'!$G$83:$J$83</c:f>
              <c:numCache>
                <c:formatCode>General</c:formatCode>
                <c:ptCount val="4"/>
                <c:pt idx="0">
                  <c:v>2.1527688101259006</c:v>
                </c:pt>
                <c:pt idx="1">
                  <c:v>2.081816796894413</c:v>
                </c:pt>
                <c:pt idx="2">
                  <c:v>1.9695259751548757</c:v>
                </c:pt>
                <c:pt idx="3">
                  <c:v>1.9075502336527699</c:v>
                </c:pt>
              </c:numCache>
            </c:numRef>
          </c:yVal>
          <c:smooth val="0"/>
          <c:extLst>
            <c:ext xmlns:c16="http://schemas.microsoft.com/office/drawing/2014/chart" uri="{C3380CC4-5D6E-409C-BE32-E72D297353CC}">
              <c16:uniqueId val="{00000003-4477-441A-AA8A-9BC8C9FD9A0E}"/>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 CERRITO AP4 M2'!$AJ$91:$AL$91</c:f>
              <c:numCache>
                <c:formatCode>0.000</c:formatCode>
                <c:ptCount val="3"/>
                <c:pt idx="0">
                  <c:v>1.9678040463241577</c:v>
                </c:pt>
                <c:pt idx="1">
                  <c:v>1.8572770342556335</c:v>
                </c:pt>
                <c:pt idx="2">
                  <c:v>1.7957935290653451</c:v>
                </c:pt>
              </c:numCache>
            </c:numRef>
          </c:xVal>
          <c:yVal>
            <c:numRef>
              <c:f>'P- CERRITO AP4 M2'!$AJ$94:$AL$94</c:f>
              <c:numCache>
                <c:formatCode>0.000</c:formatCode>
                <c:ptCount val="3"/>
                <c:pt idx="0">
                  <c:v>11.553927294058212</c:v>
                </c:pt>
                <c:pt idx="1">
                  <c:v>1.8305364811767064</c:v>
                </c:pt>
                <c:pt idx="2">
                  <c:v>0.91526824058835321</c:v>
                </c:pt>
              </c:numCache>
            </c:numRef>
          </c:yVal>
          <c:smooth val="1"/>
          <c:extLst>
            <c:ext xmlns:c16="http://schemas.microsoft.com/office/drawing/2014/chart" uri="{C3380CC4-5D6E-409C-BE32-E72D297353CC}">
              <c16:uniqueId val="{00000001-1D0D-4DB1-92B5-5474B429EBD9}"/>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 CERRITO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AP4 M2'!$AM$75:$AM$86</c:f>
              <c:numCache>
                <c:formatCode>0.000</c:formatCode>
                <c:ptCount val="12"/>
                <c:pt idx="0">
                  <c:v>0</c:v>
                </c:pt>
                <c:pt idx="1">
                  <c:v>0.11128364389233954</c:v>
                </c:pt>
                <c:pt idx="2">
                  <c:v>0.31366459627329191</c:v>
                </c:pt>
                <c:pt idx="3">
                  <c:v>0.56832298136645965</c:v>
                </c:pt>
                <c:pt idx="4">
                  <c:v>0.79722098329001667</c:v>
                </c:pt>
                <c:pt idx="5">
                  <c:v>0.92645331336358161</c:v>
                </c:pt>
                <c:pt idx="6">
                  <c:v>1.036329622043082</c:v>
                </c:pt>
                <c:pt idx="7">
                  <c:v>1.1252025883588095</c:v>
                </c:pt>
                <c:pt idx="8">
                  <c:v>1.1989202017532266</c:v>
                </c:pt>
                <c:pt idx="9">
                  <c:v>1.4666098593307197</c:v>
                </c:pt>
                <c:pt idx="10">
                  <c:v>1.6798555588593747</c:v>
                </c:pt>
                <c:pt idx="11">
                  <c:v>1.8587546161696253</c:v>
                </c:pt>
              </c:numCache>
            </c:numRef>
          </c:yVal>
          <c:smooth val="1"/>
          <c:extLst>
            <c:ext xmlns:c16="http://schemas.microsoft.com/office/drawing/2014/chart" uri="{C3380CC4-5D6E-409C-BE32-E72D297353CC}">
              <c16:uniqueId val="{00000000-5B05-40E7-8D9E-F342DE12A638}"/>
            </c:ext>
          </c:extLst>
        </c:ser>
        <c:ser>
          <c:idx val="1"/>
          <c:order val="1"/>
          <c:tx>
            <c:v>26 golpes</c:v>
          </c:tx>
          <c:marker>
            <c:symbol val="circle"/>
            <c:size val="3"/>
            <c:spPr>
              <a:solidFill>
                <a:srgbClr val="00B050"/>
              </a:solidFill>
              <a:ln>
                <a:solidFill>
                  <a:srgbClr val="00B050">
                    <a:alpha val="50000"/>
                  </a:srgbClr>
                </a:solidFill>
                <a:prstDash val="solid"/>
              </a:ln>
            </c:spPr>
          </c:marker>
          <c:xVal>
            <c:numRef>
              <c:f>'P- CERRITO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AP4 M2'!$AO$75:$AO$86</c:f>
              <c:numCache>
                <c:formatCode>0.000</c:formatCode>
                <c:ptCount val="12"/>
                <c:pt idx="0">
                  <c:v>0</c:v>
                </c:pt>
                <c:pt idx="1">
                  <c:v>1.822987877130617E-2</c:v>
                </c:pt>
                <c:pt idx="2">
                  <c:v>3.5157623344661902E-2</c:v>
                </c:pt>
                <c:pt idx="3">
                  <c:v>7.1617380887274235E-2</c:v>
                </c:pt>
                <c:pt idx="4">
                  <c:v>0.12630701720119275</c:v>
                </c:pt>
                <c:pt idx="5">
                  <c:v>0.1917392606482024</c:v>
                </c:pt>
                <c:pt idx="6">
                  <c:v>0.25717150409521206</c:v>
                </c:pt>
                <c:pt idx="7">
                  <c:v>0.34734429730328004</c:v>
                </c:pt>
                <c:pt idx="8">
                  <c:v>0.44109795955571179</c:v>
                </c:pt>
                <c:pt idx="9">
                  <c:v>0.72877846790890266</c:v>
                </c:pt>
                <c:pt idx="10">
                  <c:v>0.95478990064716052</c:v>
                </c:pt>
                <c:pt idx="11">
                  <c:v>1.1693165097594957</c:v>
                </c:pt>
              </c:numCache>
            </c:numRef>
          </c:yVal>
          <c:smooth val="1"/>
          <c:extLst>
            <c:ext xmlns:c16="http://schemas.microsoft.com/office/drawing/2014/chart" uri="{C3380CC4-5D6E-409C-BE32-E72D297353CC}">
              <c16:uniqueId val="{00000001-5B05-40E7-8D9E-F342DE12A638}"/>
            </c:ext>
          </c:extLst>
        </c:ser>
        <c:ser>
          <c:idx val="2"/>
          <c:order val="2"/>
          <c:tx>
            <c:v>56 golpes</c:v>
          </c:tx>
          <c:marker>
            <c:symbol val="circle"/>
            <c:size val="3"/>
            <c:spPr>
              <a:solidFill>
                <a:srgbClr val="00B050"/>
              </a:solidFill>
              <a:ln>
                <a:solidFill>
                  <a:srgbClr val="00B050">
                    <a:alpha val="50000"/>
                  </a:srgbClr>
                </a:solidFill>
                <a:prstDash val="solid"/>
              </a:ln>
            </c:spPr>
          </c:marker>
          <c:xVal>
            <c:numRef>
              <c:f>'P- CERRITO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 CERRITO AP4 M2'!$AQ$75:$AQ$86</c:f>
              <c:numCache>
                <c:formatCode>0.000</c:formatCode>
                <c:ptCount val="12"/>
                <c:pt idx="0">
                  <c:v>0</c:v>
                </c:pt>
                <c:pt idx="1">
                  <c:v>9.1149393856530848E-3</c:v>
                </c:pt>
                <c:pt idx="2">
                  <c:v>1.7578811672330951E-2</c:v>
                </c:pt>
                <c:pt idx="3">
                  <c:v>3.5808690443637117E-2</c:v>
                </c:pt>
                <c:pt idx="4">
                  <c:v>6.3153508600596375E-2</c:v>
                </c:pt>
                <c:pt idx="5">
                  <c:v>9.5869630324101202E-2</c:v>
                </c:pt>
                <c:pt idx="6">
                  <c:v>0.12858575204760603</c:v>
                </c:pt>
                <c:pt idx="7">
                  <c:v>0.17367214865164002</c:v>
                </c:pt>
                <c:pt idx="8">
                  <c:v>0.2205489797778559</c:v>
                </c:pt>
                <c:pt idx="9">
                  <c:v>0.36443480865137956</c:v>
                </c:pt>
                <c:pt idx="10">
                  <c:v>0.4642857142857143</c:v>
                </c:pt>
                <c:pt idx="11">
                  <c:v>0.51501035196687373</c:v>
                </c:pt>
              </c:numCache>
            </c:numRef>
          </c:yVal>
          <c:smooth val="1"/>
          <c:extLst>
            <c:ext xmlns:c16="http://schemas.microsoft.com/office/drawing/2014/chart" uri="{C3380CC4-5D6E-409C-BE32-E72D297353CC}">
              <c16:uniqueId val="{00000002-5B05-40E7-8D9E-F342DE12A638}"/>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 CERRITO AP4 M2'!$E$34:$H$34</c:f>
              <c:numCache>
                <c:formatCode>0.00</c:formatCode>
                <c:ptCount val="4"/>
                <c:pt idx="0">
                  <c:v>7.5464083938660167</c:v>
                </c:pt>
                <c:pt idx="1">
                  <c:v>9.0994884021258589</c:v>
                </c:pt>
                <c:pt idx="2">
                  <c:v>11.78612574061882</c:v>
                </c:pt>
                <c:pt idx="3">
                  <c:v>13.404403414294624</c:v>
                </c:pt>
              </c:numCache>
            </c:numRef>
          </c:xVal>
          <c:yVal>
            <c:numRef>
              <c:f>'P- CERRITO AP4 M2'!$E$37:$H$37</c:f>
              <c:numCache>
                <c:formatCode>0.0000</c:formatCode>
                <c:ptCount val="4"/>
                <c:pt idx="0">
                  <c:v>1.8397497039001331</c:v>
                </c:pt>
                <c:pt idx="1">
                  <c:v>1.9053048463337432</c:v>
                </c:pt>
                <c:pt idx="2">
                  <c:v>1.946554314513306</c:v>
                </c:pt>
                <c:pt idx="3">
                  <c:v>1.7574421272651537</c:v>
                </c:pt>
              </c:numCache>
            </c:numRef>
          </c:yVal>
          <c:smooth val="1"/>
          <c:extLst>
            <c:ext xmlns:c16="http://schemas.microsoft.com/office/drawing/2014/chart" uri="{C3380CC4-5D6E-409C-BE32-E72D297353CC}">
              <c16:uniqueId val="{00000001-A56D-4A10-922A-4F72B56F0570}"/>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5051437466382087"/>
                  <c:y val="0.26650716600882179"/>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'P-CENCAR AP1 M1'!$E$34:$H$34</c:f>
              <c:numCache>
                <c:formatCode>0.00</c:formatCode>
                <c:ptCount val="4"/>
                <c:pt idx="0">
                  <c:v>6.2213473542438402</c:v>
                </c:pt>
                <c:pt idx="1">
                  <c:v>9.0144261787400985</c:v>
                </c:pt>
                <c:pt idx="2">
                  <c:v>12.207006636982264</c:v>
                </c:pt>
                <c:pt idx="3">
                  <c:v>15.85511703399966</c:v>
                </c:pt>
              </c:numCache>
            </c:numRef>
          </c:xVal>
          <c:yVal>
            <c:numRef>
              <c:f>'P-CENCAR AP1 M1'!$E$37:$H$37</c:f>
              <c:numCache>
                <c:formatCode>0.0000</c:formatCode>
                <c:ptCount val="4"/>
                <c:pt idx="0">
                  <c:v>1.906527939295207</c:v>
                </c:pt>
                <c:pt idx="1">
                  <c:v>1.9964726497858352</c:v>
                </c:pt>
                <c:pt idx="2">
                  <c:v>2.0263823845830804</c:v>
                </c:pt>
                <c:pt idx="3">
                  <c:v>1.8006340011814148</c:v>
                </c:pt>
              </c:numCache>
            </c:numRef>
          </c:yVal>
          <c:smooth val="0"/>
          <c:extLst>
            <c:ext xmlns:c16="http://schemas.microsoft.com/office/drawing/2014/chart" uri="{C3380CC4-5D6E-409C-BE32-E72D297353CC}">
              <c16:uniqueId val="{00000001-43E6-40BF-ABFE-0C22F3F5DAD5}"/>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'P-CENCAR AP1 M1'!$E$34:$H$34</c:f>
              <c:numCache>
                <c:formatCode>0.00</c:formatCode>
                <c:ptCount val="4"/>
                <c:pt idx="0">
                  <c:v>6.2213473542438402</c:v>
                </c:pt>
                <c:pt idx="1">
                  <c:v>9.0144261787400985</c:v>
                </c:pt>
                <c:pt idx="2">
                  <c:v>12.207006636982264</c:v>
                </c:pt>
                <c:pt idx="3">
                  <c:v>15.85511703399966</c:v>
                </c:pt>
              </c:numCache>
            </c:numRef>
          </c:xVal>
          <c:yVal>
            <c:numRef>
              <c:f>'P-CENCAR AP1 M1'!$G$83:$J$83</c:f>
              <c:numCache>
                <c:formatCode>General</c:formatCode>
                <c:ptCount val="4"/>
                <c:pt idx="0">
                  <c:v>2.3116905868577913</c:v>
                </c:pt>
                <c:pt idx="1">
                  <c:v>2.1714836623419216</c:v>
                </c:pt>
                <c:pt idx="2">
                  <c:v>2.0307024472232582</c:v>
                </c:pt>
                <c:pt idx="3">
                  <c:v>1.8906395807910417</c:v>
                </c:pt>
              </c:numCache>
            </c:numRef>
          </c:yVal>
          <c:smooth val="0"/>
          <c:extLst>
            <c:ext xmlns:c16="http://schemas.microsoft.com/office/drawing/2014/chart" uri="{C3380CC4-5D6E-409C-BE32-E72D297353CC}">
              <c16:uniqueId val="{00000003-43E6-40BF-ABFE-0C22F3F5DAD5}"/>
            </c:ext>
          </c:extLst>
        </c:ser>
        <c:dLbls>
          <c:showLegendKey val="0"/>
          <c:showVal val="0"/>
          <c:showCatName val="0"/>
          <c:showSerName val="0"/>
          <c:showPercent val="0"/>
          <c:showBubbleSize val="0"/>
        </c:dLbls>
        <c:axId val="862226368"/>
        <c:axId val="862172912"/>
      </c:scatterChart>
      <c:valAx>
        <c:axId val="862226368"/>
        <c:scaling>
          <c:orientation val="minMax"/>
          <c:max val="2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'P-CENCAR AP1 M1'!$AJ$91:$AL$91</c:f>
              <c:numCache>
                <c:formatCode>0.000</c:formatCode>
                <c:ptCount val="3"/>
                <c:pt idx="0">
                  <c:v>2.0640000372002407</c:v>
                </c:pt>
                <c:pt idx="1">
                  <c:v>1.9189027041158062</c:v>
                </c:pt>
                <c:pt idx="2">
                  <c:v>1.8179212287743647</c:v>
                </c:pt>
              </c:numCache>
            </c:numRef>
          </c:xVal>
          <c:yVal>
            <c:numRef>
              <c:f>'P-CENCAR AP1 M1'!$AJ$94:$AL$94</c:f>
              <c:numCache>
                <c:formatCode>0.000</c:formatCode>
                <c:ptCount val="3"/>
                <c:pt idx="0">
                  <c:v>5.5805306034988451</c:v>
                </c:pt>
                <c:pt idx="1">
                  <c:v>1.868279501407154</c:v>
                </c:pt>
                <c:pt idx="2">
                  <c:v>1.0923609820629869</c:v>
                </c:pt>
              </c:numCache>
            </c:numRef>
          </c:yVal>
          <c:smooth val="1"/>
          <c:extLst>
            <c:ext xmlns:c16="http://schemas.microsoft.com/office/drawing/2014/chart" uri="{C3380CC4-5D6E-409C-BE32-E72D297353CC}">
              <c16:uniqueId val="{00000001-C717-4D34-873F-230815C279BE}"/>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'P-CENCAR AP1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AP1 M1'!$AM$75:$AM$86</c:f>
              <c:numCache>
                <c:formatCode>0.000</c:formatCode>
                <c:ptCount val="12"/>
                <c:pt idx="0">
                  <c:v>0</c:v>
                </c:pt>
                <c:pt idx="1">
                  <c:v>0.13782662823583541</c:v>
                </c:pt>
                <c:pt idx="2">
                  <c:v>0.26678980771052385</c:v>
                </c:pt>
                <c:pt idx="3">
                  <c:v>0.34390181193250247</c:v>
                </c:pt>
                <c:pt idx="4">
                  <c:v>0.40217898753704384</c:v>
                </c:pt>
                <c:pt idx="5">
                  <c:v>0.45292223169461027</c:v>
                </c:pt>
                <c:pt idx="6">
                  <c:v>0.50034168256674649</c:v>
                </c:pt>
                <c:pt idx="7">
                  <c:v>0.54089196064899392</c:v>
                </c:pt>
                <c:pt idx="8">
                  <c:v>0.57479465216038106</c:v>
                </c:pt>
                <c:pt idx="9">
                  <c:v>0.7022067281018689</c:v>
                </c:pt>
                <c:pt idx="10">
                  <c:v>0.82651659697695501</c:v>
                </c:pt>
                <c:pt idx="11">
                  <c:v>0.94927536231884058</c:v>
                </c:pt>
              </c:numCache>
            </c:numRef>
          </c:yVal>
          <c:smooth val="1"/>
          <c:extLst>
            <c:ext xmlns:c16="http://schemas.microsoft.com/office/drawing/2014/chart" uri="{C3380CC4-5D6E-409C-BE32-E72D297353CC}">
              <c16:uniqueId val="{00000000-85F1-4F95-9DC6-15A138A39BB2}"/>
            </c:ext>
          </c:extLst>
        </c:ser>
        <c:ser>
          <c:idx val="1"/>
          <c:order val="1"/>
          <c:tx>
            <c:v>26 golpes</c:v>
          </c:tx>
          <c:marker>
            <c:symbol val="circle"/>
            <c:size val="3"/>
            <c:spPr>
              <a:solidFill>
                <a:srgbClr val="00B050"/>
              </a:solidFill>
              <a:ln>
                <a:solidFill>
                  <a:srgbClr val="00B050">
                    <a:alpha val="50000"/>
                  </a:srgbClr>
                </a:solidFill>
                <a:prstDash val="solid"/>
              </a:ln>
            </c:spPr>
          </c:marker>
          <c:xVal>
            <c:numRef>
              <c:f>'P-CENCAR AP1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AP1 M1'!$AO$75:$AO$86</c:f>
              <c:numCache>
                <c:formatCode>0.000</c:formatCode>
                <c:ptCount val="12"/>
                <c:pt idx="0">
                  <c:v>0</c:v>
                </c:pt>
                <c:pt idx="1">
                  <c:v>4.6551297576728254E-2</c:v>
                </c:pt>
                <c:pt idx="2">
                  <c:v>7.454718283266254E-2</c:v>
                </c:pt>
                <c:pt idx="3">
                  <c:v>0.10319413518757242</c:v>
                </c:pt>
                <c:pt idx="4">
                  <c:v>0.12891128559709364</c:v>
                </c:pt>
                <c:pt idx="5">
                  <c:v>0.15495396955610244</c:v>
                </c:pt>
                <c:pt idx="6">
                  <c:v>0.18164772061408652</c:v>
                </c:pt>
                <c:pt idx="7">
                  <c:v>0.21062020651848379</c:v>
                </c:pt>
                <c:pt idx="8">
                  <c:v>0.2408948266208315</c:v>
                </c:pt>
                <c:pt idx="9">
                  <c:v>0.35662525879917184</c:v>
                </c:pt>
                <c:pt idx="10">
                  <c:v>0.50653020300272145</c:v>
                </c:pt>
                <c:pt idx="11">
                  <c:v>0.59702852976027709</c:v>
                </c:pt>
              </c:numCache>
            </c:numRef>
          </c:yVal>
          <c:smooth val="1"/>
          <c:extLst>
            <c:ext xmlns:c16="http://schemas.microsoft.com/office/drawing/2014/chart" uri="{C3380CC4-5D6E-409C-BE32-E72D297353CC}">
              <c16:uniqueId val="{00000001-85F1-4F95-9DC6-15A138A39BB2}"/>
            </c:ext>
          </c:extLst>
        </c:ser>
        <c:ser>
          <c:idx val="2"/>
          <c:order val="2"/>
          <c:tx>
            <c:v>56 golpes</c:v>
          </c:tx>
          <c:marker>
            <c:symbol val="circle"/>
            <c:size val="3"/>
            <c:spPr>
              <a:solidFill>
                <a:srgbClr val="00B050"/>
              </a:solidFill>
              <a:ln>
                <a:solidFill>
                  <a:srgbClr val="00B050">
                    <a:alpha val="50000"/>
                  </a:srgbClr>
                </a:solidFill>
                <a:prstDash val="solid"/>
              </a:ln>
            </c:spPr>
          </c:marker>
          <c:xVal>
            <c:numRef>
              <c:f>'P-CENCAR AP1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AP1 M1'!$AQ$75:$AQ$86</c:f>
              <c:numCache>
                <c:formatCode>0.000</c:formatCode>
                <c:ptCount val="12"/>
                <c:pt idx="0">
                  <c:v>0</c:v>
                </c:pt>
                <c:pt idx="1">
                  <c:v>1.1994878812382075E-2</c:v>
                </c:pt>
                <c:pt idx="2">
                  <c:v>2.7956752770150792E-2</c:v>
                </c:pt>
                <c:pt idx="3">
                  <c:v>5.1641356922192898E-2</c:v>
                </c:pt>
                <c:pt idx="4">
                  <c:v>7.5372907762346092E-2</c:v>
                </c:pt>
                <c:pt idx="5">
                  <c:v>9.9620872171721206E-2</c:v>
                </c:pt>
                <c:pt idx="6">
                  <c:v>0.12382188989298526</c:v>
                </c:pt>
                <c:pt idx="7">
                  <c:v>0.14464274607025118</c:v>
                </c:pt>
                <c:pt idx="8">
                  <c:v>0.16137924038185281</c:v>
                </c:pt>
                <c:pt idx="9">
                  <c:v>0.22473379598776128</c:v>
                </c:pt>
                <c:pt idx="10">
                  <c:v>0.27900416744417489</c:v>
                </c:pt>
                <c:pt idx="11">
                  <c:v>0.32820429658459138</c:v>
                </c:pt>
              </c:numCache>
            </c:numRef>
          </c:yVal>
          <c:smooth val="1"/>
          <c:extLst>
            <c:ext xmlns:c16="http://schemas.microsoft.com/office/drawing/2014/chart" uri="{C3380CC4-5D6E-409C-BE32-E72D297353CC}">
              <c16:uniqueId val="{00000002-85F1-4F95-9DC6-15A138A39BB2}"/>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'P-CENCAR AP1 M1'!$E$34:$H$34</c:f>
              <c:numCache>
                <c:formatCode>0.00</c:formatCode>
                <c:ptCount val="4"/>
                <c:pt idx="0">
                  <c:v>6.2213473542438402</c:v>
                </c:pt>
                <c:pt idx="1">
                  <c:v>9.0144261787400985</c:v>
                </c:pt>
                <c:pt idx="2">
                  <c:v>12.207006636982264</c:v>
                </c:pt>
                <c:pt idx="3">
                  <c:v>15.85511703399966</c:v>
                </c:pt>
              </c:numCache>
            </c:numRef>
          </c:xVal>
          <c:yVal>
            <c:numRef>
              <c:f>'P-CENCAR AP1 M1'!$E$37:$H$37</c:f>
              <c:numCache>
                <c:formatCode>0.0000</c:formatCode>
                <c:ptCount val="4"/>
                <c:pt idx="0">
                  <c:v>1.906527939295207</c:v>
                </c:pt>
                <c:pt idx="1">
                  <c:v>1.9964726497858352</c:v>
                </c:pt>
                <c:pt idx="2">
                  <c:v>2.0263823845830804</c:v>
                </c:pt>
                <c:pt idx="3">
                  <c:v>1.8006340011814148</c:v>
                </c:pt>
              </c:numCache>
            </c:numRef>
          </c:yVal>
          <c:smooth val="1"/>
          <c:extLst>
            <c:ext xmlns:c16="http://schemas.microsoft.com/office/drawing/2014/chart" uri="{C3380CC4-5D6E-409C-BE32-E72D297353CC}">
              <c16:uniqueId val="{00000001-625B-43AB-9E7C-F22F6754B441}"/>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1204789275322997"/>
                  <c:y val="0.2398799053870344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'P-CENCAR AP2 M1'!$E$34:$H$34</c:f>
              <c:numCache>
                <c:formatCode>0.00</c:formatCode>
                <c:ptCount val="4"/>
                <c:pt idx="0">
                  <c:v>8.651685393258429</c:v>
                </c:pt>
                <c:pt idx="1">
                  <c:v>11.615836075584356</c:v>
                </c:pt>
                <c:pt idx="2">
                  <c:v>14.041846562603796</c:v>
                </c:pt>
                <c:pt idx="3">
                  <c:v>16.987710577188615</c:v>
                </c:pt>
              </c:numCache>
            </c:numRef>
          </c:xVal>
          <c:yVal>
            <c:numRef>
              <c:f>'P-CENCAR AP2 M1'!$E$37:$H$37</c:f>
              <c:numCache>
                <c:formatCode>0.0000</c:formatCode>
                <c:ptCount val="4"/>
                <c:pt idx="0">
                  <c:v>1.7696171037149588</c:v>
                </c:pt>
                <c:pt idx="1">
                  <c:v>1.8927985638536282</c:v>
                </c:pt>
                <c:pt idx="2">
                  <c:v>1.93254553565589</c:v>
                </c:pt>
                <c:pt idx="3">
                  <c:v>1.7449985831166523</c:v>
                </c:pt>
              </c:numCache>
            </c:numRef>
          </c:yVal>
          <c:smooth val="0"/>
          <c:extLst>
            <c:ext xmlns:c16="http://schemas.microsoft.com/office/drawing/2014/chart" uri="{C3380CC4-5D6E-409C-BE32-E72D297353CC}">
              <c16:uniqueId val="{00000001-8B73-4340-BA9B-87C23111A7B6}"/>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'P-CENCAR AP2 M1'!$E$34:$H$34</c:f>
              <c:numCache>
                <c:formatCode>0.00</c:formatCode>
                <c:ptCount val="4"/>
                <c:pt idx="0">
                  <c:v>8.651685393258429</c:v>
                </c:pt>
                <c:pt idx="1">
                  <c:v>11.615836075584356</c:v>
                </c:pt>
                <c:pt idx="2">
                  <c:v>14.041846562603796</c:v>
                </c:pt>
                <c:pt idx="3">
                  <c:v>16.987710577188615</c:v>
                </c:pt>
              </c:numCache>
            </c:numRef>
          </c:xVal>
          <c:yVal>
            <c:numRef>
              <c:f>'P-CENCAR AP2 M1'!$G$83:$J$83</c:f>
              <c:numCache>
                <c:formatCode>General</c:formatCode>
                <c:ptCount val="4"/>
                <c:pt idx="0">
                  <c:v>2.1821479678798319</c:v>
                </c:pt>
                <c:pt idx="1">
                  <c:v>2.0495769182651995</c:v>
                </c:pt>
                <c:pt idx="2">
                  <c:v>1.9524931948551845</c:v>
                </c:pt>
                <c:pt idx="3">
                  <c:v>1.8462981948556934</c:v>
                </c:pt>
              </c:numCache>
            </c:numRef>
          </c:yVal>
          <c:smooth val="0"/>
          <c:extLst>
            <c:ext xmlns:c16="http://schemas.microsoft.com/office/drawing/2014/chart" uri="{C3380CC4-5D6E-409C-BE32-E72D297353CC}">
              <c16:uniqueId val="{00000003-8B73-4340-BA9B-87C23111A7B6}"/>
            </c:ext>
          </c:extLst>
        </c:ser>
        <c:dLbls>
          <c:showLegendKey val="0"/>
          <c:showVal val="0"/>
          <c:showCatName val="0"/>
          <c:showSerName val="0"/>
          <c:showPercent val="0"/>
          <c:showBubbleSize val="0"/>
        </c:dLbls>
        <c:axId val="862226368"/>
        <c:axId val="862172912"/>
      </c:scatterChart>
      <c:valAx>
        <c:axId val="862226368"/>
        <c:scaling>
          <c:orientation val="minMax"/>
          <c:max val="2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'P-CENCAR AP2 M1'!$AJ$91:$AL$91</c:f>
              <c:numCache>
                <c:formatCode>0.000</c:formatCode>
                <c:ptCount val="3"/>
                <c:pt idx="0">
                  <c:v>1.9332954203862645</c:v>
                </c:pt>
                <c:pt idx="1">
                  <c:v>1.8175169272332043</c:v>
                </c:pt>
                <c:pt idx="2">
                  <c:v>1.7397277993213809</c:v>
                </c:pt>
              </c:numCache>
            </c:numRef>
          </c:xVal>
          <c:yVal>
            <c:numRef>
              <c:f>'P-CENCAR AP2 M1'!$AJ$94:$AL$94</c:f>
              <c:numCache>
                <c:formatCode>0.000</c:formatCode>
                <c:ptCount val="3"/>
                <c:pt idx="0">
                  <c:v>12.031307527935898</c:v>
                </c:pt>
                <c:pt idx="1">
                  <c:v>4.2844056191016726</c:v>
                </c:pt>
                <c:pt idx="2">
                  <c:v>2.4806600046461655</c:v>
                </c:pt>
              </c:numCache>
            </c:numRef>
          </c:yVal>
          <c:smooth val="1"/>
          <c:extLst>
            <c:ext xmlns:c16="http://schemas.microsoft.com/office/drawing/2014/chart" uri="{C3380CC4-5D6E-409C-BE32-E72D297353CC}">
              <c16:uniqueId val="{00000001-9A0B-4F17-BAA5-22F6318D0025}"/>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'P-CENCAR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AP2 M1'!$AM$75:$AM$86</c:f>
              <c:numCache>
                <c:formatCode>0.000</c:formatCode>
                <c:ptCount val="12"/>
                <c:pt idx="0">
                  <c:v>0</c:v>
                </c:pt>
                <c:pt idx="1">
                  <c:v>0.29714639478980004</c:v>
                </c:pt>
                <c:pt idx="2">
                  <c:v>0.57518369666707259</c:v>
                </c:pt>
                <c:pt idx="3">
                  <c:v>0.74143280500606046</c:v>
                </c:pt>
                <c:pt idx="4">
                  <c:v>0.86707509090592771</c:v>
                </c:pt>
                <c:pt idx="5">
                  <c:v>0.9764746478301467</c:v>
                </c:pt>
                <c:pt idx="6">
                  <c:v>1.0787082949121678</c:v>
                </c:pt>
                <c:pt idx="7">
                  <c:v>1.1661323949869804</c:v>
                </c:pt>
                <c:pt idx="8">
                  <c:v>1.2392246753773974</c:v>
                </c:pt>
                <c:pt idx="9">
                  <c:v>1.5139178859949778</c:v>
                </c:pt>
                <c:pt idx="10">
                  <c:v>1.7819229140931738</c:v>
                </c:pt>
                <c:pt idx="11">
                  <c:v>2.0465838509316772</c:v>
                </c:pt>
              </c:numCache>
            </c:numRef>
          </c:yVal>
          <c:smooth val="1"/>
          <c:extLst>
            <c:ext xmlns:c16="http://schemas.microsoft.com/office/drawing/2014/chart" uri="{C3380CC4-5D6E-409C-BE32-E72D297353CC}">
              <c16:uniqueId val="{00000000-4801-492F-8F9F-CE84084EE8B6}"/>
            </c:ext>
          </c:extLst>
        </c:ser>
        <c:ser>
          <c:idx val="1"/>
          <c:order val="1"/>
          <c:tx>
            <c:v>26 golpes</c:v>
          </c:tx>
          <c:marker>
            <c:symbol val="circle"/>
            <c:size val="3"/>
            <c:spPr>
              <a:solidFill>
                <a:srgbClr val="00B050"/>
              </a:solidFill>
              <a:ln>
                <a:solidFill>
                  <a:srgbClr val="00B050">
                    <a:alpha val="50000"/>
                  </a:srgbClr>
                </a:solidFill>
                <a:prstDash val="solid"/>
              </a:ln>
            </c:spPr>
          </c:marker>
          <c:xVal>
            <c:numRef>
              <c:f>'P-CENCAR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AP2 M1'!$AO$75:$AO$86</c:f>
              <c:numCache>
                <c:formatCode>0.000</c:formatCode>
                <c:ptCount val="12"/>
                <c:pt idx="0">
                  <c:v>0</c:v>
                </c:pt>
                <c:pt idx="1">
                  <c:v>4.7045735821833044E-2</c:v>
                </c:pt>
                <c:pt idx="2">
                  <c:v>0.1096506288919829</c:v>
                </c:pt>
                <c:pt idx="3">
                  <c:v>0.2025452422857783</c:v>
                </c:pt>
                <c:pt idx="4">
                  <c:v>0.29562398771801546</c:v>
                </c:pt>
                <c:pt idx="5">
                  <c:v>0.3907281855731104</c:v>
                </c:pt>
                <c:pt idx="6">
                  <c:v>0.48564825138976375</c:v>
                </c:pt>
                <c:pt idx="7">
                  <c:v>0.56731081043862086</c:v>
                </c:pt>
                <c:pt idx="8">
                  <c:v>0.63295388214305703</c:v>
                </c:pt>
                <c:pt idx="9">
                  <c:v>0.8814699792960663</c:v>
                </c:pt>
                <c:pt idx="10">
                  <c:v>1.0942967044585274</c:v>
                </c:pt>
                <c:pt idx="11">
                  <c:v>1.2872670807453415</c:v>
                </c:pt>
              </c:numCache>
            </c:numRef>
          </c:yVal>
          <c:smooth val="1"/>
          <c:extLst>
            <c:ext xmlns:c16="http://schemas.microsoft.com/office/drawing/2014/chart" uri="{C3380CC4-5D6E-409C-BE32-E72D297353CC}">
              <c16:uniqueId val="{00000001-4801-492F-8F9F-CE84084EE8B6}"/>
            </c:ext>
          </c:extLst>
        </c:ser>
        <c:ser>
          <c:idx val="2"/>
          <c:order val="2"/>
          <c:tx>
            <c:v>56 golpes</c:v>
          </c:tx>
          <c:marker>
            <c:symbol val="circle"/>
            <c:size val="3"/>
            <c:spPr>
              <a:solidFill>
                <a:srgbClr val="00B050"/>
              </a:solidFill>
              <a:ln>
                <a:solidFill>
                  <a:srgbClr val="00B050">
                    <a:alpha val="50000"/>
                  </a:srgbClr>
                </a:solidFill>
                <a:prstDash val="solid"/>
              </a:ln>
            </c:spPr>
          </c:marker>
          <c:xVal>
            <c:numRef>
              <c:f>'P-CENCAR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AP2 M1'!$AQ$75:$AQ$86</c:f>
              <c:numCache>
                <c:formatCode>0.000</c:formatCode>
                <c:ptCount val="12"/>
                <c:pt idx="0">
                  <c:v>0</c:v>
                </c:pt>
                <c:pt idx="1">
                  <c:v>3.0437386877091556E-2</c:v>
                </c:pt>
                <c:pt idx="2">
                  <c:v>6.445564279854657E-2</c:v>
                </c:pt>
                <c:pt idx="3">
                  <c:v>0.11745250465512977</c:v>
                </c:pt>
                <c:pt idx="4">
                  <c:v>0.17116554032058542</c:v>
                </c:pt>
                <c:pt idx="5">
                  <c:v>0.23007083610036849</c:v>
                </c:pt>
                <c:pt idx="6">
                  <c:v>0.288439001523497</c:v>
                </c:pt>
                <c:pt idx="7">
                  <c:v>0.34089873302342538</c:v>
                </c:pt>
                <c:pt idx="8">
                  <c:v>0.38100446632029894</c:v>
                </c:pt>
                <c:pt idx="9">
                  <c:v>0.50973670846517449</c:v>
                </c:pt>
                <c:pt idx="10">
                  <c:v>0.61644660598721301</c:v>
                </c:pt>
                <c:pt idx="11">
                  <c:v>0.70793781007070589</c:v>
                </c:pt>
              </c:numCache>
            </c:numRef>
          </c:yVal>
          <c:smooth val="1"/>
          <c:extLst>
            <c:ext xmlns:c16="http://schemas.microsoft.com/office/drawing/2014/chart" uri="{C3380CC4-5D6E-409C-BE32-E72D297353CC}">
              <c16:uniqueId val="{00000002-4801-492F-8F9F-CE84084EE8B6}"/>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'P-CENCAR AP2 M1'!$E$34:$H$34</c:f>
              <c:numCache>
                <c:formatCode>0.00</c:formatCode>
                <c:ptCount val="4"/>
                <c:pt idx="0">
                  <c:v>8.651685393258429</c:v>
                </c:pt>
                <c:pt idx="1">
                  <c:v>11.615836075584356</c:v>
                </c:pt>
                <c:pt idx="2">
                  <c:v>14.041846562603796</c:v>
                </c:pt>
                <c:pt idx="3">
                  <c:v>16.987710577188615</c:v>
                </c:pt>
              </c:numCache>
            </c:numRef>
          </c:xVal>
          <c:yVal>
            <c:numRef>
              <c:f>'P-CENCAR AP2 M1'!$E$37:$H$37</c:f>
              <c:numCache>
                <c:formatCode>0.0000</c:formatCode>
                <c:ptCount val="4"/>
                <c:pt idx="0">
                  <c:v>1.7696171037149588</c:v>
                </c:pt>
                <c:pt idx="1">
                  <c:v>1.8927985638536282</c:v>
                </c:pt>
                <c:pt idx="2">
                  <c:v>1.93254553565589</c:v>
                </c:pt>
                <c:pt idx="3">
                  <c:v>1.7449985831166523</c:v>
                </c:pt>
              </c:numCache>
            </c:numRef>
          </c:yVal>
          <c:smooth val="1"/>
          <c:extLst>
            <c:ext xmlns:c16="http://schemas.microsoft.com/office/drawing/2014/chart" uri="{C3380CC4-5D6E-409C-BE32-E72D297353CC}">
              <c16:uniqueId val="{00000001-E0BB-4771-BA7F-EE5EA740E742}"/>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5432080933838482"/>
                  <c:y val="0.2448403062240233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'P-CENCAR AP3 M2'!$E$34:$H$34</c:f>
              <c:numCache>
                <c:formatCode>0.00</c:formatCode>
                <c:ptCount val="4"/>
                <c:pt idx="0">
                  <c:v>5.6955432303837439</c:v>
                </c:pt>
                <c:pt idx="1">
                  <c:v>7.3350285034655256</c:v>
                </c:pt>
                <c:pt idx="2">
                  <c:v>9.4075988132835864</c:v>
                </c:pt>
                <c:pt idx="3">
                  <c:v>11.705795435889009</c:v>
                </c:pt>
              </c:numCache>
            </c:numRef>
          </c:xVal>
          <c:yVal>
            <c:numRef>
              <c:f>'P-CENCAR AP3 M2'!$E$37:$H$37</c:f>
              <c:numCache>
                <c:formatCode>0.0000</c:formatCode>
                <c:ptCount val="4"/>
                <c:pt idx="0">
                  <c:v>1.8719660919559045</c:v>
                </c:pt>
                <c:pt idx="1">
                  <c:v>2.1279028237711919</c:v>
                </c:pt>
                <c:pt idx="2">
                  <c:v>2.1343997638697214</c:v>
                </c:pt>
                <c:pt idx="3">
                  <c:v>1.784165944120941</c:v>
                </c:pt>
              </c:numCache>
            </c:numRef>
          </c:yVal>
          <c:smooth val="0"/>
          <c:extLst>
            <c:ext xmlns:c16="http://schemas.microsoft.com/office/drawing/2014/chart" uri="{C3380CC4-5D6E-409C-BE32-E72D297353CC}">
              <c16:uniqueId val="{00000001-D1D9-4A0B-A0FC-C05331734F2C}"/>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'P-CENCAR AP3 M2'!$E$34:$H$34</c:f>
              <c:numCache>
                <c:formatCode>0.00</c:formatCode>
                <c:ptCount val="4"/>
                <c:pt idx="0">
                  <c:v>5.6955432303837439</c:v>
                </c:pt>
                <c:pt idx="1">
                  <c:v>7.3350285034655256</c:v>
                </c:pt>
                <c:pt idx="2">
                  <c:v>9.4075988132835864</c:v>
                </c:pt>
                <c:pt idx="3">
                  <c:v>11.705795435889009</c:v>
                </c:pt>
              </c:numCache>
            </c:numRef>
          </c:xVal>
          <c:yVal>
            <c:numRef>
              <c:f>'P-CENCAR AP3 M2'!$G$83:$J$83</c:f>
              <c:numCache>
                <c:formatCode>General</c:formatCode>
                <c:ptCount val="4"/>
                <c:pt idx="0">
                  <c:v>2.3401348426469761</c:v>
                </c:pt>
                <c:pt idx="1">
                  <c:v>2.2536701589589194</c:v>
                </c:pt>
                <c:pt idx="2">
                  <c:v>2.153101174531217</c:v>
                </c:pt>
                <c:pt idx="3">
                  <c:v>2.0515836878282458</c:v>
                </c:pt>
              </c:numCache>
            </c:numRef>
          </c:yVal>
          <c:smooth val="0"/>
          <c:extLst>
            <c:ext xmlns:c16="http://schemas.microsoft.com/office/drawing/2014/chart" uri="{C3380CC4-5D6E-409C-BE32-E72D297353CC}">
              <c16:uniqueId val="{00000003-D1D9-4A0B-A0FC-C05331734F2C}"/>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'P-CENCAR AP3 M2'!$AJ$91:$AL$91</c:f>
              <c:numCache>
                <c:formatCode>0.000</c:formatCode>
                <c:ptCount val="3"/>
                <c:pt idx="0">
                  <c:v>2.1711983229768879</c:v>
                </c:pt>
                <c:pt idx="1">
                  <c:v>1.9807097554823192</c:v>
                </c:pt>
                <c:pt idx="2">
                  <c:v>1.8699545232223203</c:v>
                </c:pt>
              </c:numCache>
            </c:numRef>
          </c:xVal>
          <c:yVal>
            <c:numRef>
              <c:f>'P-CENCAR AP3 M2'!$AJ$94:$AL$94</c:f>
              <c:numCache>
                <c:formatCode>0.000</c:formatCode>
                <c:ptCount val="3"/>
                <c:pt idx="0">
                  <c:v>72.606295196087245</c:v>
                </c:pt>
                <c:pt idx="1">
                  <c:v>37.859693341734925</c:v>
                </c:pt>
                <c:pt idx="2">
                  <c:v>25.115385130722011</c:v>
                </c:pt>
              </c:numCache>
            </c:numRef>
          </c:yVal>
          <c:smooth val="1"/>
          <c:extLst>
            <c:ext xmlns:c16="http://schemas.microsoft.com/office/drawing/2014/chart" uri="{C3380CC4-5D6E-409C-BE32-E72D297353CC}">
              <c16:uniqueId val="{00000001-087C-42B4-96FD-BBB93E0FE2A3}"/>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'P-CENCAR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AP3 M2'!$AM$75:$AM$86</c:f>
              <c:numCache>
                <c:formatCode>0.000</c:formatCode>
                <c:ptCount val="12"/>
                <c:pt idx="0">
                  <c:v>0</c:v>
                </c:pt>
                <c:pt idx="1">
                  <c:v>1.0046583850931676</c:v>
                </c:pt>
                <c:pt idx="2">
                  <c:v>2.8618012422360244</c:v>
                </c:pt>
                <c:pt idx="3">
                  <c:v>4.1563146997929596</c:v>
                </c:pt>
                <c:pt idx="4">
                  <c:v>5.0098343685300204</c:v>
                </c:pt>
                <c:pt idx="5">
                  <c:v>5.8219461697722563</c:v>
                </c:pt>
                <c:pt idx="6">
                  <c:v>6.5124223602484479</c:v>
                </c:pt>
                <c:pt idx="7">
                  <c:v>7.070910973084886</c:v>
                </c:pt>
                <c:pt idx="8">
                  <c:v>7.5341614906832284</c:v>
                </c:pt>
                <c:pt idx="9">
                  <c:v>9.2163561076604559</c:v>
                </c:pt>
                <c:pt idx="10">
                  <c:v>10.556418219461698</c:v>
                </c:pt>
                <c:pt idx="11">
                  <c:v>11.680641821946169</c:v>
                </c:pt>
              </c:numCache>
            </c:numRef>
          </c:yVal>
          <c:smooth val="1"/>
          <c:extLst>
            <c:ext xmlns:c16="http://schemas.microsoft.com/office/drawing/2014/chart" uri="{C3380CC4-5D6E-409C-BE32-E72D297353CC}">
              <c16:uniqueId val="{00000000-827C-4591-A207-E318A1924D75}"/>
            </c:ext>
          </c:extLst>
        </c:ser>
        <c:ser>
          <c:idx val="1"/>
          <c:order val="1"/>
          <c:tx>
            <c:v>26 golpes</c:v>
          </c:tx>
          <c:marker>
            <c:symbol val="circle"/>
            <c:size val="3"/>
            <c:spPr>
              <a:solidFill>
                <a:srgbClr val="00B050"/>
              </a:solidFill>
              <a:ln>
                <a:solidFill>
                  <a:srgbClr val="00B050">
                    <a:alpha val="50000"/>
                  </a:srgbClr>
                </a:solidFill>
                <a:prstDash val="solid"/>
              </a:ln>
            </c:spPr>
          </c:marker>
          <c:xVal>
            <c:numRef>
              <c:f>'P-CENCAR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AP3 M2'!$AO$75:$AO$86</c:f>
              <c:numCache>
                <c:formatCode>0.000</c:formatCode>
                <c:ptCount val="12"/>
                <c:pt idx="0">
                  <c:v>0</c:v>
                </c:pt>
                <c:pt idx="1">
                  <c:v>0.42701863354037262</c:v>
                </c:pt>
                <c:pt idx="2">
                  <c:v>1.1837474120082816</c:v>
                </c:pt>
                <c:pt idx="3">
                  <c:v>2.0636645962732918</c:v>
                </c:pt>
                <c:pt idx="4">
                  <c:v>2.61231884057971</c:v>
                </c:pt>
                <c:pt idx="5">
                  <c:v>3.0942028985507246</c:v>
                </c:pt>
                <c:pt idx="6">
                  <c:v>3.3576604554865424</c:v>
                </c:pt>
                <c:pt idx="7">
                  <c:v>3.7619047619047619</c:v>
                </c:pt>
                <c:pt idx="8">
                  <c:v>4.1309523809523805</c:v>
                </c:pt>
                <c:pt idx="9">
                  <c:v>5.2939958592132506</c:v>
                </c:pt>
                <c:pt idx="10">
                  <c:v>6.4019930812170767</c:v>
                </c:pt>
                <c:pt idx="11">
                  <c:v>7.3521581885368352</c:v>
                </c:pt>
              </c:numCache>
            </c:numRef>
          </c:yVal>
          <c:smooth val="1"/>
          <c:extLst>
            <c:ext xmlns:c16="http://schemas.microsoft.com/office/drawing/2014/chart" uri="{C3380CC4-5D6E-409C-BE32-E72D297353CC}">
              <c16:uniqueId val="{00000001-827C-4591-A207-E318A1924D75}"/>
            </c:ext>
          </c:extLst>
        </c:ser>
        <c:ser>
          <c:idx val="2"/>
          <c:order val="2"/>
          <c:tx>
            <c:v>56 golpes</c:v>
          </c:tx>
          <c:marker>
            <c:symbol val="circle"/>
            <c:size val="3"/>
            <c:spPr>
              <a:solidFill>
                <a:srgbClr val="00B050"/>
              </a:solidFill>
              <a:ln>
                <a:solidFill>
                  <a:srgbClr val="00B050">
                    <a:alpha val="50000"/>
                  </a:srgbClr>
                </a:solidFill>
                <a:prstDash val="solid"/>
              </a:ln>
            </c:spPr>
          </c:marker>
          <c:xVal>
            <c:numRef>
              <c:f>'P-CENCAR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'P-CENCAR AP3 M2'!$AQ$75:$AQ$86</c:f>
              <c:numCache>
                <c:formatCode>0.000</c:formatCode>
                <c:ptCount val="12"/>
                <c:pt idx="0">
                  <c:v>0</c:v>
                </c:pt>
                <c:pt idx="1">
                  <c:v>0.34752334075549834</c:v>
                </c:pt>
                <c:pt idx="2">
                  <c:v>0.98993124731434801</c:v>
                </c:pt>
                <c:pt idx="3">
                  <c:v>1.4377189213120301</c:v>
                </c:pt>
                <c:pt idx="4">
                  <c:v>1.7329615740198188</c:v>
                </c:pt>
                <c:pt idx="5">
                  <c:v>2.0138807505501517</c:v>
                </c:pt>
                <c:pt idx="6">
                  <c:v>2.2527247158092116</c:v>
                </c:pt>
                <c:pt idx="7">
                  <c:v>2.4459126007526333</c:v>
                </c:pt>
                <c:pt idx="8">
                  <c:v>2.6061564904879093</c:v>
                </c:pt>
                <c:pt idx="9">
                  <c:v>3.1880477101970133</c:v>
                </c:pt>
                <c:pt idx="10">
                  <c:v>3.6515912079898953</c:v>
                </c:pt>
                <c:pt idx="11">
                  <c:v>4.0404735862077947</c:v>
                </c:pt>
              </c:numCache>
            </c:numRef>
          </c:yVal>
          <c:smooth val="1"/>
          <c:extLst>
            <c:ext xmlns:c16="http://schemas.microsoft.com/office/drawing/2014/chart" uri="{C3380CC4-5D6E-409C-BE32-E72D297353CC}">
              <c16:uniqueId val="{00000002-827C-4591-A207-E318A1924D75}"/>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'P-CENCAR AP3 M2'!$E$34:$H$34</c:f>
              <c:numCache>
                <c:formatCode>0.00</c:formatCode>
                <c:ptCount val="4"/>
                <c:pt idx="0">
                  <c:v>5.6955432303837439</c:v>
                </c:pt>
                <c:pt idx="1">
                  <c:v>7.3350285034655256</c:v>
                </c:pt>
                <c:pt idx="2">
                  <c:v>9.4075988132835864</c:v>
                </c:pt>
                <c:pt idx="3">
                  <c:v>11.705795435889009</c:v>
                </c:pt>
              </c:numCache>
            </c:numRef>
          </c:xVal>
          <c:yVal>
            <c:numRef>
              <c:f>'P-CENCAR AP3 M2'!$E$37:$H$37</c:f>
              <c:numCache>
                <c:formatCode>0.0000</c:formatCode>
                <c:ptCount val="4"/>
                <c:pt idx="0">
                  <c:v>1.8719660919559045</c:v>
                </c:pt>
                <c:pt idx="1">
                  <c:v>2.1279028237711919</c:v>
                </c:pt>
                <c:pt idx="2">
                  <c:v>2.1343997638697214</c:v>
                </c:pt>
                <c:pt idx="3">
                  <c:v>1.784165944120941</c:v>
                </c:pt>
              </c:numCache>
            </c:numRef>
          </c:yVal>
          <c:smooth val="1"/>
          <c:extLst>
            <c:ext xmlns:c16="http://schemas.microsoft.com/office/drawing/2014/chart" uri="{C3380CC4-5D6E-409C-BE32-E72D297353CC}">
              <c16:uniqueId val="{00000001-714F-471B-87A9-5EA6DA315763}"/>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4105989762382631"/>
                  <c:y val="0.2896614941834455"/>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'P-ROZO AP1 M2'!$E$34:$H$34</c:f>
              <c:numCache>
                <c:formatCode>0.00</c:formatCode>
                <c:ptCount val="4"/>
                <c:pt idx="0">
                  <c:v>2.4532286889036072</c:v>
                </c:pt>
                <c:pt idx="1">
                  <c:v>4.4761338878985919</c:v>
                </c:pt>
                <c:pt idx="2">
                  <c:v>6.3327430643393283</c:v>
                </c:pt>
                <c:pt idx="3">
                  <c:v>8.3278472679394397</c:v>
                </c:pt>
              </c:numCache>
            </c:numRef>
          </c:xVal>
          <c:yVal>
            <c:numRef>
              <c:f>'P-ROZO AP1 M2'!$E$37:$H$37</c:f>
              <c:numCache>
                <c:formatCode>0.0000</c:formatCode>
                <c:ptCount val="4"/>
                <c:pt idx="0">
                  <c:v>1.9998224631706056</c:v>
                </c:pt>
                <c:pt idx="1">
                  <c:v>2.1518194815854272</c:v>
                </c:pt>
                <c:pt idx="2">
                  <c:v>2.1514628808385643</c:v>
                </c:pt>
                <c:pt idx="3">
                  <c:v>2.0297547003367344</c:v>
                </c:pt>
              </c:numCache>
            </c:numRef>
          </c:yVal>
          <c:smooth val="0"/>
          <c:extLst>
            <c:ext xmlns:c16="http://schemas.microsoft.com/office/drawing/2014/chart" uri="{C3380CC4-5D6E-409C-BE32-E72D297353CC}">
              <c16:uniqueId val="{00000001-5063-4345-BA08-F81E699FDCA1}"/>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'P-ROZO AP1 M2'!$E$34:$H$34</c:f>
              <c:numCache>
                <c:formatCode>0.00</c:formatCode>
                <c:ptCount val="4"/>
                <c:pt idx="0">
                  <c:v>2.4532286889036072</c:v>
                </c:pt>
                <c:pt idx="1">
                  <c:v>4.4761338878985919</c:v>
                </c:pt>
                <c:pt idx="2">
                  <c:v>6.3327430643393283</c:v>
                </c:pt>
                <c:pt idx="3">
                  <c:v>8.3278472679394397</c:v>
                </c:pt>
              </c:numCache>
            </c:numRef>
          </c:xVal>
          <c:yVal>
            <c:numRef>
              <c:f>'P-ROZO AP1 M2'!$G$83:$J$83</c:f>
              <c:numCache>
                <c:formatCode>General</c:formatCode>
                <c:ptCount val="4"/>
                <c:pt idx="0">
                  <c:v>2.4149970507301193</c:v>
                </c:pt>
                <c:pt idx="1">
                  <c:v>2.3004369309640644</c:v>
                </c:pt>
                <c:pt idx="2">
                  <c:v>2.2044605970222659</c:v>
                </c:pt>
                <c:pt idx="3">
                  <c:v>2.1098686143220764</c:v>
                </c:pt>
              </c:numCache>
            </c:numRef>
          </c:yVal>
          <c:smooth val="0"/>
          <c:extLst>
            <c:ext xmlns:c16="http://schemas.microsoft.com/office/drawing/2014/chart" uri="{C3380CC4-5D6E-409C-BE32-E72D297353CC}">
              <c16:uniqueId val="{00000003-5063-4345-BA08-F81E699FDCA1}"/>
            </c:ext>
          </c:extLst>
        </c:ser>
        <c:dLbls>
          <c:showLegendKey val="0"/>
          <c:showVal val="0"/>
          <c:showCatName val="0"/>
          <c:showSerName val="0"/>
          <c:showPercent val="0"/>
          <c:showBubbleSize val="0"/>
        </c:dLbls>
        <c:axId val="862226368"/>
        <c:axId val="862172912"/>
      </c:scatterChart>
      <c:valAx>
        <c:axId val="862226368"/>
        <c:scaling>
          <c:orientation val="minMax"/>
          <c:max val="1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in val="1.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'P-ROZO AP1 M2'!$AJ$91:$AL$91</c:f>
              <c:numCache>
                <c:formatCode>0.000</c:formatCode>
                <c:ptCount val="3"/>
                <c:pt idx="0">
                  <c:v>2.1716019892670562</c:v>
                </c:pt>
                <c:pt idx="1">
                  <c:v>2.0261010293978052</c:v>
                </c:pt>
                <c:pt idx="2">
                  <c:v>1.8360413743361657</c:v>
                </c:pt>
              </c:numCache>
            </c:numRef>
          </c:xVal>
          <c:yVal>
            <c:numRef>
              <c:f>'P-ROZO AP1 M2'!$AJ$94:$AL$94</c:f>
              <c:numCache>
                <c:formatCode>0.000</c:formatCode>
                <c:ptCount val="3"/>
                <c:pt idx="0">
                  <c:v>24.012062291835445</c:v>
                </c:pt>
                <c:pt idx="1">
                  <c:v>14.065172382752722</c:v>
                </c:pt>
                <c:pt idx="2">
                  <c:v>8.2365649473399944</c:v>
                </c:pt>
              </c:numCache>
            </c:numRef>
          </c:yVal>
          <c:smooth val="1"/>
          <c:extLst>
            <c:ext xmlns:c16="http://schemas.microsoft.com/office/drawing/2014/chart" uri="{C3380CC4-5D6E-409C-BE32-E72D297353CC}">
              <c16:uniqueId val="{00000001-69D0-408A-8305-029B802BB1C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'P-ROZO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'P-ROZO AP1 M2'!$AM$75:$AM$86</c:f>
              <c:numCache>
                <c:formatCode>0.000</c:formatCode>
                <c:ptCount val="12"/>
                <c:pt idx="0">
                  <c:v>0</c:v>
                </c:pt>
                <c:pt idx="1">
                  <c:v>0.19047619047619047</c:v>
                </c:pt>
                <c:pt idx="2">
                  <c:v>0.58126293995859213</c:v>
                </c:pt>
                <c:pt idx="3">
                  <c:v>1.1723602484472049</c:v>
                </c:pt>
                <c:pt idx="4">
                  <c:v>1.6568322981366459</c:v>
                </c:pt>
                <c:pt idx="5">
                  <c:v>2.1299171842650106</c:v>
                </c:pt>
                <c:pt idx="6">
                  <c:v>2.5533126293995858</c:v>
                </c:pt>
                <c:pt idx="7">
                  <c:v>3.1718426501035197</c:v>
                </c:pt>
                <c:pt idx="8">
                  <c:v>3.6578674948240164</c:v>
                </c:pt>
                <c:pt idx="9">
                  <c:v>5.8017598343685295</c:v>
                </c:pt>
                <c:pt idx="10">
                  <c:v>7.09575569358178</c:v>
                </c:pt>
                <c:pt idx="11">
                  <c:v>8.1547619047619051</c:v>
                </c:pt>
              </c:numCache>
            </c:numRef>
          </c:yVal>
          <c:smooth val="1"/>
          <c:extLst>
            <c:ext xmlns:c16="http://schemas.microsoft.com/office/drawing/2014/chart" uri="{C3380CC4-5D6E-409C-BE32-E72D297353CC}">
              <c16:uniqueId val="{00000000-EF12-49A4-8005-54F62EEE1D7B}"/>
            </c:ext>
          </c:extLst>
        </c:ser>
        <c:ser>
          <c:idx val="1"/>
          <c:order val="1"/>
          <c:tx>
            <c:v>26 golpes</c:v>
          </c:tx>
          <c:marker>
            <c:symbol val="circle"/>
            <c:size val="3"/>
            <c:spPr>
              <a:solidFill>
                <a:srgbClr val="00B050"/>
              </a:solidFill>
              <a:ln>
                <a:solidFill>
                  <a:srgbClr val="00B050">
                    <a:alpha val="50000"/>
                  </a:srgbClr>
                </a:solidFill>
                <a:prstDash val="solid"/>
              </a:ln>
            </c:spPr>
          </c:marker>
          <c:xVal>
            <c:numRef>
              <c:f>'P-ROZO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'P-ROZO AP1 M2'!$AO$75:$AO$86</c:f>
              <c:numCache>
                <c:formatCode>0.000</c:formatCode>
                <c:ptCount val="12"/>
                <c:pt idx="0">
                  <c:v>0</c:v>
                </c:pt>
                <c:pt idx="1">
                  <c:v>0.12531328320802004</c:v>
                </c:pt>
                <c:pt idx="2">
                  <c:v>0.44824016563146996</c:v>
                </c:pt>
                <c:pt idx="3">
                  <c:v>0.66977225672877849</c:v>
                </c:pt>
                <c:pt idx="4">
                  <c:v>0.97049689440993792</c:v>
                </c:pt>
                <c:pt idx="5">
                  <c:v>1.275879917184265</c:v>
                </c:pt>
                <c:pt idx="6">
                  <c:v>1.6381987577639752</c:v>
                </c:pt>
                <c:pt idx="7">
                  <c:v>2.0104609349460607</c:v>
                </c:pt>
                <c:pt idx="8">
                  <c:v>2.4064917729105373</c:v>
                </c:pt>
                <c:pt idx="9">
                  <c:v>3.8169472594529803</c:v>
                </c:pt>
                <c:pt idx="10">
                  <c:v>4.6682603247248551</c:v>
                </c:pt>
                <c:pt idx="11">
                  <c:v>5.3649749373433586</c:v>
                </c:pt>
              </c:numCache>
            </c:numRef>
          </c:yVal>
          <c:smooth val="1"/>
          <c:extLst>
            <c:ext xmlns:c16="http://schemas.microsoft.com/office/drawing/2014/chart" uri="{C3380CC4-5D6E-409C-BE32-E72D297353CC}">
              <c16:uniqueId val="{00000001-EF12-49A4-8005-54F62EEE1D7B}"/>
            </c:ext>
          </c:extLst>
        </c:ser>
        <c:ser>
          <c:idx val="2"/>
          <c:order val="2"/>
          <c:tx>
            <c:v>56 golpes</c:v>
          </c:tx>
          <c:marker>
            <c:symbol val="circle"/>
            <c:size val="3"/>
            <c:spPr>
              <a:solidFill>
                <a:srgbClr val="00B050"/>
              </a:solidFill>
              <a:ln>
                <a:solidFill>
                  <a:srgbClr val="00B050">
                    <a:alpha val="50000"/>
                  </a:srgbClr>
                </a:solidFill>
                <a:prstDash val="solid"/>
              </a:ln>
            </c:spPr>
          </c:marker>
          <c:xVal>
            <c:numRef>
              <c:f>'P-ROZO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'P-ROZO AP1 M2'!$AQ$75:$AQ$86</c:f>
              <c:numCache>
                <c:formatCode>0.000</c:formatCode>
                <c:ptCount val="12"/>
                <c:pt idx="0">
                  <c:v>0</c:v>
                </c:pt>
                <c:pt idx="1">
                  <c:v>6.2656641604010022E-2</c:v>
                </c:pt>
                <c:pt idx="2">
                  <c:v>0.24994551596382258</c:v>
                </c:pt>
                <c:pt idx="3">
                  <c:v>0.43737060041407866</c:v>
                </c:pt>
                <c:pt idx="4">
                  <c:v>0.56832298136645965</c:v>
                </c:pt>
                <c:pt idx="5">
                  <c:v>0.67080745341614911</c:v>
                </c:pt>
                <c:pt idx="6">
                  <c:v>0.77060858668410159</c:v>
                </c:pt>
                <c:pt idx="7">
                  <c:v>1.0052304674730304</c:v>
                </c:pt>
                <c:pt idx="8">
                  <c:v>1.2032458864552686</c:v>
                </c:pt>
                <c:pt idx="9">
                  <c:v>1.9084736297264902</c:v>
                </c:pt>
                <c:pt idx="10">
                  <c:v>2.3341301623624275</c:v>
                </c:pt>
                <c:pt idx="11">
                  <c:v>2.5253623188405792</c:v>
                </c:pt>
              </c:numCache>
            </c:numRef>
          </c:yVal>
          <c:smooth val="1"/>
          <c:extLst>
            <c:ext xmlns:c16="http://schemas.microsoft.com/office/drawing/2014/chart" uri="{C3380CC4-5D6E-409C-BE32-E72D297353CC}">
              <c16:uniqueId val="{00000002-EF12-49A4-8005-54F62EEE1D7B}"/>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0"/>
            <c:dispEq val="0"/>
          </c:trendline>
          <c:xVal>
            <c:numRef>
              <c:f>'P-ROZO AP1 M2'!$E$34:$H$34</c:f>
              <c:numCache>
                <c:formatCode>0.00</c:formatCode>
                <c:ptCount val="4"/>
                <c:pt idx="0">
                  <c:v>2.4532286889036072</c:v>
                </c:pt>
                <c:pt idx="1">
                  <c:v>4.4761338878985919</c:v>
                </c:pt>
                <c:pt idx="2">
                  <c:v>6.3327430643393283</c:v>
                </c:pt>
                <c:pt idx="3">
                  <c:v>8.3278472679394397</c:v>
                </c:pt>
              </c:numCache>
            </c:numRef>
          </c:xVal>
          <c:yVal>
            <c:numRef>
              <c:f>'P-ROZO AP1 M2'!$E$37:$H$37</c:f>
              <c:numCache>
                <c:formatCode>0.0000</c:formatCode>
                <c:ptCount val="4"/>
                <c:pt idx="0">
                  <c:v>1.9998224631706056</c:v>
                </c:pt>
                <c:pt idx="1">
                  <c:v>2.1518194815854272</c:v>
                </c:pt>
                <c:pt idx="2">
                  <c:v>2.1514628808385643</c:v>
                </c:pt>
                <c:pt idx="3">
                  <c:v>2.0297547003367344</c:v>
                </c:pt>
              </c:numCache>
            </c:numRef>
          </c:yVal>
          <c:smooth val="1"/>
          <c:extLst>
            <c:ext xmlns:c16="http://schemas.microsoft.com/office/drawing/2014/chart" uri="{C3380CC4-5D6E-409C-BE32-E72D297353CC}">
              <c16:uniqueId val="{00000000-BAC0-4AD6-A920-3FDD5C3AAD40}"/>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3004561520877814"/>
                  <c:y val="9.7820822844471841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'P-ROZO AP2 M1'!$E$34:$H$34</c:f>
              <c:numCache>
                <c:formatCode>0.00</c:formatCode>
                <c:ptCount val="4"/>
                <c:pt idx="0">
                  <c:v>2.5600568024930022</c:v>
                </c:pt>
                <c:pt idx="1">
                  <c:v>4.2037762736017203</c:v>
                </c:pt>
                <c:pt idx="2">
                  <c:v>6.4780771948036886</c:v>
                </c:pt>
                <c:pt idx="3">
                  <c:v>8.3723672573618533</c:v>
                </c:pt>
              </c:numCache>
            </c:numRef>
          </c:xVal>
          <c:yVal>
            <c:numRef>
              <c:f>'P-ROZO AP2 M1'!$E$37:$H$37</c:f>
              <c:numCache>
                <c:formatCode>0.0000</c:formatCode>
                <c:ptCount val="4"/>
                <c:pt idx="0">
                  <c:v>2.2215261781979656</c:v>
                </c:pt>
                <c:pt idx="1">
                  <c:v>2.2713695904757358</c:v>
                </c:pt>
                <c:pt idx="2">
                  <c:v>2.2735728091443095</c:v>
                </c:pt>
                <c:pt idx="3">
                  <c:v>2.1573662050432141</c:v>
                </c:pt>
              </c:numCache>
            </c:numRef>
          </c:yVal>
          <c:smooth val="0"/>
          <c:extLst>
            <c:ext xmlns:c16="http://schemas.microsoft.com/office/drawing/2014/chart" uri="{C3380CC4-5D6E-409C-BE32-E72D297353CC}">
              <c16:uniqueId val="{00000001-E90B-434F-B70D-5D980256BB12}"/>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'P-ROZO AP2 M1'!$E$34:$H$34</c:f>
              <c:numCache>
                <c:formatCode>0.00</c:formatCode>
                <c:ptCount val="4"/>
                <c:pt idx="0">
                  <c:v>2.5600568024930022</c:v>
                </c:pt>
                <c:pt idx="1">
                  <c:v>4.2037762736017203</c:v>
                </c:pt>
                <c:pt idx="2">
                  <c:v>6.4780771948036886</c:v>
                </c:pt>
                <c:pt idx="3">
                  <c:v>8.3723672573618533</c:v>
                </c:pt>
              </c:numCache>
            </c:numRef>
          </c:xVal>
          <c:yVal>
            <c:numRef>
              <c:f>'P-ROZO AP2 M1'!$G$83:$J$83</c:f>
              <c:numCache>
                <c:formatCode>General</c:formatCode>
                <c:ptCount val="4"/>
                <c:pt idx="0">
                  <c:v>2.5603993621646888</c:v>
                </c:pt>
                <c:pt idx="1">
                  <c:v>2.4569948120319962</c:v>
                </c:pt>
                <c:pt idx="2">
                  <c:v>2.3269652600008186</c:v>
                </c:pt>
                <c:pt idx="3">
                  <c:v>2.228724271590123</c:v>
                </c:pt>
              </c:numCache>
            </c:numRef>
          </c:yVal>
          <c:smooth val="0"/>
          <c:extLst>
            <c:ext xmlns:c16="http://schemas.microsoft.com/office/drawing/2014/chart" uri="{C3380CC4-5D6E-409C-BE32-E72D297353CC}">
              <c16:uniqueId val="{00000003-E90B-434F-B70D-5D980256BB12}"/>
            </c:ext>
          </c:extLst>
        </c:ser>
        <c:dLbls>
          <c:showLegendKey val="0"/>
          <c:showVal val="0"/>
          <c:showCatName val="0"/>
          <c:showSerName val="0"/>
          <c:showPercent val="0"/>
          <c:showBubbleSize val="0"/>
        </c:dLbls>
        <c:axId val="862226368"/>
        <c:axId val="862172912"/>
      </c:scatterChart>
      <c:valAx>
        <c:axId val="862226368"/>
        <c:scaling>
          <c:orientation val="minMax"/>
          <c:max val="10"/>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7"/>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'P-ROZO AP2 M1'!$AJ$91:$AL$91</c:f>
              <c:numCache>
                <c:formatCode>0.000</c:formatCode>
                <c:ptCount val="3"/>
                <c:pt idx="0">
                  <c:v>2.2819896203526397</c:v>
                </c:pt>
                <c:pt idx="1">
                  <c:v>1.9384582233780991</c:v>
                </c:pt>
                <c:pt idx="2">
                  <c:v>1.7443952000914844</c:v>
                </c:pt>
              </c:numCache>
            </c:numRef>
          </c:xVal>
          <c:yVal>
            <c:numRef>
              <c:f>'P-ROZO AP2 M1'!$AJ$94:$AL$94</c:f>
              <c:numCache>
                <c:formatCode>0.000</c:formatCode>
                <c:ptCount val="3"/>
                <c:pt idx="0">
                  <c:v>79.117532331142911</c:v>
                </c:pt>
                <c:pt idx="1">
                  <c:v>52.051008112594019</c:v>
                </c:pt>
                <c:pt idx="2">
                  <c:v>35.394685516563939</c:v>
                </c:pt>
              </c:numCache>
            </c:numRef>
          </c:yVal>
          <c:smooth val="1"/>
          <c:extLst>
            <c:ext xmlns:c16="http://schemas.microsoft.com/office/drawing/2014/chart" uri="{C3380CC4-5D6E-409C-BE32-E72D297353CC}">
              <c16:uniqueId val="{00000001-5363-4C1E-8211-D0211F4FFD8D}"/>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'P-ROZO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'P-ROZO AP2 M1'!$AM$75:$AM$86</c:f>
              <c:numCache>
                <c:formatCode>0.000</c:formatCode>
                <c:ptCount val="12"/>
                <c:pt idx="0">
                  <c:v>0</c:v>
                </c:pt>
                <c:pt idx="1">
                  <c:v>0.49120082815734989</c:v>
                </c:pt>
                <c:pt idx="2">
                  <c:v>2.3012422360248448</c:v>
                </c:pt>
                <c:pt idx="3">
                  <c:v>4.1097308488612843</c:v>
                </c:pt>
                <c:pt idx="4">
                  <c:v>5.4591097308488612</c:v>
                </c:pt>
                <c:pt idx="5">
                  <c:v>6.966356107660455</c:v>
                </c:pt>
                <c:pt idx="6">
                  <c:v>8.7996894409937898</c:v>
                </c:pt>
                <c:pt idx="7">
                  <c:v>10.651138716356108</c:v>
                </c:pt>
                <c:pt idx="8">
                  <c:v>12.040890269151138</c:v>
                </c:pt>
                <c:pt idx="9">
                  <c:v>16.146480331262939</c:v>
                </c:pt>
                <c:pt idx="10">
                  <c:v>19.85144927536232</c:v>
                </c:pt>
                <c:pt idx="11">
                  <c:v>23.263975155279503</c:v>
                </c:pt>
              </c:numCache>
            </c:numRef>
          </c:yVal>
          <c:smooth val="1"/>
          <c:extLst>
            <c:ext xmlns:c16="http://schemas.microsoft.com/office/drawing/2014/chart" uri="{C3380CC4-5D6E-409C-BE32-E72D297353CC}">
              <c16:uniqueId val="{00000000-200E-4491-8C7C-F06042ACEFCC}"/>
            </c:ext>
          </c:extLst>
        </c:ser>
        <c:ser>
          <c:idx val="1"/>
          <c:order val="1"/>
          <c:tx>
            <c:v>26 golpes</c:v>
          </c:tx>
          <c:marker>
            <c:symbol val="circle"/>
            <c:size val="3"/>
            <c:spPr>
              <a:solidFill>
                <a:srgbClr val="00B050"/>
              </a:solidFill>
              <a:ln>
                <a:solidFill>
                  <a:srgbClr val="00B050">
                    <a:alpha val="50000"/>
                  </a:srgbClr>
                </a:solidFill>
                <a:prstDash val="solid"/>
              </a:ln>
            </c:spPr>
          </c:marker>
          <c:xVal>
            <c:numRef>
              <c:f>'P-ROZO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'P-ROZO AP2 M1'!$AO$75:$AO$86</c:f>
              <c:numCache>
                <c:formatCode>0.000</c:formatCode>
                <c:ptCount val="12"/>
                <c:pt idx="0">
                  <c:v>0</c:v>
                </c:pt>
                <c:pt idx="1">
                  <c:v>0.32315843957720386</c:v>
                </c:pt>
                <c:pt idx="2">
                  <c:v>1.5139751552795031</c:v>
                </c:pt>
                <c:pt idx="3">
                  <c:v>2.7037702953034759</c:v>
                </c:pt>
                <c:pt idx="4">
                  <c:v>3.591519559768988</c:v>
                </c:pt>
                <c:pt idx="5">
                  <c:v>4.5831290181976678</c:v>
                </c:pt>
                <c:pt idx="6">
                  <c:v>5.7892693690748622</c:v>
                </c:pt>
                <c:pt idx="7">
                  <c:v>7.0073281028658592</c:v>
                </c:pt>
                <c:pt idx="8">
                  <c:v>7.9216383349678559</c:v>
                </c:pt>
                <c:pt idx="9">
                  <c:v>10.62268442846246</c:v>
                </c:pt>
                <c:pt idx="10">
                  <c:v>13.060163996948893</c:v>
                </c:pt>
                <c:pt idx="11">
                  <c:v>15.305246812683881</c:v>
                </c:pt>
              </c:numCache>
            </c:numRef>
          </c:yVal>
          <c:smooth val="1"/>
          <c:extLst>
            <c:ext xmlns:c16="http://schemas.microsoft.com/office/drawing/2014/chart" uri="{C3380CC4-5D6E-409C-BE32-E72D297353CC}">
              <c16:uniqueId val="{00000001-200E-4491-8C7C-F06042ACEFCC}"/>
            </c:ext>
          </c:extLst>
        </c:ser>
        <c:ser>
          <c:idx val="2"/>
          <c:order val="2"/>
          <c:tx>
            <c:v>56 golpes</c:v>
          </c:tx>
          <c:marker>
            <c:symbol val="circle"/>
            <c:size val="3"/>
            <c:spPr>
              <a:solidFill>
                <a:srgbClr val="00B050"/>
              </a:solidFill>
              <a:ln>
                <a:solidFill>
                  <a:srgbClr val="00B050">
                    <a:alpha val="50000"/>
                  </a:srgbClr>
                </a:solidFill>
                <a:prstDash val="solid"/>
              </a:ln>
            </c:spPr>
          </c:marker>
          <c:xVal>
            <c:numRef>
              <c:f>'P-ROZO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'P-ROZO AP2 M1'!$AQ$75:$AQ$86</c:f>
              <c:numCache>
                <c:formatCode>0.000</c:formatCode>
                <c:ptCount val="12"/>
                <c:pt idx="0">
                  <c:v>0</c:v>
                </c:pt>
                <c:pt idx="1">
                  <c:v>0.2197477389124986</c:v>
                </c:pt>
                <c:pt idx="2">
                  <c:v>1.0295031055900621</c:v>
                </c:pt>
                <c:pt idx="3">
                  <c:v>1.8385638008063641</c:v>
                </c:pt>
                <c:pt idx="4">
                  <c:v>2.4422333006429118</c:v>
                </c:pt>
                <c:pt idx="5">
                  <c:v>3.1165277323744145</c:v>
                </c:pt>
                <c:pt idx="6">
                  <c:v>3.9367031709709059</c:v>
                </c:pt>
                <c:pt idx="7">
                  <c:v>4.7649831099487843</c:v>
                </c:pt>
                <c:pt idx="8">
                  <c:v>5.3867140677781409</c:v>
                </c:pt>
                <c:pt idx="9">
                  <c:v>7.2234254113544729</c:v>
                </c:pt>
                <c:pt idx="10">
                  <c:v>8.8809115179252469</c:v>
                </c:pt>
                <c:pt idx="11">
                  <c:v>10.407567832625041</c:v>
                </c:pt>
              </c:numCache>
            </c:numRef>
          </c:yVal>
          <c:smooth val="1"/>
          <c:extLst>
            <c:ext xmlns:c16="http://schemas.microsoft.com/office/drawing/2014/chart" uri="{C3380CC4-5D6E-409C-BE32-E72D297353CC}">
              <c16:uniqueId val="{00000002-200E-4491-8C7C-F06042ACEFC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'P-ROZO AP2 M1'!$E$34:$H$34</c:f>
              <c:numCache>
                <c:formatCode>0.00</c:formatCode>
                <c:ptCount val="4"/>
                <c:pt idx="0">
                  <c:v>2.5600568024930022</c:v>
                </c:pt>
                <c:pt idx="1">
                  <c:v>4.2037762736017203</c:v>
                </c:pt>
                <c:pt idx="2">
                  <c:v>6.4780771948036886</c:v>
                </c:pt>
                <c:pt idx="3">
                  <c:v>8.3723672573618533</c:v>
                </c:pt>
              </c:numCache>
            </c:numRef>
          </c:xVal>
          <c:yVal>
            <c:numRef>
              <c:f>'P-ROZO AP2 M1'!$E$37:$H$37</c:f>
              <c:numCache>
                <c:formatCode>0.0000</c:formatCode>
                <c:ptCount val="4"/>
                <c:pt idx="0">
                  <c:v>2.2215261781979656</c:v>
                </c:pt>
                <c:pt idx="1">
                  <c:v>2.2713695904757358</c:v>
                </c:pt>
                <c:pt idx="2">
                  <c:v>2.2735728091443095</c:v>
                </c:pt>
                <c:pt idx="3">
                  <c:v>2.1573662050432141</c:v>
                </c:pt>
              </c:numCache>
            </c:numRef>
          </c:yVal>
          <c:smooth val="1"/>
          <c:extLst>
            <c:ext xmlns:c16="http://schemas.microsoft.com/office/drawing/2014/chart" uri="{C3380CC4-5D6E-409C-BE32-E72D297353CC}">
              <c16:uniqueId val="{00000000-3DF1-4A48-A78F-FD2406143A2B}"/>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20964474668531091"/>
                  <c:y val="5.5173799684314351E-2"/>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'LA TORRE VARIANTE ROZO AP2 M2'!$E$34:$H$34</c:f>
              <c:numCache>
                <c:formatCode>0.00</c:formatCode>
                <c:ptCount val="4"/>
                <c:pt idx="0">
                  <c:v>5.9204429842797284</c:v>
                </c:pt>
                <c:pt idx="1">
                  <c:v>7.840389667808541</c:v>
                </c:pt>
                <c:pt idx="2">
                  <c:v>9.2992271040017709</c:v>
                </c:pt>
                <c:pt idx="3">
                  <c:v>11.660204352230247</c:v>
                </c:pt>
              </c:numCache>
            </c:numRef>
          </c:xVal>
          <c:yVal>
            <c:numRef>
              <c:f>'LA TORRE VARIANTE ROZO AP2 M2'!$E$37:$H$37</c:f>
              <c:numCache>
                <c:formatCode>0.0000</c:formatCode>
                <c:ptCount val="4"/>
                <c:pt idx="0">
                  <c:v>2.1431355062505126</c:v>
                </c:pt>
                <c:pt idx="1">
                  <c:v>2.1965008575131</c:v>
                </c:pt>
                <c:pt idx="2">
                  <c:v>2.2157409285180005</c:v>
                </c:pt>
                <c:pt idx="3">
                  <c:v>2.0938425111962857</c:v>
                </c:pt>
              </c:numCache>
            </c:numRef>
          </c:yVal>
          <c:smooth val="0"/>
          <c:extLst>
            <c:ext xmlns:c16="http://schemas.microsoft.com/office/drawing/2014/chart" uri="{C3380CC4-5D6E-409C-BE32-E72D297353CC}">
              <c16:uniqueId val="{00000001-2611-425E-8490-37624AD2CE53}"/>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'LA TORRE VARIANTE ROZO AP2 M2'!$E$34:$H$34</c:f>
              <c:numCache>
                <c:formatCode>0.00</c:formatCode>
                <c:ptCount val="4"/>
                <c:pt idx="0">
                  <c:v>5.9204429842797284</c:v>
                </c:pt>
                <c:pt idx="1">
                  <c:v>7.840389667808541</c:v>
                </c:pt>
                <c:pt idx="2">
                  <c:v>9.2992271040017709</c:v>
                </c:pt>
                <c:pt idx="3">
                  <c:v>11.660204352230247</c:v>
                </c:pt>
              </c:numCache>
            </c:numRef>
          </c:xVal>
          <c:yVal>
            <c:numRef>
              <c:f>'LA TORRE VARIANTE ROZO AP2 M2'!$G$83:$J$83</c:f>
              <c:numCache>
                <c:formatCode>General</c:formatCode>
                <c:ptCount val="4"/>
                <c:pt idx="0">
                  <c:v>2.4442774564033067</c:v>
                </c:pt>
                <c:pt idx="1">
                  <c:v>2.3397063448083748</c:v>
                </c:pt>
                <c:pt idx="2">
                  <c:v>2.2660437121214585</c:v>
                </c:pt>
                <c:pt idx="3">
                  <c:v>2.1561796316277917</c:v>
                </c:pt>
              </c:numCache>
            </c:numRef>
          </c:yVal>
          <c:smooth val="0"/>
          <c:extLst>
            <c:ext xmlns:c16="http://schemas.microsoft.com/office/drawing/2014/chart" uri="{C3380CC4-5D6E-409C-BE32-E72D297353CC}">
              <c16:uniqueId val="{00000003-2611-425E-8490-37624AD2CE53}"/>
            </c:ext>
          </c:extLst>
        </c:ser>
        <c:dLbls>
          <c:showLegendKey val="0"/>
          <c:showVal val="0"/>
          <c:showCatName val="0"/>
          <c:showSerName val="0"/>
          <c:showPercent val="0"/>
          <c:showBubbleSize val="0"/>
        </c:dLbls>
        <c:axId val="862226368"/>
        <c:axId val="862172912"/>
      </c:scatterChart>
      <c:valAx>
        <c:axId val="862226368"/>
        <c:scaling>
          <c:orientation val="minMax"/>
          <c:max val="15"/>
          <c:min val="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7"/>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'LA TORRE VARIANTE ROZO AP2 M2'!$AJ$91:$AL$91</c:f>
              <c:numCache>
                <c:formatCode>0.000</c:formatCode>
                <c:ptCount val="3"/>
                <c:pt idx="0">
                  <c:v>2.2177264231069667</c:v>
                </c:pt>
                <c:pt idx="1">
                  <c:v>2.035043722244001</c:v>
                </c:pt>
                <c:pt idx="2">
                  <c:v>1.8100049088983805</c:v>
                </c:pt>
              </c:numCache>
            </c:numRef>
          </c:xVal>
          <c:yVal>
            <c:numRef>
              <c:f>'LA TORRE VARIANTE ROZO AP2 M2'!$AJ$94:$AL$94</c:f>
              <c:numCache>
                <c:formatCode>0.000</c:formatCode>
                <c:ptCount val="3"/>
                <c:pt idx="0">
                  <c:v>30.87586641461877</c:v>
                </c:pt>
                <c:pt idx="1">
                  <c:v>19.503705704083774</c:v>
                </c:pt>
                <c:pt idx="2">
                  <c:v>9.2546346963817854</c:v>
                </c:pt>
              </c:numCache>
            </c:numRef>
          </c:yVal>
          <c:smooth val="1"/>
          <c:extLst>
            <c:ext xmlns:c16="http://schemas.microsoft.com/office/drawing/2014/chart" uri="{C3380CC4-5D6E-409C-BE32-E72D297353CC}">
              <c16:uniqueId val="{00000001-020C-4BAF-AF4F-F661A215C29C}"/>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'LA TORRE VARIANTE ROZO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AP2 M2'!$AM$75:$AM$86</c:f>
              <c:numCache>
                <c:formatCode>0.000</c:formatCode>
                <c:ptCount val="12"/>
                <c:pt idx="0">
                  <c:v>0</c:v>
                </c:pt>
                <c:pt idx="1">
                  <c:v>0.31832298136645959</c:v>
                </c:pt>
                <c:pt idx="2">
                  <c:v>0.87422360248447206</c:v>
                </c:pt>
                <c:pt idx="3">
                  <c:v>1.5320910973084887</c:v>
                </c:pt>
                <c:pt idx="4">
                  <c:v>2.1304347826086953</c:v>
                </c:pt>
                <c:pt idx="5">
                  <c:v>2.839544513457557</c:v>
                </c:pt>
                <c:pt idx="6">
                  <c:v>3.4912008281573499</c:v>
                </c:pt>
                <c:pt idx="7">
                  <c:v>4.0434782608695654</c:v>
                </c:pt>
                <c:pt idx="8">
                  <c:v>4.5005175983436851</c:v>
                </c:pt>
                <c:pt idx="9">
                  <c:v>6.3892339544513455</c:v>
                </c:pt>
                <c:pt idx="10">
                  <c:v>7.6806418219461703</c:v>
                </c:pt>
                <c:pt idx="11">
                  <c:v>8.8115942028985508</c:v>
                </c:pt>
              </c:numCache>
            </c:numRef>
          </c:yVal>
          <c:smooth val="1"/>
          <c:extLst>
            <c:ext xmlns:c16="http://schemas.microsoft.com/office/drawing/2014/chart" uri="{C3380CC4-5D6E-409C-BE32-E72D297353CC}">
              <c16:uniqueId val="{00000000-D880-48A8-8A81-0EC3D9645791}"/>
            </c:ext>
          </c:extLst>
        </c:ser>
        <c:ser>
          <c:idx val="1"/>
          <c:order val="1"/>
          <c:tx>
            <c:v>26 golpes</c:v>
          </c:tx>
          <c:marker>
            <c:symbol val="circle"/>
            <c:size val="3"/>
            <c:spPr>
              <a:solidFill>
                <a:srgbClr val="00B050"/>
              </a:solidFill>
              <a:ln>
                <a:solidFill>
                  <a:srgbClr val="00B050">
                    <a:alpha val="50000"/>
                  </a:srgbClr>
                </a:solidFill>
                <a:prstDash val="solid"/>
              </a:ln>
            </c:spPr>
          </c:marker>
          <c:xVal>
            <c:numRef>
              <c:f>'LA TORRE VARIANTE ROZO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AP2 M2'!$AO$75:$AO$86</c:f>
              <c:numCache>
                <c:formatCode>0.000</c:formatCode>
                <c:ptCount val="12"/>
                <c:pt idx="0">
                  <c:v>0</c:v>
                </c:pt>
                <c:pt idx="1">
                  <c:v>0.13547381968434599</c:v>
                </c:pt>
                <c:pt idx="2">
                  <c:v>0.54042273721907597</c:v>
                </c:pt>
                <c:pt idx="3">
                  <c:v>1.0491858317945275</c:v>
                </c:pt>
                <c:pt idx="4">
                  <c:v>1.3457556935817805</c:v>
                </c:pt>
                <c:pt idx="5">
                  <c:v>1.6563146997929605</c:v>
                </c:pt>
                <c:pt idx="6">
                  <c:v>2.0186335403726705</c:v>
                </c:pt>
                <c:pt idx="7">
                  <c:v>2.3809523809523809</c:v>
                </c:pt>
                <c:pt idx="8">
                  <c:v>2.691511387163561</c:v>
                </c:pt>
                <c:pt idx="9">
                  <c:v>4.1264294696788975</c:v>
                </c:pt>
                <c:pt idx="10">
                  <c:v>5.0467679186214651</c:v>
                </c:pt>
                <c:pt idx="11">
                  <c:v>5.7999729052360625</c:v>
                </c:pt>
              </c:numCache>
            </c:numRef>
          </c:yVal>
          <c:smooth val="1"/>
          <c:extLst>
            <c:ext xmlns:c16="http://schemas.microsoft.com/office/drawing/2014/chart" uri="{C3380CC4-5D6E-409C-BE32-E72D297353CC}">
              <c16:uniqueId val="{00000001-D880-48A8-8A81-0EC3D9645791}"/>
            </c:ext>
          </c:extLst>
        </c:ser>
        <c:ser>
          <c:idx val="2"/>
          <c:order val="2"/>
          <c:tx>
            <c:v>56 golpes</c:v>
          </c:tx>
          <c:marker>
            <c:symbol val="circle"/>
            <c:size val="3"/>
            <c:spPr>
              <a:solidFill>
                <a:srgbClr val="00B050"/>
              </a:solidFill>
              <a:ln>
                <a:solidFill>
                  <a:srgbClr val="00B050">
                    <a:alpha val="50000"/>
                  </a:srgbClr>
                </a:solidFill>
                <a:prstDash val="solid"/>
              </a:ln>
            </c:spPr>
          </c:marker>
          <c:xVal>
            <c:numRef>
              <c:f>'LA TORRE VARIANTE ROZO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AP2 M2'!$AQ$75:$AQ$86</c:f>
              <c:numCache>
                <c:formatCode>0.000</c:formatCode>
                <c:ptCount val="12"/>
                <c:pt idx="0">
                  <c:v>0</c:v>
                </c:pt>
                <c:pt idx="1">
                  <c:v>9.541312520431515E-2</c:v>
                </c:pt>
                <c:pt idx="2">
                  <c:v>0.2620370219025826</c:v>
                </c:pt>
                <c:pt idx="3">
                  <c:v>0.45922414732483385</c:v>
                </c:pt>
                <c:pt idx="4">
                  <c:v>0.6385697940503432</c:v>
                </c:pt>
                <c:pt idx="5">
                  <c:v>0.85111610548109407</c:v>
                </c:pt>
                <c:pt idx="6">
                  <c:v>1.0464415113871635</c:v>
                </c:pt>
                <c:pt idx="7">
                  <c:v>1.2119794050343249</c:v>
                </c:pt>
                <c:pt idx="8">
                  <c:v>1.3489709327666994</c:v>
                </c:pt>
                <c:pt idx="9">
                  <c:v>1.915088808978969</c:v>
                </c:pt>
                <c:pt idx="10">
                  <c:v>2.3021713250517597</c:v>
                </c:pt>
                <c:pt idx="11">
                  <c:v>2.4767080745341614</c:v>
                </c:pt>
              </c:numCache>
            </c:numRef>
          </c:yVal>
          <c:smooth val="1"/>
          <c:extLst>
            <c:ext xmlns:c16="http://schemas.microsoft.com/office/drawing/2014/chart" uri="{C3380CC4-5D6E-409C-BE32-E72D297353CC}">
              <c16:uniqueId val="{00000002-D880-48A8-8A81-0EC3D9645791}"/>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'LA TORRE VARIANTE ROZO AP2 M2'!$E$34:$H$34</c:f>
              <c:numCache>
                <c:formatCode>0.00</c:formatCode>
                <c:ptCount val="4"/>
                <c:pt idx="0">
                  <c:v>5.9204429842797284</c:v>
                </c:pt>
                <c:pt idx="1">
                  <c:v>7.840389667808541</c:v>
                </c:pt>
                <c:pt idx="2">
                  <c:v>9.2992271040017709</c:v>
                </c:pt>
                <c:pt idx="3">
                  <c:v>11.660204352230247</c:v>
                </c:pt>
              </c:numCache>
            </c:numRef>
          </c:xVal>
          <c:yVal>
            <c:numRef>
              <c:f>'LA TORRE VARIANTE ROZO AP2 M2'!$E$37:$H$37</c:f>
              <c:numCache>
                <c:formatCode>0.0000</c:formatCode>
                <c:ptCount val="4"/>
                <c:pt idx="0">
                  <c:v>2.1431355062505126</c:v>
                </c:pt>
                <c:pt idx="1">
                  <c:v>2.1965008575131</c:v>
                </c:pt>
                <c:pt idx="2">
                  <c:v>2.2157409285180005</c:v>
                </c:pt>
                <c:pt idx="3">
                  <c:v>2.0938425111962857</c:v>
                </c:pt>
              </c:numCache>
            </c:numRef>
          </c:yVal>
          <c:smooth val="1"/>
          <c:extLst>
            <c:ext xmlns:c16="http://schemas.microsoft.com/office/drawing/2014/chart" uri="{C3380CC4-5D6E-409C-BE32-E72D297353CC}">
              <c16:uniqueId val="{00000000-72D2-41D7-AB2F-F2F41BF5EED0}"/>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9.8398373144410051E-2"/>
                  <c:y val="0.36251544908208228"/>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'LA TORRE VARIANTE ROZO AP3 M4'!$E$34:$H$34</c:f>
              <c:numCache>
                <c:formatCode>0.00</c:formatCode>
                <c:ptCount val="4"/>
                <c:pt idx="0">
                  <c:v>13.720008513957662</c:v>
                </c:pt>
                <c:pt idx="1">
                  <c:v>16.420261290799683</c:v>
                </c:pt>
                <c:pt idx="2">
                  <c:v>18.900648704188562</c:v>
                </c:pt>
                <c:pt idx="3">
                  <c:v>21.800021276946378</c:v>
                </c:pt>
              </c:numCache>
            </c:numRef>
          </c:xVal>
          <c:yVal>
            <c:numRef>
              <c:f>'LA TORRE VARIANTE ROZO AP3 M4'!$E$37:$H$37</c:f>
              <c:numCache>
                <c:formatCode>0.0000</c:formatCode>
                <c:ptCount val="4"/>
                <c:pt idx="0">
                  <c:v>1.6252468994933955</c:v>
                </c:pt>
                <c:pt idx="1">
                  <c:v>1.7167143672381111</c:v>
                </c:pt>
                <c:pt idx="2">
                  <c:v>1.709484747583687</c:v>
                </c:pt>
                <c:pt idx="3">
                  <c:v>1.5946400176754232</c:v>
                </c:pt>
              </c:numCache>
            </c:numRef>
          </c:yVal>
          <c:smooth val="0"/>
          <c:extLst>
            <c:ext xmlns:c16="http://schemas.microsoft.com/office/drawing/2014/chart" uri="{C3380CC4-5D6E-409C-BE32-E72D297353CC}">
              <c16:uniqueId val="{00000001-EF84-4A5E-B0FE-9DDCDC58D381}"/>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'LA TORRE VARIANTE ROZO AP3 M4'!$E$34:$H$34</c:f>
              <c:numCache>
                <c:formatCode>0.00</c:formatCode>
                <c:ptCount val="4"/>
                <c:pt idx="0">
                  <c:v>13.720008513957662</c:v>
                </c:pt>
                <c:pt idx="1">
                  <c:v>16.420261290799683</c:v>
                </c:pt>
                <c:pt idx="2">
                  <c:v>18.900648704188562</c:v>
                </c:pt>
                <c:pt idx="3">
                  <c:v>21.800021276946378</c:v>
                </c:pt>
              </c:numCache>
            </c:numRef>
          </c:xVal>
          <c:yVal>
            <c:numRef>
              <c:f>'LA TORRE VARIANTE ROZO AP3 M4'!$G$83:$J$83</c:f>
              <c:numCache>
                <c:formatCode>General</c:formatCode>
                <c:ptCount val="4"/>
                <c:pt idx="0">
                  <c:v>1.9272298274181199</c:v>
                </c:pt>
                <c:pt idx="1">
                  <c:v>1.8318977286875238</c:v>
                </c:pt>
                <c:pt idx="2">
                  <c:v>1.7522774637201324</c:v>
                </c:pt>
                <c:pt idx="3">
                  <c:v>1.6675571363898505</c:v>
                </c:pt>
              </c:numCache>
            </c:numRef>
          </c:yVal>
          <c:smooth val="0"/>
          <c:extLst>
            <c:ext xmlns:c16="http://schemas.microsoft.com/office/drawing/2014/chart" uri="{C3380CC4-5D6E-409C-BE32-E72D297353CC}">
              <c16:uniqueId val="{00000003-EF84-4A5E-B0FE-9DDCDC58D381}"/>
            </c:ext>
          </c:extLst>
        </c:ser>
        <c:dLbls>
          <c:showLegendKey val="0"/>
          <c:showVal val="0"/>
          <c:showCatName val="0"/>
          <c:showSerName val="0"/>
          <c:showPercent val="0"/>
          <c:showBubbleSize val="0"/>
        </c:dLbls>
        <c:axId val="862226368"/>
        <c:axId val="862172912"/>
      </c:scatterChart>
      <c:valAx>
        <c:axId val="862226368"/>
        <c:scaling>
          <c:orientation val="minMax"/>
          <c:max val="25"/>
          <c:min val="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0699999999999998"/>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'LA TORRE VARIANTE ROZO AP3 M4'!$AJ$91:$AL$91</c:f>
              <c:numCache>
                <c:formatCode>0.000</c:formatCode>
                <c:ptCount val="3"/>
                <c:pt idx="0">
                  <c:v>1.6951894384816295</c:v>
                </c:pt>
                <c:pt idx="1">
                  <c:v>1.66</c:v>
                </c:pt>
                <c:pt idx="2">
                  <c:v>1.6289501697911914</c:v>
                </c:pt>
              </c:numCache>
            </c:numRef>
          </c:xVal>
          <c:yVal>
            <c:numRef>
              <c:f>'LA TORRE VARIANTE ROZO AP3 M4'!$AJ$94:$AL$94</c:f>
              <c:numCache>
                <c:formatCode>0.000</c:formatCode>
                <c:ptCount val="3"/>
                <c:pt idx="0">
                  <c:v>6.1134941138228713</c:v>
                </c:pt>
                <c:pt idx="1">
                  <c:v>3.8175483924122657</c:v>
                </c:pt>
                <c:pt idx="2">
                  <c:v>2.0785879986997773</c:v>
                </c:pt>
              </c:numCache>
            </c:numRef>
          </c:yVal>
          <c:smooth val="1"/>
          <c:extLst>
            <c:ext xmlns:c16="http://schemas.microsoft.com/office/drawing/2014/chart" uri="{C3380CC4-5D6E-409C-BE32-E72D297353CC}">
              <c16:uniqueId val="{00000001-CA05-4D93-AA86-198331A76DB9}"/>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'LA TORRE VARIANTE ROZO AP3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AP3 M4'!$AM$75:$AM$86</c:f>
              <c:numCache>
                <c:formatCode>0.000</c:formatCode>
                <c:ptCount val="12"/>
                <c:pt idx="0">
                  <c:v>0</c:v>
                </c:pt>
                <c:pt idx="1">
                  <c:v>6.3028698425673851E-2</c:v>
                </c:pt>
                <c:pt idx="2">
                  <c:v>0.17309832787148477</c:v>
                </c:pt>
                <c:pt idx="3">
                  <c:v>0.30335763795121079</c:v>
                </c:pt>
                <c:pt idx="4">
                  <c:v>0.42183109385377815</c:v>
                </c:pt>
                <c:pt idx="5">
                  <c:v>0.56223648709471019</c:v>
                </c:pt>
                <c:pt idx="6">
                  <c:v>0.69126596891247172</c:v>
                </c:pt>
                <c:pt idx="7">
                  <c:v>0.80061819853880345</c:v>
                </c:pt>
                <c:pt idx="8">
                  <c:v>0.89111306148168157</c:v>
                </c:pt>
                <c:pt idx="9">
                  <c:v>1.2650833388073464</c:v>
                </c:pt>
                <c:pt idx="10">
                  <c:v>1.5207851316074381</c:v>
                </c:pt>
                <c:pt idx="11">
                  <c:v>1.7447163609734502</c:v>
                </c:pt>
              </c:numCache>
            </c:numRef>
          </c:yVal>
          <c:smooth val="1"/>
          <c:extLst>
            <c:ext xmlns:c16="http://schemas.microsoft.com/office/drawing/2014/chart" uri="{C3380CC4-5D6E-409C-BE32-E72D297353CC}">
              <c16:uniqueId val="{00000000-B469-4C23-AD34-089B4B96BCC3}"/>
            </c:ext>
          </c:extLst>
        </c:ser>
        <c:ser>
          <c:idx val="1"/>
          <c:order val="1"/>
          <c:tx>
            <c:v>26 golpes</c:v>
          </c:tx>
          <c:marker>
            <c:symbol val="circle"/>
            <c:size val="3"/>
            <c:spPr>
              <a:solidFill>
                <a:srgbClr val="00B050"/>
              </a:solidFill>
              <a:ln>
                <a:solidFill>
                  <a:srgbClr val="00B050">
                    <a:alpha val="50000"/>
                  </a:srgbClr>
                </a:solidFill>
                <a:prstDash val="solid"/>
              </a:ln>
            </c:spPr>
          </c:marker>
          <c:xVal>
            <c:numRef>
              <c:f>'LA TORRE VARIANTE ROZO AP3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AP3 M4'!$AO$75:$AO$86</c:f>
              <c:numCache>
                <c:formatCode>0.000</c:formatCode>
                <c:ptCount val="12"/>
                <c:pt idx="0">
                  <c:v>0</c:v>
                </c:pt>
                <c:pt idx="1">
                  <c:v>4.1919320700113394E-2</c:v>
                </c:pt>
                <c:pt idx="2">
                  <c:v>9.7702369772671563E-2</c:v>
                </c:pt>
                <c:pt idx="3">
                  <c:v>0.18047457052886401</c:v>
                </c:pt>
                <c:pt idx="4">
                  <c:v>0.26341083907644636</c:v>
                </c:pt>
                <c:pt idx="5">
                  <c:v>0.34815185332931758</c:v>
                </c:pt>
                <c:pt idx="6">
                  <c:v>0.43272879979079881</c:v>
                </c:pt>
                <c:pt idx="7">
                  <c:v>0.50549286527220894</c:v>
                </c:pt>
                <c:pt idx="8">
                  <c:v>0.5639830329026998</c:v>
                </c:pt>
                <c:pt idx="9">
                  <c:v>0.78539251738333782</c:v>
                </c:pt>
                <c:pt idx="10">
                  <c:v>0.97505488423003506</c:v>
                </c:pt>
                <c:pt idx="11">
                  <c:v>1.1366459627329193</c:v>
                </c:pt>
              </c:numCache>
            </c:numRef>
          </c:yVal>
          <c:smooth val="1"/>
          <c:extLst>
            <c:ext xmlns:c16="http://schemas.microsoft.com/office/drawing/2014/chart" uri="{C3380CC4-5D6E-409C-BE32-E72D297353CC}">
              <c16:uniqueId val="{00000001-B469-4C23-AD34-089B4B96BCC3}"/>
            </c:ext>
          </c:extLst>
        </c:ser>
        <c:ser>
          <c:idx val="2"/>
          <c:order val="2"/>
          <c:tx>
            <c:v>56 golpes</c:v>
          </c:tx>
          <c:marker>
            <c:symbol val="circle"/>
            <c:size val="3"/>
            <c:spPr>
              <a:solidFill>
                <a:srgbClr val="00B050"/>
              </a:solidFill>
              <a:ln>
                <a:solidFill>
                  <a:srgbClr val="00B050">
                    <a:alpha val="50000"/>
                  </a:srgbClr>
                </a:solidFill>
                <a:prstDash val="solid"/>
              </a:ln>
            </c:spPr>
          </c:marker>
          <c:xVal>
            <c:numRef>
              <c:f>'LA TORRE VARIANTE ROZO AP3 M4'!$AJ$75:$AJ$86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AP3 M4'!$AQ$75:$AQ$86</c:f>
              <c:numCache>
                <c:formatCode>0.000</c:formatCode>
                <c:ptCount val="12"/>
                <c:pt idx="0">
                  <c:v>0</c:v>
                </c:pt>
                <c:pt idx="1">
                  <c:v>2.142975746472911E-2</c:v>
                </c:pt>
                <c:pt idx="2">
                  <c:v>5.885343147630482E-2</c:v>
                </c:pt>
                <c:pt idx="3">
                  <c:v>0.10314159690341165</c:v>
                </c:pt>
                <c:pt idx="4">
                  <c:v>0.14342257191028462</c:v>
                </c:pt>
                <c:pt idx="5">
                  <c:v>0.19116040561220149</c:v>
                </c:pt>
                <c:pt idx="6">
                  <c:v>0.23503042943024044</c:v>
                </c:pt>
                <c:pt idx="7">
                  <c:v>0.27221018750319326</c:v>
                </c:pt>
                <c:pt idx="8">
                  <c:v>0.30297844090377174</c:v>
                </c:pt>
                <c:pt idx="9">
                  <c:v>0.43012833519449778</c:v>
                </c:pt>
                <c:pt idx="10">
                  <c:v>0.51706694474652903</c:v>
                </c:pt>
                <c:pt idx="11">
                  <c:v>0.5662525879917184</c:v>
                </c:pt>
              </c:numCache>
            </c:numRef>
          </c:yVal>
          <c:smooth val="1"/>
          <c:extLst>
            <c:ext xmlns:c16="http://schemas.microsoft.com/office/drawing/2014/chart" uri="{C3380CC4-5D6E-409C-BE32-E72D297353CC}">
              <c16:uniqueId val="{00000002-B469-4C23-AD34-089B4B96BCC3}"/>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'LA TORRE VARIANTE ROZO AP3 M4'!$E$34:$H$34</c:f>
              <c:numCache>
                <c:formatCode>0.00</c:formatCode>
                <c:ptCount val="4"/>
                <c:pt idx="0">
                  <c:v>13.720008513957662</c:v>
                </c:pt>
                <c:pt idx="1">
                  <c:v>16.420261290799683</c:v>
                </c:pt>
                <c:pt idx="2">
                  <c:v>18.900648704188562</c:v>
                </c:pt>
                <c:pt idx="3">
                  <c:v>21.800021276946378</c:v>
                </c:pt>
              </c:numCache>
            </c:numRef>
          </c:xVal>
          <c:yVal>
            <c:numRef>
              <c:f>'LA TORRE VARIANTE ROZO AP3 M4'!$E$37:$H$37</c:f>
              <c:numCache>
                <c:formatCode>0.0000</c:formatCode>
                <c:ptCount val="4"/>
                <c:pt idx="0">
                  <c:v>1.6252468994933955</c:v>
                </c:pt>
                <c:pt idx="1">
                  <c:v>1.7167143672381111</c:v>
                </c:pt>
                <c:pt idx="2">
                  <c:v>1.709484747583687</c:v>
                </c:pt>
                <c:pt idx="3">
                  <c:v>1.5946400176754232</c:v>
                </c:pt>
              </c:numCache>
            </c:numRef>
          </c:yVal>
          <c:smooth val="1"/>
          <c:extLst>
            <c:ext xmlns:c16="http://schemas.microsoft.com/office/drawing/2014/chart" uri="{C3380CC4-5D6E-409C-BE32-E72D297353CC}">
              <c16:uniqueId val="{00000000-3099-4253-9825-C0557D0AED5D}"/>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7054613397308392E-2"/>
                  <c:y val="0.2559600932454157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'LA TORRE VARIANTE ROZO AP4 M2'!$E$34:$H$34</c:f>
              <c:numCache>
                <c:formatCode>0.00</c:formatCode>
                <c:ptCount val="4"/>
                <c:pt idx="0">
                  <c:v>3.0199858333063654</c:v>
                </c:pt>
                <c:pt idx="1">
                  <c:v>6.2899858888474771</c:v>
                </c:pt>
                <c:pt idx="2">
                  <c:v>9.5299896360131857</c:v>
                </c:pt>
                <c:pt idx="3">
                  <c:v>12.19000992329377</c:v>
                </c:pt>
              </c:numCache>
            </c:numRef>
          </c:xVal>
          <c:yVal>
            <c:numRef>
              <c:f>'LA TORRE VARIANTE ROZO AP4 M2'!$E$37:$H$37</c:f>
              <c:numCache>
                <c:formatCode>0.0000</c:formatCode>
                <c:ptCount val="4"/>
                <c:pt idx="0">
                  <c:v>2.0439526224120783</c:v>
                </c:pt>
                <c:pt idx="1">
                  <c:v>2.2193422341337858</c:v>
                </c:pt>
                <c:pt idx="2">
                  <c:v>2.2208486941248822</c:v>
                </c:pt>
                <c:pt idx="3">
                  <c:v>1.96361469023391</c:v>
                </c:pt>
              </c:numCache>
            </c:numRef>
          </c:yVal>
          <c:smooth val="0"/>
          <c:extLst>
            <c:ext xmlns:c16="http://schemas.microsoft.com/office/drawing/2014/chart" uri="{C3380CC4-5D6E-409C-BE32-E72D297353CC}">
              <c16:uniqueId val="{00000001-E048-4F41-9248-320C48D38DED}"/>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'LA TORRE VARIANTE ROZO AP4 M2'!$E$34:$H$34</c:f>
              <c:numCache>
                <c:formatCode>0.00</c:formatCode>
                <c:ptCount val="4"/>
                <c:pt idx="0">
                  <c:v>3.0199858333063654</c:v>
                </c:pt>
                <c:pt idx="1">
                  <c:v>6.2899858888474771</c:v>
                </c:pt>
                <c:pt idx="2">
                  <c:v>9.5299896360131857</c:v>
                </c:pt>
                <c:pt idx="3">
                  <c:v>12.19000992329377</c:v>
                </c:pt>
              </c:numCache>
            </c:numRef>
          </c:xVal>
          <c:yVal>
            <c:numRef>
              <c:f>'LA TORRE VARIANTE ROZO AP4 M2'!$G$83:$J$83</c:f>
              <c:numCache>
                <c:formatCode>General</c:formatCode>
                <c:ptCount val="4"/>
                <c:pt idx="0">
                  <c:v>2.5638001854832186</c:v>
                </c:pt>
                <c:pt idx="1">
                  <c:v>2.3690797867522653</c:v>
                </c:pt>
                <c:pt idx="2">
                  <c:v>2.2032761822471505</c:v>
                </c:pt>
                <c:pt idx="3">
                  <c:v>2.0835582092835838</c:v>
                </c:pt>
              </c:numCache>
            </c:numRef>
          </c:yVal>
          <c:smooth val="0"/>
          <c:extLst>
            <c:ext xmlns:c16="http://schemas.microsoft.com/office/drawing/2014/chart" uri="{C3380CC4-5D6E-409C-BE32-E72D297353CC}">
              <c16:uniqueId val="{00000003-E048-4F41-9248-320C48D38DED}"/>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5"/>
          <c:min val="1.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'LA TORRE VARIANTE ROZO AP4 M2'!$AJ$91:$AL$91</c:f>
              <c:numCache>
                <c:formatCode>0.000</c:formatCode>
                <c:ptCount val="3"/>
                <c:pt idx="0">
                  <c:v>2.224054012682279</c:v>
                </c:pt>
                <c:pt idx="1">
                  <c:v>2.1156053923909002</c:v>
                </c:pt>
                <c:pt idx="2">
                  <c:v>1.9463428857616012</c:v>
                </c:pt>
              </c:numCache>
            </c:numRef>
          </c:xVal>
          <c:yVal>
            <c:numRef>
              <c:f>'LA TORRE VARIANTE ROZO AP4 M2'!$AJ$94:$AL$94</c:f>
              <c:numCache>
                <c:formatCode>0.000</c:formatCode>
                <c:ptCount val="3"/>
                <c:pt idx="0">
                  <c:v>28.760464488252769</c:v>
                </c:pt>
                <c:pt idx="1">
                  <c:v>19.140845971260855</c:v>
                </c:pt>
                <c:pt idx="2">
                  <c:v>9.5212274542689421</c:v>
                </c:pt>
              </c:numCache>
            </c:numRef>
          </c:yVal>
          <c:smooth val="1"/>
          <c:extLst>
            <c:ext xmlns:c16="http://schemas.microsoft.com/office/drawing/2014/chart" uri="{C3380CC4-5D6E-409C-BE32-E72D297353CC}">
              <c16:uniqueId val="{00000001-58EB-462D-B594-30BFF9A67B9E}"/>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'LA TORRE VARIANTE ROZO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AP4 M2'!$AM$75:$AM$86</c:f>
              <c:numCache>
                <c:formatCode>0.000</c:formatCode>
                <c:ptCount val="12"/>
                <c:pt idx="0">
                  <c:v>0</c:v>
                </c:pt>
                <c:pt idx="1">
                  <c:v>0.25517598343685299</c:v>
                </c:pt>
                <c:pt idx="2">
                  <c:v>0.75983436853002073</c:v>
                </c:pt>
                <c:pt idx="3">
                  <c:v>1.434265010351967</c:v>
                </c:pt>
                <c:pt idx="4">
                  <c:v>1.984472049689441</c:v>
                </c:pt>
                <c:pt idx="5">
                  <c:v>2.5874741200828155</c:v>
                </c:pt>
                <c:pt idx="6">
                  <c:v>3.1288819875776399</c:v>
                </c:pt>
                <c:pt idx="7">
                  <c:v>3.6221532091097308</c:v>
                </c:pt>
                <c:pt idx="8">
                  <c:v>3.9772256728778466</c:v>
                </c:pt>
                <c:pt idx="9">
                  <c:v>5.3975155279503104</c:v>
                </c:pt>
                <c:pt idx="10">
                  <c:v>6.4063146997929614</c:v>
                </c:pt>
                <c:pt idx="11">
                  <c:v>6.9891304347826093</c:v>
                </c:pt>
              </c:numCache>
            </c:numRef>
          </c:yVal>
          <c:smooth val="1"/>
          <c:extLst>
            <c:ext xmlns:c16="http://schemas.microsoft.com/office/drawing/2014/chart" uri="{C3380CC4-5D6E-409C-BE32-E72D297353CC}">
              <c16:uniqueId val="{00000000-818E-4A18-8BC3-1B6F7D6AC1F4}"/>
            </c:ext>
          </c:extLst>
        </c:ser>
        <c:ser>
          <c:idx val="1"/>
          <c:order val="1"/>
          <c:tx>
            <c:v>26 golpes</c:v>
          </c:tx>
          <c:marker>
            <c:symbol val="circle"/>
            <c:size val="3"/>
            <c:spPr>
              <a:solidFill>
                <a:srgbClr val="00B050"/>
              </a:solidFill>
              <a:ln>
                <a:solidFill>
                  <a:srgbClr val="00B050">
                    <a:alpha val="50000"/>
                  </a:srgbClr>
                </a:solidFill>
                <a:prstDash val="solid"/>
              </a:ln>
            </c:spPr>
          </c:marker>
          <c:xVal>
            <c:numRef>
              <c:f>'LA TORRE VARIANTE ROZO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AP4 M2'!$AO$75:$AO$86</c:f>
              <c:numCache>
                <c:formatCode>0.000</c:formatCode>
                <c:ptCount val="12"/>
                <c:pt idx="0">
                  <c:v>0</c:v>
                </c:pt>
                <c:pt idx="1">
                  <c:v>0.16982633213468457</c:v>
                </c:pt>
                <c:pt idx="2">
                  <c:v>0.5056897678980059</c:v>
                </c:pt>
                <c:pt idx="3">
                  <c:v>0.95454110820529581</c:v>
                </c:pt>
                <c:pt idx="4">
                  <c:v>1.320718372016999</c:v>
                </c:pt>
                <c:pt idx="5">
                  <c:v>1.7598343685300204</c:v>
                </c:pt>
                <c:pt idx="6">
                  <c:v>2.1744306418219459</c:v>
                </c:pt>
                <c:pt idx="7">
                  <c:v>2.599896480331263</c:v>
                </c:pt>
                <c:pt idx="8">
                  <c:v>2.822263035634498</c:v>
                </c:pt>
                <c:pt idx="9">
                  <c:v>3.4926562165316062</c:v>
                </c:pt>
                <c:pt idx="10">
                  <c:v>4.1011610361188318</c:v>
                </c:pt>
                <c:pt idx="11">
                  <c:v>4.6031871222722849</c:v>
                </c:pt>
              </c:numCache>
            </c:numRef>
          </c:yVal>
          <c:smooth val="1"/>
          <c:extLst>
            <c:ext xmlns:c16="http://schemas.microsoft.com/office/drawing/2014/chart" uri="{C3380CC4-5D6E-409C-BE32-E72D297353CC}">
              <c16:uniqueId val="{00000001-818E-4A18-8BC3-1B6F7D6AC1F4}"/>
            </c:ext>
          </c:extLst>
        </c:ser>
        <c:ser>
          <c:idx val="2"/>
          <c:order val="2"/>
          <c:tx>
            <c:v>56 golpes</c:v>
          </c:tx>
          <c:marker>
            <c:symbol val="circle"/>
            <c:size val="3"/>
            <c:spPr>
              <a:solidFill>
                <a:srgbClr val="00B050"/>
              </a:solidFill>
              <a:ln>
                <a:solidFill>
                  <a:srgbClr val="00B050">
                    <a:alpha val="50000"/>
                  </a:srgbClr>
                </a:solidFill>
                <a:prstDash val="solid"/>
              </a:ln>
            </c:spPr>
          </c:marker>
          <c:xVal>
            <c:numRef>
              <c:f>'LA TORRE VARIANTE ROZO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'LA TORRE VARIANTE ROZO AP4 M2'!$AQ$75:$AQ$86</c:f>
              <c:numCache>
                <c:formatCode>0.000</c:formatCode>
                <c:ptCount val="12"/>
                <c:pt idx="0">
                  <c:v>0</c:v>
                </c:pt>
                <c:pt idx="1">
                  <c:v>8.4476680832516068E-2</c:v>
                </c:pt>
                <c:pt idx="2">
                  <c:v>0.25154516726599108</c:v>
                </c:pt>
                <c:pt idx="3">
                  <c:v>0.47481720605862476</c:v>
                </c:pt>
                <c:pt idx="4">
                  <c:v>0.65696469434455707</c:v>
                </c:pt>
                <c:pt idx="5">
                  <c:v>0.85659011659583739</c:v>
                </c:pt>
                <c:pt idx="6">
                  <c:v>1.0358246158875448</c:v>
                </c:pt>
                <c:pt idx="7">
                  <c:v>1.1991233518579056</c:v>
                </c:pt>
                <c:pt idx="8">
                  <c:v>1.3166710253895606</c:v>
                </c:pt>
                <c:pt idx="9">
                  <c:v>1.786861719516182</c:v>
                </c:pt>
                <c:pt idx="10">
                  <c:v>2.1208273400893543</c:v>
                </c:pt>
                <c:pt idx="11">
                  <c:v>2.218944099378882</c:v>
                </c:pt>
              </c:numCache>
            </c:numRef>
          </c:yVal>
          <c:smooth val="1"/>
          <c:extLst>
            <c:ext xmlns:c16="http://schemas.microsoft.com/office/drawing/2014/chart" uri="{C3380CC4-5D6E-409C-BE32-E72D297353CC}">
              <c16:uniqueId val="{00000002-818E-4A18-8BC3-1B6F7D6AC1F4}"/>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'LA TORRE VARIANTE ROZO AP4 M2'!$E$34:$H$34</c:f>
              <c:numCache>
                <c:formatCode>0.00</c:formatCode>
                <c:ptCount val="4"/>
                <c:pt idx="0">
                  <c:v>3.0199858333063654</c:v>
                </c:pt>
                <c:pt idx="1">
                  <c:v>6.2899858888474771</c:v>
                </c:pt>
                <c:pt idx="2">
                  <c:v>9.5299896360131857</c:v>
                </c:pt>
                <c:pt idx="3">
                  <c:v>12.19000992329377</c:v>
                </c:pt>
              </c:numCache>
            </c:numRef>
          </c:xVal>
          <c:yVal>
            <c:numRef>
              <c:f>'LA TORRE VARIANTE ROZO AP4 M2'!$E$37:$H$37</c:f>
              <c:numCache>
                <c:formatCode>0.0000</c:formatCode>
                <c:ptCount val="4"/>
                <c:pt idx="0">
                  <c:v>2.0439526224120783</c:v>
                </c:pt>
                <c:pt idx="1">
                  <c:v>2.2193422341337858</c:v>
                </c:pt>
                <c:pt idx="2">
                  <c:v>2.2208486941248822</c:v>
                </c:pt>
                <c:pt idx="3">
                  <c:v>1.96361469023391</c:v>
                </c:pt>
              </c:numCache>
            </c:numRef>
          </c:yVal>
          <c:smooth val="1"/>
          <c:extLst>
            <c:ext xmlns:c16="http://schemas.microsoft.com/office/drawing/2014/chart" uri="{C3380CC4-5D6E-409C-BE32-E72D297353CC}">
              <c16:uniqueId val="{00000000-AF47-4E3C-AE66-BD3DC0CD98A1}"/>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32203971801974463"/>
                  <c:y val="0.20175024326911206"/>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'TARDES CALEÑAS AP1 M2'!$E$34:$H$34</c:f>
              <c:numCache>
                <c:formatCode>0.00</c:formatCode>
                <c:ptCount val="4"/>
                <c:pt idx="0">
                  <c:v>2.0945098604184675</c:v>
                </c:pt>
                <c:pt idx="1">
                  <c:v>3.0448775388561744</c:v>
                </c:pt>
                <c:pt idx="2">
                  <c:v>5.0205609174563781</c:v>
                </c:pt>
                <c:pt idx="3">
                  <c:v>7.0702491701831791</c:v>
                </c:pt>
              </c:numCache>
            </c:numRef>
          </c:xVal>
          <c:yVal>
            <c:numRef>
              <c:f>'TARDES CALEÑAS AP1 M2'!$E$37:$H$37</c:f>
              <c:numCache>
                <c:formatCode>0.0000</c:formatCode>
                <c:ptCount val="4"/>
                <c:pt idx="0">
                  <c:v>2.0510808771260813</c:v>
                </c:pt>
                <c:pt idx="1">
                  <c:v>2.3045461322405352</c:v>
                </c:pt>
                <c:pt idx="2">
                  <c:v>2.3157653833803109</c:v>
                </c:pt>
                <c:pt idx="3">
                  <c:v>2.0744660235910084</c:v>
                </c:pt>
              </c:numCache>
            </c:numRef>
          </c:yVal>
          <c:smooth val="0"/>
          <c:extLst>
            <c:ext xmlns:c16="http://schemas.microsoft.com/office/drawing/2014/chart" uri="{C3380CC4-5D6E-409C-BE32-E72D297353CC}">
              <c16:uniqueId val="{00000001-2D10-436E-BD3E-0018C91F620D}"/>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'TARDES CALEÑAS AP1 M2'!$E$34:$H$34</c:f>
              <c:numCache>
                <c:formatCode>0.00</c:formatCode>
                <c:ptCount val="4"/>
                <c:pt idx="0">
                  <c:v>2.0945098604184675</c:v>
                </c:pt>
                <c:pt idx="1">
                  <c:v>3.0448775388561744</c:v>
                </c:pt>
                <c:pt idx="2">
                  <c:v>5.0205609174563781</c:v>
                </c:pt>
                <c:pt idx="3">
                  <c:v>7.0702491701831791</c:v>
                </c:pt>
              </c:numCache>
            </c:numRef>
          </c:xVal>
          <c:yVal>
            <c:numRef>
              <c:f>'TARDES CALEÑAS AP1 M2'!$G$83:$J$83</c:f>
              <c:numCache>
                <c:formatCode>General</c:formatCode>
                <c:ptCount val="4"/>
                <c:pt idx="0">
                  <c:v>2.5644393036451145</c:v>
                </c:pt>
                <c:pt idx="1">
                  <c:v>2.5034267817946416</c:v>
                </c:pt>
                <c:pt idx="2">
                  <c:v>2.3854432663612366</c:v>
                </c:pt>
                <c:pt idx="3">
                  <c:v>2.2742459431561675</c:v>
                </c:pt>
              </c:numCache>
            </c:numRef>
          </c:yVal>
          <c:smooth val="0"/>
          <c:extLst>
            <c:ext xmlns:c16="http://schemas.microsoft.com/office/drawing/2014/chart" uri="{C3380CC4-5D6E-409C-BE32-E72D297353CC}">
              <c16:uniqueId val="{00000003-2D10-436E-BD3E-0018C91F620D}"/>
            </c:ext>
          </c:extLst>
        </c:ser>
        <c:dLbls>
          <c:showLegendKey val="0"/>
          <c:showVal val="0"/>
          <c:showCatName val="0"/>
          <c:showSerName val="0"/>
          <c:showPercent val="0"/>
          <c:showBubbleSize val="0"/>
        </c:dLbls>
        <c:axId val="862226368"/>
        <c:axId val="862172912"/>
      </c:scatterChart>
      <c:valAx>
        <c:axId val="862226368"/>
        <c:scaling>
          <c:orientation val="minMax"/>
          <c:max val="12"/>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6"/>
          <c:min val="1.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'TARDES CALEÑAS AP1 M2'!$AJ$91:$AL$91</c:f>
              <c:numCache>
                <c:formatCode>0.000</c:formatCode>
                <c:ptCount val="3"/>
                <c:pt idx="0">
                  <c:v>2.3307171340244897</c:v>
                </c:pt>
                <c:pt idx="1">
                  <c:v>2.21</c:v>
                </c:pt>
                <c:pt idx="2">
                  <c:v>2.0859999999999994</c:v>
                </c:pt>
              </c:numCache>
            </c:numRef>
          </c:xVal>
          <c:yVal>
            <c:numRef>
              <c:f>'TARDES CALEÑAS AP1 M2'!$AJ$94:$AL$94</c:f>
              <c:numCache>
                <c:formatCode>0.000</c:formatCode>
                <c:ptCount val="3"/>
                <c:pt idx="0">
                  <c:v>47.296486332403155</c:v>
                </c:pt>
                <c:pt idx="1">
                  <c:v>20.712817014180061</c:v>
                </c:pt>
                <c:pt idx="2">
                  <c:v>11.267772455713956</c:v>
                </c:pt>
              </c:numCache>
            </c:numRef>
          </c:yVal>
          <c:smooth val="1"/>
          <c:extLst>
            <c:ext xmlns:c16="http://schemas.microsoft.com/office/drawing/2014/chart" uri="{C3380CC4-5D6E-409C-BE32-E72D297353CC}">
              <c16:uniqueId val="{00000001-2E9C-48DE-B274-560C3AAFF844}"/>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'TARDES CALEÑAS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AP1 M2'!$AM$75:$AM$86</c:f>
              <c:numCache>
                <c:formatCode>0.000</c:formatCode>
                <c:ptCount val="12"/>
                <c:pt idx="0">
                  <c:v>0</c:v>
                </c:pt>
                <c:pt idx="1">
                  <c:v>0.93064182194616984</c:v>
                </c:pt>
                <c:pt idx="2">
                  <c:v>1.489648033126294</c:v>
                </c:pt>
                <c:pt idx="3">
                  <c:v>2.3887163561076603</c:v>
                </c:pt>
                <c:pt idx="4">
                  <c:v>3.2634575569358177</c:v>
                </c:pt>
                <c:pt idx="5">
                  <c:v>4.4602751895122843</c:v>
                </c:pt>
                <c:pt idx="6">
                  <c:v>5.9514167180815445</c:v>
                </c:pt>
                <c:pt idx="7">
                  <c:v>7.7634035138209088</c:v>
                </c:pt>
                <c:pt idx="8">
                  <c:v>9.2926782913571078</c:v>
                </c:pt>
                <c:pt idx="9">
                  <c:v>14.739158195531601</c:v>
                </c:pt>
                <c:pt idx="10">
                  <c:v>18.026507244405636</c:v>
                </c:pt>
                <c:pt idx="11">
                  <c:v>20.716873706004144</c:v>
                </c:pt>
              </c:numCache>
            </c:numRef>
          </c:yVal>
          <c:smooth val="1"/>
          <c:extLst>
            <c:ext xmlns:c16="http://schemas.microsoft.com/office/drawing/2014/chart" uri="{C3380CC4-5D6E-409C-BE32-E72D297353CC}">
              <c16:uniqueId val="{00000000-9D46-4346-A85B-8FDC2AD5540B}"/>
            </c:ext>
          </c:extLst>
        </c:ser>
        <c:ser>
          <c:idx val="1"/>
          <c:order val="1"/>
          <c:tx>
            <c:v>26 golpes</c:v>
          </c:tx>
          <c:marker>
            <c:symbol val="circle"/>
            <c:size val="3"/>
            <c:spPr>
              <a:solidFill>
                <a:srgbClr val="00B050"/>
              </a:solidFill>
              <a:ln>
                <a:solidFill>
                  <a:srgbClr val="00B050">
                    <a:alpha val="50000"/>
                  </a:srgbClr>
                </a:solidFill>
                <a:prstDash val="solid"/>
              </a:ln>
            </c:spPr>
          </c:marker>
          <c:xVal>
            <c:numRef>
              <c:f>'TARDES CALEÑAS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AP1 M2'!$AO$75:$AO$86</c:f>
              <c:numCache>
                <c:formatCode>0.000</c:formatCode>
                <c:ptCount val="12"/>
                <c:pt idx="0">
                  <c:v>0</c:v>
                </c:pt>
                <c:pt idx="1">
                  <c:v>0.31907213686389885</c:v>
                </c:pt>
                <c:pt idx="2">
                  <c:v>0.71918927754168027</c:v>
                </c:pt>
                <c:pt idx="3">
                  <c:v>1.1346300533943554</c:v>
                </c:pt>
                <c:pt idx="4">
                  <c:v>1.4291843739784245</c:v>
                </c:pt>
                <c:pt idx="5">
                  <c:v>2.1184074316225345</c:v>
                </c:pt>
                <c:pt idx="6">
                  <c:v>2.9622289419200176</c:v>
                </c:pt>
                <c:pt idx="7">
                  <c:v>3.9075269695979076</c:v>
                </c:pt>
                <c:pt idx="8">
                  <c:v>4.705718099596818</c:v>
                </c:pt>
                <c:pt idx="9">
                  <c:v>8.5614852348261898</c:v>
                </c:pt>
                <c:pt idx="10">
                  <c:v>11.319739566307073</c:v>
                </c:pt>
                <c:pt idx="11">
                  <c:v>13.629522175002721</c:v>
                </c:pt>
              </c:numCache>
            </c:numRef>
          </c:yVal>
          <c:smooth val="1"/>
          <c:extLst>
            <c:ext xmlns:c16="http://schemas.microsoft.com/office/drawing/2014/chart" uri="{C3380CC4-5D6E-409C-BE32-E72D297353CC}">
              <c16:uniqueId val="{00000001-9D46-4346-A85B-8FDC2AD5540B}"/>
            </c:ext>
          </c:extLst>
        </c:ser>
        <c:ser>
          <c:idx val="2"/>
          <c:order val="2"/>
          <c:tx>
            <c:v>56 golpes</c:v>
          </c:tx>
          <c:marker>
            <c:symbol val="circle"/>
            <c:size val="3"/>
            <c:spPr>
              <a:solidFill>
                <a:srgbClr val="00B050"/>
              </a:solidFill>
              <a:ln>
                <a:solidFill>
                  <a:srgbClr val="00B050">
                    <a:alpha val="50000"/>
                  </a:srgbClr>
                </a:solidFill>
                <a:prstDash val="solid"/>
              </a:ln>
            </c:spPr>
          </c:marker>
          <c:xVal>
            <c:numRef>
              <c:f>'TARDES CALEÑAS AP1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AP1 M2'!$AQ$75:$AQ$86</c:f>
              <c:numCache>
                <c:formatCode>0.000</c:formatCode>
                <c:ptCount val="12"/>
                <c:pt idx="0">
                  <c:v>0</c:v>
                </c:pt>
                <c:pt idx="1">
                  <c:v>0.17357524245396103</c:v>
                </c:pt>
                <c:pt idx="2">
                  <c:v>0.39123896698267413</c:v>
                </c:pt>
                <c:pt idx="3">
                  <c:v>0.61723874904652942</c:v>
                </c:pt>
                <c:pt idx="4">
                  <c:v>0.777476299444263</c:v>
                </c:pt>
                <c:pt idx="5">
                  <c:v>1.152413642802659</c:v>
                </c:pt>
                <c:pt idx="6">
                  <c:v>1.6114525444044898</c:v>
                </c:pt>
                <c:pt idx="7">
                  <c:v>2.1256946714612619</c:v>
                </c:pt>
                <c:pt idx="8">
                  <c:v>2.5599106461806693</c:v>
                </c:pt>
                <c:pt idx="9">
                  <c:v>4.6574479677454512</c:v>
                </c:pt>
                <c:pt idx="10">
                  <c:v>5.5890269151138714</c:v>
                </c:pt>
                <c:pt idx="11">
                  <c:v>6.3457556935817809</c:v>
                </c:pt>
              </c:numCache>
            </c:numRef>
          </c:yVal>
          <c:smooth val="1"/>
          <c:extLst>
            <c:ext xmlns:c16="http://schemas.microsoft.com/office/drawing/2014/chart" uri="{C3380CC4-5D6E-409C-BE32-E72D297353CC}">
              <c16:uniqueId val="{00000002-9D46-4346-A85B-8FDC2AD5540B}"/>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'TARDES CALEÑAS AP1 M2'!$E$34:$H$34</c:f>
              <c:numCache>
                <c:formatCode>0.00</c:formatCode>
                <c:ptCount val="4"/>
                <c:pt idx="0">
                  <c:v>2.0945098604184675</c:v>
                </c:pt>
                <c:pt idx="1">
                  <c:v>3.0448775388561744</c:v>
                </c:pt>
                <c:pt idx="2">
                  <c:v>5.0205609174563781</c:v>
                </c:pt>
                <c:pt idx="3">
                  <c:v>7.0702491701831791</c:v>
                </c:pt>
              </c:numCache>
            </c:numRef>
          </c:xVal>
          <c:yVal>
            <c:numRef>
              <c:f>'TARDES CALEÑAS AP1 M2'!$E$37:$H$37</c:f>
              <c:numCache>
                <c:formatCode>0.0000</c:formatCode>
                <c:ptCount val="4"/>
                <c:pt idx="0">
                  <c:v>2.0510808771260813</c:v>
                </c:pt>
                <c:pt idx="1">
                  <c:v>2.3045461322405352</c:v>
                </c:pt>
                <c:pt idx="2">
                  <c:v>2.3157653833803109</c:v>
                </c:pt>
                <c:pt idx="3">
                  <c:v>2.0744660235910084</c:v>
                </c:pt>
              </c:numCache>
            </c:numRef>
          </c:yVal>
          <c:smooth val="1"/>
          <c:extLst>
            <c:ext xmlns:c16="http://schemas.microsoft.com/office/drawing/2014/chart" uri="{C3380CC4-5D6E-409C-BE32-E72D297353CC}">
              <c16:uniqueId val="{00000001-9ED6-4C15-9172-FC185003D19A}"/>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7.9579785666403058E-2"/>
                  <c:y val="0.32061558037438886"/>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'TARDES CALEÑAS AP2 M2'!$E$34:$H$34</c:f>
              <c:numCache>
                <c:formatCode>0.00</c:formatCode>
                <c:ptCount val="4"/>
                <c:pt idx="0">
                  <c:v>17.900129160451595</c:v>
                </c:pt>
                <c:pt idx="1">
                  <c:v>21.199998800099689</c:v>
                </c:pt>
                <c:pt idx="2">
                  <c:v>24.399904211969588</c:v>
                </c:pt>
                <c:pt idx="3">
                  <c:v>27.200296857254397</c:v>
                </c:pt>
              </c:numCache>
            </c:numRef>
          </c:xVal>
          <c:yVal>
            <c:numRef>
              <c:f>'TARDES CALEÑAS AP2 M2'!$E$37:$H$37</c:f>
              <c:numCache>
                <c:formatCode>0.0000</c:formatCode>
                <c:ptCount val="4"/>
                <c:pt idx="0">
                  <c:v>1.5162913814740524</c:v>
                </c:pt>
                <c:pt idx="1">
                  <c:v>1.6320000000000001</c:v>
                </c:pt>
                <c:pt idx="2">
                  <c:v>1.6510000000000005</c:v>
                </c:pt>
                <c:pt idx="3">
                  <c:v>1.530599709595442</c:v>
                </c:pt>
              </c:numCache>
            </c:numRef>
          </c:yVal>
          <c:smooth val="0"/>
          <c:extLst>
            <c:ext xmlns:c16="http://schemas.microsoft.com/office/drawing/2014/chart" uri="{C3380CC4-5D6E-409C-BE32-E72D297353CC}">
              <c16:uniqueId val="{00000001-3D17-4F37-BDEB-F2E85174D92B}"/>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'TARDES CALEÑAS AP2 M2'!$E$34:$H$34</c:f>
              <c:numCache>
                <c:formatCode>0.00</c:formatCode>
                <c:ptCount val="4"/>
                <c:pt idx="0">
                  <c:v>17.900129160451595</c:v>
                </c:pt>
                <c:pt idx="1">
                  <c:v>21.199998800099689</c:v>
                </c:pt>
                <c:pt idx="2">
                  <c:v>24.399904211969588</c:v>
                </c:pt>
                <c:pt idx="3">
                  <c:v>27.200296857254397</c:v>
                </c:pt>
              </c:numCache>
            </c:numRef>
          </c:xVal>
          <c:yVal>
            <c:numRef>
              <c:f>'TARDES CALEÑAS AP2 M2'!$G$83:$J$83</c:f>
              <c:numCache>
                <c:formatCode>General</c:formatCode>
                <c:ptCount val="4"/>
                <c:pt idx="0">
                  <c:v>1.843016586198063</c:v>
                </c:pt>
                <c:pt idx="1">
                  <c:v>1.7378512610702566</c:v>
                </c:pt>
                <c:pt idx="2">
                  <c:v>1.6467327120662549</c:v>
                </c:pt>
                <c:pt idx="3">
                  <c:v>1.5744865255953913</c:v>
                </c:pt>
              </c:numCache>
            </c:numRef>
          </c:yVal>
          <c:smooth val="0"/>
          <c:extLst>
            <c:ext xmlns:c16="http://schemas.microsoft.com/office/drawing/2014/chart" uri="{C3380CC4-5D6E-409C-BE32-E72D297353CC}">
              <c16:uniqueId val="{00000003-3D17-4F37-BDEB-F2E85174D92B}"/>
            </c:ext>
          </c:extLst>
        </c:ser>
        <c:dLbls>
          <c:showLegendKey val="0"/>
          <c:showVal val="0"/>
          <c:showCatName val="0"/>
          <c:showSerName val="0"/>
          <c:showPercent val="0"/>
          <c:showBubbleSize val="0"/>
        </c:dLbls>
        <c:axId val="862226368"/>
        <c:axId val="862172912"/>
      </c:scatterChart>
      <c:valAx>
        <c:axId val="862226368"/>
        <c:scaling>
          <c:orientation val="minMax"/>
          <c:max val="30"/>
          <c:min val="1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
          <c:min val="1.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'TARDES CALEÑAS AP2 M2'!$AJ$91:$AL$91</c:f>
              <c:numCache>
                <c:formatCode>0.000</c:formatCode>
                <c:ptCount val="3"/>
                <c:pt idx="0">
                  <c:v>1.6432879781145768</c:v>
                </c:pt>
                <c:pt idx="1">
                  <c:v>1.5235000000000001</c:v>
                </c:pt>
                <c:pt idx="2">
                  <c:v>1.4799999999999989</c:v>
                </c:pt>
              </c:numCache>
            </c:numRef>
          </c:xVal>
          <c:yVal>
            <c:numRef>
              <c:f>'TARDES CALEÑAS AP2 M2'!$AJ$94:$AL$94</c:f>
              <c:numCache>
                <c:formatCode>0.000</c:formatCode>
                <c:ptCount val="3"/>
                <c:pt idx="0">
                  <c:v>6.1511687220571902</c:v>
                </c:pt>
                <c:pt idx="1">
                  <c:v>4.0468215276692048</c:v>
                </c:pt>
                <c:pt idx="2">
                  <c:v>1.2917197688613467</c:v>
                </c:pt>
              </c:numCache>
            </c:numRef>
          </c:yVal>
          <c:smooth val="1"/>
          <c:extLst>
            <c:ext xmlns:c16="http://schemas.microsoft.com/office/drawing/2014/chart" uri="{C3380CC4-5D6E-409C-BE32-E72D297353CC}">
              <c16:uniqueId val="{00000001-B19E-4ACF-A7ED-8CF5D3FDC812}"/>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'TARDES CALEÑAS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AP2 M2'!$AM$75:$AM$86</c:f>
              <c:numCache>
                <c:formatCode>0.000</c:formatCode>
                <c:ptCount val="12"/>
                <c:pt idx="0">
                  <c:v>0</c:v>
                </c:pt>
                <c:pt idx="1">
                  <c:v>9.4720496894409936E-2</c:v>
                </c:pt>
                <c:pt idx="2">
                  <c:v>0.20910973084886128</c:v>
                </c:pt>
                <c:pt idx="3">
                  <c:v>0.32660455486542445</c:v>
                </c:pt>
                <c:pt idx="4">
                  <c:v>0.42443064182194618</c:v>
                </c:pt>
                <c:pt idx="5">
                  <c:v>0.53002070393374745</c:v>
                </c:pt>
                <c:pt idx="6">
                  <c:v>0.65476190476190466</c:v>
                </c:pt>
                <c:pt idx="7">
                  <c:v>0.78105590062111796</c:v>
                </c:pt>
                <c:pt idx="8">
                  <c:v>0.87422360248447206</c:v>
                </c:pt>
                <c:pt idx="9">
                  <c:v>1.2230848861283645</c:v>
                </c:pt>
                <c:pt idx="10">
                  <c:v>1.4953416149068322</c:v>
                </c:pt>
                <c:pt idx="11">
                  <c:v>1.7199792960662523</c:v>
                </c:pt>
              </c:numCache>
            </c:numRef>
          </c:yVal>
          <c:smooth val="1"/>
          <c:extLst>
            <c:ext xmlns:c16="http://schemas.microsoft.com/office/drawing/2014/chart" uri="{C3380CC4-5D6E-409C-BE32-E72D297353CC}">
              <c16:uniqueId val="{00000000-8975-4503-82F0-A13009F414E1}"/>
            </c:ext>
          </c:extLst>
        </c:ser>
        <c:ser>
          <c:idx val="1"/>
          <c:order val="1"/>
          <c:tx>
            <c:v>26 golpes</c:v>
          </c:tx>
          <c:marker>
            <c:symbol val="circle"/>
            <c:size val="3"/>
            <c:spPr>
              <a:solidFill>
                <a:srgbClr val="00B050"/>
              </a:solidFill>
              <a:ln>
                <a:solidFill>
                  <a:srgbClr val="00B050">
                    <a:alpha val="50000"/>
                  </a:srgbClr>
                </a:solidFill>
                <a:prstDash val="solid"/>
              </a:ln>
            </c:spPr>
          </c:marker>
          <c:xVal>
            <c:numRef>
              <c:f>'TARDES CALEÑAS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AP2 M2'!$AO$75:$AO$86</c:f>
              <c:numCache>
                <c:formatCode>0.000</c:formatCode>
                <c:ptCount val="12"/>
                <c:pt idx="0">
                  <c:v>0</c:v>
                </c:pt>
                <c:pt idx="1">
                  <c:v>6.2316116377901278E-2</c:v>
                </c:pt>
                <c:pt idx="2">
                  <c:v>0.13757219134793505</c:v>
                </c:pt>
                <c:pt idx="3">
                  <c:v>0.21487141767462134</c:v>
                </c:pt>
                <c:pt idx="4">
                  <c:v>0.27923068540917512</c:v>
                </c:pt>
                <c:pt idx="5">
                  <c:v>0.3486978315353601</c:v>
                </c:pt>
                <c:pt idx="6">
                  <c:v>0.43076441102756885</c:v>
                </c:pt>
                <c:pt idx="7">
                  <c:v>0.51385256619810393</c:v>
                </c:pt>
                <c:pt idx="8">
                  <c:v>0.56832298136645965</c:v>
                </c:pt>
                <c:pt idx="9">
                  <c:v>0.68530020703933758</c:v>
                </c:pt>
                <c:pt idx="10">
                  <c:v>0.82712215320910976</c:v>
                </c:pt>
                <c:pt idx="11">
                  <c:v>0.91356107660455477</c:v>
                </c:pt>
              </c:numCache>
            </c:numRef>
          </c:yVal>
          <c:smooth val="1"/>
          <c:extLst>
            <c:ext xmlns:c16="http://schemas.microsoft.com/office/drawing/2014/chart" uri="{C3380CC4-5D6E-409C-BE32-E72D297353CC}">
              <c16:uniqueId val="{00000001-8975-4503-82F0-A13009F414E1}"/>
            </c:ext>
          </c:extLst>
        </c:ser>
        <c:ser>
          <c:idx val="2"/>
          <c:order val="2"/>
          <c:tx>
            <c:v>56 golpes</c:v>
          </c:tx>
          <c:marker>
            <c:symbol val="circle"/>
            <c:size val="3"/>
            <c:spPr>
              <a:solidFill>
                <a:srgbClr val="00B050"/>
              </a:solidFill>
              <a:ln>
                <a:solidFill>
                  <a:srgbClr val="00B050">
                    <a:alpha val="50000"/>
                  </a:srgbClr>
                </a:solidFill>
                <a:prstDash val="solid"/>
              </a:ln>
            </c:spPr>
          </c:marker>
          <c:xVal>
            <c:numRef>
              <c:f>'TARDES CALEÑAS AP2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AP2 M2'!$AQ$75:$AQ$86</c:f>
              <c:numCache>
                <c:formatCode>0.000</c:formatCode>
                <c:ptCount val="12"/>
                <c:pt idx="0">
                  <c:v>0</c:v>
                </c:pt>
                <c:pt idx="1">
                  <c:v>5.5087446878064727E-3</c:v>
                </c:pt>
                <c:pt idx="2">
                  <c:v>2.5848725073553451E-2</c:v>
                </c:pt>
                <c:pt idx="3">
                  <c:v>5.7064944971123466E-2</c:v>
                </c:pt>
                <c:pt idx="4">
                  <c:v>8.9128664051432924E-2</c:v>
                </c:pt>
                <c:pt idx="5">
                  <c:v>0.14463986052086739</c:v>
                </c:pt>
                <c:pt idx="6">
                  <c:v>0.17868107769423558</c:v>
                </c:pt>
                <c:pt idx="7">
                  <c:v>0.21314604445897356</c:v>
                </c:pt>
                <c:pt idx="8">
                  <c:v>0.23857101994115726</c:v>
                </c:pt>
                <c:pt idx="9">
                  <c:v>0.33377342813555622</c:v>
                </c:pt>
                <c:pt idx="10">
                  <c:v>0.40807085648904873</c:v>
                </c:pt>
                <c:pt idx="11">
                  <c:v>0.46937329737386951</c:v>
                </c:pt>
              </c:numCache>
            </c:numRef>
          </c:yVal>
          <c:smooth val="1"/>
          <c:extLst>
            <c:ext xmlns:c16="http://schemas.microsoft.com/office/drawing/2014/chart" uri="{C3380CC4-5D6E-409C-BE32-E72D297353CC}">
              <c16:uniqueId val="{00000002-8975-4503-82F0-A13009F414E1}"/>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'TARDES CALEÑAS AP2 M2'!$E$34:$H$34</c:f>
              <c:numCache>
                <c:formatCode>0.00</c:formatCode>
                <c:ptCount val="4"/>
                <c:pt idx="0">
                  <c:v>17.900129160451595</c:v>
                </c:pt>
                <c:pt idx="1">
                  <c:v>21.199998800099689</c:v>
                </c:pt>
                <c:pt idx="2">
                  <c:v>24.399904211969588</c:v>
                </c:pt>
                <c:pt idx="3">
                  <c:v>27.200296857254397</c:v>
                </c:pt>
              </c:numCache>
            </c:numRef>
          </c:xVal>
          <c:yVal>
            <c:numRef>
              <c:f>'TARDES CALEÑAS AP2 M2'!$E$37:$H$37</c:f>
              <c:numCache>
                <c:formatCode>0.0000</c:formatCode>
                <c:ptCount val="4"/>
                <c:pt idx="0">
                  <c:v>1.5162913814740524</c:v>
                </c:pt>
                <c:pt idx="1">
                  <c:v>1.6320000000000001</c:v>
                </c:pt>
                <c:pt idx="2">
                  <c:v>1.6510000000000005</c:v>
                </c:pt>
                <c:pt idx="3">
                  <c:v>1.530599709595442</c:v>
                </c:pt>
              </c:numCache>
            </c:numRef>
          </c:yVal>
          <c:smooth val="1"/>
          <c:extLst>
            <c:ext xmlns:c16="http://schemas.microsoft.com/office/drawing/2014/chart" uri="{C3380CC4-5D6E-409C-BE32-E72D297353CC}">
              <c16:uniqueId val="{00000001-BCB4-4128-8E25-BB5AE8E3BA8B}"/>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majorUnit val="2"/>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7054613397308392E-2"/>
                  <c:y val="0.2559600932454157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'TARDES CALEÑAS AP3 M2'!$E$34:$H$34</c:f>
              <c:numCache>
                <c:formatCode>0.00</c:formatCode>
                <c:ptCount val="4"/>
                <c:pt idx="0">
                  <c:v>13.500173328827772</c:v>
                </c:pt>
                <c:pt idx="1">
                  <c:v>16.700286311966554</c:v>
                </c:pt>
                <c:pt idx="2">
                  <c:v>19.699824919619665</c:v>
                </c:pt>
                <c:pt idx="3">
                  <c:v>22.720005412616313</c:v>
                </c:pt>
              </c:numCache>
            </c:numRef>
          </c:xVal>
          <c:yVal>
            <c:numRef>
              <c:f>'TARDES CALEÑAS AP3 M2'!$E$37:$H$37</c:f>
              <c:numCache>
                <c:formatCode>0.0000</c:formatCode>
                <c:ptCount val="4"/>
                <c:pt idx="0">
                  <c:v>1.3962357368273042</c:v>
                </c:pt>
                <c:pt idx="1">
                  <c:v>1.7097999999999989</c:v>
                </c:pt>
                <c:pt idx="2">
                  <c:v>1.7203000000000019</c:v>
                </c:pt>
                <c:pt idx="3">
                  <c:v>1.4647049822691429</c:v>
                </c:pt>
              </c:numCache>
            </c:numRef>
          </c:yVal>
          <c:smooth val="0"/>
          <c:extLst>
            <c:ext xmlns:c16="http://schemas.microsoft.com/office/drawing/2014/chart" uri="{C3380CC4-5D6E-409C-BE32-E72D297353CC}">
              <c16:uniqueId val="{00000001-2707-4ED7-A0BB-63AEE3DE3341}"/>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'TARDES CALEÑAS AP3 M2'!$E$34:$H$34</c:f>
              <c:numCache>
                <c:formatCode>0.00</c:formatCode>
                <c:ptCount val="4"/>
                <c:pt idx="0">
                  <c:v>13.500173328827772</c:v>
                </c:pt>
                <c:pt idx="1">
                  <c:v>16.700286311966554</c:v>
                </c:pt>
                <c:pt idx="2">
                  <c:v>19.699824919619665</c:v>
                </c:pt>
                <c:pt idx="3">
                  <c:v>22.720005412616313</c:v>
                </c:pt>
              </c:numCache>
            </c:numRef>
          </c:xVal>
          <c:yVal>
            <c:numRef>
              <c:f>'TARDES CALEÑAS AP3 M2'!$G$83:$J$83</c:f>
              <c:numCache>
                <c:formatCode>General</c:formatCode>
                <c:ptCount val="4"/>
                <c:pt idx="0">
                  <c:v>1.9517518211646732</c:v>
                </c:pt>
                <c:pt idx="1">
                  <c:v>1.8370150511775083</c:v>
                </c:pt>
                <c:pt idx="2">
                  <c:v>1.7410782023972913</c:v>
                </c:pt>
                <c:pt idx="3">
                  <c:v>1.6540995223367994</c:v>
                </c:pt>
              </c:numCache>
            </c:numRef>
          </c:yVal>
          <c:smooth val="0"/>
          <c:extLst>
            <c:ext xmlns:c16="http://schemas.microsoft.com/office/drawing/2014/chart" uri="{C3380CC4-5D6E-409C-BE32-E72D297353CC}">
              <c16:uniqueId val="{00000003-2707-4ED7-A0BB-63AEE3DE3341}"/>
            </c:ext>
          </c:extLst>
        </c:ser>
        <c:dLbls>
          <c:showLegendKey val="0"/>
          <c:showVal val="0"/>
          <c:showCatName val="0"/>
          <c:showSerName val="0"/>
          <c:showPercent val="0"/>
          <c:showBubbleSize val="0"/>
        </c:dLbls>
        <c:axId val="862226368"/>
        <c:axId val="862172912"/>
      </c:scatterChart>
      <c:valAx>
        <c:axId val="862226368"/>
        <c:scaling>
          <c:orientation val="minMax"/>
          <c:max val="25"/>
          <c:min val="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2999999999999998"/>
          <c:min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'TARDES CALEÑAS AP3 M2'!$AJ$91:$AL$91</c:f>
              <c:numCache>
                <c:formatCode>0.000</c:formatCode>
                <c:ptCount val="3"/>
                <c:pt idx="0">
                  <c:v>1.7151619550428112</c:v>
                </c:pt>
                <c:pt idx="1">
                  <c:v>1.6287156852579141</c:v>
                </c:pt>
                <c:pt idx="2">
                  <c:v>1.5937999999999999</c:v>
                </c:pt>
              </c:numCache>
            </c:numRef>
          </c:xVal>
          <c:yVal>
            <c:numRef>
              <c:f>'TARDES CALEÑAS AP3 M2'!$AJ$94:$AL$94</c:f>
              <c:numCache>
                <c:formatCode>0.000</c:formatCode>
                <c:ptCount val="3"/>
                <c:pt idx="0">
                  <c:v>5.463274191836506</c:v>
                </c:pt>
                <c:pt idx="1">
                  <c:v>2.8205359018213456</c:v>
                </c:pt>
                <c:pt idx="2">
                  <c:v>1.2624898730758842</c:v>
                </c:pt>
              </c:numCache>
            </c:numRef>
          </c:yVal>
          <c:smooth val="1"/>
          <c:extLst>
            <c:ext xmlns:c16="http://schemas.microsoft.com/office/drawing/2014/chart" uri="{C3380CC4-5D6E-409C-BE32-E72D297353CC}">
              <c16:uniqueId val="{00000001-F56F-4796-B688-25448C710E51}"/>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'TARDES CALEÑAS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AP3 M2'!$AM$75:$AM$86</c:f>
              <c:numCache>
                <c:formatCode>0.000</c:formatCode>
                <c:ptCount val="12"/>
                <c:pt idx="0">
                  <c:v>0</c:v>
                </c:pt>
                <c:pt idx="1">
                  <c:v>5.3830227743271217E-2</c:v>
                </c:pt>
                <c:pt idx="2">
                  <c:v>0.14433645525286998</c:v>
                </c:pt>
                <c:pt idx="3">
                  <c:v>0.27244980756519255</c:v>
                </c:pt>
                <c:pt idx="4">
                  <c:v>0.37696591923671896</c:v>
                </c:pt>
                <c:pt idx="5">
                  <c:v>0.49151085818058371</c:v>
                </c:pt>
                <c:pt idx="6">
                  <c:v>0.59435549864005366</c:v>
                </c:pt>
                <c:pt idx="7">
                  <c:v>0.68805620835121528</c:v>
                </c:pt>
                <c:pt idx="8">
                  <c:v>0.75550498784949105</c:v>
                </c:pt>
                <c:pt idx="9">
                  <c:v>1.0253001058425941</c:v>
                </c:pt>
                <c:pt idx="10">
                  <c:v>1.2169293642130596</c:v>
                </c:pt>
                <c:pt idx="11">
                  <c:v>1.3276397515527951</c:v>
                </c:pt>
              </c:numCache>
            </c:numRef>
          </c:yVal>
          <c:smooth val="1"/>
          <c:extLst>
            <c:ext xmlns:c16="http://schemas.microsoft.com/office/drawing/2014/chart" uri="{C3380CC4-5D6E-409C-BE32-E72D297353CC}">
              <c16:uniqueId val="{00000000-7505-480A-9BB3-106535CCB27C}"/>
            </c:ext>
          </c:extLst>
        </c:ser>
        <c:ser>
          <c:idx val="1"/>
          <c:order val="1"/>
          <c:tx>
            <c:v>26 golpes</c:v>
          </c:tx>
          <c:marker>
            <c:symbol val="circle"/>
            <c:size val="3"/>
            <c:spPr>
              <a:solidFill>
                <a:srgbClr val="00B050"/>
              </a:solidFill>
              <a:ln>
                <a:solidFill>
                  <a:srgbClr val="00B050">
                    <a:alpha val="50000"/>
                  </a:srgbClr>
                </a:solidFill>
                <a:prstDash val="solid"/>
              </a:ln>
            </c:spPr>
          </c:marker>
          <c:xVal>
            <c:numRef>
              <c:f>'TARDES CALEÑAS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AP3 M2'!$AO$75:$AO$86</c:f>
              <c:numCache>
                <c:formatCode>0.000</c:formatCode>
                <c:ptCount val="12"/>
                <c:pt idx="0">
                  <c:v>0</c:v>
                </c:pt>
                <c:pt idx="1">
                  <c:v>4.8654244306418216E-2</c:v>
                </c:pt>
                <c:pt idx="2">
                  <c:v>9.6273291925465826E-2</c:v>
                </c:pt>
                <c:pt idx="3">
                  <c:v>0.14233954451345757</c:v>
                </c:pt>
                <c:pt idx="4">
                  <c:v>0.19461697722567287</c:v>
                </c:pt>
                <c:pt idx="5">
                  <c:v>0.2308488612836439</c:v>
                </c:pt>
                <c:pt idx="6">
                  <c:v>0.27071755475645631</c:v>
                </c:pt>
                <c:pt idx="7">
                  <c:v>0.32383949002942136</c:v>
                </c:pt>
                <c:pt idx="8">
                  <c:v>0.36912934510188511</c:v>
                </c:pt>
                <c:pt idx="9">
                  <c:v>0.56152609785332896</c:v>
                </c:pt>
                <c:pt idx="10">
                  <c:v>0.72565925683774635</c:v>
                </c:pt>
                <c:pt idx="11">
                  <c:v>0.87344720496894412</c:v>
                </c:pt>
              </c:numCache>
            </c:numRef>
          </c:yVal>
          <c:smooth val="1"/>
          <c:extLst>
            <c:ext xmlns:c16="http://schemas.microsoft.com/office/drawing/2014/chart" uri="{C3380CC4-5D6E-409C-BE32-E72D297353CC}">
              <c16:uniqueId val="{00000001-7505-480A-9BB3-106535CCB27C}"/>
            </c:ext>
          </c:extLst>
        </c:ser>
        <c:ser>
          <c:idx val="2"/>
          <c:order val="2"/>
          <c:tx>
            <c:v>56 golpes</c:v>
          </c:tx>
          <c:marker>
            <c:symbol val="circle"/>
            <c:size val="3"/>
            <c:spPr>
              <a:solidFill>
                <a:srgbClr val="00B050"/>
              </a:solidFill>
              <a:ln>
                <a:solidFill>
                  <a:srgbClr val="00B050">
                    <a:alpha val="50000"/>
                  </a:srgbClr>
                </a:solidFill>
                <a:prstDash val="solid"/>
              </a:ln>
            </c:spPr>
          </c:marker>
          <c:xVal>
            <c:numRef>
              <c:f>'TARDES CALEÑAS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AP3 M2'!$AQ$75:$AQ$86</c:f>
              <c:numCache>
                <c:formatCode>0.000</c:formatCode>
                <c:ptCount val="12"/>
                <c:pt idx="0">
                  <c:v>0</c:v>
                </c:pt>
                <c:pt idx="1">
                  <c:v>2.5165631469979292E-2</c:v>
                </c:pt>
                <c:pt idx="2">
                  <c:v>4.6107660455486546E-2</c:v>
                </c:pt>
                <c:pt idx="3">
                  <c:v>6.7225672877846782E-2</c:v>
                </c:pt>
                <c:pt idx="4">
                  <c:v>8.7111801242236025E-2</c:v>
                </c:pt>
                <c:pt idx="5">
                  <c:v>0.11139751552795032</c:v>
                </c:pt>
                <c:pt idx="6">
                  <c:v>0.13990683229813664</c:v>
                </c:pt>
                <c:pt idx="7">
                  <c:v>0.16736024844720498</c:v>
                </c:pt>
                <c:pt idx="8">
                  <c:v>0.19076604554865428</c:v>
                </c:pt>
                <c:pt idx="9">
                  <c:v>0.25776397515527949</c:v>
                </c:pt>
                <c:pt idx="10">
                  <c:v>0.32867494824016563</c:v>
                </c:pt>
                <c:pt idx="11">
                  <c:v>0.37525879917184263</c:v>
                </c:pt>
              </c:numCache>
            </c:numRef>
          </c:yVal>
          <c:smooth val="1"/>
          <c:extLst>
            <c:ext xmlns:c16="http://schemas.microsoft.com/office/drawing/2014/chart" uri="{C3380CC4-5D6E-409C-BE32-E72D297353CC}">
              <c16:uniqueId val="{00000002-7505-480A-9BB3-106535CCB27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'TARDES CALEÑAS AP3 M2'!$E$34:$H$34</c:f>
              <c:numCache>
                <c:formatCode>0.00</c:formatCode>
                <c:ptCount val="4"/>
                <c:pt idx="0">
                  <c:v>13.500173328827772</c:v>
                </c:pt>
                <c:pt idx="1">
                  <c:v>16.700286311966554</c:v>
                </c:pt>
                <c:pt idx="2">
                  <c:v>19.699824919619665</c:v>
                </c:pt>
                <c:pt idx="3">
                  <c:v>22.720005412616313</c:v>
                </c:pt>
              </c:numCache>
            </c:numRef>
          </c:xVal>
          <c:yVal>
            <c:numRef>
              <c:f>'TARDES CALEÑAS AP3 M2'!$E$37:$H$37</c:f>
              <c:numCache>
                <c:formatCode>0.0000</c:formatCode>
                <c:ptCount val="4"/>
                <c:pt idx="0">
                  <c:v>1.3962357368273042</c:v>
                </c:pt>
                <c:pt idx="1">
                  <c:v>1.7097999999999989</c:v>
                </c:pt>
                <c:pt idx="2">
                  <c:v>1.7203000000000019</c:v>
                </c:pt>
                <c:pt idx="3">
                  <c:v>1.4647049822691429</c:v>
                </c:pt>
              </c:numCache>
            </c:numRef>
          </c:yVal>
          <c:smooth val="1"/>
          <c:extLst>
            <c:ext xmlns:c16="http://schemas.microsoft.com/office/drawing/2014/chart" uri="{C3380CC4-5D6E-409C-BE32-E72D297353CC}">
              <c16:uniqueId val="{00000001-6DE1-4CD3-B11F-A0373A173865}"/>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7054613397308392E-2"/>
                  <c:y val="0.2559600932454157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'TARDES CALEÑAS AP4 M1'!$E$34:$H$34</c:f>
              <c:numCache>
                <c:formatCode>0.00</c:formatCode>
                <c:ptCount val="4"/>
                <c:pt idx="0">
                  <c:v>2.9506458509278839</c:v>
                </c:pt>
                <c:pt idx="1">
                  <c:v>5.8700189201936945</c:v>
                </c:pt>
                <c:pt idx="2">
                  <c:v>8.8700130625599591</c:v>
                </c:pt>
                <c:pt idx="3">
                  <c:v>12.169997075335285</c:v>
                </c:pt>
              </c:numCache>
            </c:numRef>
          </c:xVal>
          <c:yVal>
            <c:numRef>
              <c:f>'TARDES CALEÑAS AP4 M1'!$E$37:$H$37</c:f>
              <c:numCache>
                <c:formatCode>0.0000</c:formatCode>
                <c:ptCount val="4"/>
                <c:pt idx="0">
                  <c:v>1.9680019943096554</c:v>
                </c:pt>
                <c:pt idx="1">
                  <c:v>2.203080965155082</c:v>
                </c:pt>
                <c:pt idx="2">
                  <c:v>2.2142134985824367</c:v>
                </c:pt>
                <c:pt idx="3">
                  <c:v>1.8838624825860508</c:v>
                </c:pt>
              </c:numCache>
            </c:numRef>
          </c:yVal>
          <c:smooth val="0"/>
          <c:extLst>
            <c:ext xmlns:c16="http://schemas.microsoft.com/office/drawing/2014/chart" uri="{C3380CC4-5D6E-409C-BE32-E72D297353CC}">
              <c16:uniqueId val="{00000001-75BD-4366-98E4-458F25E5D182}"/>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'TARDES CALEÑAS AP4 M1'!$E$34:$H$34</c:f>
              <c:numCache>
                <c:formatCode>0.00</c:formatCode>
                <c:ptCount val="4"/>
                <c:pt idx="0">
                  <c:v>2.9506458509278839</c:v>
                </c:pt>
                <c:pt idx="1">
                  <c:v>5.8700189201936945</c:v>
                </c:pt>
                <c:pt idx="2">
                  <c:v>8.8700130625599591</c:v>
                </c:pt>
                <c:pt idx="3">
                  <c:v>12.169997075335285</c:v>
                </c:pt>
              </c:numCache>
            </c:numRef>
          </c:xVal>
          <c:yVal>
            <c:numRef>
              <c:f>'TARDES CALEÑAS AP4 M1'!$G$83:$J$83</c:f>
              <c:numCache>
                <c:formatCode>General</c:formatCode>
                <c:ptCount val="4"/>
                <c:pt idx="0">
                  <c:v>2.5682763855399937</c:v>
                </c:pt>
                <c:pt idx="1">
                  <c:v>2.3924160522295055</c:v>
                </c:pt>
                <c:pt idx="2">
                  <c:v>2.2351403133024088</c:v>
                </c:pt>
                <c:pt idx="3">
                  <c:v>2.0844103230420155</c:v>
                </c:pt>
              </c:numCache>
            </c:numRef>
          </c:yVal>
          <c:smooth val="0"/>
          <c:extLst>
            <c:ext xmlns:c16="http://schemas.microsoft.com/office/drawing/2014/chart" uri="{C3380CC4-5D6E-409C-BE32-E72D297353CC}">
              <c16:uniqueId val="{00000003-75BD-4366-98E4-458F25E5D182}"/>
            </c:ext>
          </c:extLst>
        </c:ser>
        <c:dLbls>
          <c:showLegendKey val="0"/>
          <c:showVal val="0"/>
          <c:showCatName val="0"/>
          <c:showSerName val="0"/>
          <c:showPercent val="0"/>
          <c:showBubbleSize val="0"/>
        </c:dLbls>
        <c:axId val="862226368"/>
        <c:axId val="862172912"/>
      </c:scatterChart>
      <c:valAx>
        <c:axId val="862226368"/>
        <c:scaling>
          <c:orientation val="minMax"/>
          <c:max val="15"/>
          <c:min val="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5"/>
          <c:min val="1.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'TARDES CALEÑAS AP4 M1'!$AJ$91:$AL$91</c:f>
              <c:numCache>
                <c:formatCode>0.000</c:formatCode>
                <c:ptCount val="3"/>
                <c:pt idx="0">
                  <c:v>2.2064714409725554</c:v>
                </c:pt>
                <c:pt idx="1">
                  <c:v>2.0605310089637983</c:v>
                </c:pt>
                <c:pt idx="2">
                  <c:v>1.8788779312026982</c:v>
                </c:pt>
              </c:numCache>
            </c:numRef>
          </c:xVal>
          <c:yVal>
            <c:numRef>
              <c:f>'TARDES CALEÑAS AP4 M1'!$AJ$94:$AL$94</c:f>
              <c:numCache>
                <c:formatCode>0.000</c:formatCode>
                <c:ptCount val="3"/>
                <c:pt idx="0">
                  <c:v>88.974405136976031</c:v>
                </c:pt>
                <c:pt idx="1">
                  <c:v>57.678458907192365</c:v>
                </c:pt>
                <c:pt idx="2">
                  <c:v>29.877802053932601</c:v>
                </c:pt>
              </c:numCache>
            </c:numRef>
          </c:yVal>
          <c:smooth val="1"/>
          <c:extLst>
            <c:ext xmlns:c16="http://schemas.microsoft.com/office/drawing/2014/chart" uri="{C3380CC4-5D6E-409C-BE32-E72D297353CC}">
              <c16:uniqueId val="{00000001-E026-47F5-AD29-8BB2E8BBB1F2}"/>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'TARDES CALEÑAS AP4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AP4 M1'!$AM$75:$AM$86</c:f>
              <c:numCache>
                <c:formatCode>0.000</c:formatCode>
                <c:ptCount val="12"/>
                <c:pt idx="0">
                  <c:v>0</c:v>
                </c:pt>
                <c:pt idx="1">
                  <c:v>1.1682194616977226</c:v>
                </c:pt>
                <c:pt idx="2">
                  <c:v>3.1293995859213251</c:v>
                </c:pt>
                <c:pt idx="3">
                  <c:v>4.5377846790890262</c:v>
                </c:pt>
                <c:pt idx="4">
                  <c:v>6.1392339544513463</c:v>
                </c:pt>
                <c:pt idx="5">
                  <c:v>7.8618012422360248</c:v>
                </c:pt>
                <c:pt idx="6">
                  <c:v>9.5740165631469978</c:v>
                </c:pt>
                <c:pt idx="7">
                  <c:v>10.865942028985508</c:v>
                </c:pt>
                <c:pt idx="8">
                  <c:v>11.952380952380953</c:v>
                </c:pt>
                <c:pt idx="9">
                  <c:v>16.397515527950311</c:v>
                </c:pt>
                <c:pt idx="10">
                  <c:v>19.844720496894411</c:v>
                </c:pt>
                <c:pt idx="11">
                  <c:v>22.364389233954451</c:v>
                </c:pt>
              </c:numCache>
            </c:numRef>
          </c:yVal>
          <c:smooth val="1"/>
          <c:extLst>
            <c:ext xmlns:c16="http://schemas.microsoft.com/office/drawing/2014/chart" uri="{C3380CC4-5D6E-409C-BE32-E72D297353CC}">
              <c16:uniqueId val="{00000000-5418-4FC1-858D-04B2F08D0CCC}"/>
            </c:ext>
          </c:extLst>
        </c:ser>
        <c:ser>
          <c:idx val="1"/>
          <c:order val="1"/>
          <c:tx>
            <c:v>26 golpes</c:v>
          </c:tx>
          <c:marker>
            <c:symbol val="circle"/>
            <c:size val="3"/>
            <c:spPr>
              <a:solidFill>
                <a:srgbClr val="00B050"/>
              </a:solidFill>
              <a:ln>
                <a:solidFill>
                  <a:srgbClr val="00B050">
                    <a:alpha val="50000"/>
                  </a:srgbClr>
                </a:solidFill>
                <a:prstDash val="solid"/>
              </a:ln>
            </c:spPr>
          </c:marker>
          <c:xVal>
            <c:numRef>
              <c:f>'TARDES CALEÑAS AP4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AP4 M1'!$AO$75:$AO$86</c:f>
              <c:numCache>
                <c:formatCode>0.000</c:formatCode>
                <c:ptCount val="12"/>
                <c:pt idx="0">
                  <c:v>0</c:v>
                </c:pt>
                <c:pt idx="1">
                  <c:v>0.50621118012422361</c:v>
                </c:pt>
                <c:pt idx="2">
                  <c:v>1.6335403726708075</c:v>
                </c:pt>
                <c:pt idx="3">
                  <c:v>2.8286749482401659</c:v>
                </c:pt>
                <c:pt idx="4">
                  <c:v>3.9798136645962732</c:v>
                </c:pt>
                <c:pt idx="5">
                  <c:v>5.1722376593658055</c:v>
                </c:pt>
                <c:pt idx="6">
                  <c:v>6.2986951073335504</c:v>
                </c:pt>
                <c:pt idx="7">
                  <c:v>7.1486460717009912</c:v>
                </c:pt>
                <c:pt idx="8">
                  <c:v>7.8634085213032581</c:v>
                </c:pt>
                <c:pt idx="9">
                  <c:v>9.5569358178053818</c:v>
                </c:pt>
                <c:pt idx="10">
                  <c:v>10.756728778467908</c:v>
                </c:pt>
                <c:pt idx="11">
                  <c:v>11.628002070393375</c:v>
                </c:pt>
              </c:numCache>
            </c:numRef>
          </c:yVal>
          <c:smooth val="1"/>
          <c:extLst>
            <c:ext xmlns:c16="http://schemas.microsoft.com/office/drawing/2014/chart" uri="{C3380CC4-5D6E-409C-BE32-E72D297353CC}">
              <c16:uniqueId val="{00000001-5418-4FC1-858D-04B2F08D0CCC}"/>
            </c:ext>
          </c:extLst>
        </c:ser>
        <c:ser>
          <c:idx val="2"/>
          <c:order val="2"/>
          <c:tx>
            <c:v>56 golpes</c:v>
          </c:tx>
          <c:marker>
            <c:symbol val="circle"/>
            <c:size val="3"/>
            <c:spPr>
              <a:solidFill>
                <a:srgbClr val="00B050"/>
              </a:solidFill>
              <a:ln>
                <a:solidFill>
                  <a:srgbClr val="00B050">
                    <a:alpha val="50000"/>
                  </a:srgbClr>
                </a:solidFill>
                <a:prstDash val="solid"/>
              </a:ln>
            </c:spPr>
          </c:marker>
          <c:xVal>
            <c:numRef>
              <c:f>'TARDES CALEÑAS AP4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'TARDES CALEÑAS AP4 M1'!$AQ$75:$AQ$86</c:f>
              <c:numCache>
                <c:formatCode>0.000</c:formatCode>
                <c:ptCount val="12"/>
                <c:pt idx="0">
                  <c:v>0</c:v>
                </c:pt>
                <c:pt idx="1">
                  <c:v>0.27190141869170931</c:v>
                </c:pt>
                <c:pt idx="2">
                  <c:v>0.96638646643369097</c:v>
                </c:pt>
                <c:pt idx="3">
                  <c:v>1.6655014144939528</c:v>
                </c:pt>
                <c:pt idx="4">
                  <c:v>2.0615683417213497</c:v>
                </c:pt>
                <c:pt idx="5">
                  <c:v>2.3776642634511851</c:v>
                </c:pt>
                <c:pt idx="6">
                  <c:v>2.6794495841972465</c:v>
                </c:pt>
                <c:pt idx="7">
                  <c:v>2.973658704422486</c:v>
                </c:pt>
                <c:pt idx="8">
                  <c:v>3.2480855232878025</c:v>
                </c:pt>
                <c:pt idx="9">
                  <c:v>4.2186809900108386</c:v>
                </c:pt>
                <c:pt idx="10">
                  <c:v>5.0537466474169541</c:v>
                </c:pt>
                <c:pt idx="11">
                  <c:v>5.7070393374741197</c:v>
                </c:pt>
              </c:numCache>
            </c:numRef>
          </c:yVal>
          <c:smooth val="1"/>
          <c:extLst>
            <c:ext xmlns:c16="http://schemas.microsoft.com/office/drawing/2014/chart" uri="{C3380CC4-5D6E-409C-BE32-E72D297353CC}">
              <c16:uniqueId val="{00000002-5418-4FC1-858D-04B2F08D0CC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'TARDES CALEÑAS AP4 M1'!$E$34:$H$34</c:f>
              <c:numCache>
                <c:formatCode>0.00</c:formatCode>
                <c:ptCount val="4"/>
                <c:pt idx="0">
                  <c:v>2.9506458509278839</c:v>
                </c:pt>
                <c:pt idx="1">
                  <c:v>5.8700189201936945</c:v>
                </c:pt>
                <c:pt idx="2">
                  <c:v>8.8700130625599591</c:v>
                </c:pt>
                <c:pt idx="3">
                  <c:v>12.169997075335285</c:v>
                </c:pt>
              </c:numCache>
            </c:numRef>
          </c:xVal>
          <c:yVal>
            <c:numRef>
              <c:f>'TARDES CALEÑAS AP4 M1'!$E$37:$H$37</c:f>
              <c:numCache>
                <c:formatCode>0.0000</c:formatCode>
                <c:ptCount val="4"/>
                <c:pt idx="0">
                  <c:v>1.9680019943096554</c:v>
                </c:pt>
                <c:pt idx="1">
                  <c:v>2.203080965155082</c:v>
                </c:pt>
                <c:pt idx="2">
                  <c:v>2.2142134985824367</c:v>
                </c:pt>
                <c:pt idx="3">
                  <c:v>1.8838624825860508</c:v>
                </c:pt>
              </c:numCache>
            </c:numRef>
          </c:yVal>
          <c:smooth val="1"/>
          <c:extLst>
            <c:ext xmlns:c16="http://schemas.microsoft.com/office/drawing/2014/chart" uri="{C3380CC4-5D6E-409C-BE32-E72D297353CC}">
              <c16:uniqueId val="{00000001-3A02-45E5-9752-0326A070CBD3}"/>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0.1409803434418046"/>
                  <c:y val="0.1219005590211355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'UNI VALLE AP1  (2)'!$E$34:$H$34</c:f>
              <c:numCache>
                <c:formatCode>0.00</c:formatCode>
                <c:ptCount val="4"/>
                <c:pt idx="0">
                  <c:v>14.979983225490997</c:v>
                </c:pt>
                <c:pt idx="1">
                  <c:v>17.679995120978013</c:v>
                </c:pt>
                <c:pt idx="2">
                  <c:v>20.979995539932599</c:v>
                </c:pt>
                <c:pt idx="3">
                  <c:v>22.479996860688033</c:v>
                </c:pt>
              </c:numCache>
            </c:numRef>
          </c:xVal>
          <c:yVal>
            <c:numRef>
              <c:f>'UNI VALLE AP1  (2)'!$E$37:$H$37</c:f>
              <c:numCache>
                <c:formatCode>0.0000</c:formatCode>
                <c:ptCount val="4"/>
                <c:pt idx="0">
                  <c:v>1.4580000000000009</c:v>
                </c:pt>
                <c:pt idx="1">
                  <c:v>1.7603000000000004</c:v>
                </c:pt>
                <c:pt idx="2">
                  <c:v>1.7735000000000005</c:v>
                </c:pt>
                <c:pt idx="3">
                  <c:v>1.5380000000000003</c:v>
                </c:pt>
              </c:numCache>
            </c:numRef>
          </c:yVal>
          <c:smooth val="0"/>
          <c:extLst>
            <c:ext xmlns:c16="http://schemas.microsoft.com/office/drawing/2014/chart" uri="{C3380CC4-5D6E-409C-BE32-E72D297353CC}">
              <c16:uniqueId val="{00000001-9625-4295-9777-2FB71EEEB15D}"/>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'UNI VALLE AP1  (2)'!$E$34:$H$34</c:f>
              <c:numCache>
                <c:formatCode>0.00</c:formatCode>
                <c:ptCount val="4"/>
                <c:pt idx="0">
                  <c:v>14.979983225490997</c:v>
                </c:pt>
                <c:pt idx="1">
                  <c:v>17.679995120978013</c:v>
                </c:pt>
                <c:pt idx="2">
                  <c:v>20.979995539932599</c:v>
                </c:pt>
                <c:pt idx="3">
                  <c:v>22.479996860688033</c:v>
                </c:pt>
              </c:numCache>
            </c:numRef>
          </c:xVal>
          <c:yVal>
            <c:numRef>
              <c:f>'UNI VALLE AP1  (2)'!$G$83:$J$83</c:f>
              <c:numCache>
                <c:formatCode>General</c:formatCode>
                <c:ptCount val="4"/>
                <c:pt idx="0">
                  <c:v>1.9873174855403632</c:v>
                </c:pt>
                <c:pt idx="1">
                  <c:v>1.8870642835840254</c:v>
                </c:pt>
                <c:pt idx="2">
                  <c:v>1.7774714990085616</c:v>
                </c:pt>
                <c:pt idx="3">
                  <c:v>1.7317563948685879</c:v>
                </c:pt>
              </c:numCache>
            </c:numRef>
          </c:yVal>
          <c:smooth val="0"/>
          <c:extLst>
            <c:ext xmlns:c16="http://schemas.microsoft.com/office/drawing/2014/chart" uri="{C3380CC4-5D6E-409C-BE32-E72D297353CC}">
              <c16:uniqueId val="{00000003-9625-4295-9777-2FB71EEEB15D}"/>
            </c:ext>
          </c:extLst>
        </c:ser>
        <c:dLbls>
          <c:showLegendKey val="0"/>
          <c:showVal val="0"/>
          <c:showCatName val="0"/>
          <c:showSerName val="0"/>
          <c:showPercent val="0"/>
          <c:showBubbleSize val="0"/>
        </c:dLbls>
        <c:axId val="862226368"/>
        <c:axId val="862172912"/>
      </c:scatterChart>
      <c:valAx>
        <c:axId val="862226368"/>
        <c:scaling>
          <c:orientation val="minMax"/>
          <c:max val="25"/>
          <c:min val="1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majorUnit val="1"/>
      </c:valAx>
      <c:valAx>
        <c:axId val="862172912"/>
        <c:scaling>
          <c:orientation val="minMax"/>
          <c:max val="2"/>
          <c:min val="1.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'UNI VALLE AP1  (2)'!$AJ$91:$AL$91</c:f>
              <c:numCache>
                <c:formatCode>0.000</c:formatCode>
                <c:ptCount val="3"/>
                <c:pt idx="0">
                  <c:v>1.7940000000000005</c:v>
                </c:pt>
                <c:pt idx="1">
                  <c:v>1.6254000000000013</c:v>
                </c:pt>
                <c:pt idx="2">
                  <c:v>1.4692139649286298</c:v>
                </c:pt>
              </c:numCache>
            </c:numRef>
          </c:xVal>
          <c:yVal>
            <c:numRef>
              <c:f>'UNI VALLE AP1  (2)'!$AJ$94:$AL$94</c:f>
              <c:numCache>
                <c:formatCode>0.000</c:formatCode>
                <c:ptCount val="3"/>
                <c:pt idx="0">
                  <c:v>3.3906442224022566</c:v>
                </c:pt>
                <c:pt idx="1">
                  <c:v>2.2306869884225367</c:v>
                </c:pt>
                <c:pt idx="2">
                  <c:v>1.5168671521273251</c:v>
                </c:pt>
              </c:numCache>
            </c:numRef>
          </c:yVal>
          <c:smooth val="1"/>
          <c:extLst>
            <c:ext xmlns:c16="http://schemas.microsoft.com/office/drawing/2014/chart" uri="{C3380CC4-5D6E-409C-BE32-E72D297353CC}">
              <c16:uniqueId val="{00000001-22FE-4105-9C31-4A61FD1DE4EA}"/>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'UNI VALLE AP1  (2)'!$AJ$75:$AJ$86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 VALLE AP1  (2)'!$AM$75:$AM$86</c:f>
              <c:numCache>
                <c:formatCode>0.000</c:formatCode>
                <c:ptCount val="12"/>
                <c:pt idx="0">
                  <c:v>0</c:v>
                </c:pt>
                <c:pt idx="1">
                  <c:v>6.2111801242236017E-2</c:v>
                </c:pt>
                <c:pt idx="2">
                  <c:v>0.11697722567287785</c:v>
                </c:pt>
                <c:pt idx="3">
                  <c:v>0.17805383022774324</c:v>
                </c:pt>
                <c:pt idx="4">
                  <c:v>0.23395445134575571</c:v>
                </c:pt>
                <c:pt idx="5">
                  <c:v>0.28674948240165632</c:v>
                </c:pt>
                <c:pt idx="6">
                  <c:v>0.3457556935817806</c:v>
                </c:pt>
                <c:pt idx="7">
                  <c:v>0.40631469979296064</c:v>
                </c:pt>
                <c:pt idx="8">
                  <c:v>0.45859213250517594</c:v>
                </c:pt>
                <c:pt idx="9">
                  <c:v>0.63198757763975155</c:v>
                </c:pt>
                <c:pt idx="10">
                  <c:v>0.78985507246376818</c:v>
                </c:pt>
                <c:pt idx="11">
                  <c:v>0.93322981366459623</c:v>
                </c:pt>
              </c:numCache>
            </c:numRef>
          </c:yVal>
          <c:smooth val="1"/>
          <c:extLst>
            <c:ext xmlns:c16="http://schemas.microsoft.com/office/drawing/2014/chart" uri="{C3380CC4-5D6E-409C-BE32-E72D297353CC}">
              <c16:uniqueId val="{00000000-92FC-46BD-86EA-5A3684D7B0FC}"/>
            </c:ext>
          </c:extLst>
        </c:ser>
        <c:ser>
          <c:idx val="1"/>
          <c:order val="1"/>
          <c:tx>
            <c:v>26 golpes</c:v>
          </c:tx>
          <c:marker>
            <c:symbol val="circle"/>
            <c:size val="3"/>
            <c:spPr>
              <a:solidFill>
                <a:srgbClr val="00B050"/>
              </a:solidFill>
              <a:ln>
                <a:solidFill>
                  <a:srgbClr val="00B050">
                    <a:alpha val="50000"/>
                  </a:srgbClr>
                </a:solidFill>
                <a:prstDash val="solid"/>
              </a:ln>
            </c:spPr>
          </c:marker>
          <c:xVal>
            <c:numRef>
              <c:f>'UNI VALLE AP1  (2)'!$AJ$75:$AJ$86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 VALLE AP1  (2)'!$AO$75:$AO$86</c:f>
              <c:numCache>
                <c:formatCode>0.000</c:formatCode>
                <c:ptCount val="12"/>
                <c:pt idx="0">
                  <c:v>0</c:v>
                </c:pt>
                <c:pt idx="1">
                  <c:v>4.0863027133050012E-2</c:v>
                </c:pt>
                <c:pt idx="2">
                  <c:v>7.6958701100577523E-2</c:v>
                </c:pt>
                <c:pt idx="3">
                  <c:v>0.11714067778141003</c:v>
                </c:pt>
                <c:pt idx="4">
                  <c:v>0.15391740220115505</c:v>
                </c:pt>
                <c:pt idx="5">
                  <c:v>0.18865097526424759</c:v>
                </c:pt>
                <c:pt idx="6">
                  <c:v>0.2274708510406451</c:v>
                </c:pt>
                <c:pt idx="7">
                  <c:v>0.26731230249536886</c:v>
                </c:pt>
                <c:pt idx="8">
                  <c:v>0.30170535033235257</c:v>
                </c:pt>
                <c:pt idx="9">
                  <c:v>0.41578130107878392</c:v>
                </c:pt>
                <c:pt idx="10">
                  <c:v>0.51964149504195278</c:v>
                </c:pt>
                <c:pt idx="11">
                  <c:v>0.61396698267407657</c:v>
                </c:pt>
              </c:numCache>
            </c:numRef>
          </c:yVal>
          <c:smooth val="1"/>
          <c:extLst>
            <c:ext xmlns:c16="http://schemas.microsoft.com/office/drawing/2014/chart" uri="{C3380CC4-5D6E-409C-BE32-E72D297353CC}">
              <c16:uniqueId val="{00000001-92FC-46BD-86EA-5A3684D7B0FC}"/>
            </c:ext>
          </c:extLst>
        </c:ser>
        <c:ser>
          <c:idx val="2"/>
          <c:order val="2"/>
          <c:tx>
            <c:v>56 golpes</c:v>
          </c:tx>
          <c:marker>
            <c:symbol val="circle"/>
            <c:size val="3"/>
            <c:spPr>
              <a:solidFill>
                <a:srgbClr val="00B050"/>
              </a:solidFill>
              <a:ln>
                <a:solidFill>
                  <a:srgbClr val="00B050">
                    <a:alpha val="50000"/>
                  </a:srgbClr>
                </a:solidFill>
                <a:prstDash val="solid"/>
              </a:ln>
            </c:spPr>
          </c:marker>
          <c:xVal>
            <c:numRef>
              <c:f>'UNI VALLE AP1  (2)'!$AJ$75:$AJ$86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 VALLE AP1  (2)'!$AQ$75:$AQ$86</c:f>
              <c:numCache>
                <c:formatCode>0.000</c:formatCode>
                <c:ptCount val="12"/>
                <c:pt idx="0">
                  <c:v>0</c:v>
                </c:pt>
                <c:pt idx="1">
                  <c:v>2.7786858450474013E-2</c:v>
                </c:pt>
                <c:pt idx="2">
                  <c:v>5.2331916748392722E-2</c:v>
                </c:pt>
                <c:pt idx="3">
                  <c:v>7.9655660891358837E-2</c:v>
                </c:pt>
                <c:pt idx="4">
                  <c:v>0.10466383349678544</c:v>
                </c:pt>
                <c:pt idx="5">
                  <c:v>0.12828266317968837</c:v>
                </c:pt>
                <c:pt idx="6">
                  <c:v>0.1546801787076387</c:v>
                </c:pt>
                <c:pt idx="7">
                  <c:v>0.18177236569685085</c:v>
                </c:pt>
                <c:pt idx="8">
                  <c:v>0.20515963822599981</c:v>
                </c:pt>
                <c:pt idx="9">
                  <c:v>0.28273128473357312</c:v>
                </c:pt>
                <c:pt idx="10">
                  <c:v>0.3533562166285279</c:v>
                </c:pt>
                <c:pt idx="11">
                  <c:v>0.41749754821837204</c:v>
                </c:pt>
              </c:numCache>
            </c:numRef>
          </c:yVal>
          <c:smooth val="1"/>
          <c:extLst>
            <c:ext xmlns:c16="http://schemas.microsoft.com/office/drawing/2014/chart" uri="{C3380CC4-5D6E-409C-BE32-E72D297353CC}">
              <c16:uniqueId val="{00000002-92FC-46BD-86EA-5A3684D7B0F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'UNI VALLE AP1  (2)'!$E$34:$H$34</c:f>
              <c:numCache>
                <c:formatCode>0.00</c:formatCode>
                <c:ptCount val="4"/>
                <c:pt idx="0">
                  <c:v>14.979983225490997</c:v>
                </c:pt>
                <c:pt idx="1">
                  <c:v>17.679995120978013</c:v>
                </c:pt>
                <c:pt idx="2">
                  <c:v>20.979995539932599</c:v>
                </c:pt>
                <c:pt idx="3">
                  <c:v>22.479996860688033</c:v>
                </c:pt>
              </c:numCache>
            </c:numRef>
          </c:xVal>
          <c:yVal>
            <c:numRef>
              <c:f>'UNI VALLE AP1  (2)'!$E$37:$H$37</c:f>
              <c:numCache>
                <c:formatCode>0.0000</c:formatCode>
                <c:ptCount val="4"/>
                <c:pt idx="0">
                  <c:v>1.4580000000000009</c:v>
                </c:pt>
                <c:pt idx="1">
                  <c:v>1.7603000000000004</c:v>
                </c:pt>
                <c:pt idx="2">
                  <c:v>1.7735000000000005</c:v>
                </c:pt>
                <c:pt idx="3">
                  <c:v>1.5380000000000003</c:v>
                </c:pt>
              </c:numCache>
            </c:numRef>
          </c:yVal>
          <c:smooth val="1"/>
          <c:extLst>
            <c:ext xmlns:c16="http://schemas.microsoft.com/office/drawing/2014/chart" uri="{C3380CC4-5D6E-409C-BE32-E72D297353CC}">
              <c16:uniqueId val="{00000001-5C33-44DC-823C-43F5486C4738}"/>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min val="1.4"/>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7054613397308392E-2"/>
                  <c:y val="0.2559600932454157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'UNIVALLE AP2 M1'!$E$34:$H$34</c:f>
              <c:numCache>
                <c:formatCode>0.00</c:formatCode>
                <c:ptCount val="4"/>
                <c:pt idx="0">
                  <c:v>15.090000536638289</c:v>
                </c:pt>
                <c:pt idx="1">
                  <c:v>18.190006338444153</c:v>
                </c:pt>
                <c:pt idx="2">
                  <c:v>21.490007688628705</c:v>
                </c:pt>
                <c:pt idx="3">
                  <c:v>24.389997814904437</c:v>
                </c:pt>
              </c:numCache>
            </c:numRef>
          </c:xVal>
          <c:yVal>
            <c:numRef>
              <c:f>'UNIVALLE AP2 M1'!$E$37:$H$37</c:f>
              <c:numCache>
                <c:formatCode>0.0000</c:formatCode>
                <c:ptCount val="4"/>
                <c:pt idx="0">
                  <c:v>1.7604229334032737</c:v>
                </c:pt>
                <c:pt idx="1">
                  <c:v>1.9734343933935483</c:v>
                </c:pt>
                <c:pt idx="2">
                  <c:v>1.9842080604010821</c:v>
                </c:pt>
                <c:pt idx="3">
                  <c:v>1.4940694837082149</c:v>
                </c:pt>
              </c:numCache>
            </c:numRef>
          </c:yVal>
          <c:smooth val="0"/>
          <c:extLst>
            <c:ext xmlns:c16="http://schemas.microsoft.com/office/drawing/2014/chart" uri="{C3380CC4-5D6E-409C-BE32-E72D297353CC}">
              <c16:uniqueId val="{00000001-D45F-4DC0-90BB-37A98ECF4314}"/>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'UNIVALLE AP2 M1'!$E$34:$H$34</c:f>
              <c:numCache>
                <c:formatCode>0.00</c:formatCode>
                <c:ptCount val="4"/>
                <c:pt idx="0">
                  <c:v>15.090000536638289</c:v>
                </c:pt>
                <c:pt idx="1">
                  <c:v>18.190006338444153</c:v>
                </c:pt>
                <c:pt idx="2">
                  <c:v>21.490007688628705</c:v>
                </c:pt>
                <c:pt idx="3">
                  <c:v>24.389997814904437</c:v>
                </c:pt>
              </c:numCache>
            </c:numRef>
          </c:xVal>
          <c:yVal>
            <c:numRef>
              <c:f>'UNIVALLE AP2 M1'!$G$83:$J$83</c:f>
              <c:numCache>
                <c:formatCode>General</c:formatCode>
                <c:ptCount val="4"/>
                <c:pt idx="0">
                  <c:v>2.224221780065748</c:v>
                </c:pt>
                <c:pt idx="1">
                  <c:v>2.0963080247758739</c:v>
                </c:pt>
                <c:pt idx="2">
                  <c:v>1.9753762047910013</c:v>
                </c:pt>
                <c:pt idx="3">
                  <c:v>1.8800656686161243</c:v>
                </c:pt>
              </c:numCache>
            </c:numRef>
          </c:yVal>
          <c:smooth val="0"/>
          <c:extLst>
            <c:ext xmlns:c16="http://schemas.microsoft.com/office/drawing/2014/chart" uri="{C3380CC4-5D6E-409C-BE32-E72D297353CC}">
              <c16:uniqueId val="{00000003-D45F-4DC0-90BB-37A98ECF4314}"/>
            </c:ext>
          </c:extLst>
        </c:ser>
        <c:dLbls>
          <c:showLegendKey val="0"/>
          <c:showVal val="0"/>
          <c:showCatName val="0"/>
          <c:showSerName val="0"/>
          <c:showPercent val="0"/>
          <c:showBubbleSize val="0"/>
        </c:dLbls>
        <c:axId val="862226368"/>
        <c:axId val="862172912"/>
      </c:scatterChart>
      <c:valAx>
        <c:axId val="862226368"/>
        <c:scaling>
          <c:orientation val="minMax"/>
          <c:max val="30"/>
          <c:min val="1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2999999999999998"/>
          <c:min val="1.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'UNIVALLE AP2 M1'!$AJ$91:$AL$91</c:f>
              <c:numCache>
                <c:formatCode>0.000</c:formatCode>
                <c:ptCount val="3"/>
                <c:pt idx="0">
                  <c:v>1.9932100429112996</c:v>
                </c:pt>
                <c:pt idx="1">
                  <c:v>1.8230000000000002</c:v>
                </c:pt>
                <c:pt idx="2">
                  <c:v>1.5970000000000006</c:v>
                </c:pt>
              </c:numCache>
            </c:numRef>
          </c:xVal>
          <c:yVal>
            <c:numRef>
              <c:f>'UNIVALLE AP2 M1'!$AJ$94:$AL$94</c:f>
              <c:numCache>
                <c:formatCode>0.000</c:formatCode>
                <c:ptCount val="3"/>
                <c:pt idx="0">
                  <c:v>3.915743991358358</c:v>
                </c:pt>
                <c:pt idx="1">
                  <c:v>2.5761473627357616</c:v>
                </c:pt>
                <c:pt idx="2">
                  <c:v>1.7517802066603183</c:v>
                </c:pt>
              </c:numCache>
            </c:numRef>
          </c:yVal>
          <c:smooth val="1"/>
          <c:extLst>
            <c:ext xmlns:c16="http://schemas.microsoft.com/office/drawing/2014/chart" uri="{C3380CC4-5D6E-409C-BE32-E72D297353CC}">
              <c16:uniqueId val="{00000001-14DC-44D1-93DE-C74A3E531002}"/>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'UNIVALLE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AP2 M1'!$AM$75:$AM$86</c:f>
              <c:numCache>
                <c:formatCode>0.000</c:formatCode>
                <c:ptCount val="12"/>
                <c:pt idx="0">
                  <c:v>0</c:v>
                </c:pt>
                <c:pt idx="1">
                  <c:v>6.9358178053830224E-2</c:v>
                </c:pt>
                <c:pt idx="2">
                  <c:v>0.12577639751552794</c:v>
                </c:pt>
                <c:pt idx="3">
                  <c:v>0.19979296066252589</c:v>
                </c:pt>
                <c:pt idx="4">
                  <c:v>0.27018633540372672</c:v>
                </c:pt>
                <c:pt idx="5">
                  <c:v>0.34627329192546585</c:v>
                </c:pt>
                <c:pt idx="6">
                  <c:v>0.44513457556935815</c:v>
                </c:pt>
                <c:pt idx="7">
                  <c:v>0.53726708074534157</c:v>
                </c:pt>
                <c:pt idx="8">
                  <c:v>0.60817805383022772</c:v>
                </c:pt>
                <c:pt idx="9">
                  <c:v>0.84006211180124213</c:v>
                </c:pt>
                <c:pt idx="10">
                  <c:v>1.0320910973084887</c:v>
                </c:pt>
                <c:pt idx="11">
                  <c:v>1.2158385093167703</c:v>
                </c:pt>
              </c:numCache>
            </c:numRef>
          </c:yVal>
          <c:smooth val="1"/>
          <c:extLst>
            <c:ext xmlns:c16="http://schemas.microsoft.com/office/drawing/2014/chart" uri="{C3380CC4-5D6E-409C-BE32-E72D297353CC}">
              <c16:uniqueId val="{00000000-6904-427E-903B-438FE073D023}"/>
            </c:ext>
          </c:extLst>
        </c:ser>
        <c:ser>
          <c:idx val="1"/>
          <c:order val="1"/>
          <c:tx>
            <c:v>26 golpes</c:v>
          </c:tx>
          <c:marker>
            <c:symbol val="circle"/>
            <c:size val="3"/>
            <c:spPr>
              <a:solidFill>
                <a:srgbClr val="00B050"/>
              </a:solidFill>
              <a:ln>
                <a:solidFill>
                  <a:srgbClr val="00B050">
                    <a:alpha val="50000"/>
                  </a:srgbClr>
                </a:solidFill>
                <a:prstDash val="solid"/>
              </a:ln>
            </c:spPr>
          </c:marker>
          <c:xVal>
            <c:numRef>
              <c:f>'UNIVALLE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AP2 M1'!$AO$75:$AO$86</c:f>
              <c:numCache>
                <c:formatCode>0.000</c:formatCode>
                <c:ptCount val="12"/>
                <c:pt idx="0">
                  <c:v>0</c:v>
                </c:pt>
                <c:pt idx="1">
                  <c:v>4.5630380298572526E-2</c:v>
                </c:pt>
                <c:pt idx="2">
                  <c:v>8.274762994442629E-2</c:v>
                </c:pt>
                <c:pt idx="3">
                  <c:v>0.13144273727797756</c:v>
                </c:pt>
                <c:pt idx="4">
                  <c:v>0.17775416802876756</c:v>
                </c:pt>
                <c:pt idx="5">
                  <c:v>0.22781137626675385</c:v>
                </c:pt>
                <c:pt idx="6">
                  <c:v>0.2928516944535251</c:v>
                </c:pt>
                <c:pt idx="7">
                  <c:v>0.35346518470088267</c:v>
                </c:pt>
                <c:pt idx="8">
                  <c:v>0.40011714067778142</c:v>
                </c:pt>
                <c:pt idx="9">
                  <c:v>0.55267244197450149</c:v>
                </c:pt>
                <c:pt idx="10">
                  <c:v>0.67900730086084771</c:v>
                </c:pt>
                <c:pt idx="11">
                  <c:v>0.79989375612945401</c:v>
                </c:pt>
              </c:numCache>
            </c:numRef>
          </c:yVal>
          <c:smooth val="1"/>
          <c:extLst>
            <c:ext xmlns:c16="http://schemas.microsoft.com/office/drawing/2014/chart" uri="{C3380CC4-5D6E-409C-BE32-E72D297353CC}">
              <c16:uniqueId val="{00000001-6904-427E-903B-438FE073D023}"/>
            </c:ext>
          </c:extLst>
        </c:ser>
        <c:ser>
          <c:idx val="2"/>
          <c:order val="2"/>
          <c:tx>
            <c:v>56 golpes</c:v>
          </c:tx>
          <c:marker>
            <c:symbol val="circle"/>
            <c:size val="3"/>
            <c:spPr>
              <a:solidFill>
                <a:srgbClr val="00B050"/>
              </a:solidFill>
              <a:ln>
                <a:solidFill>
                  <a:srgbClr val="00B050">
                    <a:alpha val="50000"/>
                  </a:srgbClr>
                </a:solidFill>
                <a:prstDash val="solid"/>
              </a:ln>
            </c:spPr>
          </c:marker>
          <c:xVal>
            <c:numRef>
              <c:f>'UNIVALLE AP2 M1'!$AJ$75:$AJ$86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AP2 M1'!$AQ$75:$AQ$86</c:f>
              <c:numCache>
                <c:formatCode>0.000</c:formatCode>
                <c:ptCount val="12"/>
                <c:pt idx="0">
                  <c:v>0</c:v>
                </c:pt>
                <c:pt idx="1">
                  <c:v>3.1028658603029322E-2</c:v>
                </c:pt>
                <c:pt idx="2">
                  <c:v>5.6268388362209876E-2</c:v>
                </c:pt>
                <c:pt idx="3">
                  <c:v>8.9381061349024737E-2</c:v>
                </c:pt>
                <c:pt idx="4">
                  <c:v>0.12087283425956197</c:v>
                </c:pt>
                <c:pt idx="5">
                  <c:v>0.15491173586139262</c:v>
                </c:pt>
                <c:pt idx="6">
                  <c:v>0.19913915222839706</c:v>
                </c:pt>
                <c:pt idx="7">
                  <c:v>0.24035632559660025</c:v>
                </c:pt>
                <c:pt idx="8">
                  <c:v>0.27207965566089132</c:v>
                </c:pt>
                <c:pt idx="9">
                  <c:v>0.37581726054266107</c:v>
                </c:pt>
                <c:pt idx="10">
                  <c:v>0.46172496458537654</c:v>
                </c:pt>
                <c:pt idx="11">
                  <c:v>0.54392775416802874</c:v>
                </c:pt>
              </c:numCache>
            </c:numRef>
          </c:yVal>
          <c:smooth val="1"/>
          <c:extLst>
            <c:ext xmlns:c16="http://schemas.microsoft.com/office/drawing/2014/chart" uri="{C3380CC4-5D6E-409C-BE32-E72D297353CC}">
              <c16:uniqueId val="{00000002-6904-427E-903B-438FE073D023}"/>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'UNIVALLE AP2 M1'!$E$34:$H$34</c:f>
              <c:numCache>
                <c:formatCode>0.00</c:formatCode>
                <c:ptCount val="4"/>
                <c:pt idx="0">
                  <c:v>15.090000536638289</c:v>
                </c:pt>
                <c:pt idx="1">
                  <c:v>18.190006338444153</c:v>
                </c:pt>
                <c:pt idx="2">
                  <c:v>21.490007688628705</c:v>
                </c:pt>
                <c:pt idx="3">
                  <c:v>24.389997814904437</c:v>
                </c:pt>
              </c:numCache>
            </c:numRef>
          </c:xVal>
          <c:yVal>
            <c:numRef>
              <c:f>'UNIVALLE AP2 M1'!$E$37:$H$37</c:f>
              <c:numCache>
                <c:formatCode>0.0000</c:formatCode>
                <c:ptCount val="4"/>
                <c:pt idx="0">
                  <c:v>1.7604229334032737</c:v>
                </c:pt>
                <c:pt idx="1">
                  <c:v>1.9734343933935483</c:v>
                </c:pt>
                <c:pt idx="2">
                  <c:v>1.9842080604010821</c:v>
                </c:pt>
                <c:pt idx="3">
                  <c:v>1.4940694837082149</c:v>
                </c:pt>
              </c:numCache>
            </c:numRef>
          </c:yVal>
          <c:smooth val="1"/>
          <c:extLst>
            <c:ext xmlns:c16="http://schemas.microsoft.com/office/drawing/2014/chart" uri="{C3380CC4-5D6E-409C-BE32-E72D297353CC}">
              <c16:uniqueId val="{00000001-EAFF-4133-A0D3-2FB898ECA6D6}"/>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7054613397308392E-2"/>
                  <c:y val="0.2559600932454157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'UNIVALLE AP3 M2'!$E$34:$H$34</c:f>
              <c:numCache>
                <c:formatCode>0.00</c:formatCode>
                <c:ptCount val="4"/>
                <c:pt idx="0">
                  <c:v>34.409155608136331</c:v>
                </c:pt>
                <c:pt idx="1">
                  <c:v>37.389999175301341</c:v>
                </c:pt>
                <c:pt idx="2">
                  <c:v>40.789910081046031</c:v>
                </c:pt>
                <c:pt idx="3">
                  <c:v>43.050063340266256</c:v>
                </c:pt>
              </c:numCache>
            </c:numRef>
          </c:xVal>
          <c:yVal>
            <c:numRef>
              <c:f>'UNIVALLE AP3 M2'!$E$37:$H$37</c:f>
              <c:numCache>
                <c:formatCode>0.0000</c:formatCode>
                <c:ptCount val="4"/>
                <c:pt idx="0">
                  <c:v>1.1918498408940208</c:v>
                </c:pt>
                <c:pt idx="1">
                  <c:v>1.3140000000000001</c:v>
                </c:pt>
                <c:pt idx="2">
                  <c:v>1.3306</c:v>
                </c:pt>
                <c:pt idx="3">
                  <c:v>1.2347385145763154</c:v>
                </c:pt>
              </c:numCache>
            </c:numRef>
          </c:yVal>
          <c:smooth val="0"/>
          <c:extLst>
            <c:ext xmlns:c16="http://schemas.microsoft.com/office/drawing/2014/chart" uri="{C3380CC4-5D6E-409C-BE32-E72D297353CC}">
              <c16:uniqueId val="{00000001-EA7C-49A1-828B-67DDB6C76185}"/>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'UNIVALLE AP3 M2'!$E$34:$H$34</c:f>
              <c:numCache>
                <c:formatCode>0.00</c:formatCode>
                <c:ptCount val="4"/>
                <c:pt idx="0">
                  <c:v>34.409155608136331</c:v>
                </c:pt>
                <c:pt idx="1">
                  <c:v>37.389999175301341</c:v>
                </c:pt>
                <c:pt idx="2">
                  <c:v>40.789910081046031</c:v>
                </c:pt>
                <c:pt idx="3">
                  <c:v>43.050063340266256</c:v>
                </c:pt>
              </c:numCache>
            </c:numRef>
          </c:xVal>
          <c:yVal>
            <c:numRef>
              <c:f>'UNIVALLE AP3 M2'!$G$83:$J$83</c:f>
              <c:numCache>
                <c:formatCode>General</c:formatCode>
                <c:ptCount val="4"/>
                <c:pt idx="0">
                  <c:v>1.4553615468650853</c:v>
                </c:pt>
                <c:pt idx="1">
                  <c:v>1.396541326367863</c:v>
                </c:pt>
                <c:pt idx="2">
                  <c:v>1.3350002008507675</c:v>
                </c:pt>
                <c:pt idx="3">
                  <c:v>1.2970054333703116</c:v>
                </c:pt>
              </c:numCache>
            </c:numRef>
          </c:yVal>
          <c:smooth val="0"/>
          <c:extLst>
            <c:ext xmlns:c16="http://schemas.microsoft.com/office/drawing/2014/chart" uri="{C3380CC4-5D6E-409C-BE32-E72D297353CC}">
              <c16:uniqueId val="{00000003-EA7C-49A1-828B-67DDB6C76185}"/>
            </c:ext>
          </c:extLst>
        </c:ser>
        <c:dLbls>
          <c:showLegendKey val="0"/>
          <c:showVal val="0"/>
          <c:showCatName val="0"/>
          <c:showSerName val="0"/>
          <c:showPercent val="0"/>
          <c:showBubbleSize val="0"/>
        </c:dLbls>
        <c:axId val="862226368"/>
        <c:axId val="862172912"/>
      </c:scatterChart>
      <c:valAx>
        <c:axId val="862226368"/>
        <c:scaling>
          <c:orientation val="minMax"/>
          <c:max val="46"/>
          <c:min val="20"/>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1.8"/>
          <c:min val="1.10000000000000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'UNIVALLE AP3 M2'!$AJ$91:$AL$91</c:f>
              <c:numCache>
                <c:formatCode>0.000</c:formatCode>
                <c:ptCount val="3"/>
                <c:pt idx="0">
                  <c:v>1.3263204843476175</c:v>
                </c:pt>
                <c:pt idx="1">
                  <c:v>1.2690000000000008</c:v>
                </c:pt>
                <c:pt idx="2">
                  <c:v>1.1134453771968511</c:v>
                </c:pt>
              </c:numCache>
            </c:numRef>
          </c:xVal>
          <c:yVal>
            <c:numRef>
              <c:f>'UNIVALLE AP3 M2'!$AJ$94:$AL$94</c:f>
              <c:numCache>
                <c:formatCode>0.000</c:formatCode>
                <c:ptCount val="3"/>
                <c:pt idx="0">
                  <c:v>88.974405136976031</c:v>
                </c:pt>
                <c:pt idx="1">
                  <c:v>58.535792853273691</c:v>
                </c:pt>
                <c:pt idx="2">
                  <c:v>39.804339140226112</c:v>
                </c:pt>
              </c:numCache>
            </c:numRef>
          </c:yVal>
          <c:smooth val="1"/>
          <c:extLst>
            <c:ext xmlns:c16="http://schemas.microsoft.com/office/drawing/2014/chart" uri="{C3380CC4-5D6E-409C-BE32-E72D297353CC}">
              <c16:uniqueId val="{00000001-4DDA-440E-A882-9D9EF7881D02}"/>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'UNIVALLE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AP3 M2'!$AM$75:$AM$86</c:f>
              <c:numCache>
                <c:formatCode>0.000</c:formatCode>
                <c:ptCount val="12"/>
                <c:pt idx="0">
                  <c:v>0</c:v>
                </c:pt>
                <c:pt idx="1">
                  <c:v>1.1682194616977226</c:v>
                </c:pt>
                <c:pt idx="2">
                  <c:v>3.1293995859213251</c:v>
                </c:pt>
                <c:pt idx="3">
                  <c:v>4.5377846790890262</c:v>
                </c:pt>
                <c:pt idx="4">
                  <c:v>6.1392339544513463</c:v>
                </c:pt>
                <c:pt idx="5">
                  <c:v>7.8618012422360248</c:v>
                </c:pt>
                <c:pt idx="6">
                  <c:v>9.5740165631469978</c:v>
                </c:pt>
                <c:pt idx="7">
                  <c:v>10.865942028985508</c:v>
                </c:pt>
                <c:pt idx="8">
                  <c:v>11.952380952380953</c:v>
                </c:pt>
                <c:pt idx="9">
                  <c:v>16.397515527950311</c:v>
                </c:pt>
                <c:pt idx="10">
                  <c:v>19.844720496894411</c:v>
                </c:pt>
                <c:pt idx="11">
                  <c:v>22.364389233954451</c:v>
                </c:pt>
              </c:numCache>
            </c:numRef>
          </c:yVal>
          <c:smooth val="1"/>
          <c:extLst>
            <c:ext xmlns:c16="http://schemas.microsoft.com/office/drawing/2014/chart" uri="{C3380CC4-5D6E-409C-BE32-E72D297353CC}">
              <c16:uniqueId val="{00000000-9F78-482C-8ED4-418DAE486847}"/>
            </c:ext>
          </c:extLst>
        </c:ser>
        <c:ser>
          <c:idx val="1"/>
          <c:order val="1"/>
          <c:tx>
            <c:v>26 golpes</c:v>
          </c:tx>
          <c:marker>
            <c:symbol val="circle"/>
            <c:size val="3"/>
            <c:spPr>
              <a:solidFill>
                <a:srgbClr val="00B050"/>
              </a:solidFill>
              <a:ln>
                <a:solidFill>
                  <a:srgbClr val="00B050">
                    <a:alpha val="50000"/>
                  </a:srgbClr>
                </a:solidFill>
                <a:prstDash val="solid"/>
              </a:ln>
            </c:spPr>
          </c:marker>
          <c:xVal>
            <c:numRef>
              <c:f>'UNIVALLE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AP3 M2'!$AO$75:$AO$86</c:f>
              <c:numCache>
                <c:formatCode>0.000</c:formatCode>
                <c:ptCount val="12"/>
                <c:pt idx="0">
                  <c:v>0</c:v>
                </c:pt>
                <c:pt idx="1">
                  <c:v>0.76856543532744914</c:v>
                </c:pt>
                <c:pt idx="2">
                  <c:v>2.0588155170535032</c:v>
                </c:pt>
                <c:pt idx="3">
                  <c:v>2.9853846572954126</c:v>
                </c:pt>
                <c:pt idx="4">
                  <c:v>4.0389697068758847</c:v>
                </c:pt>
                <c:pt idx="5">
                  <c:v>5.1722376593658055</c:v>
                </c:pt>
                <c:pt idx="6">
                  <c:v>6.2986951073335504</c:v>
                </c:pt>
                <c:pt idx="7">
                  <c:v>7.1486460717009912</c:v>
                </c:pt>
                <c:pt idx="8">
                  <c:v>7.8634085213032581</c:v>
                </c:pt>
                <c:pt idx="9">
                  <c:v>10.787839163125204</c:v>
                </c:pt>
                <c:pt idx="10">
                  <c:v>13.055737169009483</c:v>
                </c:pt>
                <c:pt idx="11">
                  <c:v>14.713413969706874</c:v>
                </c:pt>
              </c:numCache>
            </c:numRef>
          </c:yVal>
          <c:smooth val="1"/>
          <c:extLst>
            <c:ext xmlns:c16="http://schemas.microsoft.com/office/drawing/2014/chart" uri="{C3380CC4-5D6E-409C-BE32-E72D297353CC}">
              <c16:uniqueId val="{00000001-9F78-482C-8ED4-418DAE486847}"/>
            </c:ext>
          </c:extLst>
        </c:ser>
        <c:ser>
          <c:idx val="2"/>
          <c:order val="2"/>
          <c:tx>
            <c:v>56 golpes</c:v>
          </c:tx>
          <c:marker>
            <c:symbol val="circle"/>
            <c:size val="3"/>
            <c:spPr>
              <a:solidFill>
                <a:srgbClr val="00B050"/>
              </a:solidFill>
              <a:ln>
                <a:solidFill>
                  <a:srgbClr val="00B050">
                    <a:alpha val="50000"/>
                  </a:srgbClr>
                </a:solidFill>
                <a:prstDash val="solid"/>
              </a:ln>
            </c:spPr>
          </c:marker>
          <c:xVal>
            <c:numRef>
              <c:f>'UNIVALLE AP3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AP3 M2'!$AQ$75:$AQ$86</c:f>
              <c:numCache>
                <c:formatCode>0.000</c:formatCode>
                <c:ptCount val="12"/>
                <c:pt idx="0">
                  <c:v>0</c:v>
                </c:pt>
                <c:pt idx="1">
                  <c:v>0.52262449602266547</c:v>
                </c:pt>
                <c:pt idx="2">
                  <c:v>1.3999945515963823</c:v>
                </c:pt>
                <c:pt idx="3">
                  <c:v>2.0300615669608808</c:v>
                </c:pt>
                <c:pt idx="4">
                  <c:v>2.7464994006756021</c:v>
                </c:pt>
                <c:pt idx="5">
                  <c:v>3.5171216083687487</c:v>
                </c:pt>
                <c:pt idx="6">
                  <c:v>4.2831126729868156</c:v>
                </c:pt>
                <c:pt idx="7">
                  <c:v>4.8610793287566745</c:v>
                </c:pt>
                <c:pt idx="8">
                  <c:v>5.3471177944862163</c:v>
                </c:pt>
                <c:pt idx="9">
                  <c:v>7.3357306309251396</c:v>
                </c:pt>
                <c:pt idx="10">
                  <c:v>8.8779012749264492</c:v>
                </c:pt>
                <c:pt idx="11">
                  <c:v>10.005121499400676</c:v>
                </c:pt>
              </c:numCache>
            </c:numRef>
          </c:yVal>
          <c:smooth val="1"/>
          <c:extLst>
            <c:ext xmlns:c16="http://schemas.microsoft.com/office/drawing/2014/chart" uri="{C3380CC4-5D6E-409C-BE32-E72D297353CC}">
              <c16:uniqueId val="{00000002-9F78-482C-8ED4-418DAE486847}"/>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'UNIVALLE AP3 M2'!$E$34:$H$34</c:f>
              <c:numCache>
                <c:formatCode>0.00</c:formatCode>
                <c:ptCount val="4"/>
                <c:pt idx="0">
                  <c:v>34.409155608136331</c:v>
                </c:pt>
                <c:pt idx="1">
                  <c:v>37.389999175301341</c:v>
                </c:pt>
                <c:pt idx="2">
                  <c:v>40.789910081046031</c:v>
                </c:pt>
                <c:pt idx="3">
                  <c:v>43.050063340266256</c:v>
                </c:pt>
              </c:numCache>
            </c:numRef>
          </c:xVal>
          <c:yVal>
            <c:numRef>
              <c:f>'UNIVALLE AP3 M2'!$E$37:$H$37</c:f>
              <c:numCache>
                <c:formatCode>0.0000</c:formatCode>
                <c:ptCount val="4"/>
                <c:pt idx="0">
                  <c:v>1.1918498408940208</c:v>
                </c:pt>
                <c:pt idx="1">
                  <c:v>1.3140000000000001</c:v>
                </c:pt>
                <c:pt idx="2">
                  <c:v>1.3306</c:v>
                </c:pt>
                <c:pt idx="3">
                  <c:v>1.2347385145763154</c:v>
                </c:pt>
              </c:numCache>
            </c:numRef>
          </c:yVal>
          <c:smooth val="1"/>
          <c:extLst>
            <c:ext xmlns:c16="http://schemas.microsoft.com/office/drawing/2014/chart" uri="{C3380CC4-5D6E-409C-BE32-E72D297353CC}">
              <c16:uniqueId val="{00000001-B1F7-4360-998B-82097D7458E3}"/>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DENSIDAD SECA vs % HUMEDAD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s-MX"/>
        </a:p>
      </c:txPr>
    </c:title>
    <c:autoTitleDeleted val="0"/>
    <c:plotArea>
      <c:layout>
        <c:manualLayout>
          <c:layoutTarget val="inner"/>
          <c:xMode val="edge"/>
          <c:yMode val="edge"/>
          <c:x val="8.4110758501674099E-2"/>
          <c:y val="0.12316247124510336"/>
          <c:w val="0.88119926243220781"/>
          <c:h val="0.73671234853836998"/>
        </c:manualLayout>
      </c:layout>
      <c:scatterChart>
        <c:scatterStyle val="lineMarker"/>
        <c:varyColors val="0"/>
        <c:ser>
          <c:idx val="0"/>
          <c:order val="0"/>
          <c:spPr>
            <a:ln w="25400" cap="rnd">
              <a:noFill/>
              <a:round/>
            </a:ln>
            <a:effectLst/>
          </c:spPr>
          <c:marker>
            <c:symbol val="circle"/>
            <c:size val="5"/>
            <c:spPr>
              <a:noFill/>
              <a:ln w="9525">
                <a:noFill/>
              </a:ln>
              <a:effectLst/>
            </c:spPr>
          </c:marker>
          <c:trendline>
            <c:spPr>
              <a:ln w="6350" cap="flat" cmpd="sng" algn="ctr">
                <a:solidFill>
                  <a:srgbClr val="FF0000"/>
                </a:solidFill>
                <a:prstDash val="solid"/>
                <a:miter lim="800000"/>
              </a:ln>
              <a:effectLst/>
            </c:spPr>
            <c:trendlineType val="poly"/>
            <c:order val="2"/>
            <c:dispRSqr val="1"/>
            <c:dispEq val="1"/>
            <c:trendlineLbl>
              <c:layout>
                <c:manualLayout>
                  <c:x val="5.7054613397308392E-2"/>
                  <c:y val="0.25596009324541574"/>
                </c:manualLayout>
              </c:layout>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dk1"/>
                      </a:solidFill>
                      <a:latin typeface="+mn-lt"/>
                      <a:ea typeface="+mn-ea"/>
                      <a:cs typeface="+mn-cs"/>
                    </a:defRPr>
                  </a:pPr>
                  <a:endParaRPr lang="es-MX"/>
                </a:p>
              </c:txPr>
            </c:trendlineLbl>
          </c:trendline>
          <c:xVal>
            <c:numRef>
              <c:f>'UNIVALLE AP4 M2'!$E$34:$H$34</c:f>
              <c:numCache>
                <c:formatCode>0.00</c:formatCode>
                <c:ptCount val="4"/>
                <c:pt idx="0">
                  <c:v>17.269975361242835</c:v>
                </c:pt>
                <c:pt idx="1">
                  <c:v>20.169946068499844</c:v>
                </c:pt>
                <c:pt idx="2">
                  <c:v>23.47001721527478</c:v>
                </c:pt>
                <c:pt idx="3">
                  <c:v>26.570414854681466</c:v>
                </c:pt>
              </c:numCache>
            </c:numRef>
          </c:xVal>
          <c:yVal>
            <c:numRef>
              <c:f>'UNIVALLE AP4 M2'!$E$37:$H$37</c:f>
              <c:numCache>
                <c:formatCode>0.0000</c:formatCode>
                <c:ptCount val="4"/>
                <c:pt idx="0">
                  <c:v>1.482</c:v>
                </c:pt>
                <c:pt idx="1">
                  <c:v>1.7103999999999999</c:v>
                </c:pt>
                <c:pt idx="2">
                  <c:v>1.7200000000000002</c:v>
                </c:pt>
                <c:pt idx="3">
                  <c:v>1.2009999999999994</c:v>
                </c:pt>
              </c:numCache>
            </c:numRef>
          </c:yVal>
          <c:smooth val="0"/>
          <c:extLst>
            <c:ext xmlns:c16="http://schemas.microsoft.com/office/drawing/2014/chart" uri="{C3380CC4-5D6E-409C-BE32-E72D297353CC}">
              <c16:uniqueId val="{00000001-7E38-40C2-83E3-C35D216ECAB1}"/>
            </c:ext>
          </c:extLst>
        </c:ser>
        <c:ser>
          <c:idx val="1"/>
          <c:order val="1"/>
          <c:spPr>
            <a:ln w="25400" cap="rnd">
              <a:noFill/>
              <a:round/>
            </a:ln>
            <a:effectLst/>
          </c:spPr>
          <c:marker>
            <c:symbol val="circle"/>
            <c:size val="5"/>
            <c:spPr>
              <a:noFill/>
              <a:ln w="9525">
                <a:noFill/>
              </a:ln>
              <a:effectLst/>
            </c:spPr>
          </c:marker>
          <c:trendline>
            <c:spPr>
              <a:ln w="6350" cap="flat" cmpd="sng" algn="ctr">
                <a:solidFill>
                  <a:schemeClr val="accent5"/>
                </a:solidFill>
                <a:prstDash val="solid"/>
                <a:miter lim="800000"/>
              </a:ln>
              <a:effectLst/>
            </c:spPr>
            <c:trendlineType val="linear"/>
            <c:dispRSqr val="0"/>
            <c:dispEq val="0"/>
          </c:trendline>
          <c:xVal>
            <c:numRef>
              <c:f>'UNIVALLE AP4 M2'!$E$34:$H$34</c:f>
              <c:numCache>
                <c:formatCode>0.00</c:formatCode>
                <c:ptCount val="4"/>
                <c:pt idx="0">
                  <c:v>17.269975361242835</c:v>
                </c:pt>
                <c:pt idx="1">
                  <c:v>20.169946068499844</c:v>
                </c:pt>
                <c:pt idx="2">
                  <c:v>23.47001721527478</c:v>
                </c:pt>
                <c:pt idx="3">
                  <c:v>26.570414854681466</c:v>
                </c:pt>
              </c:numCache>
            </c:numRef>
          </c:xVal>
          <c:yVal>
            <c:numRef>
              <c:f>'UNIVALLE AP4 M2'!$G$83:$J$83</c:f>
              <c:numCache>
                <c:formatCode>General</c:formatCode>
                <c:ptCount val="4"/>
                <c:pt idx="0">
                  <c:v>1.9577275634281648</c:v>
                </c:pt>
                <c:pt idx="1">
                  <c:v>1.8573031370520987</c:v>
                </c:pt>
                <c:pt idx="2">
                  <c:v>1.754865259256174</c:v>
                </c:pt>
                <c:pt idx="3">
                  <c:v>1.668413171682777</c:v>
                </c:pt>
              </c:numCache>
            </c:numRef>
          </c:yVal>
          <c:smooth val="0"/>
          <c:extLst>
            <c:ext xmlns:c16="http://schemas.microsoft.com/office/drawing/2014/chart" uri="{C3380CC4-5D6E-409C-BE32-E72D297353CC}">
              <c16:uniqueId val="{00000003-7E38-40C2-83E3-C35D216ECAB1}"/>
            </c:ext>
          </c:extLst>
        </c:ser>
        <c:dLbls>
          <c:showLegendKey val="0"/>
          <c:showVal val="0"/>
          <c:showCatName val="0"/>
          <c:showSerName val="0"/>
          <c:showPercent val="0"/>
          <c:showBubbleSize val="0"/>
        </c:dLbls>
        <c:axId val="862226368"/>
        <c:axId val="862172912"/>
      </c:scatterChart>
      <c:valAx>
        <c:axId val="862226368"/>
        <c:scaling>
          <c:orientation val="minMax"/>
          <c:max val="30"/>
          <c:min val="1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 HUMEDAD </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172912"/>
        <c:crosses val="autoZero"/>
        <c:crossBetween val="midCat"/>
      </c:valAx>
      <c:valAx>
        <c:axId val="862172912"/>
        <c:scaling>
          <c:orientation val="minMax"/>
          <c:max val="2"/>
          <c:min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s-MX"/>
                  <a:t>DENSIDAD SECA (g/cm³)</a:t>
                </a:r>
              </a:p>
            </c:rich>
          </c:tx>
          <c:layout>
            <c:manualLayout>
              <c:xMode val="edge"/>
              <c:yMode val="edge"/>
              <c:x val="1.516956631219374E-2"/>
              <c:y val="0.3970281755230225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s-MX"/>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s-MX"/>
          </a:p>
        </c:txPr>
        <c:crossAx val="862226368"/>
        <c:crosses val="autoZero"/>
        <c:crossBetween val="midCat"/>
      </c:valAx>
      <c:spPr>
        <a:solidFill>
          <a:schemeClr val="lt1"/>
        </a:solidFill>
        <a:ln w="12700" cap="flat" cmpd="sng" algn="ctr">
          <a:solidFill>
            <a:schemeClr val="accent6"/>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6"/>
      </a:solidFill>
      <a:prstDash val="solid"/>
      <a:miter lim="800000"/>
    </a:ln>
    <a:effectLst/>
  </c:spPr>
  <c:txPr>
    <a:bodyPr/>
    <a:lstStyle/>
    <a:p>
      <a:pPr>
        <a:defRPr>
          <a:solidFill>
            <a:schemeClr val="dk1"/>
          </a:solidFill>
          <a:latin typeface="+mn-lt"/>
          <a:ea typeface="+mn-ea"/>
          <a:cs typeface="+mn-cs"/>
        </a:defRPr>
      </a:pPr>
      <a:endParaRPr lang="es-MX"/>
    </a:p>
  </c:txPr>
  <c:printSettings>
    <c:headerFooter/>
    <c:pageMargins b="0.75" l="0.7" r="0.7" t="0.75" header="0.3" footer="0.3"/>
    <c:pageSetup orientation="portrait"/>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layout>
        <c:manualLayout>
          <c:xMode val="edge"/>
          <c:yMode val="edge"/>
          <c:x val="0.32161474363645043"/>
          <c:y val="9.6925219140670173E-3"/>
        </c:manualLayout>
      </c:layout>
      <c:overlay val="0"/>
    </c:title>
    <c:autoTitleDeleted val="0"/>
    <c:plotArea>
      <c:layout>
        <c:manualLayout>
          <c:layoutTarget val="inner"/>
          <c:xMode val="edge"/>
          <c:yMode val="edge"/>
          <c:x val="0.10803856248738139"/>
          <c:y val="0.10426719924133478"/>
          <c:w val="0.85307314814814816"/>
          <c:h val="0.74459977872264038"/>
        </c:manualLayout>
      </c:layout>
      <c:scatterChart>
        <c:scatterStyle val="smoothMarker"/>
        <c:varyColors val="0"/>
        <c:ser>
          <c:idx val="2"/>
          <c:order val="0"/>
          <c:tx>
            <c:v>CBR Vs Densidad seca (g/cm3)</c:v>
          </c:tx>
          <c:marker>
            <c:symbol val="circle"/>
            <c:size val="4"/>
            <c:spPr>
              <a:solidFill>
                <a:schemeClr val="accent6">
                  <a:lumMod val="75000"/>
                </a:schemeClr>
              </a:solidFill>
              <a:ln>
                <a:solidFill>
                  <a:schemeClr val="accent6">
                    <a:lumMod val="75000"/>
                  </a:schemeClr>
                </a:solidFill>
              </a:ln>
            </c:spPr>
          </c:marker>
          <c:trendline>
            <c:spPr>
              <a:ln>
                <a:solidFill>
                  <a:srgbClr val="FF0000"/>
                </a:solidFill>
              </a:ln>
            </c:spPr>
            <c:trendlineType val="linear"/>
            <c:dispRSqr val="0"/>
            <c:dispEq val="0"/>
          </c:trendline>
          <c:xVal>
            <c:numRef>
              <c:f>'UNIVALLE AP4 M2'!$AJ$91:$AL$91</c:f>
              <c:numCache>
                <c:formatCode>0.000</c:formatCode>
                <c:ptCount val="3"/>
                <c:pt idx="0">
                  <c:v>1.711848130445268</c:v>
                </c:pt>
                <c:pt idx="1">
                  <c:v>1.6436999999999995</c:v>
                </c:pt>
                <c:pt idx="2">
                  <c:v>1.4979999999999993</c:v>
                </c:pt>
              </c:numCache>
            </c:numRef>
          </c:xVal>
          <c:yVal>
            <c:numRef>
              <c:f>'UNIVALLE AP4 M2'!$AJ$94:$AL$94</c:f>
              <c:numCache>
                <c:formatCode>0.000</c:formatCode>
                <c:ptCount val="3"/>
                <c:pt idx="0">
                  <c:v>6.4062171812644397</c:v>
                </c:pt>
                <c:pt idx="1">
                  <c:v>4.054567836243316</c:v>
                </c:pt>
                <c:pt idx="2">
                  <c:v>2.3921950233835565</c:v>
                </c:pt>
              </c:numCache>
            </c:numRef>
          </c:yVal>
          <c:smooth val="1"/>
          <c:extLst>
            <c:ext xmlns:c16="http://schemas.microsoft.com/office/drawing/2014/chart" uri="{C3380CC4-5D6E-409C-BE32-E72D297353CC}">
              <c16:uniqueId val="{00000001-3F4B-43E7-B4E8-63ABD2DF0FBE}"/>
            </c:ext>
          </c:extLst>
        </c:ser>
        <c:dLbls>
          <c:showLegendKey val="0"/>
          <c:showVal val="0"/>
          <c:showCatName val="0"/>
          <c:showSerName val="0"/>
          <c:showPercent val="0"/>
          <c:showBubbleSize val="0"/>
        </c:dLbls>
        <c:axId val="417040040"/>
        <c:axId val="417042784"/>
      </c:scatterChart>
      <c:valAx>
        <c:axId val="417040040"/>
        <c:scaling>
          <c:orientation val="minMax"/>
        </c:scaling>
        <c:delete val="0"/>
        <c:axPos val="b"/>
        <c:majorGridlines/>
        <c:minorGridlines>
          <c:spPr>
            <a:ln>
              <a:solidFill>
                <a:schemeClr val="bg1">
                  <a:lumMod val="95000"/>
                </a:schemeClr>
              </a:solidFill>
            </a:ln>
          </c:spPr>
        </c:minorGridlines>
        <c:title>
          <c:tx>
            <c:rich>
              <a:bodyPr/>
              <a:lstStyle/>
              <a:p>
                <a:pPr>
                  <a:defRPr/>
                </a:pPr>
                <a:r>
                  <a:rPr lang="es-CO"/>
                  <a:t>Densidad seca (g/cm3)</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400"/>
                </a:pPr>
                <a:r>
                  <a:rPr lang="es-CO" sz="1400"/>
                  <a:t>CBR Corregido</a:t>
                </a:r>
              </a:p>
              <a:p>
                <a:pPr>
                  <a:defRPr sz="1400"/>
                </a:pPr>
                <a:endParaRPr lang="es-CO" sz="1400"/>
              </a:p>
            </c:rich>
          </c:tx>
          <c:layout>
            <c:manualLayout>
              <c:xMode val="edge"/>
              <c:yMode val="edge"/>
              <c:x val="9.9715081819757839E-3"/>
              <c:y val="0.43309278834394105"/>
            </c:manualLayout>
          </c:layout>
          <c:overlay val="0"/>
        </c:title>
        <c:numFmt formatCode="0.0" sourceLinked="0"/>
        <c:majorTickMark val="out"/>
        <c:minorTickMark val="none"/>
        <c:tickLblPos val="nextTo"/>
        <c:crossAx val="417040040"/>
        <c:crosses val="autoZero"/>
        <c:crossBetween val="midCat"/>
      </c:valAx>
    </c:plotArea>
    <c:legend>
      <c:legendPos val="r"/>
      <c:layout>
        <c:manualLayout>
          <c:xMode val="edge"/>
          <c:yMode val="edge"/>
          <c:x val="0.87490655057845867"/>
          <c:y val="0.49342148694734023"/>
          <c:w val="3.1361256906250863E-2"/>
          <c:h val="0.13263033293812776"/>
        </c:manualLayout>
      </c:layout>
      <c:overlay val="0"/>
    </c:legend>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0803856248738139"/>
          <c:y val="0.13214018365623972"/>
          <c:w val="0.84131388888888892"/>
          <c:h val="0.71672673744987625"/>
        </c:manualLayout>
      </c:layout>
      <c:scatterChart>
        <c:scatterStyle val="smoothMarker"/>
        <c:varyColors val="0"/>
        <c:ser>
          <c:idx val="0"/>
          <c:order val="0"/>
          <c:tx>
            <c:v>12 golpes</c:v>
          </c:tx>
          <c:marker>
            <c:symbol val="circle"/>
            <c:size val="3"/>
            <c:spPr>
              <a:solidFill>
                <a:schemeClr val="accent6">
                  <a:lumMod val="50000"/>
                </a:schemeClr>
              </a:solidFill>
              <a:ln>
                <a:solidFill>
                  <a:schemeClr val="accent6">
                    <a:lumMod val="50000"/>
                    <a:alpha val="50000"/>
                  </a:schemeClr>
                </a:solidFill>
              </a:ln>
            </c:spPr>
          </c:marker>
          <c:xVal>
            <c:numRef>
              <c:f>'UNIVALLE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AP4 M2'!$AM$75:$AM$86</c:f>
              <c:numCache>
                <c:formatCode>0.000</c:formatCode>
                <c:ptCount val="12"/>
                <c:pt idx="0">
                  <c:v>0</c:v>
                </c:pt>
                <c:pt idx="1">
                  <c:v>0.10196687370600414</c:v>
                </c:pt>
                <c:pt idx="2">
                  <c:v>0.21790890269151139</c:v>
                </c:pt>
                <c:pt idx="3">
                  <c:v>0.34420289855072461</c:v>
                </c:pt>
                <c:pt idx="4">
                  <c:v>0.44202898550724634</c:v>
                </c:pt>
                <c:pt idx="5">
                  <c:v>0.53157349896480333</c:v>
                </c:pt>
                <c:pt idx="6">
                  <c:v>0.62577639751552794</c:v>
                </c:pt>
                <c:pt idx="7">
                  <c:v>0.71273291925465831</c:v>
                </c:pt>
                <c:pt idx="8">
                  <c:v>0.7945134575569357</c:v>
                </c:pt>
                <c:pt idx="9">
                  <c:v>1.0533126293995858</c:v>
                </c:pt>
                <c:pt idx="10">
                  <c:v>1.2613871635610765</c:v>
                </c:pt>
                <c:pt idx="11">
                  <c:v>1.4446169772256727</c:v>
                </c:pt>
              </c:numCache>
            </c:numRef>
          </c:yVal>
          <c:smooth val="1"/>
          <c:extLst>
            <c:ext xmlns:c16="http://schemas.microsoft.com/office/drawing/2014/chart" uri="{C3380CC4-5D6E-409C-BE32-E72D297353CC}">
              <c16:uniqueId val="{00000000-90F2-4035-9E0F-816824BAE3EC}"/>
            </c:ext>
          </c:extLst>
        </c:ser>
        <c:ser>
          <c:idx val="1"/>
          <c:order val="1"/>
          <c:tx>
            <c:v>26 golpes</c:v>
          </c:tx>
          <c:marker>
            <c:symbol val="circle"/>
            <c:size val="3"/>
            <c:spPr>
              <a:solidFill>
                <a:srgbClr val="00B050"/>
              </a:solidFill>
              <a:ln>
                <a:solidFill>
                  <a:srgbClr val="00B050">
                    <a:alpha val="50000"/>
                  </a:srgbClr>
                </a:solidFill>
                <a:prstDash val="solid"/>
              </a:ln>
            </c:spPr>
          </c:marker>
          <c:xVal>
            <c:numRef>
              <c:f>'UNIVALLE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AP4 M2'!$AO$75:$AO$86</c:f>
              <c:numCache>
                <c:formatCode>0.000</c:formatCode>
                <c:ptCount val="12"/>
                <c:pt idx="0">
                  <c:v>0</c:v>
                </c:pt>
                <c:pt idx="1">
                  <c:v>6.4535996016458319E-2</c:v>
                </c:pt>
                <c:pt idx="2">
                  <c:v>0.13791702701994391</c:v>
                </c:pt>
                <c:pt idx="3">
                  <c:v>0.21784993579159789</c:v>
                </c:pt>
                <c:pt idx="4">
                  <c:v>0.27976518070078882</c:v>
                </c:pt>
                <c:pt idx="5">
                  <c:v>0.33643892339544507</c:v>
                </c:pt>
                <c:pt idx="6">
                  <c:v>0.39606101108577713</c:v>
                </c:pt>
                <c:pt idx="7">
                  <c:v>0.4510967843383914</c:v>
                </c:pt>
                <c:pt idx="8">
                  <c:v>0.50285661870692144</c:v>
                </c:pt>
                <c:pt idx="9">
                  <c:v>0.66665356291113032</c:v>
                </c:pt>
                <c:pt idx="10">
                  <c:v>0.79834630605131418</c:v>
                </c:pt>
                <c:pt idx="11">
                  <c:v>0.91431454254789424</c:v>
                </c:pt>
              </c:numCache>
            </c:numRef>
          </c:yVal>
          <c:smooth val="1"/>
          <c:extLst>
            <c:ext xmlns:c16="http://schemas.microsoft.com/office/drawing/2014/chart" uri="{C3380CC4-5D6E-409C-BE32-E72D297353CC}">
              <c16:uniqueId val="{00000001-90F2-4035-9E0F-816824BAE3EC}"/>
            </c:ext>
          </c:extLst>
        </c:ser>
        <c:ser>
          <c:idx val="2"/>
          <c:order val="2"/>
          <c:tx>
            <c:v>56 golpes</c:v>
          </c:tx>
          <c:marker>
            <c:symbol val="circle"/>
            <c:size val="3"/>
            <c:spPr>
              <a:solidFill>
                <a:srgbClr val="00B050"/>
              </a:solidFill>
              <a:ln>
                <a:solidFill>
                  <a:srgbClr val="00B050">
                    <a:alpha val="50000"/>
                  </a:srgbClr>
                </a:solidFill>
                <a:prstDash val="solid"/>
              </a:ln>
            </c:spPr>
          </c:marker>
          <c:xVal>
            <c:numRef>
              <c:f>'UNIVALLE AP4 M2'!$AJ$75:$AJ$86</c:f>
              <c:numCache>
                <c:formatCode>0.000</c:formatCode>
                <c:ptCount val="12"/>
                <c:pt idx="0">
                  <c:v>5.0000000000000001E-3</c:v>
                </c:pt>
                <c:pt idx="1">
                  <c:v>2.5000000000000001E-2</c:v>
                </c:pt>
                <c:pt idx="2">
                  <c:v>0.05</c:v>
                </c:pt>
                <c:pt idx="3">
                  <c:v>7.4999999999999997E-2</c:v>
                </c:pt>
                <c:pt idx="4">
                  <c:v>0.1</c:v>
                </c:pt>
                <c:pt idx="5">
                  <c:v>0.125</c:v>
                </c:pt>
                <c:pt idx="6">
                  <c:v>0.15</c:v>
                </c:pt>
                <c:pt idx="7">
                  <c:v>0.17499999999999999</c:v>
                </c:pt>
                <c:pt idx="8">
                  <c:v>0.2</c:v>
                </c:pt>
                <c:pt idx="9">
                  <c:v>0.3</c:v>
                </c:pt>
                <c:pt idx="10">
                  <c:v>0.4</c:v>
                </c:pt>
                <c:pt idx="11">
                  <c:v>0.5</c:v>
                </c:pt>
              </c:numCache>
            </c:numRef>
          </c:xVal>
          <c:yVal>
            <c:numRef>
              <c:f>'UNIVALLE AP4 M2'!$AQ$75:$AQ$86</c:f>
              <c:numCache>
                <c:formatCode>0.000</c:formatCode>
                <c:ptCount val="12"/>
                <c:pt idx="0">
                  <c:v>0</c:v>
                </c:pt>
                <c:pt idx="1">
                  <c:v>3.8076237649710402E-2</c:v>
                </c:pt>
                <c:pt idx="2">
                  <c:v>8.137104594176689E-2</c:v>
                </c:pt>
                <c:pt idx="3">
                  <c:v>0.12853146211704275</c:v>
                </c:pt>
                <c:pt idx="4">
                  <c:v>0.16506145661346538</c:v>
                </c:pt>
                <c:pt idx="5">
                  <c:v>0.19849896480331258</c:v>
                </c:pt>
                <c:pt idx="6">
                  <c:v>0.2336759965406085</c:v>
                </c:pt>
                <c:pt idx="7">
                  <c:v>0.26614710275965092</c:v>
                </c:pt>
                <c:pt idx="8">
                  <c:v>0.29668540503708363</c:v>
                </c:pt>
                <c:pt idx="9">
                  <c:v>0.39332560211756684</c:v>
                </c:pt>
                <c:pt idx="10">
                  <c:v>0.47102432057027532</c:v>
                </c:pt>
                <c:pt idx="11">
                  <c:v>0.58126293995859213</c:v>
                </c:pt>
              </c:numCache>
            </c:numRef>
          </c:yVal>
          <c:smooth val="1"/>
          <c:extLst>
            <c:ext xmlns:c16="http://schemas.microsoft.com/office/drawing/2014/chart" uri="{C3380CC4-5D6E-409C-BE32-E72D297353CC}">
              <c16:uniqueId val="{00000002-90F2-4035-9E0F-816824BAE3EC}"/>
            </c:ext>
          </c:extLst>
        </c:ser>
        <c:dLbls>
          <c:showLegendKey val="0"/>
          <c:showVal val="0"/>
          <c:showCatName val="0"/>
          <c:showSerName val="0"/>
          <c:showPercent val="0"/>
          <c:showBubbleSize val="0"/>
        </c:dLbls>
        <c:axId val="417040040"/>
        <c:axId val="417042784"/>
      </c:scatterChart>
      <c:valAx>
        <c:axId val="417040040"/>
        <c:scaling>
          <c:orientation val="minMax"/>
          <c:min val="0"/>
        </c:scaling>
        <c:delete val="0"/>
        <c:axPos val="b"/>
        <c:majorGridlines/>
        <c:title>
          <c:tx>
            <c:rich>
              <a:bodyPr/>
              <a:lstStyle/>
              <a:p>
                <a:pPr>
                  <a:defRPr/>
                </a:pPr>
                <a:r>
                  <a:rPr lang="es-CO"/>
                  <a:t>Penetración [in]</a:t>
                </a:r>
              </a:p>
            </c:rich>
          </c:tx>
          <c:overlay val="0"/>
        </c:title>
        <c:numFmt formatCode="#,##0.00" sourceLinked="0"/>
        <c:majorTickMark val="out"/>
        <c:minorTickMark val="none"/>
        <c:tickLblPos val="nextTo"/>
        <c:txPr>
          <a:bodyPr rot="0" vert="horz"/>
          <a:lstStyle/>
          <a:p>
            <a:pPr>
              <a:defRPr/>
            </a:pPr>
            <a:endParaRPr lang="es-MX"/>
          </a:p>
        </c:txPr>
        <c:crossAx val="417042784"/>
        <c:crosses val="autoZero"/>
        <c:crossBetween val="midCat"/>
      </c:valAx>
      <c:valAx>
        <c:axId val="417042784"/>
        <c:scaling>
          <c:orientation val="minMax"/>
          <c:min val="0"/>
        </c:scaling>
        <c:delete val="0"/>
        <c:axPos val="l"/>
        <c:majorGridlines>
          <c:spPr>
            <a:ln w="6350">
              <a:solidFill>
                <a:schemeClr val="tx2">
                  <a:lumMod val="60000"/>
                  <a:lumOff val="40000"/>
                </a:schemeClr>
              </a:solidFill>
              <a:prstDash val="solid"/>
            </a:ln>
          </c:spPr>
        </c:majorGridlines>
        <c:minorGridlines>
          <c:spPr>
            <a:ln>
              <a:solidFill>
                <a:schemeClr val="bg1">
                  <a:lumMod val="95000"/>
                </a:schemeClr>
              </a:solidFill>
            </a:ln>
          </c:spPr>
        </c:minorGridlines>
        <c:title>
          <c:tx>
            <c:rich>
              <a:bodyPr/>
              <a:lstStyle/>
              <a:p>
                <a:pPr>
                  <a:defRPr sz="1600"/>
                </a:pPr>
                <a:r>
                  <a:rPr lang="es-CO" sz="1600"/>
                  <a:t> </a:t>
                </a:r>
                <a:r>
                  <a:rPr lang="es-MX" sz="1600"/>
                  <a:t>Esfuerzo</a:t>
                </a:r>
                <a:r>
                  <a:rPr lang="es-CO" sz="1600"/>
                  <a:t> [Mpa]</a:t>
                </a:r>
              </a:p>
            </c:rich>
          </c:tx>
          <c:layout>
            <c:manualLayout>
              <c:xMode val="edge"/>
              <c:yMode val="edge"/>
              <c:x val="0"/>
              <c:y val="0.37978392235854241"/>
            </c:manualLayout>
          </c:layout>
          <c:overlay val="0"/>
        </c:title>
        <c:numFmt formatCode="0.0" sourceLinked="0"/>
        <c:majorTickMark val="out"/>
        <c:minorTickMark val="none"/>
        <c:tickLblPos val="nextTo"/>
        <c:crossAx val="417040040"/>
        <c:crosses val="autoZero"/>
        <c:crossBetween val="midCat"/>
      </c:valAx>
    </c:plotArea>
    <c:plotVisOnly val="1"/>
    <c:dispBlanksAs val="gap"/>
    <c:showDLblsOverMax val="0"/>
  </c:chart>
  <c:spPr>
    <a:solidFill>
      <a:sysClr val="window" lastClr="FFFFFF"/>
    </a:solidFill>
    <a:ln w="3175" cap="flat" cmpd="sng" algn="ctr">
      <a:solidFill>
        <a:srgbClr val="70AD47"/>
      </a:solidFill>
      <a:prstDash val="solid"/>
    </a:ln>
    <a:effectLst/>
  </c:spPr>
  <c:txPr>
    <a:bodyPr/>
    <a:lstStyle/>
    <a:p>
      <a:pPr>
        <a:defRPr>
          <a:solidFill>
            <a:sysClr val="windowText" lastClr="000000"/>
          </a:solidFill>
          <a:latin typeface="+mn-lt"/>
          <a:ea typeface="+mn-ea"/>
          <a:cs typeface="+mn-cs"/>
        </a:defRPr>
      </a:pPr>
      <a:endParaRPr lang="es-MX"/>
    </a:p>
  </c:txPr>
  <c:printSettings>
    <c:headerFooter/>
    <c:pageMargins b="0.75" l="0.7" r="0.7" t="0.75" header="0.3" footer="0.3"/>
    <c:pageSetup orientation="portrait"/>
  </c:printSettings>
  <c:userShapes r:id="rId2"/>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poly"/>
            <c:order val="2"/>
            <c:dispRSqr val="0"/>
            <c:dispEq val="0"/>
          </c:trendline>
          <c:xVal>
            <c:numRef>
              <c:f>'UNIVALLE AP4 M2'!$E$34:$H$34</c:f>
              <c:numCache>
                <c:formatCode>0.00</c:formatCode>
                <c:ptCount val="4"/>
                <c:pt idx="0">
                  <c:v>17.269975361242835</c:v>
                </c:pt>
                <c:pt idx="1">
                  <c:v>20.169946068499844</c:v>
                </c:pt>
                <c:pt idx="2">
                  <c:v>23.47001721527478</c:v>
                </c:pt>
                <c:pt idx="3">
                  <c:v>26.570414854681466</c:v>
                </c:pt>
              </c:numCache>
            </c:numRef>
          </c:xVal>
          <c:yVal>
            <c:numRef>
              <c:f>'UNIVALLE AP4 M2'!$E$37:$H$37</c:f>
              <c:numCache>
                <c:formatCode>0.0000</c:formatCode>
                <c:ptCount val="4"/>
                <c:pt idx="0">
                  <c:v>1.482</c:v>
                </c:pt>
                <c:pt idx="1">
                  <c:v>1.7103999999999999</c:v>
                </c:pt>
                <c:pt idx="2">
                  <c:v>1.7200000000000002</c:v>
                </c:pt>
                <c:pt idx="3">
                  <c:v>1.2009999999999994</c:v>
                </c:pt>
              </c:numCache>
            </c:numRef>
          </c:yVal>
          <c:smooth val="1"/>
          <c:extLst>
            <c:ext xmlns:c16="http://schemas.microsoft.com/office/drawing/2014/chart" uri="{C3380CC4-5D6E-409C-BE32-E72D297353CC}">
              <c16:uniqueId val="{00000001-D5B2-4213-B3F6-EF4D32B7A8F8}"/>
            </c:ext>
          </c:extLst>
        </c:ser>
        <c:dLbls>
          <c:showLegendKey val="0"/>
          <c:showVal val="0"/>
          <c:showCatName val="0"/>
          <c:showSerName val="0"/>
          <c:showPercent val="0"/>
          <c:showBubbleSize val="0"/>
        </c:dLbls>
        <c:axId val="429962783"/>
        <c:axId val="432547791"/>
      </c:scatterChart>
      <c:valAx>
        <c:axId val="429962783"/>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32547791"/>
        <c:crosses val="autoZero"/>
        <c:crossBetween val="midCat"/>
      </c:valAx>
      <c:valAx>
        <c:axId val="432547791"/>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4299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checked="Checked"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checked="Checked"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checked="Checked"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checked="Checked" lockText="1" noThreeD="1"/>
</file>

<file path=xl/ctrlProps/ctrlProp126.xml><?xml version="1.0" encoding="utf-8"?>
<formControlPr xmlns="http://schemas.microsoft.com/office/spreadsheetml/2009/9/main" objectType="CheckBox" checked="Checked"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checked="Checked"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checked="Checked"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checked="Checked"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checked="Checked" lockText="1" noThreeD="1"/>
</file>

<file path=xl/ctrlProps/ctrlProp146.xml><?xml version="1.0" encoding="utf-8"?>
<formControlPr xmlns="http://schemas.microsoft.com/office/spreadsheetml/2009/9/main" objectType="CheckBox" checked="Checked"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checked="Checked"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checked="Checked"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checked="Checked"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checked="Checked" lockText="1" noThreeD="1"/>
</file>

<file path=xl/ctrlProps/ctrlProp176.xml><?xml version="1.0" encoding="utf-8"?>
<formControlPr xmlns="http://schemas.microsoft.com/office/spreadsheetml/2009/9/main" objectType="CheckBox" checked="Checked"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checked="Checked"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checked="Checked"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checked="Checked" lockText="1" noThreeD="1"/>
</file>

<file path=xl/ctrlProps/ctrlProp186.xml><?xml version="1.0" encoding="utf-8"?>
<formControlPr xmlns="http://schemas.microsoft.com/office/spreadsheetml/2009/9/main" objectType="CheckBox" checked="Checked"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checked="Checked"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checked="Checked"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checked="Checked" lockText="1" noThreeD="1"/>
</file>

<file path=xl/ctrlProps/ctrlProp196.xml><?xml version="1.0" encoding="utf-8"?>
<formControlPr xmlns="http://schemas.microsoft.com/office/spreadsheetml/2009/9/main" objectType="CheckBox" checked="Checked"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checked="Checked"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checked="Checked"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checked="Checked" lockText="1" noThreeD="1"/>
</file>

<file path=xl/ctrlProps/ctrlProp206.xml><?xml version="1.0" encoding="utf-8"?>
<formControlPr xmlns="http://schemas.microsoft.com/office/spreadsheetml/2009/9/main" objectType="CheckBox" checked="Checked"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checked="Checked"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checked="Checked"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checked="Checked" lockText="1" noThreeD="1"/>
</file>

<file path=xl/ctrlProps/ctrlProp216.xml><?xml version="1.0" encoding="utf-8"?>
<formControlPr xmlns="http://schemas.microsoft.com/office/spreadsheetml/2009/9/main" objectType="CheckBox" checked="Checked"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checked="Checked"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checked="Checked"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checked="Checked" lockText="1" noThreeD="1"/>
</file>

<file path=xl/ctrlProps/ctrlProp226.xml><?xml version="1.0" encoding="utf-8"?>
<formControlPr xmlns="http://schemas.microsoft.com/office/spreadsheetml/2009/9/main" objectType="CheckBox" checked="Checked"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checked="Checked"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checked="Checked"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checked="Checked" lockText="1" noThreeD="1"/>
</file>

<file path=xl/ctrlProps/ctrlProp236.xml><?xml version="1.0" encoding="utf-8"?>
<formControlPr xmlns="http://schemas.microsoft.com/office/spreadsheetml/2009/9/main" objectType="CheckBox" checked="Checked"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checked="Checked"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checked="Checked"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checked="Checked" lockText="1" noThreeD="1"/>
</file>

<file path=xl/ctrlProps/ctrlProp246.xml><?xml version="1.0" encoding="utf-8"?>
<formControlPr xmlns="http://schemas.microsoft.com/office/spreadsheetml/2009/9/main" objectType="CheckBox" checked="Checked"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checked="Checked"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checked="Checked"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checked="Checked" lockText="1" noThreeD="1"/>
</file>

<file path=xl/ctrlProps/ctrlProp256.xml><?xml version="1.0" encoding="utf-8"?>
<formControlPr xmlns="http://schemas.microsoft.com/office/spreadsheetml/2009/9/main" objectType="CheckBox" checked="Checked"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checked="Checked"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checked="Checked"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checked="Checked" lockText="1" noThreeD="1"/>
</file>

<file path=xl/ctrlProps/ctrlProp266.xml><?xml version="1.0" encoding="utf-8"?>
<formControlPr xmlns="http://schemas.microsoft.com/office/spreadsheetml/2009/9/main" objectType="CheckBox" checked="Checked"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checked="Checked"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checked="Checked"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checked="Checked" lockText="1" noThreeD="1"/>
</file>

<file path=xl/ctrlProps/ctrlProp276.xml><?xml version="1.0" encoding="utf-8"?>
<formControlPr xmlns="http://schemas.microsoft.com/office/spreadsheetml/2009/9/main" objectType="CheckBox" checked="Checked"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checked="Checked"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checked="Checked"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checked="Checked" lockText="1" noThreeD="1"/>
</file>

<file path=xl/ctrlProps/ctrlProp286.xml><?xml version="1.0" encoding="utf-8"?>
<formControlPr xmlns="http://schemas.microsoft.com/office/spreadsheetml/2009/9/main" objectType="CheckBox" checked="Checked"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checked="Checked"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checked="Checked"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checked="Checked" lockText="1" noThreeD="1"/>
</file>

<file path=xl/ctrlProps/ctrlProp296.xml><?xml version="1.0" encoding="utf-8"?>
<formControlPr xmlns="http://schemas.microsoft.com/office/spreadsheetml/2009/9/main" objectType="CheckBox" checked="Checked"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checked="Checked"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checked="Checked"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checked="Checked" lockText="1" noThreeD="1"/>
</file>

<file path=xl/ctrlProps/ctrlProp306.xml><?xml version="1.0" encoding="utf-8"?>
<formControlPr xmlns="http://schemas.microsoft.com/office/spreadsheetml/2009/9/main" objectType="CheckBox" checked="Checked"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checked="Checked"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checked="Checked"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checked="Checked" lockText="1" noThreeD="1"/>
</file>

<file path=xl/ctrlProps/ctrlProp316.xml><?xml version="1.0" encoding="utf-8"?>
<formControlPr xmlns="http://schemas.microsoft.com/office/spreadsheetml/2009/9/main" objectType="CheckBox" checked="Checked"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checked="Checked"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checked="Checked"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checked="Checked" lockText="1" noThreeD="1"/>
</file>

<file path=xl/ctrlProps/ctrlProp326.xml><?xml version="1.0" encoding="utf-8"?>
<formControlPr xmlns="http://schemas.microsoft.com/office/spreadsheetml/2009/9/main" objectType="CheckBox" checked="Checked"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checked="Checked"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checked="Checked"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checked="Checked" lockText="1" noThreeD="1"/>
</file>

<file path=xl/ctrlProps/ctrlProp336.xml><?xml version="1.0" encoding="utf-8"?>
<formControlPr xmlns="http://schemas.microsoft.com/office/spreadsheetml/2009/9/main" objectType="CheckBox" checked="Checked"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checked="Checked"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checked="Checked"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checked="Checked" lockText="1" noThreeD="1"/>
</file>

<file path=xl/ctrlProps/ctrlProp346.xml><?xml version="1.0" encoding="utf-8"?>
<formControlPr xmlns="http://schemas.microsoft.com/office/spreadsheetml/2009/9/main" objectType="CheckBox" checked="Checked"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checked="Checked"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checked="Checked"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checked="Checked" lockText="1" noThreeD="1"/>
</file>

<file path=xl/ctrlProps/ctrlProp356.xml><?xml version="1.0" encoding="utf-8"?>
<formControlPr xmlns="http://schemas.microsoft.com/office/spreadsheetml/2009/9/main" objectType="CheckBox" checked="Checked"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checked="Checked"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checked="Checked"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checked="Checked" lockText="1" noThreeD="1"/>
</file>

<file path=xl/ctrlProps/ctrlProp366.xml><?xml version="1.0" encoding="utf-8"?>
<formControlPr xmlns="http://schemas.microsoft.com/office/spreadsheetml/2009/9/main" objectType="CheckBox" checked="Checked"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checked="Checked"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checked="Checked"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checked="Checked" lockText="1" noThreeD="1"/>
</file>

<file path=xl/ctrlProps/ctrlProp376.xml><?xml version="1.0" encoding="utf-8"?>
<formControlPr xmlns="http://schemas.microsoft.com/office/spreadsheetml/2009/9/main" objectType="CheckBox" checked="Checked"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checked="Checked"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checked="Checked"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checked="Checked" lockText="1" noThreeD="1"/>
</file>

<file path=xl/ctrlProps/ctrlProp386.xml><?xml version="1.0" encoding="utf-8"?>
<formControlPr xmlns="http://schemas.microsoft.com/office/spreadsheetml/2009/9/main" objectType="CheckBox" checked="Checked"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checked="Checked"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checked="Checked"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checked="Checked" lockText="1" noThreeD="1"/>
</file>

<file path=xl/ctrlProps/ctrlProp396.xml><?xml version="1.0" encoding="utf-8"?>
<formControlPr xmlns="http://schemas.microsoft.com/office/spreadsheetml/2009/9/main" objectType="CheckBox" checked="Checked"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checked="Checked"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checked="Checked"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lockText="1" noThreeD="1"/>
</file>

<file path=xl/ctrlProps/ctrlProp405.xml><?xml version="1.0" encoding="utf-8"?>
<formControlPr xmlns="http://schemas.microsoft.com/office/spreadsheetml/2009/9/main" objectType="CheckBox" checked="Checked" lockText="1" noThreeD="1"/>
</file>

<file path=xl/ctrlProps/ctrlProp406.xml><?xml version="1.0" encoding="utf-8"?>
<formControlPr xmlns="http://schemas.microsoft.com/office/spreadsheetml/2009/9/main" objectType="CheckBox" checked="Checked"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checked="Checked"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checked="Checked"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checked="Checked" lockText="1" noThreeD="1"/>
</file>

<file path=xl/ctrlProps/ctrlProp416.xml><?xml version="1.0" encoding="utf-8"?>
<formControlPr xmlns="http://schemas.microsoft.com/office/spreadsheetml/2009/9/main" objectType="CheckBox" checked="Checked"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checked="Checked"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checked="Checked"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checked="Checked" lockText="1" noThreeD="1"/>
</file>

<file path=xl/ctrlProps/ctrlProp426.xml><?xml version="1.0" encoding="utf-8"?>
<formControlPr xmlns="http://schemas.microsoft.com/office/spreadsheetml/2009/9/main" objectType="CheckBox" checked="Checked" lockText="1" noThreeD="1"/>
</file>

<file path=xl/ctrlProps/ctrlProp427.xml><?xml version="1.0" encoding="utf-8"?>
<formControlPr xmlns="http://schemas.microsoft.com/office/spreadsheetml/2009/9/main" objectType="CheckBox"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checked="Checked"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checked="Checked"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checked="Checked" lockText="1" noThreeD="1"/>
</file>

<file path=xl/ctrlProps/ctrlProp436.xml><?xml version="1.0" encoding="utf-8"?>
<formControlPr xmlns="http://schemas.microsoft.com/office/spreadsheetml/2009/9/main" objectType="CheckBox" checked="Checked"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checked="Checked"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checked="Checked"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checked="Checked" lockText="1" noThreeD="1"/>
</file>

<file path=xl/ctrlProps/ctrlProp446.xml><?xml version="1.0" encoding="utf-8"?>
<formControlPr xmlns="http://schemas.microsoft.com/office/spreadsheetml/2009/9/main" objectType="CheckBox" checked="Checked"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checked="Checked"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checked="Checked"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checked="Checked" lockText="1" noThreeD="1"/>
</file>

<file path=xl/ctrlProps/ctrlProp456.xml><?xml version="1.0" encoding="utf-8"?>
<formControlPr xmlns="http://schemas.microsoft.com/office/spreadsheetml/2009/9/main" objectType="CheckBox" checked="Checked"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checked="Checked"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checked="Checked"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checked="Checked" lockText="1" noThreeD="1"/>
</file>

<file path=xl/ctrlProps/ctrlProp466.xml><?xml version="1.0" encoding="utf-8"?>
<formControlPr xmlns="http://schemas.microsoft.com/office/spreadsheetml/2009/9/main" objectType="CheckBox" checked="Checked"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checked="Checked"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checked="Checked"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checked="Checked" lockText="1" noThreeD="1"/>
</file>

<file path=xl/ctrlProps/ctrlProp476.xml><?xml version="1.0" encoding="utf-8"?>
<formControlPr xmlns="http://schemas.microsoft.com/office/spreadsheetml/2009/9/main" objectType="CheckBox" checked="Checked"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checked="Checked"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checked="Checked"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checked="Checked" lockText="1" noThreeD="1"/>
</file>

<file path=xl/ctrlProps/ctrlProp486.xml><?xml version="1.0" encoding="utf-8"?>
<formControlPr xmlns="http://schemas.microsoft.com/office/spreadsheetml/2009/9/main" objectType="CheckBox" checked="Checked"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checked="Checked"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checked="Checked"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checked="Checked" lockText="1" noThreeD="1"/>
</file>

<file path=xl/ctrlProps/ctrlProp496.xml><?xml version="1.0" encoding="utf-8"?>
<formControlPr xmlns="http://schemas.microsoft.com/office/spreadsheetml/2009/9/main" objectType="CheckBox" checked="Checked"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checked="Checked"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checked="Checked"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checked="Checked" lockText="1" noThreeD="1"/>
</file>

<file path=xl/ctrlProps/ctrlProp506.xml><?xml version="1.0" encoding="utf-8"?>
<formControlPr xmlns="http://schemas.microsoft.com/office/spreadsheetml/2009/9/main" objectType="CheckBox" checked="Checked"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checked="Checked"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checked="Checked"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checked="Checked" lockText="1" noThreeD="1"/>
</file>

<file path=xl/ctrlProps/ctrlProp516.xml><?xml version="1.0" encoding="utf-8"?>
<formControlPr xmlns="http://schemas.microsoft.com/office/spreadsheetml/2009/9/main" objectType="CheckBox" checked="Checked"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checked="Checked"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checked="Checked"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checked="Checked" lockText="1" noThreeD="1"/>
</file>

<file path=xl/ctrlProps/ctrlProp526.xml><?xml version="1.0" encoding="utf-8"?>
<formControlPr xmlns="http://schemas.microsoft.com/office/spreadsheetml/2009/9/main" objectType="CheckBox" checked="Checked"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checked="Checked"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checked="Checked"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checked="Checked" lockText="1" noThreeD="1"/>
</file>

<file path=xl/ctrlProps/ctrlProp536.xml><?xml version="1.0" encoding="utf-8"?>
<formControlPr xmlns="http://schemas.microsoft.com/office/spreadsheetml/2009/9/main" objectType="CheckBox" checked="Checked"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checked="Checked"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checked="Checked"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checked="Checked" lockText="1" noThreeD="1"/>
</file>

<file path=xl/ctrlProps/ctrlProp546.xml><?xml version="1.0" encoding="utf-8"?>
<formControlPr xmlns="http://schemas.microsoft.com/office/spreadsheetml/2009/9/main" objectType="CheckBox" checked="Checked"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checked="Checked"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checked="Checked"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checked="Checked" lockText="1" noThreeD="1"/>
</file>

<file path=xl/ctrlProps/ctrlProp556.xml><?xml version="1.0" encoding="utf-8"?>
<formControlPr xmlns="http://schemas.microsoft.com/office/spreadsheetml/2009/9/main" objectType="CheckBox" checked="Checked"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checked="Checked"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checked="Checked"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checked="Checked" lockText="1" noThreeD="1"/>
</file>

<file path=xl/ctrlProps/ctrlProp566.xml><?xml version="1.0" encoding="utf-8"?>
<formControlPr xmlns="http://schemas.microsoft.com/office/spreadsheetml/2009/9/main" objectType="CheckBox" checked="Checked"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lockText="1" noThreeD="1"/>
</file>

<file path=xl/ctrlProps/ctrlProp570.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chart" Target="../charts/chart1.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10" Type="http://schemas.microsoft.com/office/2007/relationships/hdphoto" Target="../media/hdphoto1.wdp"/><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9.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image" Target="../media/image4.png"/><Relationship Id="rId9" Type="http://schemas.openxmlformats.org/officeDocument/2006/relationships/image" Target="../media/image9.png"/></Relationships>
</file>

<file path=xl/drawings/_rels/drawing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1.xml"/><Relationship Id="rId5" Type="http://schemas.openxmlformats.org/officeDocument/2006/relationships/chart" Target="../charts/chart1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4.xml"/><Relationship Id="rId5" Type="http://schemas.openxmlformats.org/officeDocument/2006/relationships/chart" Target="../charts/chart13.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7.xml"/><Relationship Id="rId5" Type="http://schemas.openxmlformats.org/officeDocument/2006/relationships/chart" Target="../charts/chart1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2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0.xml"/><Relationship Id="rId5" Type="http://schemas.openxmlformats.org/officeDocument/2006/relationships/chart" Target="../charts/chart19.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2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3.xml"/><Relationship Id="rId5" Type="http://schemas.openxmlformats.org/officeDocument/2006/relationships/chart" Target="../charts/chart2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27.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3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9.xml"/><Relationship Id="rId5" Type="http://schemas.openxmlformats.org/officeDocument/2006/relationships/chart" Target="../charts/chart2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2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3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2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3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5.xml"/><Relationship Id="rId5" Type="http://schemas.openxmlformats.org/officeDocument/2006/relationships/chart" Target="../charts/chart3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2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39.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8.xml"/><Relationship Id="rId5" Type="http://schemas.openxmlformats.org/officeDocument/2006/relationships/chart" Target="../charts/chart37.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2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4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1.xml"/><Relationship Id="rId5" Type="http://schemas.openxmlformats.org/officeDocument/2006/relationships/chart" Target="../charts/chart4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2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4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4.xml"/><Relationship Id="rId5" Type="http://schemas.openxmlformats.org/officeDocument/2006/relationships/chart" Target="../charts/chart43.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3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4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7.xml"/><Relationship Id="rId5" Type="http://schemas.openxmlformats.org/officeDocument/2006/relationships/chart" Target="../charts/chart4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33.xml.rels><?xml version="1.0" encoding="UTF-8" standalone="yes"?>
<Relationships xmlns="http://schemas.openxmlformats.org/package/2006/relationships"><Relationship Id="rId8" Type="http://schemas.openxmlformats.org/officeDocument/2006/relationships/chart" Target="../charts/chart52.xml"/><Relationship Id="rId3" Type="http://schemas.openxmlformats.org/officeDocument/2006/relationships/image" Target="../media/image3.png"/><Relationship Id="rId7" Type="http://schemas.openxmlformats.org/officeDocument/2006/relationships/chart" Target="../charts/chart5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50.xml"/><Relationship Id="rId5" Type="http://schemas.openxmlformats.org/officeDocument/2006/relationships/chart" Target="../charts/chart49.xml"/><Relationship Id="rId4" Type="http://schemas.openxmlformats.org/officeDocument/2006/relationships/image" Target="../media/image4.png"/></Relationships>
</file>

<file path=xl/drawings/_rels/drawing3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5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3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5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57.xml"/><Relationship Id="rId11" Type="http://schemas.openxmlformats.org/officeDocument/2006/relationships/chart" Target="../charts/chart59.xml"/><Relationship Id="rId5" Type="http://schemas.openxmlformats.org/officeDocument/2006/relationships/chart" Target="../charts/chart5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3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6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61.xml"/><Relationship Id="rId5" Type="http://schemas.openxmlformats.org/officeDocument/2006/relationships/chart" Target="../charts/chart6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4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65.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64.xml"/><Relationship Id="rId5" Type="http://schemas.openxmlformats.org/officeDocument/2006/relationships/chart" Target="../charts/chart63.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4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6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67.xml"/><Relationship Id="rId11" Type="http://schemas.openxmlformats.org/officeDocument/2006/relationships/chart" Target="../charts/chart69.xml"/><Relationship Id="rId5" Type="http://schemas.openxmlformats.org/officeDocument/2006/relationships/chart" Target="../charts/chart6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4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7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71.xml"/><Relationship Id="rId11" Type="http://schemas.openxmlformats.org/officeDocument/2006/relationships/chart" Target="../charts/chart73.xml"/><Relationship Id="rId5" Type="http://schemas.openxmlformats.org/officeDocument/2006/relationships/chart" Target="../charts/chart7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4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7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75.xml"/><Relationship Id="rId11" Type="http://schemas.openxmlformats.org/officeDocument/2006/relationships/chart" Target="../charts/chart77.xml"/><Relationship Id="rId5" Type="http://schemas.openxmlformats.org/officeDocument/2006/relationships/chart" Target="../charts/chart7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4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8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79.xml"/><Relationship Id="rId11" Type="http://schemas.openxmlformats.org/officeDocument/2006/relationships/chart" Target="../charts/chart81.xml"/><Relationship Id="rId5" Type="http://schemas.openxmlformats.org/officeDocument/2006/relationships/chart" Target="../charts/chart7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5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8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83.xml"/><Relationship Id="rId11" Type="http://schemas.openxmlformats.org/officeDocument/2006/relationships/chart" Target="../charts/chart85.xml"/><Relationship Id="rId5" Type="http://schemas.openxmlformats.org/officeDocument/2006/relationships/chart" Target="../charts/chart8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5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8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87.xml"/><Relationship Id="rId11" Type="http://schemas.openxmlformats.org/officeDocument/2006/relationships/chart" Target="../charts/chart89.xml"/><Relationship Id="rId5" Type="http://schemas.openxmlformats.org/officeDocument/2006/relationships/chart" Target="../charts/chart8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5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9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91.xml"/><Relationship Id="rId11" Type="http://schemas.openxmlformats.org/officeDocument/2006/relationships/chart" Target="../charts/chart93.xml"/><Relationship Id="rId5" Type="http://schemas.openxmlformats.org/officeDocument/2006/relationships/chart" Target="../charts/chart9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5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9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95.xml"/><Relationship Id="rId11" Type="http://schemas.openxmlformats.org/officeDocument/2006/relationships/chart" Target="../charts/chart97.xml"/><Relationship Id="rId5" Type="http://schemas.openxmlformats.org/officeDocument/2006/relationships/chart" Target="../charts/chart9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5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0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99.xml"/><Relationship Id="rId11" Type="http://schemas.openxmlformats.org/officeDocument/2006/relationships/chart" Target="../charts/chart101.xml"/><Relationship Id="rId5" Type="http://schemas.openxmlformats.org/officeDocument/2006/relationships/chart" Target="../charts/chart9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6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0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03.xml"/><Relationship Id="rId11" Type="http://schemas.openxmlformats.org/officeDocument/2006/relationships/chart" Target="../charts/chart105.xml"/><Relationship Id="rId5" Type="http://schemas.openxmlformats.org/officeDocument/2006/relationships/chart" Target="../charts/chart10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6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0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07.xml"/><Relationship Id="rId11" Type="http://schemas.openxmlformats.org/officeDocument/2006/relationships/chart" Target="../charts/chart109.xml"/><Relationship Id="rId5" Type="http://schemas.openxmlformats.org/officeDocument/2006/relationships/chart" Target="../charts/chart10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6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1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11.xml"/><Relationship Id="rId11" Type="http://schemas.openxmlformats.org/officeDocument/2006/relationships/chart" Target="../charts/chart113.xml"/><Relationship Id="rId5" Type="http://schemas.openxmlformats.org/officeDocument/2006/relationships/chart" Target="../charts/chart11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6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1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15.xml"/><Relationship Id="rId11" Type="http://schemas.openxmlformats.org/officeDocument/2006/relationships/chart" Target="../charts/chart117.xml"/><Relationship Id="rId5" Type="http://schemas.openxmlformats.org/officeDocument/2006/relationships/chart" Target="../charts/chart11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6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2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19.xml"/><Relationship Id="rId11" Type="http://schemas.openxmlformats.org/officeDocument/2006/relationships/chart" Target="../charts/chart121.xml"/><Relationship Id="rId5" Type="http://schemas.openxmlformats.org/officeDocument/2006/relationships/chart" Target="../charts/chart11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7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2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23.xml"/><Relationship Id="rId11" Type="http://schemas.openxmlformats.org/officeDocument/2006/relationships/chart" Target="../charts/chart125.xml"/><Relationship Id="rId5" Type="http://schemas.openxmlformats.org/officeDocument/2006/relationships/chart" Target="../charts/chart12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7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2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27.xml"/><Relationship Id="rId11" Type="http://schemas.openxmlformats.org/officeDocument/2006/relationships/chart" Target="../charts/chart129.xml"/><Relationship Id="rId5" Type="http://schemas.openxmlformats.org/officeDocument/2006/relationships/chart" Target="../charts/chart12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7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3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31.xml"/><Relationship Id="rId11" Type="http://schemas.openxmlformats.org/officeDocument/2006/relationships/chart" Target="../charts/chart133.xml"/><Relationship Id="rId5" Type="http://schemas.openxmlformats.org/officeDocument/2006/relationships/chart" Target="../charts/chart13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7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3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35.xml"/><Relationship Id="rId11" Type="http://schemas.openxmlformats.org/officeDocument/2006/relationships/chart" Target="../charts/chart137.xml"/><Relationship Id="rId5" Type="http://schemas.openxmlformats.org/officeDocument/2006/relationships/chart" Target="../charts/chart13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7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4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39.xml"/><Relationship Id="rId11" Type="http://schemas.openxmlformats.org/officeDocument/2006/relationships/chart" Target="../charts/chart141.xml"/><Relationship Id="rId5" Type="http://schemas.openxmlformats.org/officeDocument/2006/relationships/chart" Target="../charts/chart13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8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4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43.xml"/><Relationship Id="rId11" Type="http://schemas.openxmlformats.org/officeDocument/2006/relationships/chart" Target="../charts/chart145.xml"/><Relationship Id="rId5" Type="http://schemas.openxmlformats.org/officeDocument/2006/relationships/chart" Target="../charts/chart14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8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4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47.xml"/><Relationship Id="rId11" Type="http://schemas.openxmlformats.org/officeDocument/2006/relationships/chart" Target="../charts/chart149.xml"/><Relationship Id="rId5" Type="http://schemas.openxmlformats.org/officeDocument/2006/relationships/chart" Target="../charts/chart14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8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5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51.xml"/><Relationship Id="rId11" Type="http://schemas.openxmlformats.org/officeDocument/2006/relationships/chart" Target="../charts/chart153.xml"/><Relationship Id="rId5" Type="http://schemas.openxmlformats.org/officeDocument/2006/relationships/chart" Target="../charts/chart15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8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5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55.xml"/><Relationship Id="rId11" Type="http://schemas.openxmlformats.org/officeDocument/2006/relationships/chart" Target="../charts/chart157.xml"/><Relationship Id="rId5" Type="http://schemas.openxmlformats.org/officeDocument/2006/relationships/chart" Target="../charts/chart15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8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6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59.xml"/><Relationship Id="rId11" Type="http://schemas.openxmlformats.org/officeDocument/2006/relationships/chart" Target="../charts/chart161.xml"/><Relationship Id="rId5" Type="http://schemas.openxmlformats.org/officeDocument/2006/relationships/chart" Target="../charts/chart15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9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6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63.xml"/><Relationship Id="rId11" Type="http://schemas.openxmlformats.org/officeDocument/2006/relationships/chart" Target="../charts/chart165.xml"/><Relationship Id="rId5" Type="http://schemas.openxmlformats.org/officeDocument/2006/relationships/chart" Target="../charts/chart16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9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6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67.xml"/><Relationship Id="rId11" Type="http://schemas.openxmlformats.org/officeDocument/2006/relationships/chart" Target="../charts/chart169.xml"/><Relationship Id="rId5" Type="http://schemas.openxmlformats.org/officeDocument/2006/relationships/chart" Target="../charts/chart16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9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7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71.xml"/><Relationship Id="rId11" Type="http://schemas.openxmlformats.org/officeDocument/2006/relationships/chart" Target="../charts/chart173.xml"/><Relationship Id="rId5" Type="http://schemas.openxmlformats.org/officeDocument/2006/relationships/chart" Target="../charts/chart17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9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7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75.xml"/><Relationship Id="rId11" Type="http://schemas.openxmlformats.org/officeDocument/2006/relationships/chart" Target="../charts/chart177.xml"/><Relationship Id="rId5" Type="http://schemas.openxmlformats.org/officeDocument/2006/relationships/chart" Target="../charts/chart17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9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8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79.xml"/><Relationship Id="rId11" Type="http://schemas.openxmlformats.org/officeDocument/2006/relationships/chart" Target="../charts/chart181.xml"/><Relationship Id="rId5" Type="http://schemas.openxmlformats.org/officeDocument/2006/relationships/chart" Target="../charts/chart17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0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8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83.xml"/><Relationship Id="rId11" Type="http://schemas.openxmlformats.org/officeDocument/2006/relationships/chart" Target="../charts/chart185.xml"/><Relationship Id="rId5" Type="http://schemas.openxmlformats.org/officeDocument/2006/relationships/chart" Target="../charts/chart18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0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8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87.xml"/><Relationship Id="rId11" Type="http://schemas.openxmlformats.org/officeDocument/2006/relationships/chart" Target="../charts/chart189.xml"/><Relationship Id="rId5" Type="http://schemas.openxmlformats.org/officeDocument/2006/relationships/chart" Target="../charts/chart18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0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9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91.xml"/><Relationship Id="rId11" Type="http://schemas.openxmlformats.org/officeDocument/2006/relationships/chart" Target="../charts/chart193.xml"/><Relationship Id="rId5" Type="http://schemas.openxmlformats.org/officeDocument/2006/relationships/chart" Target="../charts/chart190.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07.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19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95.xml"/><Relationship Id="rId11" Type="http://schemas.openxmlformats.org/officeDocument/2006/relationships/chart" Target="../charts/chart197.xml"/><Relationship Id="rId5" Type="http://schemas.openxmlformats.org/officeDocument/2006/relationships/chart" Target="../charts/chart194.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09.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200.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99.xml"/><Relationship Id="rId11" Type="http://schemas.openxmlformats.org/officeDocument/2006/relationships/chart" Target="../charts/chart201.xml"/><Relationship Id="rId5" Type="http://schemas.openxmlformats.org/officeDocument/2006/relationships/chart" Target="../charts/chart198.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1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20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03.xml"/><Relationship Id="rId11" Type="http://schemas.openxmlformats.org/officeDocument/2006/relationships/chart" Target="../charts/chart205.xml"/><Relationship Id="rId5" Type="http://schemas.openxmlformats.org/officeDocument/2006/relationships/chart" Target="../charts/chart202.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_rels/drawing113.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chart" Target="../charts/chart20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07.xml"/><Relationship Id="rId11" Type="http://schemas.openxmlformats.org/officeDocument/2006/relationships/chart" Target="../charts/chart209.xml"/><Relationship Id="rId5" Type="http://schemas.openxmlformats.org/officeDocument/2006/relationships/chart" Target="../charts/chart206.xml"/><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07521" name="Check Box 1" hidden="1">
              <a:extLst>
                <a:ext uri="{63B3BB69-23CF-44E3-9099-C40C66FF867C}">
                  <a14:compatExt spid="_x0000_s107521"/>
                </a:ext>
                <a:ext uri="{FF2B5EF4-FFF2-40B4-BE49-F238E27FC236}">
                  <a16:creationId xmlns:a16="http://schemas.microsoft.com/office/drawing/2014/main" id="{00000000-0008-0000-0000-000001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07522" name="Check Box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07523" name="Check Box 3" hidden="1">
              <a:extLst>
                <a:ext uri="{63B3BB69-23CF-44E3-9099-C40C66FF867C}">
                  <a14:compatExt spid="_x0000_s107523"/>
                </a:ext>
                <a:ext uri="{FF2B5EF4-FFF2-40B4-BE49-F238E27FC236}">
                  <a16:creationId xmlns:a16="http://schemas.microsoft.com/office/drawing/2014/main" id="{00000000-0008-0000-0000-000003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07524" name="Check Box 4" hidden="1">
              <a:extLst>
                <a:ext uri="{63B3BB69-23CF-44E3-9099-C40C66FF867C}">
                  <a14:compatExt spid="_x0000_s107524"/>
                </a:ext>
                <a:ext uri="{FF2B5EF4-FFF2-40B4-BE49-F238E27FC236}">
                  <a16:creationId xmlns:a16="http://schemas.microsoft.com/office/drawing/2014/main" id="{00000000-0008-0000-0000-000004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07525" name="Check Box 5" hidden="1">
              <a:extLst>
                <a:ext uri="{63B3BB69-23CF-44E3-9099-C40C66FF867C}">
                  <a14:compatExt spid="_x0000_s107525"/>
                </a:ext>
                <a:ext uri="{FF2B5EF4-FFF2-40B4-BE49-F238E27FC236}">
                  <a16:creationId xmlns:a16="http://schemas.microsoft.com/office/drawing/2014/main" id="{00000000-0008-0000-0000-000005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0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07526" name="Check Box 6" hidden="1">
              <a:extLst>
                <a:ext uri="{63B3BB69-23CF-44E3-9099-C40C66FF867C}">
                  <a14:compatExt spid="_x0000_s107526"/>
                </a:ext>
                <a:ext uri="{FF2B5EF4-FFF2-40B4-BE49-F238E27FC236}">
                  <a16:creationId xmlns:a16="http://schemas.microsoft.com/office/drawing/2014/main" id="{00000000-0008-0000-0000-000006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07527" name="Check Box 7" hidden="1">
              <a:extLst>
                <a:ext uri="{63B3BB69-23CF-44E3-9099-C40C66FF867C}">
                  <a14:compatExt spid="_x0000_s107527"/>
                </a:ext>
                <a:ext uri="{FF2B5EF4-FFF2-40B4-BE49-F238E27FC236}">
                  <a16:creationId xmlns:a16="http://schemas.microsoft.com/office/drawing/2014/main" id="{00000000-0008-0000-0000-000007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07528" name="Check Box 8" hidden="1">
              <a:extLst>
                <a:ext uri="{63B3BB69-23CF-44E3-9099-C40C66FF867C}">
                  <a14:compatExt spid="_x0000_s107528"/>
                </a:ext>
                <a:ext uri="{FF2B5EF4-FFF2-40B4-BE49-F238E27FC236}">
                  <a16:creationId xmlns:a16="http://schemas.microsoft.com/office/drawing/2014/main" id="{00000000-0008-0000-0000-000008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07529" name="Check Box 9" hidden="1">
              <a:extLst>
                <a:ext uri="{63B3BB69-23CF-44E3-9099-C40C66FF867C}">
                  <a14:compatExt spid="_x0000_s107529"/>
                </a:ext>
                <a:ext uri="{FF2B5EF4-FFF2-40B4-BE49-F238E27FC236}">
                  <a16:creationId xmlns:a16="http://schemas.microsoft.com/office/drawing/2014/main" id="{00000000-0008-0000-0000-000009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07530" name="Check Box 10" hidden="1">
              <a:extLst>
                <a:ext uri="{63B3BB69-23CF-44E3-9099-C40C66FF867C}">
                  <a14:compatExt spid="_x0000_s107530"/>
                </a:ext>
                <a:ext uri="{FF2B5EF4-FFF2-40B4-BE49-F238E27FC236}">
                  <a16:creationId xmlns:a16="http://schemas.microsoft.com/office/drawing/2014/main" id="{00000000-0008-0000-0000-00000AA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0345" y="78441"/>
          <a:ext cx="3122920" cy="881430"/>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742369" y="91195"/>
          <a:ext cx="3007877" cy="8266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285750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285750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285750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5" name="Flecha: hacia abajo 4">
          <a:extLst>
            <a:ext uri="{FF2B5EF4-FFF2-40B4-BE49-F238E27FC236}">
              <a16:creationId xmlns:a16="http://schemas.microsoft.com/office/drawing/2014/main" id="{00000000-0008-0000-0100-000005000000}"/>
            </a:ext>
          </a:extLst>
        </xdr:cNvPr>
        <xdr:cNvSpPr/>
      </xdr:nvSpPr>
      <xdr:spPr>
        <a:xfrm>
          <a:off x="5191125" y="14630400"/>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7782</xdr:rowOff>
    </xdr:to>
    <xdr:pic>
      <xdr:nvPicPr>
        <xdr:cNvPr id="6" name="Imagen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7734714" y="20664279"/>
          <a:ext cx="7493268" cy="331549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7" name="Imagen 6">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734761" y="15422217"/>
          <a:ext cx="3747139" cy="9682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8" name="Imagen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486282" y="18047804"/>
          <a:ext cx="2981325"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17807</xdr:colOff>
      <xdr:row>38</xdr:row>
      <xdr:rowOff>15323</xdr:rowOff>
    </xdr:from>
    <xdr:to>
      <xdr:col>7</xdr:col>
      <xdr:colOff>1564822</xdr:colOff>
      <xdr:row>57</xdr:row>
      <xdr:rowOff>122464</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285750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1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285750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1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1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1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1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10" name="7 Gráfico">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1" name="7 Gráfico">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8"/>
        <a:srcRect l="88188"/>
        <a:stretch/>
      </xdr:blipFill>
      <xdr:spPr>
        <a:xfrm>
          <a:off x="13657427" y="11249523"/>
          <a:ext cx="2929679" cy="1112763"/>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8"/>
        <a:srcRect l="88188"/>
        <a:stretch/>
      </xdr:blipFill>
      <xdr:spPr>
        <a:xfrm>
          <a:off x="33142858" y="14056180"/>
          <a:ext cx="2412606" cy="932288"/>
        </a:xfrm>
        <a:prstGeom prst="rect">
          <a:avLst/>
        </a:prstGeom>
      </xdr:spPr>
    </xdr:pic>
    <xdr:clientData/>
  </xdr:twoCellAnchor>
  <xdr:twoCellAnchor editAs="oneCell">
    <xdr:from>
      <xdr:col>9</xdr:col>
      <xdr:colOff>1555443</xdr:colOff>
      <xdr:row>53</xdr:row>
      <xdr:rowOff>285751</xdr:rowOff>
    </xdr:from>
    <xdr:to>
      <xdr:col>10</xdr:col>
      <xdr:colOff>1905001</xdr:colOff>
      <xdr:row>57</xdr:row>
      <xdr:rowOff>111486</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backgroundRemoval t="16000" b="92000" l="11467" r="91867">
                      <a14:foregroundMark x1="78667" y1="31875" x2="76133" y2="55750"/>
                      <a14:foregroundMark x1="83400" y1="31250" x2="84933" y2="54375"/>
                      <a14:foregroundMark x1="22200" y1="64500" x2="41133" y2="16750"/>
                      <a14:foregroundMark x1="40200" y1="21125" x2="26667" y2="24750"/>
                      <a14:foregroundMark x1="20000" y1="47125" x2="41800" y2="40625"/>
                      <a14:foregroundMark x1="35800" y1="92000" x2="50933" y2="24750"/>
                      <a14:foregroundMark x1="17200" y1="62250" x2="25067" y2="56500"/>
                      <a14:foregroundMark x1="18133" y1="65875" x2="90200" y2="57000"/>
                      <a14:foregroundMark x1="90200" y1="57000" x2="55867" y2="17500"/>
                      <a14:foregroundMark x1="55867" y1="17500" x2="18067" y2="22500"/>
                      <a14:foregroundMark x1="18067" y1="22500" x2="11533" y2="78875"/>
                      <a14:foregroundMark x1="85267" y1="42000" x2="88733" y2="55750"/>
                      <a14:foregroundMark x1="88733" y1="42750" x2="90333" y2="41375"/>
                      <a14:foregroundMark x1="87800" y1="42000" x2="90000" y2="60875"/>
                      <a14:foregroundMark x1="84933" y1="24000" x2="89667" y2="60125"/>
                      <a14:foregroundMark x1="78933" y1="28375" x2="91867" y2="64500"/>
                      <a14:foregroundMark x1="83667" y1="23250" x2="90333" y2="64500"/>
                      <a14:foregroundMark x1="88733" y1="70250" x2="90600" y2="30500"/>
                      <a14:foregroundMark x1="91267" y1="63000" x2="91267" y2="34125"/>
                    </a14:backgroundRemoval>
                  </a14:imgEffect>
                </a14:imgLayer>
              </a14:imgProps>
            </a:ext>
            <a:ext uri="{28A0092B-C50C-407E-A947-70E740481C1C}">
              <a14:useLocalDpi xmlns:a14="http://schemas.microsoft.com/office/drawing/2010/main" val="0"/>
            </a:ext>
          </a:extLst>
        </a:blip>
        <a:srcRect l="9620" t="7343" r="7167" b="5880"/>
        <a:stretch/>
      </xdr:blipFill>
      <xdr:spPr>
        <a:xfrm>
          <a:off x="13556943" y="13756822"/>
          <a:ext cx="2744415" cy="1254485"/>
        </a:xfrm>
        <a:prstGeom prst="rect">
          <a:avLst/>
        </a:prstGeom>
      </xdr:spPr>
    </xdr:pic>
    <xdr:clientData/>
  </xdr:twoCellAnchor>
  <xdr:twoCellAnchor editAs="oneCell">
    <xdr:from>
      <xdr:col>31</xdr:col>
      <xdr:colOff>340178</xdr:colOff>
      <xdr:row>55</xdr:row>
      <xdr:rowOff>381000</xdr:rowOff>
    </xdr:from>
    <xdr:to>
      <xdr:col>33</xdr:col>
      <xdr:colOff>612320</xdr:colOff>
      <xdr:row>59</xdr:row>
      <xdr:rowOff>148420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backgroundRemoval t="16000" b="92000" l="11467" r="91867">
                      <a14:foregroundMark x1="78667" y1="31875" x2="76133" y2="55750"/>
                      <a14:foregroundMark x1="83400" y1="31250" x2="84933" y2="54375"/>
                      <a14:foregroundMark x1="22200" y1="64500" x2="41133" y2="16750"/>
                      <a14:foregroundMark x1="40200" y1="21125" x2="26667" y2="24750"/>
                      <a14:foregroundMark x1="20000" y1="47125" x2="41800" y2="40625"/>
                      <a14:foregroundMark x1="35800" y1="92000" x2="50933" y2="24750"/>
                      <a14:foregroundMark x1="17200" y1="62250" x2="25067" y2="56500"/>
                      <a14:foregroundMark x1="18133" y1="65875" x2="90200" y2="57000"/>
                      <a14:foregroundMark x1="90200" y1="57000" x2="55867" y2="17500"/>
                      <a14:foregroundMark x1="55867" y1="17500" x2="18067" y2="22500"/>
                      <a14:foregroundMark x1="18067" y1="22500" x2="11533" y2="78875"/>
                      <a14:foregroundMark x1="85267" y1="42000" x2="88733" y2="55750"/>
                      <a14:foregroundMark x1="88733" y1="42750" x2="90333" y2="41375"/>
                      <a14:foregroundMark x1="87800" y1="42000" x2="90000" y2="60875"/>
                      <a14:foregroundMark x1="84933" y1="24000" x2="89667" y2="60125"/>
                      <a14:foregroundMark x1="78933" y1="28375" x2="91867" y2="64500"/>
                      <a14:foregroundMark x1="83667" y1="23250" x2="90333" y2="64500"/>
                      <a14:foregroundMark x1="88733" y1="70250" x2="90600" y2="30500"/>
                      <a14:foregroundMark x1="91267" y1="63000" x2="91267" y2="34125"/>
                    </a14:backgroundRemoval>
                  </a14:imgEffect>
                </a14:imgLayer>
              </a14:imgProps>
            </a:ext>
            <a:ext uri="{28A0092B-C50C-407E-A947-70E740481C1C}">
              <a14:useLocalDpi xmlns:a14="http://schemas.microsoft.com/office/drawing/2010/main" val="0"/>
            </a:ext>
          </a:extLst>
        </a:blip>
        <a:srcRect l="9620" t="7343" r="7167" b="5880"/>
        <a:stretch/>
      </xdr:blipFill>
      <xdr:spPr>
        <a:xfrm>
          <a:off x="36263035" y="14341929"/>
          <a:ext cx="2408464" cy="110092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285750</xdr:rowOff>
        </xdr:to>
        <xdr:sp macro="" textlink="">
          <xdr:nvSpPr>
            <xdr:cNvPr id="33793" name="Check Box 1" hidden="1">
              <a:extLst>
                <a:ext uri="{63B3BB69-23CF-44E3-9099-C40C66FF867C}">
                  <a14:compatExt spid="_x0000_s33793"/>
                </a:ext>
                <a:ext uri="{FF2B5EF4-FFF2-40B4-BE49-F238E27FC236}">
                  <a16:creationId xmlns:a16="http://schemas.microsoft.com/office/drawing/2014/main" id="{00000000-0008-0000-0200-00000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285750</xdr:rowOff>
        </xdr:to>
        <xdr:sp macro="" textlink="">
          <xdr:nvSpPr>
            <xdr:cNvPr id="33794" name="Check Box 2" hidden="1">
              <a:extLst>
                <a:ext uri="{63B3BB69-23CF-44E3-9099-C40C66FF867C}">
                  <a14:compatExt spid="_x0000_s33794"/>
                </a:ext>
                <a:ext uri="{FF2B5EF4-FFF2-40B4-BE49-F238E27FC236}">
                  <a16:creationId xmlns:a16="http://schemas.microsoft.com/office/drawing/2014/main" id="{00000000-0008-0000-0200-00000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285750</xdr:rowOff>
        </xdr:to>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0200-00000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16</xdr:row>
          <xdr:rowOff>314325</xdr:rowOff>
        </xdr:to>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02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16</xdr:row>
          <xdr:rowOff>314325</xdr:rowOff>
        </xdr:to>
        <xdr:sp macro="" textlink="">
          <xdr:nvSpPr>
            <xdr:cNvPr id="33797" name="Check Box 5" hidden="1">
              <a:extLst>
                <a:ext uri="{63B3BB69-23CF-44E3-9099-C40C66FF867C}">
                  <a14:compatExt spid="_x0000_s33797"/>
                </a:ext>
                <a:ext uri="{FF2B5EF4-FFF2-40B4-BE49-F238E27FC236}">
                  <a16:creationId xmlns:a16="http://schemas.microsoft.com/office/drawing/2014/main" id="{00000000-0008-0000-0200-000005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200-000004000000}"/>
            </a:ext>
          </a:extLst>
        </xdr:cNvPr>
        <xdr:cNvSpPr/>
      </xdr:nvSpPr>
      <xdr:spPr>
        <a:xfrm>
          <a:off x="5448300" y="1732597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7782</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7989404" y="23636907"/>
          <a:ext cx="7494107" cy="3317100"/>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3433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5563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17807</xdr:colOff>
      <xdr:row>38</xdr:row>
      <xdr:rowOff>15323</xdr:rowOff>
    </xdr:from>
    <xdr:to>
      <xdr:col>7</xdr:col>
      <xdr:colOff>1564822</xdr:colOff>
      <xdr:row>57</xdr:row>
      <xdr:rowOff>122464</xdr:rowOff>
    </xdr:to>
    <xdr:graphicFrame macro="">
      <xdr:nvGraphicFramePr>
        <xdr:cNvPr id="8" name="Gráfico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304800</xdr:rowOff>
        </xdr:to>
        <xdr:sp macro="" textlink="">
          <xdr:nvSpPr>
            <xdr:cNvPr id="33798" name="Check Box 6" hidden="1">
              <a:extLst>
                <a:ext uri="{63B3BB69-23CF-44E3-9099-C40C66FF867C}">
                  <a14:compatExt spid="_x0000_s33798"/>
                </a:ext>
                <a:ext uri="{FF2B5EF4-FFF2-40B4-BE49-F238E27FC236}">
                  <a16:creationId xmlns:a16="http://schemas.microsoft.com/office/drawing/2014/main" id="{00000000-0008-0000-0200-000006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33799" name="Check Box 7" hidden="1">
              <a:extLst>
                <a:ext uri="{63B3BB69-23CF-44E3-9099-C40C66FF867C}">
                  <a14:compatExt spid="_x0000_s33799"/>
                </a:ext>
                <a:ext uri="{FF2B5EF4-FFF2-40B4-BE49-F238E27FC236}">
                  <a16:creationId xmlns:a16="http://schemas.microsoft.com/office/drawing/2014/main" id="{00000000-0008-0000-0200-000007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16</xdr:row>
          <xdr:rowOff>314325</xdr:rowOff>
        </xdr:to>
        <xdr:sp macro="" textlink="">
          <xdr:nvSpPr>
            <xdr:cNvPr id="33800" name="Check Box 8" hidden="1">
              <a:extLst>
                <a:ext uri="{63B3BB69-23CF-44E3-9099-C40C66FF867C}">
                  <a14:compatExt spid="_x0000_s33800"/>
                </a:ext>
                <a:ext uri="{FF2B5EF4-FFF2-40B4-BE49-F238E27FC236}">
                  <a16:creationId xmlns:a16="http://schemas.microsoft.com/office/drawing/2014/main" id="{00000000-0008-0000-0200-000008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285750</xdr:rowOff>
        </xdr:to>
        <xdr:sp macro="" textlink="">
          <xdr:nvSpPr>
            <xdr:cNvPr id="33801" name="Check Box 9" hidden="1">
              <a:extLst>
                <a:ext uri="{63B3BB69-23CF-44E3-9099-C40C66FF867C}">
                  <a14:compatExt spid="_x0000_s33801"/>
                </a:ext>
                <a:ext uri="{FF2B5EF4-FFF2-40B4-BE49-F238E27FC236}">
                  <a16:creationId xmlns:a16="http://schemas.microsoft.com/office/drawing/2014/main" id="{00000000-0008-0000-0200-000009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285750</xdr:rowOff>
        </xdr:to>
        <xdr:sp macro="" textlink="">
          <xdr:nvSpPr>
            <xdr:cNvPr id="33802" name="Check Box 10" hidden="1">
              <a:extLst>
                <a:ext uri="{63B3BB69-23CF-44E3-9099-C40C66FF867C}">
                  <a14:compatExt spid="_x0000_s33802"/>
                </a:ext>
                <a:ext uri="{FF2B5EF4-FFF2-40B4-BE49-F238E27FC236}">
                  <a16:creationId xmlns:a16="http://schemas.microsoft.com/office/drawing/2014/main" id="{00000000-0008-0000-0200-00000A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8"/>
        <a:srcRect l="88188"/>
        <a:stretch/>
      </xdr:blipFill>
      <xdr:spPr>
        <a:xfrm>
          <a:off x="13657427" y="1134885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8"/>
        <a:srcRect l="88188"/>
        <a:stretch/>
      </xdr:blipFill>
      <xdr:spPr>
        <a:xfrm>
          <a:off x="33145579" y="14174562"/>
          <a:ext cx="2411246" cy="926846"/>
        </a:xfrm>
        <a:prstGeom prst="rect">
          <a:avLst/>
        </a:prstGeom>
      </xdr:spPr>
    </xdr:pic>
    <xdr:clientData/>
  </xdr:twoCellAnchor>
  <xdr:twoCellAnchor editAs="oneCell">
    <xdr:from>
      <xdr:col>31</xdr:col>
      <xdr:colOff>728833</xdr:colOff>
      <xdr:row>55</xdr:row>
      <xdr:rowOff>353785</xdr:rowOff>
    </xdr:from>
    <xdr:to>
      <xdr:col>33</xdr:col>
      <xdr:colOff>308414</xdr:colOff>
      <xdr:row>59</xdr:row>
      <xdr:rowOff>20649</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9"/>
        <a:stretch>
          <a:fillRect/>
        </a:stretch>
      </xdr:blipFill>
      <xdr:spPr>
        <a:xfrm>
          <a:off x="36651690" y="14614071"/>
          <a:ext cx="1715903" cy="1000364"/>
        </a:xfrm>
        <a:prstGeom prst="rect">
          <a:avLst/>
        </a:prstGeom>
      </xdr:spPr>
    </xdr:pic>
    <xdr:clientData/>
  </xdr:twoCellAnchor>
  <xdr:twoCellAnchor editAs="oneCell">
    <xdr:from>
      <xdr:col>9</xdr:col>
      <xdr:colOff>2044757</xdr:colOff>
      <xdr:row>54</xdr:row>
      <xdr:rowOff>68035</xdr:rowOff>
    </xdr:from>
    <xdr:to>
      <xdr:col>10</xdr:col>
      <xdr:colOff>1505843</xdr:colOff>
      <xdr:row>57</xdr:row>
      <xdr:rowOff>34257</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9"/>
        <a:stretch>
          <a:fillRect/>
        </a:stretch>
      </xdr:blipFill>
      <xdr:spPr>
        <a:xfrm>
          <a:off x="14046257" y="14151428"/>
          <a:ext cx="1855943" cy="1082007"/>
        </a:xfrm>
        <a:prstGeom prst="rect">
          <a:avLst/>
        </a:prstGeom>
      </xdr:spPr>
    </xdr:pic>
    <xdr:clientData/>
  </xdr:twoCellAnchor>
</xdr:wsDr>
</file>

<file path=xl/drawings/drawing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285750</xdr:rowOff>
        </xdr:to>
        <xdr:sp macro="" textlink="">
          <xdr:nvSpPr>
            <xdr:cNvPr id="100353" name="Check Box 1" hidden="1">
              <a:extLst>
                <a:ext uri="{63B3BB69-23CF-44E3-9099-C40C66FF867C}">
                  <a14:compatExt spid="_x0000_s100353"/>
                </a:ext>
                <a:ext uri="{FF2B5EF4-FFF2-40B4-BE49-F238E27FC236}">
                  <a16:creationId xmlns:a16="http://schemas.microsoft.com/office/drawing/2014/main" id="{00000000-0008-0000-03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285750</xdr:rowOff>
        </xdr:to>
        <xdr:sp macro="" textlink="">
          <xdr:nvSpPr>
            <xdr:cNvPr id="100354" name="Check Box 2" hidden="1">
              <a:extLst>
                <a:ext uri="{63B3BB69-23CF-44E3-9099-C40C66FF867C}">
                  <a14:compatExt spid="_x0000_s100354"/>
                </a:ext>
                <a:ext uri="{FF2B5EF4-FFF2-40B4-BE49-F238E27FC236}">
                  <a16:creationId xmlns:a16="http://schemas.microsoft.com/office/drawing/2014/main" id="{00000000-0008-0000-03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285750</xdr:rowOff>
        </xdr:to>
        <xdr:sp macro="" textlink="">
          <xdr:nvSpPr>
            <xdr:cNvPr id="100355" name="Check Box 3" hidden="1">
              <a:extLst>
                <a:ext uri="{63B3BB69-23CF-44E3-9099-C40C66FF867C}">
                  <a14:compatExt spid="_x0000_s100355"/>
                </a:ext>
                <a:ext uri="{FF2B5EF4-FFF2-40B4-BE49-F238E27FC236}">
                  <a16:creationId xmlns:a16="http://schemas.microsoft.com/office/drawing/2014/main" id="{00000000-0008-0000-03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00356" name="Check Box 4" hidden="1">
              <a:extLst>
                <a:ext uri="{63B3BB69-23CF-44E3-9099-C40C66FF867C}">
                  <a14:compatExt spid="_x0000_s100356"/>
                </a:ext>
                <a:ext uri="{FF2B5EF4-FFF2-40B4-BE49-F238E27FC236}">
                  <a16:creationId xmlns:a16="http://schemas.microsoft.com/office/drawing/2014/main" id="{00000000-0008-0000-0300-000004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00357" name="Check Box 5" hidden="1">
              <a:extLst>
                <a:ext uri="{63B3BB69-23CF-44E3-9099-C40C66FF867C}">
                  <a14:compatExt spid="_x0000_s100357"/>
                </a:ext>
                <a:ext uri="{FF2B5EF4-FFF2-40B4-BE49-F238E27FC236}">
                  <a16:creationId xmlns:a16="http://schemas.microsoft.com/office/drawing/2014/main" id="{00000000-0008-0000-0300-000005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9" name="Flecha: hacia abajo 3">
          <a:extLst>
            <a:ext uri="{FF2B5EF4-FFF2-40B4-BE49-F238E27FC236}">
              <a16:creationId xmlns:a16="http://schemas.microsoft.com/office/drawing/2014/main" id="{00000000-0008-0000-0300-000009000000}"/>
            </a:ext>
          </a:extLst>
        </xdr:cNvPr>
        <xdr:cNvSpPr/>
      </xdr:nvSpPr>
      <xdr:spPr>
        <a:xfrm>
          <a:off x="5448300" y="17621250"/>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10" name="Imagen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stretch>
          <a:fillRect/>
        </a:stretch>
      </xdr:blipFill>
      <xdr:spPr>
        <a:xfrm>
          <a:off x="7989404" y="23932182"/>
          <a:ext cx="7494107" cy="3317100"/>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11" name="Imagen 10">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929613"/>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12" name="Imagen 11">
          <a:extLst>
            <a:ext uri="{FF2B5EF4-FFF2-40B4-BE49-F238E27FC236}">
              <a16:creationId xmlns:a16="http://schemas.microsoft.com/office/drawing/2014/main" id="{00000000-0008-0000-03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3050914"/>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13" name="Gráfico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285750</xdr:rowOff>
        </xdr:to>
        <xdr:sp macro="" textlink="">
          <xdr:nvSpPr>
            <xdr:cNvPr id="100358" name="Check Box 6" hidden="1">
              <a:extLst>
                <a:ext uri="{63B3BB69-23CF-44E3-9099-C40C66FF867C}">
                  <a14:compatExt spid="_x0000_s100358"/>
                </a:ext>
                <a:ext uri="{FF2B5EF4-FFF2-40B4-BE49-F238E27FC236}">
                  <a16:creationId xmlns:a16="http://schemas.microsoft.com/office/drawing/2014/main" id="{00000000-0008-0000-0300-000006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285750</xdr:rowOff>
        </xdr:to>
        <xdr:sp macro="" textlink="">
          <xdr:nvSpPr>
            <xdr:cNvPr id="100359" name="Check Box 7" hidden="1">
              <a:extLst>
                <a:ext uri="{63B3BB69-23CF-44E3-9099-C40C66FF867C}">
                  <a14:compatExt spid="_x0000_s100359"/>
                </a:ext>
                <a:ext uri="{FF2B5EF4-FFF2-40B4-BE49-F238E27FC236}">
                  <a16:creationId xmlns:a16="http://schemas.microsoft.com/office/drawing/2014/main" id="{00000000-0008-0000-0300-000007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00360" name="Check Box 8" hidden="1">
              <a:extLst>
                <a:ext uri="{63B3BB69-23CF-44E3-9099-C40C66FF867C}">
                  <a14:compatExt spid="_x0000_s100360"/>
                </a:ext>
                <a:ext uri="{FF2B5EF4-FFF2-40B4-BE49-F238E27FC236}">
                  <a16:creationId xmlns:a16="http://schemas.microsoft.com/office/drawing/2014/main" id="{00000000-0008-0000-0300-000008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00361" name="Check Box 9" hidden="1">
              <a:extLst>
                <a:ext uri="{63B3BB69-23CF-44E3-9099-C40C66FF867C}">
                  <a14:compatExt spid="_x0000_s100361"/>
                </a:ext>
                <a:ext uri="{FF2B5EF4-FFF2-40B4-BE49-F238E27FC236}">
                  <a16:creationId xmlns:a16="http://schemas.microsoft.com/office/drawing/2014/main" id="{00000000-0008-0000-0300-000009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00362" name="Check Box 10" hidden="1">
              <a:extLst>
                <a:ext uri="{63B3BB69-23CF-44E3-9099-C40C66FF867C}">
                  <a14:compatExt spid="_x0000_s100362"/>
                </a:ext>
                <a:ext uri="{FF2B5EF4-FFF2-40B4-BE49-F238E27FC236}">
                  <a16:creationId xmlns:a16="http://schemas.microsoft.com/office/drawing/2014/main" id="{00000000-0008-0000-0300-00000A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19" name="7 Gráfico">
          <a:extLst>
            <a:ext uri="{FF2B5EF4-FFF2-40B4-BE49-F238E27FC236}">
              <a16:creationId xmlns:a16="http://schemas.microsoft.com/office/drawing/2014/main"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20" name="7 Gráfico">
          <a:extLst>
            <a:ext uri="{FF2B5EF4-FFF2-40B4-BE49-F238E27FC236}">
              <a16:creationId xmlns:a16="http://schemas.microsoft.com/office/drawing/2014/main" id="{00000000-0008-0000-0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21" name="Imagen 20">
          <a:extLst>
            <a:ext uri="{FF2B5EF4-FFF2-40B4-BE49-F238E27FC236}">
              <a16:creationId xmlns:a16="http://schemas.microsoft.com/office/drawing/2014/main" id="{00000000-0008-0000-0300-000015000000}"/>
            </a:ext>
          </a:extLst>
        </xdr:cNvPr>
        <xdr:cNvPicPr>
          <a:picLocks noChangeAspect="1"/>
        </xdr:cNvPicPr>
      </xdr:nvPicPr>
      <xdr:blipFill rotWithShape="1">
        <a:blip xmlns:r="http://schemas.openxmlformats.org/officeDocument/2006/relationships" r:embed="rId8"/>
        <a:srcRect l="88188"/>
        <a:stretch/>
      </xdr:blipFill>
      <xdr:spPr>
        <a:xfrm>
          <a:off x="13657427" y="11644130"/>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22" name="Imagen 21">
          <a:extLst>
            <a:ext uri="{FF2B5EF4-FFF2-40B4-BE49-F238E27FC236}">
              <a16:creationId xmlns:a16="http://schemas.microsoft.com/office/drawing/2014/main" id="{00000000-0008-0000-0300-000016000000}"/>
            </a:ext>
          </a:extLst>
        </xdr:cNvPr>
        <xdr:cNvPicPr>
          <a:picLocks noChangeAspect="1"/>
        </xdr:cNvPicPr>
      </xdr:nvPicPr>
      <xdr:blipFill rotWithShape="1">
        <a:blip xmlns:r="http://schemas.openxmlformats.org/officeDocument/2006/relationships" r:embed="rId8"/>
        <a:srcRect l="88188"/>
        <a:stretch/>
      </xdr:blipFill>
      <xdr:spPr>
        <a:xfrm>
          <a:off x="33145579" y="14469837"/>
          <a:ext cx="2411246" cy="926845"/>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9"/>
        <a:stretch>
          <a:fillRect/>
        </a:stretch>
      </xdr:blipFill>
      <xdr:spPr>
        <a:xfrm>
          <a:off x="14071600" y="14262100"/>
          <a:ext cx="1859441" cy="1085182"/>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0"/>
        <a:stretch>
          <a:fillRect/>
        </a:stretch>
      </xdr:blipFill>
      <xdr:spPr>
        <a:xfrm>
          <a:off x="36690300" y="14655800"/>
          <a:ext cx="1859441" cy="1085182"/>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03425" name="Check Box 1" hidden="1">
              <a:extLst>
                <a:ext uri="{63B3BB69-23CF-44E3-9099-C40C66FF867C}">
                  <a14:compatExt spid="_x0000_s103425"/>
                </a:ext>
                <a:ext uri="{FF2B5EF4-FFF2-40B4-BE49-F238E27FC236}">
                  <a16:creationId xmlns:a16="http://schemas.microsoft.com/office/drawing/2014/main" id="{00000000-0008-0000-04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03426" name="Check Box 2" hidden="1">
              <a:extLst>
                <a:ext uri="{63B3BB69-23CF-44E3-9099-C40C66FF867C}">
                  <a14:compatExt spid="_x0000_s103426"/>
                </a:ext>
                <a:ext uri="{FF2B5EF4-FFF2-40B4-BE49-F238E27FC236}">
                  <a16:creationId xmlns:a16="http://schemas.microsoft.com/office/drawing/2014/main" id="{00000000-0008-0000-04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03427" name="Check Box 3" hidden="1">
              <a:extLst>
                <a:ext uri="{63B3BB69-23CF-44E3-9099-C40C66FF867C}">
                  <a14:compatExt spid="_x0000_s103427"/>
                </a:ext>
                <a:ext uri="{FF2B5EF4-FFF2-40B4-BE49-F238E27FC236}">
                  <a16:creationId xmlns:a16="http://schemas.microsoft.com/office/drawing/2014/main" id="{00000000-0008-0000-0400-000003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03428" name="Check Box 4" hidden="1">
              <a:extLst>
                <a:ext uri="{63B3BB69-23CF-44E3-9099-C40C66FF867C}">
                  <a14:compatExt spid="_x0000_s103428"/>
                </a:ext>
                <a:ext uri="{FF2B5EF4-FFF2-40B4-BE49-F238E27FC236}">
                  <a16:creationId xmlns:a16="http://schemas.microsoft.com/office/drawing/2014/main" id="{00000000-0008-0000-0400-000004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03429" name="Check Box 5" hidden="1">
              <a:extLst>
                <a:ext uri="{63B3BB69-23CF-44E3-9099-C40C66FF867C}">
                  <a14:compatExt spid="_x0000_s103429"/>
                </a:ext>
                <a:ext uri="{FF2B5EF4-FFF2-40B4-BE49-F238E27FC236}">
                  <a16:creationId xmlns:a16="http://schemas.microsoft.com/office/drawing/2014/main" id="{00000000-0008-0000-0400-000005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4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03430" name="Check Box 6" hidden="1">
              <a:extLst>
                <a:ext uri="{63B3BB69-23CF-44E3-9099-C40C66FF867C}">
                  <a14:compatExt spid="_x0000_s103430"/>
                </a:ext>
                <a:ext uri="{FF2B5EF4-FFF2-40B4-BE49-F238E27FC236}">
                  <a16:creationId xmlns:a16="http://schemas.microsoft.com/office/drawing/2014/main" id="{00000000-0008-0000-0400-000006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03431" name="Check Box 7" hidden="1">
              <a:extLst>
                <a:ext uri="{63B3BB69-23CF-44E3-9099-C40C66FF867C}">
                  <a14:compatExt spid="_x0000_s103431"/>
                </a:ext>
                <a:ext uri="{FF2B5EF4-FFF2-40B4-BE49-F238E27FC236}">
                  <a16:creationId xmlns:a16="http://schemas.microsoft.com/office/drawing/2014/main" id="{00000000-0008-0000-0400-000007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03432" name="Check Box 8" hidden="1">
              <a:extLst>
                <a:ext uri="{63B3BB69-23CF-44E3-9099-C40C66FF867C}">
                  <a14:compatExt spid="_x0000_s103432"/>
                </a:ext>
                <a:ext uri="{FF2B5EF4-FFF2-40B4-BE49-F238E27FC236}">
                  <a16:creationId xmlns:a16="http://schemas.microsoft.com/office/drawing/2014/main" id="{00000000-0008-0000-0400-000008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03433" name="Check Box 9" hidden="1">
              <a:extLst>
                <a:ext uri="{63B3BB69-23CF-44E3-9099-C40C66FF867C}">
                  <a14:compatExt spid="_x0000_s103433"/>
                </a:ext>
                <a:ext uri="{FF2B5EF4-FFF2-40B4-BE49-F238E27FC236}">
                  <a16:creationId xmlns:a16="http://schemas.microsoft.com/office/drawing/2014/main" id="{00000000-0008-0000-0400-000009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03434" name="Check Box 10" hidden="1">
              <a:extLst>
                <a:ext uri="{63B3BB69-23CF-44E3-9099-C40C66FF867C}">
                  <a14:compatExt spid="_x0000_s103434"/>
                </a:ext>
                <a:ext uri="{FF2B5EF4-FFF2-40B4-BE49-F238E27FC236}">
                  <a16:creationId xmlns:a16="http://schemas.microsoft.com/office/drawing/2014/main" id="{00000000-0008-0000-0400-00000A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1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01377" name="Check Box 1" hidden="1">
              <a:extLst>
                <a:ext uri="{63B3BB69-23CF-44E3-9099-C40C66FF867C}">
                  <a14:compatExt spid="_x0000_s101377"/>
                </a:ext>
                <a:ext uri="{FF2B5EF4-FFF2-40B4-BE49-F238E27FC236}">
                  <a16:creationId xmlns:a16="http://schemas.microsoft.com/office/drawing/2014/main" id="{00000000-0008-0000-05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01378" name="Check Box 2" hidden="1">
              <a:extLst>
                <a:ext uri="{63B3BB69-23CF-44E3-9099-C40C66FF867C}">
                  <a14:compatExt spid="_x0000_s101378"/>
                </a:ext>
                <a:ext uri="{FF2B5EF4-FFF2-40B4-BE49-F238E27FC236}">
                  <a16:creationId xmlns:a16="http://schemas.microsoft.com/office/drawing/2014/main" id="{00000000-0008-0000-05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01379" name="Check Box 3" hidden="1">
              <a:extLst>
                <a:ext uri="{63B3BB69-23CF-44E3-9099-C40C66FF867C}">
                  <a14:compatExt spid="_x0000_s101379"/>
                </a:ext>
                <a:ext uri="{FF2B5EF4-FFF2-40B4-BE49-F238E27FC236}">
                  <a16:creationId xmlns:a16="http://schemas.microsoft.com/office/drawing/2014/main" id="{00000000-0008-0000-0500-000003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01380" name="Check Box 4" hidden="1">
              <a:extLst>
                <a:ext uri="{63B3BB69-23CF-44E3-9099-C40C66FF867C}">
                  <a14:compatExt spid="_x0000_s101380"/>
                </a:ext>
                <a:ext uri="{FF2B5EF4-FFF2-40B4-BE49-F238E27FC236}">
                  <a16:creationId xmlns:a16="http://schemas.microsoft.com/office/drawing/2014/main" id="{00000000-0008-0000-0500-000004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01381" name="Check Box 5" hidden="1">
              <a:extLst>
                <a:ext uri="{63B3BB69-23CF-44E3-9099-C40C66FF867C}">
                  <a14:compatExt spid="_x0000_s101381"/>
                </a:ext>
                <a:ext uri="{FF2B5EF4-FFF2-40B4-BE49-F238E27FC236}">
                  <a16:creationId xmlns:a16="http://schemas.microsoft.com/office/drawing/2014/main" id="{00000000-0008-0000-0500-000005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5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01382" name="Check Box 6" hidden="1">
              <a:extLst>
                <a:ext uri="{63B3BB69-23CF-44E3-9099-C40C66FF867C}">
                  <a14:compatExt spid="_x0000_s101382"/>
                </a:ext>
                <a:ext uri="{FF2B5EF4-FFF2-40B4-BE49-F238E27FC236}">
                  <a16:creationId xmlns:a16="http://schemas.microsoft.com/office/drawing/2014/main" id="{00000000-0008-0000-0500-000006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01383" name="Check Box 7" hidden="1">
              <a:extLst>
                <a:ext uri="{63B3BB69-23CF-44E3-9099-C40C66FF867C}">
                  <a14:compatExt spid="_x0000_s101383"/>
                </a:ext>
                <a:ext uri="{FF2B5EF4-FFF2-40B4-BE49-F238E27FC236}">
                  <a16:creationId xmlns:a16="http://schemas.microsoft.com/office/drawing/2014/main" id="{00000000-0008-0000-0500-000007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01384" name="Check Box 8" hidden="1">
              <a:extLst>
                <a:ext uri="{63B3BB69-23CF-44E3-9099-C40C66FF867C}">
                  <a14:compatExt spid="_x0000_s101384"/>
                </a:ext>
                <a:ext uri="{FF2B5EF4-FFF2-40B4-BE49-F238E27FC236}">
                  <a16:creationId xmlns:a16="http://schemas.microsoft.com/office/drawing/2014/main" id="{00000000-0008-0000-0500-000008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01385" name="Check Box 9" hidden="1">
              <a:extLst>
                <a:ext uri="{63B3BB69-23CF-44E3-9099-C40C66FF867C}">
                  <a14:compatExt spid="_x0000_s101385"/>
                </a:ext>
                <a:ext uri="{FF2B5EF4-FFF2-40B4-BE49-F238E27FC236}">
                  <a16:creationId xmlns:a16="http://schemas.microsoft.com/office/drawing/2014/main" id="{00000000-0008-0000-0500-000009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01386" name="Check Box 10" hidden="1">
              <a:extLst>
                <a:ext uri="{63B3BB69-23CF-44E3-9099-C40C66FF867C}">
                  <a14:compatExt spid="_x0000_s101386"/>
                </a:ext>
                <a:ext uri="{FF2B5EF4-FFF2-40B4-BE49-F238E27FC236}">
                  <a16:creationId xmlns:a16="http://schemas.microsoft.com/office/drawing/2014/main" id="{00000000-0008-0000-0500-00000A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5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1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04449" name="Check Box 1" hidden="1">
              <a:extLst>
                <a:ext uri="{63B3BB69-23CF-44E3-9099-C40C66FF867C}">
                  <a14:compatExt spid="_x0000_s104449"/>
                </a:ext>
                <a:ext uri="{FF2B5EF4-FFF2-40B4-BE49-F238E27FC236}">
                  <a16:creationId xmlns:a16="http://schemas.microsoft.com/office/drawing/2014/main" id="{00000000-0008-0000-0600-000001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04450" name="Check Box 2" hidden="1">
              <a:extLst>
                <a:ext uri="{63B3BB69-23CF-44E3-9099-C40C66FF867C}">
                  <a14:compatExt spid="_x0000_s104450"/>
                </a:ext>
                <a:ext uri="{FF2B5EF4-FFF2-40B4-BE49-F238E27FC236}">
                  <a16:creationId xmlns:a16="http://schemas.microsoft.com/office/drawing/2014/main" id="{00000000-0008-0000-0600-000002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04451" name="Check Box 3" hidden="1">
              <a:extLst>
                <a:ext uri="{63B3BB69-23CF-44E3-9099-C40C66FF867C}">
                  <a14:compatExt spid="_x0000_s104451"/>
                </a:ext>
                <a:ext uri="{FF2B5EF4-FFF2-40B4-BE49-F238E27FC236}">
                  <a16:creationId xmlns:a16="http://schemas.microsoft.com/office/drawing/2014/main" id="{00000000-0008-0000-0600-000003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04452" name="Check Box 4" hidden="1">
              <a:extLst>
                <a:ext uri="{63B3BB69-23CF-44E3-9099-C40C66FF867C}">
                  <a14:compatExt spid="_x0000_s104452"/>
                </a:ext>
                <a:ext uri="{FF2B5EF4-FFF2-40B4-BE49-F238E27FC236}">
                  <a16:creationId xmlns:a16="http://schemas.microsoft.com/office/drawing/2014/main" id="{00000000-0008-0000-0600-000004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04453" name="Check Box 5" hidden="1">
              <a:extLst>
                <a:ext uri="{63B3BB69-23CF-44E3-9099-C40C66FF867C}">
                  <a14:compatExt spid="_x0000_s104453"/>
                </a:ext>
                <a:ext uri="{FF2B5EF4-FFF2-40B4-BE49-F238E27FC236}">
                  <a16:creationId xmlns:a16="http://schemas.microsoft.com/office/drawing/2014/main" id="{00000000-0008-0000-0600-000005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6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04454" name="Check Box 6" hidden="1">
              <a:extLst>
                <a:ext uri="{63B3BB69-23CF-44E3-9099-C40C66FF867C}">
                  <a14:compatExt spid="_x0000_s104454"/>
                </a:ext>
                <a:ext uri="{FF2B5EF4-FFF2-40B4-BE49-F238E27FC236}">
                  <a16:creationId xmlns:a16="http://schemas.microsoft.com/office/drawing/2014/main" id="{00000000-0008-0000-0600-000006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04455" name="Check Box 7" hidden="1">
              <a:extLst>
                <a:ext uri="{63B3BB69-23CF-44E3-9099-C40C66FF867C}">
                  <a14:compatExt spid="_x0000_s104455"/>
                </a:ext>
                <a:ext uri="{FF2B5EF4-FFF2-40B4-BE49-F238E27FC236}">
                  <a16:creationId xmlns:a16="http://schemas.microsoft.com/office/drawing/2014/main" id="{00000000-0008-0000-0600-000007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04456" name="Check Box 8" hidden="1">
              <a:extLst>
                <a:ext uri="{63B3BB69-23CF-44E3-9099-C40C66FF867C}">
                  <a14:compatExt spid="_x0000_s104456"/>
                </a:ext>
                <a:ext uri="{FF2B5EF4-FFF2-40B4-BE49-F238E27FC236}">
                  <a16:creationId xmlns:a16="http://schemas.microsoft.com/office/drawing/2014/main" id="{00000000-0008-0000-0600-000008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04457" name="Check Box 9" hidden="1">
              <a:extLst>
                <a:ext uri="{63B3BB69-23CF-44E3-9099-C40C66FF867C}">
                  <a14:compatExt spid="_x0000_s104457"/>
                </a:ext>
                <a:ext uri="{FF2B5EF4-FFF2-40B4-BE49-F238E27FC236}">
                  <a16:creationId xmlns:a16="http://schemas.microsoft.com/office/drawing/2014/main" id="{00000000-0008-0000-0600-000009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04458" name="Check Box 10" hidden="1">
              <a:extLst>
                <a:ext uri="{63B3BB69-23CF-44E3-9099-C40C66FF867C}">
                  <a14:compatExt spid="_x0000_s104458"/>
                </a:ext>
                <a:ext uri="{FF2B5EF4-FFF2-40B4-BE49-F238E27FC236}">
                  <a16:creationId xmlns:a16="http://schemas.microsoft.com/office/drawing/2014/main" id="{00000000-0008-0000-0600-00000A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6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1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02401" name="Check Box 1" hidden="1">
              <a:extLst>
                <a:ext uri="{63B3BB69-23CF-44E3-9099-C40C66FF867C}">
                  <a14:compatExt spid="_x0000_s102401"/>
                </a:ext>
                <a:ext uri="{FF2B5EF4-FFF2-40B4-BE49-F238E27FC236}">
                  <a16:creationId xmlns:a16="http://schemas.microsoft.com/office/drawing/2014/main" id="{00000000-0008-0000-0700-000001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02402" name="Check Box 2" hidden="1">
              <a:extLst>
                <a:ext uri="{63B3BB69-23CF-44E3-9099-C40C66FF867C}">
                  <a14:compatExt spid="_x0000_s102402"/>
                </a:ext>
                <a:ext uri="{FF2B5EF4-FFF2-40B4-BE49-F238E27FC236}">
                  <a16:creationId xmlns:a16="http://schemas.microsoft.com/office/drawing/2014/main" id="{00000000-0008-0000-0700-000002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02403" name="Check Box 3" hidden="1">
              <a:extLst>
                <a:ext uri="{63B3BB69-23CF-44E3-9099-C40C66FF867C}">
                  <a14:compatExt spid="_x0000_s102403"/>
                </a:ext>
                <a:ext uri="{FF2B5EF4-FFF2-40B4-BE49-F238E27FC236}">
                  <a16:creationId xmlns:a16="http://schemas.microsoft.com/office/drawing/2014/main" id="{00000000-0008-0000-0700-000003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02404" name="Check Box 4" hidden="1">
              <a:extLst>
                <a:ext uri="{63B3BB69-23CF-44E3-9099-C40C66FF867C}">
                  <a14:compatExt spid="_x0000_s102404"/>
                </a:ext>
                <a:ext uri="{FF2B5EF4-FFF2-40B4-BE49-F238E27FC236}">
                  <a16:creationId xmlns:a16="http://schemas.microsoft.com/office/drawing/2014/main" id="{00000000-0008-0000-0700-000004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02405" name="Check Box 5" hidden="1">
              <a:extLst>
                <a:ext uri="{63B3BB69-23CF-44E3-9099-C40C66FF867C}">
                  <a14:compatExt spid="_x0000_s102405"/>
                </a:ext>
                <a:ext uri="{FF2B5EF4-FFF2-40B4-BE49-F238E27FC236}">
                  <a16:creationId xmlns:a16="http://schemas.microsoft.com/office/drawing/2014/main" id="{00000000-0008-0000-0700-000005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7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02406" name="Check Box 6" hidden="1">
              <a:extLst>
                <a:ext uri="{63B3BB69-23CF-44E3-9099-C40C66FF867C}">
                  <a14:compatExt spid="_x0000_s102406"/>
                </a:ext>
                <a:ext uri="{FF2B5EF4-FFF2-40B4-BE49-F238E27FC236}">
                  <a16:creationId xmlns:a16="http://schemas.microsoft.com/office/drawing/2014/main" id="{00000000-0008-0000-0700-000006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02407" name="Check Box 7" hidden="1">
              <a:extLst>
                <a:ext uri="{63B3BB69-23CF-44E3-9099-C40C66FF867C}">
                  <a14:compatExt spid="_x0000_s102407"/>
                </a:ext>
                <a:ext uri="{FF2B5EF4-FFF2-40B4-BE49-F238E27FC236}">
                  <a16:creationId xmlns:a16="http://schemas.microsoft.com/office/drawing/2014/main" id="{00000000-0008-0000-0700-000007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02408" name="Check Box 8" hidden="1">
              <a:extLst>
                <a:ext uri="{63B3BB69-23CF-44E3-9099-C40C66FF867C}">
                  <a14:compatExt spid="_x0000_s102408"/>
                </a:ext>
                <a:ext uri="{FF2B5EF4-FFF2-40B4-BE49-F238E27FC236}">
                  <a16:creationId xmlns:a16="http://schemas.microsoft.com/office/drawing/2014/main" id="{00000000-0008-0000-0700-000008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02409" name="Check Box 9" hidden="1">
              <a:extLst>
                <a:ext uri="{63B3BB69-23CF-44E3-9099-C40C66FF867C}">
                  <a14:compatExt spid="_x0000_s102409"/>
                </a:ext>
                <a:ext uri="{FF2B5EF4-FFF2-40B4-BE49-F238E27FC236}">
                  <a16:creationId xmlns:a16="http://schemas.microsoft.com/office/drawing/2014/main" id="{00000000-0008-0000-0700-000009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02410" name="Check Box 10" hidden="1">
              <a:extLst>
                <a:ext uri="{63B3BB69-23CF-44E3-9099-C40C66FF867C}">
                  <a14:compatExt spid="_x0000_s102410"/>
                </a:ext>
                <a:ext uri="{FF2B5EF4-FFF2-40B4-BE49-F238E27FC236}">
                  <a16:creationId xmlns:a16="http://schemas.microsoft.com/office/drawing/2014/main" id="{00000000-0008-0000-0700-00000A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1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09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09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09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09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09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9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09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09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09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09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09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9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9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1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20833" name="Check Box 1" hidden="1">
              <a:extLst>
                <a:ext uri="{63B3BB69-23CF-44E3-9099-C40C66FF867C}">
                  <a14:compatExt spid="_x0000_s120833"/>
                </a:ext>
                <a:ext uri="{FF2B5EF4-FFF2-40B4-BE49-F238E27FC236}">
                  <a16:creationId xmlns:a16="http://schemas.microsoft.com/office/drawing/2014/main" id="{00000000-0008-0000-0A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20834" name="Check Box 2" hidden="1">
              <a:extLst>
                <a:ext uri="{63B3BB69-23CF-44E3-9099-C40C66FF867C}">
                  <a14:compatExt spid="_x0000_s120834"/>
                </a:ext>
                <a:ext uri="{FF2B5EF4-FFF2-40B4-BE49-F238E27FC236}">
                  <a16:creationId xmlns:a16="http://schemas.microsoft.com/office/drawing/2014/main" id="{00000000-0008-0000-0A00-000002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20835" name="Check Box 3" hidden="1">
              <a:extLst>
                <a:ext uri="{63B3BB69-23CF-44E3-9099-C40C66FF867C}">
                  <a14:compatExt spid="_x0000_s120835"/>
                </a:ext>
                <a:ext uri="{FF2B5EF4-FFF2-40B4-BE49-F238E27FC236}">
                  <a16:creationId xmlns:a16="http://schemas.microsoft.com/office/drawing/2014/main" id="{00000000-0008-0000-0A00-000003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20836" name="Check Box 4" hidden="1">
              <a:extLst>
                <a:ext uri="{63B3BB69-23CF-44E3-9099-C40C66FF867C}">
                  <a14:compatExt spid="_x0000_s120836"/>
                </a:ext>
                <a:ext uri="{FF2B5EF4-FFF2-40B4-BE49-F238E27FC236}">
                  <a16:creationId xmlns:a16="http://schemas.microsoft.com/office/drawing/2014/main" id="{00000000-0008-0000-0A00-000004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20837" name="Check Box 5" hidden="1">
              <a:extLst>
                <a:ext uri="{63B3BB69-23CF-44E3-9099-C40C66FF867C}">
                  <a14:compatExt spid="_x0000_s120837"/>
                </a:ext>
                <a:ext uri="{FF2B5EF4-FFF2-40B4-BE49-F238E27FC236}">
                  <a16:creationId xmlns:a16="http://schemas.microsoft.com/office/drawing/2014/main" id="{00000000-0008-0000-0A00-000005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A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20838" name="Check Box 6" hidden="1">
              <a:extLst>
                <a:ext uri="{63B3BB69-23CF-44E3-9099-C40C66FF867C}">
                  <a14:compatExt spid="_x0000_s120838"/>
                </a:ext>
                <a:ext uri="{FF2B5EF4-FFF2-40B4-BE49-F238E27FC236}">
                  <a16:creationId xmlns:a16="http://schemas.microsoft.com/office/drawing/2014/main" id="{00000000-0008-0000-0A00-000006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20839" name="Check Box 7" hidden="1">
              <a:extLst>
                <a:ext uri="{63B3BB69-23CF-44E3-9099-C40C66FF867C}">
                  <a14:compatExt spid="_x0000_s120839"/>
                </a:ext>
                <a:ext uri="{FF2B5EF4-FFF2-40B4-BE49-F238E27FC236}">
                  <a16:creationId xmlns:a16="http://schemas.microsoft.com/office/drawing/2014/main" id="{00000000-0008-0000-0A00-000007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20840" name="Check Box 8" hidden="1">
              <a:extLst>
                <a:ext uri="{63B3BB69-23CF-44E3-9099-C40C66FF867C}">
                  <a14:compatExt spid="_x0000_s120840"/>
                </a:ext>
                <a:ext uri="{FF2B5EF4-FFF2-40B4-BE49-F238E27FC236}">
                  <a16:creationId xmlns:a16="http://schemas.microsoft.com/office/drawing/2014/main" id="{00000000-0008-0000-0A00-000008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20841" name="Check Box 9" hidden="1">
              <a:extLst>
                <a:ext uri="{63B3BB69-23CF-44E3-9099-C40C66FF867C}">
                  <a14:compatExt spid="_x0000_s120841"/>
                </a:ext>
                <a:ext uri="{FF2B5EF4-FFF2-40B4-BE49-F238E27FC236}">
                  <a16:creationId xmlns:a16="http://schemas.microsoft.com/office/drawing/2014/main" id="{00000000-0008-0000-0A00-000009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20842" name="Check Box 10" hidden="1">
              <a:extLst>
                <a:ext uri="{63B3BB69-23CF-44E3-9099-C40C66FF867C}">
                  <a14:compatExt spid="_x0000_s120842"/>
                </a:ext>
                <a:ext uri="{FF2B5EF4-FFF2-40B4-BE49-F238E27FC236}">
                  <a16:creationId xmlns:a16="http://schemas.microsoft.com/office/drawing/2014/main" id="{00000000-0008-0000-0A00-00000A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A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A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A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2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2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0B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0B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0B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0B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0B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B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0B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0B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0B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0B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0B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B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B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2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2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0C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0C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0C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0C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0C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C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C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0C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0C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0C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0C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0C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C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C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C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2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2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0D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0D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0D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0D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0D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E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0D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0D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0D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0D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0D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E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E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2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2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29025" name="Check Box 1" hidden="1">
              <a:extLst>
                <a:ext uri="{63B3BB69-23CF-44E3-9099-C40C66FF867C}">
                  <a14:compatExt spid="_x0000_s129025"/>
                </a:ext>
                <a:ext uri="{FF2B5EF4-FFF2-40B4-BE49-F238E27FC236}">
                  <a16:creationId xmlns:a16="http://schemas.microsoft.com/office/drawing/2014/main" id="{00000000-0008-0000-0E00-000001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29026" name="Check Box 2" hidden="1">
              <a:extLst>
                <a:ext uri="{63B3BB69-23CF-44E3-9099-C40C66FF867C}">
                  <a14:compatExt spid="_x0000_s129026"/>
                </a:ext>
                <a:ext uri="{FF2B5EF4-FFF2-40B4-BE49-F238E27FC236}">
                  <a16:creationId xmlns:a16="http://schemas.microsoft.com/office/drawing/2014/main" id="{00000000-0008-0000-0E00-000002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29027" name="Check Box 3" hidden="1">
              <a:extLst>
                <a:ext uri="{63B3BB69-23CF-44E3-9099-C40C66FF867C}">
                  <a14:compatExt spid="_x0000_s129027"/>
                </a:ext>
                <a:ext uri="{FF2B5EF4-FFF2-40B4-BE49-F238E27FC236}">
                  <a16:creationId xmlns:a16="http://schemas.microsoft.com/office/drawing/2014/main" id="{00000000-0008-0000-0E00-000003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29028" name="Check Box 4" hidden="1">
              <a:extLst>
                <a:ext uri="{63B3BB69-23CF-44E3-9099-C40C66FF867C}">
                  <a14:compatExt spid="_x0000_s129028"/>
                </a:ext>
                <a:ext uri="{FF2B5EF4-FFF2-40B4-BE49-F238E27FC236}">
                  <a16:creationId xmlns:a16="http://schemas.microsoft.com/office/drawing/2014/main" id="{00000000-0008-0000-0E00-000004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29029" name="Check Box 5" hidden="1">
              <a:extLst>
                <a:ext uri="{63B3BB69-23CF-44E3-9099-C40C66FF867C}">
                  <a14:compatExt spid="_x0000_s129029"/>
                </a:ext>
                <a:ext uri="{FF2B5EF4-FFF2-40B4-BE49-F238E27FC236}">
                  <a16:creationId xmlns:a16="http://schemas.microsoft.com/office/drawing/2014/main" id="{00000000-0008-0000-0E00-000005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0F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0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29030" name="Check Box 6" hidden="1">
              <a:extLst>
                <a:ext uri="{63B3BB69-23CF-44E3-9099-C40C66FF867C}">
                  <a14:compatExt spid="_x0000_s129030"/>
                </a:ext>
                <a:ext uri="{FF2B5EF4-FFF2-40B4-BE49-F238E27FC236}">
                  <a16:creationId xmlns:a16="http://schemas.microsoft.com/office/drawing/2014/main" id="{00000000-0008-0000-0E00-000006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29031" name="Check Box 7" hidden="1">
              <a:extLst>
                <a:ext uri="{63B3BB69-23CF-44E3-9099-C40C66FF867C}">
                  <a14:compatExt spid="_x0000_s129031"/>
                </a:ext>
                <a:ext uri="{FF2B5EF4-FFF2-40B4-BE49-F238E27FC236}">
                  <a16:creationId xmlns:a16="http://schemas.microsoft.com/office/drawing/2014/main" id="{00000000-0008-0000-0E00-000007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29032" name="Check Box 8" hidden="1">
              <a:extLst>
                <a:ext uri="{63B3BB69-23CF-44E3-9099-C40C66FF867C}">
                  <a14:compatExt spid="_x0000_s129032"/>
                </a:ext>
                <a:ext uri="{FF2B5EF4-FFF2-40B4-BE49-F238E27FC236}">
                  <a16:creationId xmlns:a16="http://schemas.microsoft.com/office/drawing/2014/main" id="{00000000-0008-0000-0E00-000008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29033" name="Check Box 9" hidden="1">
              <a:extLst>
                <a:ext uri="{63B3BB69-23CF-44E3-9099-C40C66FF867C}">
                  <a14:compatExt spid="_x0000_s129033"/>
                </a:ext>
                <a:ext uri="{FF2B5EF4-FFF2-40B4-BE49-F238E27FC236}">
                  <a16:creationId xmlns:a16="http://schemas.microsoft.com/office/drawing/2014/main" id="{00000000-0008-0000-0E00-000009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29034" name="Check Box 10" hidden="1">
              <a:extLst>
                <a:ext uri="{63B3BB69-23CF-44E3-9099-C40C66FF867C}">
                  <a14:compatExt spid="_x0000_s129034"/>
                </a:ext>
                <a:ext uri="{FF2B5EF4-FFF2-40B4-BE49-F238E27FC236}">
                  <a16:creationId xmlns:a16="http://schemas.microsoft.com/office/drawing/2014/main" id="{00000000-0008-0000-0E00-00000AF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0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0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0F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0F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0F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0F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2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2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30049" name="Check Box 1" hidden="1">
              <a:extLst>
                <a:ext uri="{63B3BB69-23CF-44E3-9099-C40C66FF867C}">
                  <a14:compatExt spid="_x0000_s130049"/>
                </a:ext>
                <a:ext uri="{FF2B5EF4-FFF2-40B4-BE49-F238E27FC236}">
                  <a16:creationId xmlns:a16="http://schemas.microsoft.com/office/drawing/2014/main" id="{00000000-0008-0000-0F00-000001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30050" name="Check Box 2" hidden="1">
              <a:extLst>
                <a:ext uri="{63B3BB69-23CF-44E3-9099-C40C66FF867C}">
                  <a14:compatExt spid="_x0000_s130050"/>
                </a:ext>
                <a:ext uri="{FF2B5EF4-FFF2-40B4-BE49-F238E27FC236}">
                  <a16:creationId xmlns:a16="http://schemas.microsoft.com/office/drawing/2014/main" id="{00000000-0008-0000-0F00-000002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30051" name="Check Box 3" hidden="1">
              <a:extLst>
                <a:ext uri="{63B3BB69-23CF-44E3-9099-C40C66FF867C}">
                  <a14:compatExt spid="_x0000_s130051"/>
                </a:ext>
                <a:ext uri="{FF2B5EF4-FFF2-40B4-BE49-F238E27FC236}">
                  <a16:creationId xmlns:a16="http://schemas.microsoft.com/office/drawing/2014/main" id="{00000000-0008-0000-0F00-000003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30052" name="Check Box 4" hidden="1">
              <a:extLst>
                <a:ext uri="{63B3BB69-23CF-44E3-9099-C40C66FF867C}">
                  <a14:compatExt spid="_x0000_s130052"/>
                </a:ext>
                <a:ext uri="{FF2B5EF4-FFF2-40B4-BE49-F238E27FC236}">
                  <a16:creationId xmlns:a16="http://schemas.microsoft.com/office/drawing/2014/main" id="{00000000-0008-0000-0F00-000004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30053" name="Check Box 5" hidden="1">
              <a:extLst>
                <a:ext uri="{63B3BB69-23CF-44E3-9099-C40C66FF867C}">
                  <a14:compatExt spid="_x0000_s130053"/>
                </a:ext>
                <a:ext uri="{FF2B5EF4-FFF2-40B4-BE49-F238E27FC236}">
                  <a16:creationId xmlns:a16="http://schemas.microsoft.com/office/drawing/2014/main" id="{00000000-0008-0000-0F00-000005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0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30054" name="Check Box 6" hidden="1">
              <a:extLst>
                <a:ext uri="{63B3BB69-23CF-44E3-9099-C40C66FF867C}">
                  <a14:compatExt spid="_x0000_s130054"/>
                </a:ext>
                <a:ext uri="{FF2B5EF4-FFF2-40B4-BE49-F238E27FC236}">
                  <a16:creationId xmlns:a16="http://schemas.microsoft.com/office/drawing/2014/main" id="{00000000-0008-0000-0F00-000006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30055" name="Check Box 7" hidden="1">
              <a:extLst>
                <a:ext uri="{63B3BB69-23CF-44E3-9099-C40C66FF867C}">
                  <a14:compatExt spid="_x0000_s130055"/>
                </a:ext>
                <a:ext uri="{FF2B5EF4-FFF2-40B4-BE49-F238E27FC236}">
                  <a16:creationId xmlns:a16="http://schemas.microsoft.com/office/drawing/2014/main" id="{00000000-0008-0000-0F00-000007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30056" name="Check Box 8" hidden="1">
              <a:extLst>
                <a:ext uri="{63B3BB69-23CF-44E3-9099-C40C66FF867C}">
                  <a14:compatExt spid="_x0000_s130056"/>
                </a:ext>
                <a:ext uri="{FF2B5EF4-FFF2-40B4-BE49-F238E27FC236}">
                  <a16:creationId xmlns:a16="http://schemas.microsoft.com/office/drawing/2014/main" id="{00000000-0008-0000-0F00-000008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30057" name="Check Box 9" hidden="1">
              <a:extLst>
                <a:ext uri="{63B3BB69-23CF-44E3-9099-C40C66FF867C}">
                  <a14:compatExt spid="_x0000_s130057"/>
                </a:ext>
                <a:ext uri="{FF2B5EF4-FFF2-40B4-BE49-F238E27FC236}">
                  <a16:creationId xmlns:a16="http://schemas.microsoft.com/office/drawing/2014/main" id="{00000000-0008-0000-0F00-000009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30058" name="Check Box 10" hidden="1">
              <a:extLst>
                <a:ext uri="{63B3BB69-23CF-44E3-9099-C40C66FF867C}">
                  <a14:compatExt spid="_x0000_s130058"/>
                </a:ext>
                <a:ext uri="{FF2B5EF4-FFF2-40B4-BE49-F238E27FC236}">
                  <a16:creationId xmlns:a16="http://schemas.microsoft.com/office/drawing/2014/main" id="{00000000-0008-0000-0F00-00000AF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0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0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0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3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3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31073" name="Check Box 1" hidden="1">
              <a:extLst>
                <a:ext uri="{63B3BB69-23CF-44E3-9099-C40C66FF867C}">
                  <a14:compatExt spid="_x0000_s131073"/>
                </a:ext>
                <a:ext uri="{FF2B5EF4-FFF2-40B4-BE49-F238E27FC236}">
                  <a16:creationId xmlns:a16="http://schemas.microsoft.com/office/drawing/2014/main" id="{00000000-0008-0000-1000-000001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31074" name="Check Box 2" hidden="1">
              <a:extLst>
                <a:ext uri="{63B3BB69-23CF-44E3-9099-C40C66FF867C}">
                  <a14:compatExt spid="_x0000_s131074"/>
                </a:ext>
                <a:ext uri="{FF2B5EF4-FFF2-40B4-BE49-F238E27FC236}">
                  <a16:creationId xmlns:a16="http://schemas.microsoft.com/office/drawing/2014/main" id="{00000000-0008-0000-1000-000002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31075" name="Check Box 3" hidden="1">
              <a:extLst>
                <a:ext uri="{63B3BB69-23CF-44E3-9099-C40C66FF867C}">
                  <a14:compatExt spid="_x0000_s131075"/>
                </a:ext>
                <a:ext uri="{FF2B5EF4-FFF2-40B4-BE49-F238E27FC236}">
                  <a16:creationId xmlns:a16="http://schemas.microsoft.com/office/drawing/2014/main" id="{00000000-0008-0000-1000-000003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31076" name="Check Box 4" hidden="1">
              <a:extLst>
                <a:ext uri="{63B3BB69-23CF-44E3-9099-C40C66FF867C}">
                  <a14:compatExt spid="_x0000_s131076"/>
                </a:ext>
                <a:ext uri="{FF2B5EF4-FFF2-40B4-BE49-F238E27FC236}">
                  <a16:creationId xmlns:a16="http://schemas.microsoft.com/office/drawing/2014/main" id="{00000000-0008-0000-1000-000004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31077" name="Check Box 5" hidden="1">
              <a:extLst>
                <a:ext uri="{63B3BB69-23CF-44E3-9099-C40C66FF867C}">
                  <a14:compatExt spid="_x0000_s131077"/>
                </a:ext>
                <a:ext uri="{FF2B5EF4-FFF2-40B4-BE49-F238E27FC236}">
                  <a16:creationId xmlns:a16="http://schemas.microsoft.com/office/drawing/2014/main" id="{00000000-0008-0000-1000-000005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1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31078" name="Check Box 6" hidden="1">
              <a:extLst>
                <a:ext uri="{63B3BB69-23CF-44E3-9099-C40C66FF867C}">
                  <a14:compatExt spid="_x0000_s131078"/>
                </a:ext>
                <a:ext uri="{FF2B5EF4-FFF2-40B4-BE49-F238E27FC236}">
                  <a16:creationId xmlns:a16="http://schemas.microsoft.com/office/drawing/2014/main" id="{00000000-0008-0000-1000-000006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31079" name="Check Box 7" hidden="1">
              <a:extLst>
                <a:ext uri="{63B3BB69-23CF-44E3-9099-C40C66FF867C}">
                  <a14:compatExt spid="_x0000_s131079"/>
                </a:ext>
                <a:ext uri="{FF2B5EF4-FFF2-40B4-BE49-F238E27FC236}">
                  <a16:creationId xmlns:a16="http://schemas.microsoft.com/office/drawing/2014/main" id="{00000000-0008-0000-1000-000007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31080" name="Check Box 8" hidden="1">
              <a:extLst>
                <a:ext uri="{63B3BB69-23CF-44E3-9099-C40C66FF867C}">
                  <a14:compatExt spid="_x0000_s131080"/>
                </a:ext>
                <a:ext uri="{FF2B5EF4-FFF2-40B4-BE49-F238E27FC236}">
                  <a16:creationId xmlns:a16="http://schemas.microsoft.com/office/drawing/2014/main" id="{00000000-0008-0000-1000-000008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31081" name="Check Box 9" hidden="1">
              <a:extLst>
                <a:ext uri="{63B3BB69-23CF-44E3-9099-C40C66FF867C}">
                  <a14:compatExt spid="_x0000_s131081"/>
                </a:ext>
                <a:ext uri="{FF2B5EF4-FFF2-40B4-BE49-F238E27FC236}">
                  <a16:creationId xmlns:a16="http://schemas.microsoft.com/office/drawing/2014/main" id="{00000000-0008-0000-1000-000009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31082" name="Check Box 10" hidden="1">
              <a:extLst>
                <a:ext uri="{63B3BB69-23CF-44E3-9099-C40C66FF867C}">
                  <a14:compatExt spid="_x0000_s131082"/>
                </a:ext>
                <a:ext uri="{FF2B5EF4-FFF2-40B4-BE49-F238E27FC236}">
                  <a16:creationId xmlns:a16="http://schemas.microsoft.com/office/drawing/2014/main" id="{00000000-0008-0000-1000-00000A0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1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1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1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1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3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3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37217" name="Check Box 1" hidden="1">
              <a:extLst>
                <a:ext uri="{63B3BB69-23CF-44E3-9099-C40C66FF867C}">
                  <a14:compatExt spid="_x0000_s137217"/>
                </a:ext>
                <a:ext uri="{FF2B5EF4-FFF2-40B4-BE49-F238E27FC236}">
                  <a16:creationId xmlns:a16="http://schemas.microsoft.com/office/drawing/2014/main" id="{00000000-0008-0000-1100-000001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37218" name="Check Box 2" hidden="1">
              <a:extLst>
                <a:ext uri="{63B3BB69-23CF-44E3-9099-C40C66FF867C}">
                  <a14:compatExt spid="_x0000_s137218"/>
                </a:ext>
                <a:ext uri="{FF2B5EF4-FFF2-40B4-BE49-F238E27FC236}">
                  <a16:creationId xmlns:a16="http://schemas.microsoft.com/office/drawing/2014/main" id="{00000000-0008-0000-1100-000002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37219" name="Check Box 3" hidden="1">
              <a:extLst>
                <a:ext uri="{63B3BB69-23CF-44E3-9099-C40C66FF867C}">
                  <a14:compatExt spid="_x0000_s137219"/>
                </a:ext>
                <a:ext uri="{FF2B5EF4-FFF2-40B4-BE49-F238E27FC236}">
                  <a16:creationId xmlns:a16="http://schemas.microsoft.com/office/drawing/2014/main" id="{00000000-0008-0000-1100-000003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37220" name="Check Box 4" hidden="1">
              <a:extLst>
                <a:ext uri="{63B3BB69-23CF-44E3-9099-C40C66FF867C}">
                  <a14:compatExt spid="_x0000_s137220"/>
                </a:ext>
                <a:ext uri="{FF2B5EF4-FFF2-40B4-BE49-F238E27FC236}">
                  <a16:creationId xmlns:a16="http://schemas.microsoft.com/office/drawing/2014/main" id="{00000000-0008-0000-1100-000004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37221" name="Check Box 5" hidden="1">
              <a:extLst>
                <a:ext uri="{63B3BB69-23CF-44E3-9099-C40C66FF867C}">
                  <a14:compatExt spid="_x0000_s137221"/>
                </a:ext>
                <a:ext uri="{FF2B5EF4-FFF2-40B4-BE49-F238E27FC236}">
                  <a16:creationId xmlns:a16="http://schemas.microsoft.com/office/drawing/2014/main" id="{00000000-0008-0000-1100-000005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2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90</xdr:row>
      <xdr:rowOff>413</xdr:rowOff>
    </xdr:to>
    <xdr:pic>
      <xdr:nvPicPr>
        <xdr:cNvPr id="7" name="Imagen 6">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37222" name="Check Box 6" hidden="1">
              <a:extLst>
                <a:ext uri="{63B3BB69-23CF-44E3-9099-C40C66FF867C}">
                  <a14:compatExt spid="_x0000_s137222"/>
                </a:ext>
                <a:ext uri="{FF2B5EF4-FFF2-40B4-BE49-F238E27FC236}">
                  <a16:creationId xmlns:a16="http://schemas.microsoft.com/office/drawing/2014/main" id="{00000000-0008-0000-1100-000006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37223" name="Check Box 7" hidden="1">
              <a:extLst>
                <a:ext uri="{63B3BB69-23CF-44E3-9099-C40C66FF867C}">
                  <a14:compatExt spid="_x0000_s137223"/>
                </a:ext>
                <a:ext uri="{FF2B5EF4-FFF2-40B4-BE49-F238E27FC236}">
                  <a16:creationId xmlns:a16="http://schemas.microsoft.com/office/drawing/2014/main" id="{00000000-0008-0000-1100-000007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37224" name="Check Box 8" hidden="1">
              <a:extLst>
                <a:ext uri="{63B3BB69-23CF-44E3-9099-C40C66FF867C}">
                  <a14:compatExt spid="_x0000_s137224"/>
                </a:ext>
                <a:ext uri="{FF2B5EF4-FFF2-40B4-BE49-F238E27FC236}">
                  <a16:creationId xmlns:a16="http://schemas.microsoft.com/office/drawing/2014/main" id="{00000000-0008-0000-1100-000008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37225" name="Check Box 9" hidden="1">
              <a:extLst>
                <a:ext uri="{63B3BB69-23CF-44E3-9099-C40C66FF867C}">
                  <a14:compatExt spid="_x0000_s137225"/>
                </a:ext>
                <a:ext uri="{FF2B5EF4-FFF2-40B4-BE49-F238E27FC236}">
                  <a16:creationId xmlns:a16="http://schemas.microsoft.com/office/drawing/2014/main" id="{00000000-0008-0000-1100-000009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37226" name="Check Box 10" hidden="1">
              <a:extLst>
                <a:ext uri="{63B3BB69-23CF-44E3-9099-C40C66FF867C}">
                  <a14:compatExt spid="_x0000_s137226"/>
                </a:ext>
                <a:ext uri="{FF2B5EF4-FFF2-40B4-BE49-F238E27FC236}">
                  <a16:creationId xmlns:a16="http://schemas.microsoft.com/office/drawing/2014/main" id="{00000000-0008-0000-1100-00000A1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570294</xdr:colOff>
      <xdr:row>69</xdr:row>
      <xdr:rowOff>164990</xdr:rowOff>
    </xdr:from>
    <xdr:to>
      <xdr:col>11</xdr:col>
      <xdr:colOff>76199</xdr:colOff>
      <xdr:row>81</xdr:row>
      <xdr:rowOff>247650</xdr:rowOff>
    </xdr:to>
    <xdr:graphicFrame macro="">
      <xdr:nvGraphicFramePr>
        <xdr:cNvPr id="15" name="Gráfico 14">
          <a:extLst>
            <a:ext uri="{FF2B5EF4-FFF2-40B4-BE49-F238E27FC236}">
              <a16:creationId xmlns:a16="http://schemas.microsoft.com/office/drawing/2014/main" id="{00000000-0008-0000-1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3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35169" name="Check Box 1" hidden="1">
              <a:extLst>
                <a:ext uri="{63B3BB69-23CF-44E3-9099-C40C66FF867C}">
                  <a14:compatExt spid="_x0000_s135169"/>
                </a:ext>
                <a:ext uri="{FF2B5EF4-FFF2-40B4-BE49-F238E27FC236}">
                  <a16:creationId xmlns:a16="http://schemas.microsoft.com/office/drawing/2014/main" id="{00000000-0008-0000-1300-000001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35170" name="Check Box 2" hidden="1">
              <a:extLst>
                <a:ext uri="{63B3BB69-23CF-44E3-9099-C40C66FF867C}">
                  <a14:compatExt spid="_x0000_s135170"/>
                </a:ext>
                <a:ext uri="{FF2B5EF4-FFF2-40B4-BE49-F238E27FC236}">
                  <a16:creationId xmlns:a16="http://schemas.microsoft.com/office/drawing/2014/main" id="{00000000-0008-0000-1300-000002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35171" name="Check Box 3" hidden="1">
              <a:extLst>
                <a:ext uri="{63B3BB69-23CF-44E3-9099-C40C66FF867C}">
                  <a14:compatExt spid="_x0000_s135171"/>
                </a:ext>
                <a:ext uri="{FF2B5EF4-FFF2-40B4-BE49-F238E27FC236}">
                  <a16:creationId xmlns:a16="http://schemas.microsoft.com/office/drawing/2014/main" id="{00000000-0008-0000-1300-000003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35172" name="Check Box 4" hidden="1">
              <a:extLst>
                <a:ext uri="{63B3BB69-23CF-44E3-9099-C40C66FF867C}">
                  <a14:compatExt spid="_x0000_s135172"/>
                </a:ext>
                <a:ext uri="{FF2B5EF4-FFF2-40B4-BE49-F238E27FC236}">
                  <a16:creationId xmlns:a16="http://schemas.microsoft.com/office/drawing/2014/main" id="{00000000-0008-0000-1300-000004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35173" name="Check Box 5" hidden="1">
              <a:extLst>
                <a:ext uri="{63B3BB69-23CF-44E3-9099-C40C66FF867C}">
                  <a14:compatExt spid="_x0000_s135173"/>
                </a:ext>
                <a:ext uri="{FF2B5EF4-FFF2-40B4-BE49-F238E27FC236}">
                  <a16:creationId xmlns:a16="http://schemas.microsoft.com/office/drawing/2014/main" id="{00000000-0008-0000-1300-000005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4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90</xdr:row>
      <xdr:rowOff>413</xdr:rowOff>
    </xdr:to>
    <xdr:pic>
      <xdr:nvPicPr>
        <xdr:cNvPr id="7" name="Imagen 6">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35174" name="Check Box 6" hidden="1">
              <a:extLst>
                <a:ext uri="{63B3BB69-23CF-44E3-9099-C40C66FF867C}">
                  <a14:compatExt spid="_x0000_s135174"/>
                </a:ext>
                <a:ext uri="{FF2B5EF4-FFF2-40B4-BE49-F238E27FC236}">
                  <a16:creationId xmlns:a16="http://schemas.microsoft.com/office/drawing/2014/main" id="{00000000-0008-0000-1300-000006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35175" name="Check Box 7" hidden="1">
              <a:extLst>
                <a:ext uri="{63B3BB69-23CF-44E3-9099-C40C66FF867C}">
                  <a14:compatExt spid="_x0000_s135175"/>
                </a:ext>
                <a:ext uri="{FF2B5EF4-FFF2-40B4-BE49-F238E27FC236}">
                  <a16:creationId xmlns:a16="http://schemas.microsoft.com/office/drawing/2014/main" id="{00000000-0008-0000-1300-000007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35176" name="Check Box 8" hidden="1">
              <a:extLst>
                <a:ext uri="{63B3BB69-23CF-44E3-9099-C40C66FF867C}">
                  <a14:compatExt spid="_x0000_s135176"/>
                </a:ext>
                <a:ext uri="{FF2B5EF4-FFF2-40B4-BE49-F238E27FC236}">
                  <a16:creationId xmlns:a16="http://schemas.microsoft.com/office/drawing/2014/main" id="{00000000-0008-0000-1300-000008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35177" name="Check Box 9" hidden="1">
              <a:extLst>
                <a:ext uri="{63B3BB69-23CF-44E3-9099-C40C66FF867C}">
                  <a14:compatExt spid="_x0000_s135177"/>
                </a:ext>
                <a:ext uri="{FF2B5EF4-FFF2-40B4-BE49-F238E27FC236}">
                  <a16:creationId xmlns:a16="http://schemas.microsoft.com/office/drawing/2014/main" id="{00000000-0008-0000-1300-000009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35178" name="Check Box 10" hidden="1">
              <a:extLst>
                <a:ext uri="{63B3BB69-23CF-44E3-9099-C40C66FF867C}">
                  <a14:compatExt spid="_x0000_s135178"/>
                </a:ext>
                <a:ext uri="{FF2B5EF4-FFF2-40B4-BE49-F238E27FC236}">
                  <a16:creationId xmlns:a16="http://schemas.microsoft.com/office/drawing/2014/main" id="{00000000-0008-0000-1300-00000A1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4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4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4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4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3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3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36193" name="Check Box 1" hidden="1">
              <a:extLst>
                <a:ext uri="{63B3BB69-23CF-44E3-9099-C40C66FF867C}">
                  <a14:compatExt spid="_x0000_s136193"/>
                </a:ext>
                <a:ext uri="{FF2B5EF4-FFF2-40B4-BE49-F238E27FC236}">
                  <a16:creationId xmlns:a16="http://schemas.microsoft.com/office/drawing/2014/main" id="{00000000-0008-0000-1400-000001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36194" name="Check Box 2" hidden="1">
              <a:extLst>
                <a:ext uri="{63B3BB69-23CF-44E3-9099-C40C66FF867C}">
                  <a14:compatExt spid="_x0000_s136194"/>
                </a:ext>
                <a:ext uri="{FF2B5EF4-FFF2-40B4-BE49-F238E27FC236}">
                  <a16:creationId xmlns:a16="http://schemas.microsoft.com/office/drawing/2014/main" id="{00000000-0008-0000-1400-000002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36195" name="Check Box 3" hidden="1">
              <a:extLst>
                <a:ext uri="{63B3BB69-23CF-44E3-9099-C40C66FF867C}">
                  <a14:compatExt spid="_x0000_s136195"/>
                </a:ext>
                <a:ext uri="{FF2B5EF4-FFF2-40B4-BE49-F238E27FC236}">
                  <a16:creationId xmlns:a16="http://schemas.microsoft.com/office/drawing/2014/main" id="{00000000-0008-0000-1400-000003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36196" name="Check Box 4" hidden="1">
              <a:extLst>
                <a:ext uri="{63B3BB69-23CF-44E3-9099-C40C66FF867C}">
                  <a14:compatExt spid="_x0000_s136196"/>
                </a:ext>
                <a:ext uri="{FF2B5EF4-FFF2-40B4-BE49-F238E27FC236}">
                  <a16:creationId xmlns:a16="http://schemas.microsoft.com/office/drawing/2014/main" id="{00000000-0008-0000-1400-000004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36197" name="Check Box 5" hidden="1">
              <a:extLst>
                <a:ext uri="{63B3BB69-23CF-44E3-9099-C40C66FF867C}">
                  <a14:compatExt spid="_x0000_s136197"/>
                </a:ext>
                <a:ext uri="{FF2B5EF4-FFF2-40B4-BE49-F238E27FC236}">
                  <a16:creationId xmlns:a16="http://schemas.microsoft.com/office/drawing/2014/main" id="{00000000-0008-0000-1400-000005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5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5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36198" name="Check Box 6" hidden="1">
              <a:extLst>
                <a:ext uri="{63B3BB69-23CF-44E3-9099-C40C66FF867C}">
                  <a14:compatExt spid="_x0000_s136198"/>
                </a:ext>
                <a:ext uri="{FF2B5EF4-FFF2-40B4-BE49-F238E27FC236}">
                  <a16:creationId xmlns:a16="http://schemas.microsoft.com/office/drawing/2014/main" id="{00000000-0008-0000-1400-000006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36199" name="Check Box 7" hidden="1">
              <a:extLst>
                <a:ext uri="{63B3BB69-23CF-44E3-9099-C40C66FF867C}">
                  <a14:compatExt spid="_x0000_s136199"/>
                </a:ext>
                <a:ext uri="{FF2B5EF4-FFF2-40B4-BE49-F238E27FC236}">
                  <a16:creationId xmlns:a16="http://schemas.microsoft.com/office/drawing/2014/main" id="{00000000-0008-0000-1400-000007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36200" name="Check Box 8" hidden="1">
              <a:extLst>
                <a:ext uri="{63B3BB69-23CF-44E3-9099-C40C66FF867C}">
                  <a14:compatExt spid="_x0000_s136200"/>
                </a:ext>
                <a:ext uri="{FF2B5EF4-FFF2-40B4-BE49-F238E27FC236}">
                  <a16:creationId xmlns:a16="http://schemas.microsoft.com/office/drawing/2014/main" id="{00000000-0008-0000-1400-000008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36201" name="Check Box 9" hidden="1">
              <a:extLst>
                <a:ext uri="{63B3BB69-23CF-44E3-9099-C40C66FF867C}">
                  <a14:compatExt spid="_x0000_s136201"/>
                </a:ext>
                <a:ext uri="{FF2B5EF4-FFF2-40B4-BE49-F238E27FC236}">
                  <a16:creationId xmlns:a16="http://schemas.microsoft.com/office/drawing/2014/main" id="{00000000-0008-0000-1400-000009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36202" name="Check Box 10" hidden="1">
              <a:extLst>
                <a:ext uri="{63B3BB69-23CF-44E3-9099-C40C66FF867C}">
                  <a14:compatExt spid="_x0000_s136202"/>
                </a:ext>
                <a:ext uri="{FF2B5EF4-FFF2-40B4-BE49-F238E27FC236}">
                  <a16:creationId xmlns:a16="http://schemas.microsoft.com/office/drawing/2014/main" id="{00000000-0008-0000-1400-00000A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5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5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5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6</xdr:col>
      <xdr:colOff>639535</xdr:colOff>
      <xdr:row>76</xdr:row>
      <xdr:rowOff>2721</xdr:rowOff>
    </xdr:from>
    <xdr:to>
      <xdr:col>9</xdr:col>
      <xdr:colOff>1074964</xdr:colOff>
      <xdr:row>85</xdr:row>
      <xdr:rowOff>78921</xdr:rowOff>
    </xdr:to>
    <xdr:graphicFrame macro="">
      <xdr:nvGraphicFramePr>
        <xdr:cNvPr id="15" name="Gráfico 14">
          <a:extLst>
            <a:ext uri="{FF2B5EF4-FFF2-40B4-BE49-F238E27FC236}">
              <a16:creationId xmlns:a16="http://schemas.microsoft.com/office/drawing/2014/main" id="{00000000-0008-0000-1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3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38241" name="Check Box 1" hidden="1">
              <a:extLst>
                <a:ext uri="{63B3BB69-23CF-44E3-9099-C40C66FF867C}">
                  <a14:compatExt spid="_x0000_s138241"/>
                </a:ext>
                <a:ext uri="{FF2B5EF4-FFF2-40B4-BE49-F238E27FC236}">
                  <a16:creationId xmlns:a16="http://schemas.microsoft.com/office/drawing/2014/main" id="{00000000-0008-0000-15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38242" name="Check Box 2" hidden="1">
              <a:extLst>
                <a:ext uri="{63B3BB69-23CF-44E3-9099-C40C66FF867C}">
                  <a14:compatExt spid="_x0000_s138242"/>
                </a:ext>
                <a:ext uri="{FF2B5EF4-FFF2-40B4-BE49-F238E27FC236}">
                  <a16:creationId xmlns:a16="http://schemas.microsoft.com/office/drawing/2014/main" id="{00000000-0008-0000-15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38243" name="Check Box 3" hidden="1">
              <a:extLst>
                <a:ext uri="{63B3BB69-23CF-44E3-9099-C40C66FF867C}">
                  <a14:compatExt spid="_x0000_s138243"/>
                </a:ext>
                <a:ext uri="{FF2B5EF4-FFF2-40B4-BE49-F238E27FC236}">
                  <a16:creationId xmlns:a16="http://schemas.microsoft.com/office/drawing/2014/main" id="{00000000-0008-0000-15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38244" name="Check Box 4" hidden="1">
              <a:extLst>
                <a:ext uri="{63B3BB69-23CF-44E3-9099-C40C66FF867C}">
                  <a14:compatExt spid="_x0000_s138244"/>
                </a:ext>
                <a:ext uri="{FF2B5EF4-FFF2-40B4-BE49-F238E27FC236}">
                  <a16:creationId xmlns:a16="http://schemas.microsoft.com/office/drawing/2014/main" id="{00000000-0008-0000-15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15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6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15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15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15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15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15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6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6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6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4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4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39265" name="Check Box 1" hidden="1">
              <a:extLst>
                <a:ext uri="{63B3BB69-23CF-44E3-9099-C40C66FF867C}">
                  <a14:compatExt spid="_x0000_s139265"/>
                </a:ext>
                <a:ext uri="{FF2B5EF4-FFF2-40B4-BE49-F238E27FC236}">
                  <a16:creationId xmlns:a16="http://schemas.microsoft.com/office/drawing/2014/main" id="{00000000-0008-0000-1600-000001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39266" name="Check Box 2" hidden="1">
              <a:extLst>
                <a:ext uri="{63B3BB69-23CF-44E3-9099-C40C66FF867C}">
                  <a14:compatExt spid="_x0000_s139266"/>
                </a:ext>
                <a:ext uri="{FF2B5EF4-FFF2-40B4-BE49-F238E27FC236}">
                  <a16:creationId xmlns:a16="http://schemas.microsoft.com/office/drawing/2014/main" id="{00000000-0008-0000-1600-000002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39267" name="Check Box 3" hidden="1">
              <a:extLst>
                <a:ext uri="{63B3BB69-23CF-44E3-9099-C40C66FF867C}">
                  <a14:compatExt spid="_x0000_s139267"/>
                </a:ext>
                <a:ext uri="{FF2B5EF4-FFF2-40B4-BE49-F238E27FC236}">
                  <a16:creationId xmlns:a16="http://schemas.microsoft.com/office/drawing/2014/main" id="{00000000-0008-0000-1600-000003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39268" name="Check Box 4" hidden="1">
              <a:extLst>
                <a:ext uri="{63B3BB69-23CF-44E3-9099-C40C66FF867C}">
                  <a14:compatExt spid="_x0000_s139268"/>
                </a:ext>
                <a:ext uri="{FF2B5EF4-FFF2-40B4-BE49-F238E27FC236}">
                  <a16:creationId xmlns:a16="http://schemas.microsoft.com/office/drawing/2014/main" id="{00000000-0008-0000-1600-000004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39269" name="Check Box 5" hidden="1">
              <a:extLst>
                <a:ext uri="{63B3BB69-23CF-44E3-9099-C40C66FF867C}">
                  <a14:compatExt spid="_x0000_s139269"/>
                </a:ext>
                <a:ext uri="{FF2B5EF4-FFF2-40B4-BE49-F238E27FC236}">
                  <a16:creationId xmlns:a16="http://schemas.microsoft.com/office/drawing/2014/main" id="{00000000-0008-0000-1600-000005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7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7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39270" name="Check Box 6" hidden="1">
              <a:extLst>
                <a:ext uri="{63B3BB69-23CF-44E3-9099-C40C66FF867C}">
                  <a14:compatExt spid="_x0000_s139270"/>
                </a:ext>
                <a:ext uri="{FF2B5EF4-FFF2-40B4-BE49-F238E27FC236}">
                  <a16:creationId xmlns:a16="http://schemas.microsoft.com/office/drawing/2014/main" id="{00000000-0008-0000-1600-000006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39271" name="Check Box 7" hidden="1">
              <a:extLst>
                <a:ext uri="{63B3BB69-23CF-44E3-9099-C40C66FF867C}">
                  <a14:compatExt spid="_x0000_s139271"/>
                </a:ext>
                <a:ext uri="{FF2B5EF4-FFF2-40B4-BE49-F238E27FC236}">
                  <a16:creationId xmlns:a16="http://schemas.microsoft.com/office/drawing/2014/main" id="{00000000-0008-0000-1600-000007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39272" name="Check Box 8" hidden="1">
              <a:extLst>
                <a:ext uri="{63B3BB69-23CF-44E3-9099-C40C66FF867C}">
                  <a14:compatExt spid="_x0000_s139272"/>
                </a:ext>
                <a:ext uri="{FF2B5EF4-FFF2-40B4-BE49-F238E27FC236}">
                  <a16:creationId xmlns:a16="http://schemas.microsoft.com/office/drawing/2014/main" id="{00000000-0008-0000-1600-000008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39273" name="Check Box 9" hidden="1">
              <a:extLst>
                <a:ext uri="{63B3BB69-23CF-44E3-9099-C40C66FF867C}">
                  <a14:compatExt spid="_x0000_s139273"/>
                </a:ext>
                <a:ext uri="{FF2B5EF4-FFF2-40B4-BE49-F238E27FC236}">
                  <a16:creationId xmlns:a16="http://schemas.microsoft.com/office/drawing/2014/main" id="{00000000-0008-0000-1600-000009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39274" name="Check Box 10" hidden="1">
              <a:extLst>
                <a:ext uri="{63B3BB69-23CF-44E3-9099-C40C66FF867C}">
                  <a14:compatExt spid="_x0000_s139274"/>
                </a:ext>
                <a:ext uri="{FF2B5EF4-FFF2-40B4-BE49-F238E27FC236}">
                  <a16:creationId xmlns:a16="http://schemas.microsoft.com/office/drawing/2014/main" id="{00000000-0008-0000-1600-00000A2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7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7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7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wsDr>
</file>

<file path=xl/drawings/drawing4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4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40289" name="Check Box 1" hidden="1">
              <a:extLst>
                <a:ext uri="{63B3BB69-23CF-44E3-9099-C40C66FF867C}">
                  <a14:compatExt spid="_x0000_s140289"/>
                </a:ext>
                <a:ext uri="{FF2B5EF4-FFF2-40B4-BE49-F238E27FC236}">
                  <a16:creationId xmlns:a16="http://schemas.microsoft.com/office/drawing/2014/main" id="{00000000-0008-0000-1700-000001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40290" name="Check Box 2" hidden="1">
              <a:extLst>
                <a:ext uri="{63B3BB69-23CF-44E3-9099-C40C66FF867C}">
                  <a14:compatExt spid="_x0000_s140290"/>
                </a:ext>
                <a:ext uri="{FF2B5EF4-FFF2-40B4-BE49-F238E27FC236}">
                  <a16:creationId xmlns:a16="http://schemas.microsoft.com/office/drawing/2014/main" id="{00000000-0008-0000-1700-000002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40291" name="Check Box 3" hidden="1">
              <a:extLst>
                <a:ext uri="{63B3BB69-23CF-44E3-9099-C40C66FF867C}">
                  <a14:compatExt spid="_x0000_s140291"/>
                </a:ext>
                <a:ext uri="{FF2B5EF4-FFF2-40B4-BE49-F238E27FC236}">
                  <a16:creationId xmlns:a16="http://schemas.microsoft.com/office/drawing/2014/main" id="{00000000-0008-0000-1700-000003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40292" name="Check Box 4" hidden="1">
              <a:extLst>
                <a:ext uri="{63B3BB69-23CF-44E3-9099-C40C66FF867C}">
                  <a14:compatExt spid="_x0000_s140292"/>
                </a:ext>
                <a:ext uri="{FF2B5EF4-FFF2-40B4-BE49-F238E27FC236}">
                  <a16:creationId xmlns:a16="http://schemas.microsoft.com/office/drawing/2014/main" id="{00000000-0008-0000-1700-000004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40293" name="Check Box 5" hidden="1">
              <a:extLst>
                <a:ext uri="{63B3BB69-23CF-44E3-9099-C40C66FF867C}">
                  <a14:compatExt spid="_x0000_s140293"/>
                </a:ext>
                <a:ext uri="{FF2B5EF4-FFF2-40B4-BE49-F238E27FC236}">
                  <a16:creationId xmlns:a16="http://schemas.microsoft.com/office/drawing/2014/main" id="{00000000-0008-0000-1700-000005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8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40294" name="Check Box 6" hidden="1">
              <a:extLst>
                <a:ext uri="{63B3BB69-23CF-44E3-9099-C40C66FF867C}">
                  <a14:compatExt spid="_x0000_s140294"/>
                </a:ext>
                <a:ext uri="{FF2B5EF4-FFF2-40B4-BE49-F238E27FC236}">
                  <a16:creationId xmlns:a16="http://schemas.microsoft.com/office/drawing/2014/main" id="{00000000-0008-0000-1700-000006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40295" name="Check Box 7" hidden="1">
              <a:extLst>
                <a:ext uri="{63B3BB69-23CF-44E3-9099-C40C66FF867C}">
                  <a14:compatExt spid="_x0000_s140295"/>
                </a:ext>
                <a:ext uri="{FF2B5EF4-FFF2-40B4-BE49-F238E27FC236}">
                  <a16:creationId xmlns:a16="http://schemas.microsoft.com/office/drawing/2014/main" id="{00000000-0008-0000-1700-000007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40296" name="Check Box 8" hidden="1">
              <a:extLst>
                <a:ext uri="{63B3BB69-23CF-44E3-9099-C40C66FF867C}">
                  <a14:compatExt spid="_x0000_s140296"/>
                </a:ext>
                <a:ext uri="{FF2B5EF4-FFF2-40B4-BE49-F238E27FC236}">
                  <a16:creationId xmlns:a16="http://schemas.microsoft.com/office/drawing/2014/main" id="{00000000-0008-0000-1700-000008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40297" name="Check Box 9" hidden="1">
              <a:extLst>
                <a:ext uri="{63B3BB69-23CF-44E3-9099-C40C66FF867C}">
                  <a14:compatExt spid="_x0000_s140297"/>
                </a:ext>
                <a:ext uri="{FF2B5EF4-FFF2-40B4-BE49-F238E27FC236}">
                  <a16:creationId xmlns:a16="http://schemas.microsoft.com/office/drawing/2014/main" id="{00000000-0008-0000-1700-000009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40298" name="Check Box 10" hidden="1">
              <a:extLst>
                <a:ext uri="{63B3BB69-23CF-44E3-9099-C40C66FF867C}">
                  <a14:compatExt spid="_x0000_s140298"/>
                </a:ext>
                <a:ext uri="{FF2B5EF4-FFF2-40B4-BE49-F238E27FC236}">
                  <a16:creationId xmlns:a16="http://schemas.microsoft.com/office/drawing/2014/main" id="{00000000-0008-0000-1700-00000A2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8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8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8</xdr:col>
      <xdr:colOff>582446</xdr:colOff>
      <xdr:row>70</xdr:row>
      <xdr:rowOff>62623</xdr:rowOff>
    </xdr:from>
    <xdr:to>
      <xdr:col>11</xdr:col>
      <xdr:colOff>613101</xdr:colOff>
      <xdr:row>81</xdr:row>
      <xdr:rowOff>65689</xdr:rowOff>
    </xdr:to>
    <xdr:graphicFrame macro="">
      <xdr:nvGraphicFramePr>
        <xdr:cNvPr id="16" name="Gráfico 15">
          <a:extLst>
            <a:ext uri="{FF2B5EF4-FFF2-40B4-BE49-F238E27FC236}">
              <a16:creationId xmlns:a16="http://schemas.microsoft.com/office/drawing/2014/main" id="{00000000-0008-0000-1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4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41313" name="Check Box 1" hidden="1">
              <a:extLst>
                <a:ext uri="{63B3BB69-23CF-44E3-9099-C40C66FF867C}">
                  <a14:compatExt spid="_x0000_s141313"/>
                </a:ext>
                <a:ext uri="{FF2B5EF4-FFF2-40B4-BE49-F238E27FC236}">
                  <a16:creationId xmlns:a16="http://schemas.microsoft.com/office/drawing/2014/main" id="{00000000-0008-0000-1800-000001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41314" name="Check Box 2" hidden="1">
              <a:extLst>
                <a:ext uri="{63B3BB69-23CF-44E3-9099-C40C66FF867C}">
                  <a14:compatExt spid="_x0000_s141314"/>
                </a:ext>
                <a:ext uri="{FF2B5EF4-FFF2-40B4-BE49-F238E27FC236}">
                  <a16:creationId xmlns:a16="http://schemas.microsoft.com/office/drawing/2014/main" id="{00000000-0008-0000-1800-000002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41315" name="Check Box 3" hidden="1">
              <a:extLst>
                <a:ext uri="{63B3BB69-23CF-44E3-9099-C40C66FF867C}">
                  <a14:compatExt spid="_x0000_s141315"/>
                </a:ext>
                <a:ext uri="{FF2B5EF4-FFF2-40B4-BE49-F238E27FC236}">
                  <a16:creationId xmlns:a16="http://schemas.microsoft.com/office/drawing/2014/main" id="{00000000-0008-0000-1800-000003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41316" name="Check Box 4" hidden="1">
              <a:extLst>
                <a:ext uri="{63B3BB69-23CF-44E3-9099-C40C66FF867C}">
                  <a14:compatExt spid="_x0000_s141316"/>
                </a:ext>
                <a:ext uri="{FF2B5EF4-FFF2-40B4-BE49-F238E27FC236}">
                  <a16:creationId xmlns:a16="http://schemas.microsoft.com/office/drawing/2014/main" id="{00000000-0008-0000-1800-000004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41317" name="Check Box 5" hidden="1">
              <a:extLst>
                <a:ext uri="{63B3BB69-23CF-44E3-9099-C40C66FF867C}">
                  <a14:compatExt spid="_x0000_s141317"/>
                </a:ext>
                <a:ext uri="{FF2B5EF4-FFF2-40B4-BE49-F238E27FC236}">
                  <a16:creationId xmlns:a16="http://schemas.microsoft.com/office/drawing/2014/main" id="{00000000-0008-0000-1800-000005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9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9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41318" name="Check Box 6" hidden="1">
              <a:extLst>
                <a:ext uri="{63B3BB69-23CF-44E3-9099-C40C66FF867C}">
                  <a14:compatExt spid="_x0000_s141318"/>
                </a:ext>
                <a:ext uri="{FF2B5EF4-FFF2-40B4-BE49-F238E27FC236}">
                  <a16:creationId xmlns:a16="http://schemas.microsoft.com/office/drawing/2014/main" id="{00000000-0008-0000-1800-000006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41319" name="Check Box 7" hidden="1">
              <a:extLst>
                <a:ext uri="{63B3BB69-23CF-44E3-9099-C40C66FF867C}">
                  <a14:compatExt spid="_x0000_s141319"/>
                </a:ext>
                <a:ext uri="{FF2B5EF4-FFF2-40B4-BE49-F238E27FC236}">
                  <a16:creationId xmlns:a16="http://schemas.microsoft.com/office/drawing/2014/main" id="{00000000-0008-0000-1800-000007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41320" name="Check Box 8" hidden="1">
              <a:extLst>
                <a:ext uri="{63B3BB69-23CF-44E3-9099-C40C66FF867C}">
                  <a14:compatExt spid="_x0000_s141320"/>
                </a:ext>
                <a:ext uri="{FF2B5EF4-FFF2-40B4-BE49-F238E27FC236}">
                  <a16:creationId xmlns:a16="http://schemas.microsoft.com/office/drawing/2014/main" id="{00000000-0008-0000-1800-000008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41321" name="Check Box 9" hidden="1">
              <a:extLst>
                <a:ext uri="{63B3BB69-23CF-44E3-9099-C40C66FF867C}">
                  <a14:compatExt spid="_x0000_s141321"/>
                </a:ext>
                <a:ext uri="{FF2B5EF4-FFF2-40B4-BE49-F238E27FC236}">
                  <a16:creationId xmlns:a16="http://schemas.microsoft.com/office/drawing/2014/main" id="{00000000-0008-0000-1800-000009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41322" name="Check Box 10" hidden="1">
              <a:extLst>
                <a:ext uri="{63B3BB69-23CF-44E3-9099-C40C66FF867C}">
                  <a14:compatExt spid="_x0000_s141322"/>
                </a:ext>
                <a:ext uri="{FF2B5EF4-FFF2-40B4-BE49-F238E27FC236}">
                  <a16:creationId xmlns:a16="http://schemas.microsoft.com/office/drawing/2014/main" id="{00000000-0008-0000-1800-00000A2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9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9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9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10</xdr:col>
      <xdr:colOff>1551371</xdr:colOff>
      <xdr:row>74</xdr:row>
      <xdr:rowOff>172107</xdr:rowOff>
    </xdr:from>
    <xdr:to>
      <xdr:col>14</xdr:col>
      <xdr:colOff>1054319</xdr:colOff>
      <xdr:row>82</xdr:row>
      <xdr:rowOff>178238</xdr:rowOff>
    </xdr:to>
    <xdr:graphicFrame macro="">
      <xdr:nvGraphicFramePr>
        <xdr:cNvPr id="15" name="Gráfico 14">
          <a:extLst>
            <a:ext uri="{FF2B5EF4-FFF2-40B4-BE49-F238E27FC236}">
              <a16:creationId xmlns:a16="http://schemas.microsoft.com/office/drawing/2014/main" id="{00000000-0008-0000-1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4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42337" name="Check Box 1" hidden="1">
              <a:extLst>
                <a:ext uri="{63B3BB69-23CF-44E3-9099-C40C66FF867C}">
                  <a14:compatExt spid="_x0000_s142337"/>
                </a:ext>
                <a:ext uri="{FF2B5EF4-FFF2-40B4-BE49-F238E27FC236}">
                  <a16:creationId xmlns:a16="http://schemas.microsoft.com/office/drawing/2014/main" id="{00000000-0008-0000-1900-000001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42338" name="Check Box 2" hidden="1">
              <a:extLst>
                <a:ext uri="{63B3BB69-23CF-44E3-9099-C40C66FF867C}">
                  <a14:compatExt spid="_x0000_s142338"/>
                </a:ext>
                <a:ext uri="{FF2B5EF4-FFF2-40B4-BE49-F238E27FC236}">
                  <a16:creationId xmlns:a16="http://schemas.microsoft.com/office/drawing/2014/main" id="{00000000-0008-0000-1900-000002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42339" name="Check Box 3" hidden="1">
              <a:extLst>
                <a:ext uri="{63B3BB69-23CF-44E3-9099-C40C66FF867C}">
                  <a14:compatExt spid="_x0000_s142339"/>
                </a:ext>
                <a:ext uri="{FF2B5EF4-FFF2-40B4-BE49-F238E27FC236}">
                  <a16:creationId xmlns:a16="http://schemas.microsoft.com/office/drawing/2014/main" id="{00000000-0008-0000-1900-000003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42340" name="Check Box 4" hidden="1">
              <a:extLst>
                <a:ext uri="{63B3BB69-23CF-44E3-9099-C40C66FF867C}">
                  <a14:compatExt spid="_x0000_s142340"/>
                </a:ext>
                <a:ext uri="{FF2B5EF4-FFF2-40B4-BE49-F238E27FC236}">
                  <a16:creationId xmlns:a16="http://schemas.microsoft.com/office/drawing/2014/main" id="{00000000-0008-0000-1900-000004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42341" name="Check Box 5" hidden="1">
              <a:extLst>
                <a:ext uri="{63B3BB69-23CF-44E3-9099-C40C66FF867C}">
                  <a14:compatExt spid="_x0000_s142341"/>
                </a:ext>
                <a:ext uri="{FF2B5EF4-FFF2-40B4-BE49-F238E27FC236}">
                  <a16:creationId xmlns:a16="http://schemas.microsoft.com/office/drawing/2014/main" id="{00000000-0008-0000-1900-000005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A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42342" name="Check Box 6" hidden="1">
              <a:extLst>
                <a:ext uri="{63B3BB69-23CF-44E3-9099-C40C66FF867C}">
                  <a14:compatExt spid="_x0000_s142342"/>
                </a:ext>
                <a:ext uri="{FF2B5EF4-FFF2-40B4-BE49-F238E27FC236}">
                  <a16:creationId xmlns:a16="http://schemas.microsoft.com/office/drawing/2014/main" id="{00000000-0008-0000-1900-000006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42343" name="Check Box 7" hidden="1">
              <a:extLst>
                <a:ext uri="{63B3BB69-23CF-44E3-9099-C40C66FF867C}">
                  <a14:compatExt spid="_x0000_s142343"/>
                </a:ext>
                <a:ext uri="{FF2B5EF4-FFF2-40B4-BE49-F238E27FC236}">
                  <a16:creationId xmlns:a16="http://schemas.microsoft.com/office/drawing/2014/main" id="{00000000-0008-0000-1900-000007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42344" name="Check Box 8" hidden="1">
              <a:extLst>
                <a:ext uri="{63B3BB69-23CF-44E3-9099-C40C66FF867C}">
                  <a14:compatExt spid="_x0000_s142344"/>
                </a:ext>
                <a:ext uri="{FF2B5EF4-FFF2-40B4-BE49-F238E27FC236}">
                  <a16:creationId xmlns:a16="http://schemas.microsoft.com/office/drawing/2014/main" id="{00000000-0008-0000-1900-000008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42345" name="Check Box 9" hidden="1">
              <a:extLst>
                <a:ext uri="{63B3BB69-23CF-44E3-9099-C40C66FF867C}">
                  <a14:compatExt spid="_x0000_s142345"/>
                </a:ext>
                <a:ext uri="{FF2B5EF4-FFF2-40B4-BE49-F238E27FC236}">
                  <a16:creationId xmlns:a16="http://schemas.microsoft.com/office/drawing/2014/main" id="{00000000-0008-0000-1900-000009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42346" name="Check Box 10" hidden="1">
              <a:extLst>
                <a:ext uri="{63B3BB69-23CF-44E3-9099-C40C66FF867C}">
                  <a14:compatExt spid="_x0000_s142346"/>
                </a:ext>
                <a:ext uri="{FF2B5EF4-FFF2-40B4-BE49-F238E27FC236}">
                  <a16:creationId xmlns:a16="http://schemas.microsoft.com/office/drawing/2014/main" id="{00000000-0008-0000-1900-00000A2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A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A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A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A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938267</xdr:colOff>
      <xdr:row>68</xdr:row>
      <xdr:rowOff>73571</xdr:rowOff>
    </xdr:from>
    <xdr:to>
      <xdr:col>11</xdr:col>
      <xdr:colOff>780612</xdr:colOff>
      <xdr:row>77</xdr:row>
      <xdr:rowOff>265823</xdr:rowOff>
    </xdr:to>
    <xdr:graphicFrame macro="">
      <xdr:nvGraphicFramePr>
        <xdr:cNvPr id="15" name="Gráfico 14">
          <a:extLst>
            <a:ext uri="{FF2B5EF4-FFF2-40B4-BE49-F238E27FC236}">
              <a16:creationId xmlns:a16="http://schemas.microsoft.com/office/drawing/2014/main" id="{00000000-0008-0000-1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4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16</xdr:row>
          <xdr:rowOff>295275</xdr:rowOff>
        </xdr:to>
        <xdr:sp macro="" textlink="">
          <xdr:nvSpPr>
            <xdr:cNvPr id="144385" name="Check Box 1" hidden="1">
              <a:extLst>
                <a:ext uri="{63B3BB69-23CF-44E3-9099-C40C66FF867C}">
                  <a14:compatExt spid="_x0000_s144385"/>
                </a:ext>
                <a:ext uri="{FF2B5EF4-FFF2-40B4-BE49-F238E27FC236}">
                  <a16:creationId xmlns:a16="http://schemas.microsoft.com/office/drawing/2014/main" id="{00000000-0008-0000-1A00-000001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16</xdr:row>
          <xdr:rowOff>295275</xdr:rowOff>
        </xdr:to>
        <xdr:sp macro="" textlink="">
          <xdr:nvSpPr>
            <xdr:cNvPr id="144386" name="Check Box 2" hidden="1">
              <a:extLst>
                <a:ext uri="{63B3BB69-23CF-44E3-9099-C40C66FF867C}">
                  <a14:compatExt spid="_x0000_s144386"/>
                </a:ext>
                <a:ext uri="{FF2B5EF4-FFF2-40B4-BE49-F238E27FC236}">
                  <a16:creationId xmlns:a16="http://schemas.microsoft.com/office/drawing/2014/main" id="{00000000-0008-0000-1A00-000002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16</xdr:row>
          <xdr:rowOff>295275</xdr:rowOff>
        </xdr:to>
        <xdr:sp macro="" textlink="">
          <xdr:nvSpPr>
            <xdr:cNvPr id="144387" name="Check Box 3" hidden="1">
              <a:extLst>
                <a:ext uri="{63B3BB69-23CF-44E3-9099-C40C66FF867C}">
                  <a14:compatExt spid="_x0000_s144387"/>
                </a:ext>
                <a:ext uri="{FF2B5EF4-FFF2-40B4-BE49-F238E27FC236}">
                  <a16:creationId xmlns:a16="http://schemas.microsoft.com/office/drawing/2014/main" id="{00000000-0008-0000-1A00-000003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44388" name="Check Box 4" hidden="1">
              <a:extLst>
                <a:ext uri="{63B3BB69-23CF-44E3-9099-C40C66FF867C}">
                  <a14:compatExt spid="_x0000_s144388"/>
                </a:ext>
                <a:ext uri="{FF2B5EF4-FFF2-40B4-BE49-F238E27FC236}">
                  <a16:creationId xmlns:a16="http://schemas.microsoft.com/office/drawing/2014/main" id="{00000000-0008-0000-1A00-000004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44389" name="Check Box 5" hidden="1">
              <a:extLst>
                <a:ext uri="{63B3BB69-23CF-44E3-9099-C40C66FF867C}">
                  <a14:compatExt spid="_x0000_s144389"/>
                </a:ext>
                <a:ext uri="{FF2B5EF4-FFF2-40B4-BE49-F238E27FC236}">
                  <a16:creationId xmlns:a16="http://schemas.microsoft.com/office/drawing/2014/main" id="{00000000-0008-0000-1A00-000005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B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B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16</xdr:row>
          <xdr:rowOff>295275</xdr:rowOff>
        </xdr:to>
        <xdr:sp macro="" textlink="">
          <xdr:nvSpPr>
            <xdr:cNvPr id="144390" name="Check Box 6" hidden="1">
              <a:extLst>
                <a:ext uri="{63B3BB69-23CF-44E3-9099-C40C66FF867C}">
                  <a14:compatExt spid="_x0000_s144390"/>
                </a:ext>
                <a:ext uri="{FF2B5EF4-FFF2-40B4-BE49-F238E27FC236}">
                  <a16:creationId xmlns:a16="http://schemas.microsoft.com/office/drawing/2014/main" id="{00000000-0008-0000-1A00-000006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16</xdr:row>
          <xdr:rowOff>295275</xdr:rowOff>
        </xdr:to>
        <xdr:sp macro="" textlink="">
          <xdr:nvSpPr>
            <xdr:cNvPr id="144391" name="Check Box 7" hidden="1">
              <a:extLst>
                <a:ext uri="{63B3BB69-23CF-44E3-9099-C40C66FF867C}">
                  <a14:compatExt spid="_x0000_s144391"/>
                </a:ext>
                <a:ext uri="{FF2B5EF4-FFF2-40B4-BE49-F238E27FC236}">
                  <a16:creationId xmlns:a16="http://schemas.microsoft.com/office/drawing/2014/main" id="{00000000-0008-0000-1A00-000007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44392" name="Check Box 8" hidden="1">
              <a:extLst>
                <a:ext uri="{63B3BB69-23CF-44E3-9099-C40C66FF867C}">
                  <a14:compatExt spid="_x0000_s144392"/>
                </a:ext>
                <a:ext uri="{FF2B5EF4-FFF2-40B4-BE49-F238E27FC236}">
                  <a16:creationId xmlns:a16="http://schemas.microsoft.com/office/drawing/2014/main" id="{00000000-0008-0000-1A00-000008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44393" name="Check Box 9" hidden="1">
              <a:extLst>
                <a:ext uri="{63B3BB69-23CF-44E3-9099-C40C66FF867C}">
                  <a14:compatExt spid="_x0000_s144393"/>
                </a:ext>
                <a:ext uri="{FF2B5EF4-FFF2-40B4-BE49-F238E27FC236}">
                  <a16:creationId xmlns:a16="http://schemas.microsoft.com/office/drawing/2014/main" id="{00000000-0008-0000-1A00-000009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44394" name="Check Box 10" hidden="1">
              <a:extLst>
                <a:ext uri="{63B3BB69-23CF-44E3-9099-C40C66FF867C}">
                  <a14:compatExt spid="_x0000_s144394"/>
                </a:ext>
                <a:ext uri="{FF2B5EF4-FFF2-40B4-BE49-F238E27FC236}">
                  <a16:creationId xmlns:a16="http://schemas.microsoft.com/office/drawing/2014/main" id="{00000000-0008-0000-1A00-00000A3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B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B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938267</xdr:colOff>
      <xdr:row>68</xdr:row>
      <xdr:rowOff>73571</xdr:rowOff>
    </xdr:from>
    <xdr:to>
      <xdr:col>11</xdr:col>
      <xdr:colOff>780612</xdr:colOff>
      <xdr:row>77</xdr:row>
      <xdr:rowOff>265823</xdr:rowOff>
    </xdr:to>
    <xdr:graphicFrame macro="">
      <xdr:nvGraphicFramePr>
        <xdr:cNvPr id="15" name="Gráfico 14">
          <a:extLst>
            <a:ext uri="{FF2B5EF4-FFF2-40B4-BE49-F238E27FC236}">
              <a16:creationId xmlns:a16="http://schemas.microsoft.com/office/drawing/2014/main" id="{00000000-0008-0000-1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5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48481" name="Check Box 1" hidden="1">
              <a:extLst>
                <a:ext uri="{63B3BB69-23CF-44E3-9099-C40C66FF867C}">
                  <a14:compatExt spid="_x0000_s148481"/>
                </a:ext>
                <a:ext uri="{FF2B5EF4-FFF2-40B4-BE49-F238E27FC236}">
                  <a16:creationId xmlns:a16="http://schemas.microsoft.com/office/drawing/2014/main" id="{00000000-0008-0000-1B00-000001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48482" name="Check Box 2" hidden="1">
              <a:extLst>
                <a:ext uri="{63B3BB69-23CF-44E3-9099-C40C66FF867C}">
                  <a14:compatExt spid="_x0000_s148482"/>
                </a:ext>
                <a:ext uri="{FF2B5EF4-FFF2-40B4-BE49-F238E27FC236}">
                  <a16:creationId xmlns:a16="http://schemas.microsoft.com/office/drawing/2014/main" id="{00000000-0008-0000-1B00-000002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48483" name="Check Box 3" hidden="1">
              <a:extLst>
                <a:ext uri="{63B3BB69-23CF-44E3-9099-C40C66FF867C}">
                  <a14:compatExt spid="_x0000_s148483"/>
                </a:ext>
                <a:ext uri="{FF2B5EF4-FFF2-40B4-BE49-F238E27FC236}">
                  <a16:creationId xmlns:a16="http://schemas.microsoft.com/office/drawing/2014/main" id="{00000000-0008-0000-1B00-000003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48484" name="Check Box 4" hidden="1">
              <a:extLst>
                <a:ext uri="{63B3BB69-23CF-44E3-9099-C40C66FF867C}">
                  <a14:compatExt spid="_x0000_s148484"/>
                </a:ext>
                <a:ext uri="{FF2B5EF4-FFF2-40B4-BE49-F238E27FC236}">
                  <a16:creationId xmlns:a16="http://schemas.microsoft.com/office/drawing/2014/main" id="{00000000-0008-0000-1B00-000004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48485" name="Check Box 5" hidden="1">
              <a:extLst>
                <a:ext uri="{63B3BB69-23CF-44E3-9099-C40C66FF867C}">
                  <a14:compatExt spid="_x0000_s148485"/>
                </a:ext>
                <a:ext uri="{FF2B5EF4-FFF2-40B4-BE49-F238E27FC236}">
                  <a16:creationId xmlns:a16="http://schemas.microsoft.com/office/drawing/2014/main" id="{00000000-0008-0000-1B00-000005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C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C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C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48486" name="Check Box 6" hidden="1">
              <a:extLst>
                <a:ext uri="{63B3BB69-23CF-44E3-9099-C40C66FF867C}">
                  <a14:compatExt spid="_x0000_s148486"/>
                </a:ext>
                <a:ext uri="{FF2B5EF4-FFF2-40B4-BE49-F238E27FC236}">
                  <a16:creationId xmlns:a16="http://schemas.microsoft.com/office/drawing/2014/main" id="{00000000-0008-0000-1B00-000006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48487" name="Check Box 7" hidden="1">
              <a:extLst>
                <a:ext uri="{63B3BB69-23CF-44E3-9099-C40C66FF867C}">
                  <a14:compatExt spid="_x0000_s148487"/>
                </a:ext>
                <a:ext uri="{FF2B5EF4-FFF2-40B4-BE49-F238E27FC236}">
                  <a16:creationId xmlns:a16="http://schemas.microsoft.com/office/drawing/2014/main" id="{00000000-0008-0000-1B00-000007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48488" name="Check Box 8" hidden="1">
              <a:extLst>
                <a:ext uri="{63B3BB69-23CF-44E3-9099-C40C66FF867C}">
                  <a14:compatExt spid="_x0000_s148488"/>
                </a:ext>
                <a:ext uri="{FF2B5EF4-FFF2-40B4-BE49-F238E27FC236}">
                  <a16:creationId xmlns:a16="http://schemas.microsoft.com/office/drawing/2014/main" id="{00000000-0008-0000-1B00-000008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48489" name="Check Box 9" hidden="1">
              <a:extLst>
                <a:ext uri="{63B3BB69-23CF-44E3-9099-C40C66FF867C}">
                  <a14:compatExt spid="_x0000_s148489"/>
                </a:ext>
                <a:ext uri="{FF2B5EF4-FFF2-40B4-BE49-F238E27FC236}">
                  <a16:creationId xmlns:a16="http://schemas.microsoft.com/office/drawing/2014/main" id="{00000000-0008-0000-1B00-000009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48490" name="Check Box 10" hidden="1">
              <a:extLst>
                <a:ext uri="{63B3BB69-23CF-44E3-9099-C40C66FF867C}">
                  <a14:compatExt spid="_x0000_s148490"/>
                </a:ext>
                <a:ext uri="{FF2B5EF4-FFF2-40B4-BE49-F238E27FC236}">
                  <a16:creationId xmlns:a16="http://schemas.microsoft.com/office/drawing/2014/main" id="{00000000-0008-0000-1B00-00000A4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C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C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C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1401691</xdr:colOff>
      <xdr:row>66</xdr:row>
      <xdr:rowOff>185401</xdr:rowOff>
    </xdr:from>
    <xdr:to>
      <xdr:col>12</xdr:col>
      <xdr:colOff>140607</xdr:colOff>
      <xdr:row>76</xdr:row>
      <xdr:rowOff>218119</xdr:rowOff>
    </xdr:to>
    <xdr:graphicFrame macro="">
      <xdr:nvGraphicFramePr>
        <xdr:cNvPr id="15" name="Gráfico 14">
          <a:extLst>
            <a:ext uri="{FF2B5EF4-FFF2-40B4-BE49-F238E27FC236}">
              <a16:creationId xmlns:a16="http://schemas.microsoft.com/office/drawing/2014/main" id="{00000000-0008-0000-1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5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49505" name="Check Box 1" hidden="1">
              <a:extLst>
                <a:ext uri="{63B3BB69-23CF-44E3-9099-C40C66FF867C}">
                  <a14:compatExt spid="_x0000_s149505"/>
                </a:ext>
                <a:ext uri="{FF2B5EF4-FFF2-40B4-BE49-F238E27FC236}">
                  <a16:creationId xmlns:a16="http://schemas.microsoft.com/office/drawing/2014/main" id="{00000000-0008-0000-1C00-000001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49506" name="Check Box 2" hidden="1">
              <a:extLst>
                <a:ext uri="{63B3BB69-23CF-44E3-9099-C40C66FF867C}">
                  <a14:compatExt spid="_x0000_s149506"/>
                </a:ext>
                <a:ext uri="{FF2B5EF4-FFF2-40B4-BE49-F238E27FC236}">
                  <a16:creationId xmlns:a16="http://schemas.microsoft.com/office/drawing/2014/main" id="{00000000-0008-0000-1C00-000002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49507" name="Check Box 3" hidden="1">
              <a:extLst>
                <a:ext uri="{63B3BB69-23CF-44E3-9099-C40C66FF867C}">
                  <a14:compatExt spid="_x0000_s149507"/>
                </a:ext>
                <a:ext uri="{FF2B5EF4-FFF2-40B4-BE49-F238E27FC236}">
                  <a16:creationId xmlns:a16="http://schemas.microsoft.com/office/drawing/2014/main" id="{00000000-0008-0000-1C00-000003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49508" name="Check Box 4" hidden="1">
              <a:extLst>
                <a:ext uri="{63B3BB69-23CF-44E3-9099-C40C66FF867C}">
                  <a14:compatExt spid="_x0000_s149508"/>
                </a:ext>
                <a:ext uri="{FF2B5EF4-FFF2-40B4-BE49-F238E27FC236}">
                  <a16:creationId xmlns:a16="http://schemas.microsoft.com/office/drawing/2014/main" id="{00000000-0008-0000-1C00-000004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49509" name="Check Box 5" hidden="1">
              <a:extLst>
                <a:ext uri="{63B3BB69-23CF-44E3-9099-C40C66FF867C}">
                  <a14:compatExt spid="_x0000_s149509"/>
                </a:ext>
                <a:ext uri="{FF2B5EF4-FFF2-40B4-BE49-F238E27FC236}">
                  <a16:creationId xmlns:a16="http://schemas.microsoft.com/office/drawing/2014/main" id="{00000000-0008-0000-1C00-000005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D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D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D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49510" name="Check Box 6" hidden="1">
              <a:extLst>
                <a:ext uri="{63B3BB69-23CF-44E3-9099-C40C66FF867C}">
                  <a14:compatExt spid="_x0000_s149510"/>
                </a:ext>
                <a:ext uri="{FF2B5EF4-FFF2-40B4-BE49-F238E27FC236}">
                  <a16:creationId xmlns:a16="http://schemas.microsoft.com/office/drawing/2014/main" id="{00000000-0008-0000-1C00-000006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49511" name="Check Box 7" hidden="1">
              <a:extLst>
                <a:ext uri="{63B3BB69-23CF-44E3-9099-C40C66FF867C}">
                  <a14:compatExt spid="_x0000_s149511"/>
                </a:ext>
                <a:ext uri="{FF2B5EF4-FFF2-40B4-BE49-F238E27FC236}">
                  <a16:creationId xmlns:a16="http://schemas.microsoft.com/office/drawing/2014/main" id="{00000000-0008-0000-1C00-000007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49512" name="Check Box 8" hidden="1">
              <a:extLst>
                <a:ext uri="{63B3BB69-23CF-44E3-9099-C40C66FF867C}">
                  <a14:compatExt spid="_x0000_s149512"/>
                </a:ext>
                <a:ext uri="{FF2B5EF4-FFF2-40B4-BE49-F238E27FC236}">
                  <a16:creationId xmlns:a16="http://schemas.microsoft.com/office/drawing/2014/main" id="{00000000-0008-0000-1C00-000008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49513" name="Check Box 9" hidden="1">
              <a:extLst>
                <a:ext uri="{63B3BB69-23CF-44E3-9099-C40C66FF867C}">
                  <a14:compatExt spid="_x0000_s149513"/>
                </a:ext>
                <a:ext uri="{FF2B5EF4-FFF2-40B4-BE49-F238E27FC236}">
                  <a16:creationId xmlns:a16="http://schemas.microsoft.com/office/drawing/2014/main" id="{00000000-0008-0000-1C00-000009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49514" name="Check Box 10" hidden="1">
              <a:extLst>
                <a:ext uri="{63B3BB69-23CF-44E3-9099-C40C66FF867C}">
                  <a14:compatExt spid="_x0000_s149514"/>
                </a:ext>
                <a:ext uri="{FF2B5EF4-FFF2-40B4-BE49-F238E27FC236}">
                  <a16:creationId xmlns:a16="http://schemas.microsoft.com/office/drawing/2014/main" id="{00000000-0008-0000-1C00-00000A4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D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D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D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D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1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5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50529" name="Check Box 1" hidden="1">
              <a:extLst>
                <a:ext uri="{63B3BB69-23CF-44E3-9099-C40C66FF867C}">
                  <a14:compatExt spid="_x0000_s150529"/>
                </a:ext>
                <a:ext uri="{FF2B5EF4-FFF2-40B4-BE49-F238E27FC236}">
                  <a16:creationId xmlns:a16="http://schemas.microsoft.com/office/drawing/2014/main" id="{00000000-0008-0000-1D00-000001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50530" name="Check Box 2" hidden="1">
              <a:extLst>
                <a:ext uri="{63B3BB69-23CF-44E3-9099-C40C66FF867C}">
                  <a14:compatExt spid="_x0000_s150530"/>
                </a:ext>
                <a:ext uri="{FF2B5EF4-FFF2-40B4-BE49-F238E27FC236}">
                  <a16:creationId xmlns:a16="http://schemas.microsoft.com/office/drawing/2014/main" id="{00000000-0008-0000-1D00-000002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50531" name="Check Box 3" hidden="1">
              <a:extLst>
                <a:ext uri="{63B3BB69-23CF-44E3-9099-C40C66FF867C}">
                  <a14:compatExt spid="_x0000_s150531"/>
                </a:ext>
                <a:ext uri="{FF2B5EF4-FFF2-40B4-BE49-F238E27FC236}">
                  <a16:creationId xmlns:a16="http://schemas.microsoft.com/office/drawing/2014/main" id="{00000000-0008-0000-1D00-000003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50532" name="Check Box 4" hidden="1">
              <a:extLst>
                <a:ext uri="{63B3BB69-23CF-44E3-9099-C40C66FF867C}">
                  <a14:compatExt spid="_x0000_s150532"/>
                </a:ext>
                <a:ext uri="{FF2B5EF4-FFF2-40B4-BE49-F238E27FC236}">
                  <a16:creationId xmlns:a16="http://schemas.microsoft.com/office/drawing/2014/main" id="{00000000-0008-0000-1D00-000004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50533" name="Check Box 5" hidden="1">
              <a:extLst>
                <a:ext uri="{63B3BB69-23CF-44E3-9099-C40C66FF867C}">
                  <a14:compatExt spid="_x0000_s150533"/>
                </a:ext>
                <a:ext uri="{FF2B5EF4-FFF2-40B4-BE49-F238E27FC236}">
                  <a16:creationId xmlns:a16="http://schemas.microsoft.com/office/drawing/2014/main" id="{00000000-0008-0000-1D00-000005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E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E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E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E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50534" name="Check Box 6" hidden="1">
              <a:extLst>
                <a:ext uri="{63B3BB69-23CF-44E3-9099-C40C66FF867C}">
                  <a14:compatExt spid="_x0000_s150534"/>
                </a:ext>
                <a:ext uri="{FF2B5EF4-FFF2-40B4-BE49-F238E27FC236}">
                  <a16:creationId xmlns:a16="http://schemas.microsoft.com/office/drawing/2014/main" id="{00000000-0008-0000-1D00-000006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50535" name="Check Box 7" hidden="1">
              <a:extLst>
                <a:ext uri="{63B3BB69-23CF-44E3-9099-C40C66FF867C}">
                  <a14:compatExt spid="_x0000_s150535"/>
                </a:ext>
                <a:ext uri="{FF2B5EF4-FFF2-40B4-BE49-F238E27FC236}">
                  <a16:creationId xmlns:a16="http://schemas.microsoft.com/office/drawing/2014/main" id="{00000000-0008-0000-1D00-000007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50536" name="Check Box 8" hidden="1">
              <a:extLst>
                <a:ext uri="{63B3BB69-23CF-44E3-9099-C40C66FF867C}">
                  <a14:compatExt spid="_x0000_s150536"/>
                </a:ext>
                <a:ext uri="{FF2B5EF4-FFF2-40B4-BE49-F238E27FC236}">
                  <a16:creationId xmlns:a16="http://schemas.microsoft.com/office/drawing/2014/main" id="{00000000-0008-0000-1D00-000008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50537" name="Check Box 9" hidden="1">
              <a:extLst>
                <a:ext uri="{63B3BB69-23CF-44E3-9099-C40C66FF867C}">
                  <a14:compatExt spid="_x0000_s150537"/>
                </a:ext>
                <a:ext uri="{FF2B5EF4-FFF2-40B4-BE49-F238E27FC236}">
                  <a16:creationId xmlns:a16="http://schemas.microsoft.com/office/drawing/2014/main" id="{00000000-0008-0000-1D00-000009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50538" name="Check Box 10" hidden="1">
              <a:extLst>
                <a:ext uri="{63B3BB69-23CF-44E3-9099-C40C66FF867C}">
                  <a14:compatExt spid="_x0000_s150538"/>
                </a:ext>
                <a:ext uri="{FF2B5EF4-FFF2-40B4-BE49-F238E27FC236}">
                  <a16:creationId xmlns:a16="http://schemas.microsoft.com/office/drawing/2014/main" id="{00000000-0008-0000-1D00-00000A4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E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E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E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1E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5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51553" name="Check Box 1" hidden="1">
              <a:extLst>
                <a:ext uri="{63B3BB69-23CF-44E3-9099-C40C66FF867C}">
                  <a14:compatExt spid="_x0000_s151553"/>
                </a:ext>
                <a:ext uri="{FF2B5EF4-FFF2-40B4-BE49-F238E27FC236}">
                  <a16:creationId xmlns:a16="http://schemas.microsoft.com/office/drawing/2014/main" id="{00000000-0008-0000-1E00-000001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51554" name="Check Box 2" hidden="1">
              <a:extLst>
                <a:ext uri="{63B3BB69-23CF-44E3-9099-C40C66FF867C}">
                  <a14:compatExt spid="_x0000_s151554"/>
                </a:ext>
                <a:ext uri="{FF2B5EF4-FFF2-40B4-BE49-F238E27FC236}">
                  <a16:creationId xmlns:a16="http://schemas.microsoft.com/office/drawing/2014/main" id="{00000000-0008-0000-1E00-000002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51555" name="Check Box 3" hidden="1">
              <a:extLst>
                <a:ext uri="{63B3BB69-23CF-44E3-9099-C40C66FF867C}">
                  <a14:compatExt spid="_x0000_s151555"/>
                </a:ext>
                <a:ext uri="{FF2B5EF4-FFF2-40B4-BE49-F238E27FC236}">
                  <a16:creationId xmlns:a16="http://schemas.microsoft.com/office/drawing/2014/main" id="{00000000-0008-0000-1E00-000003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51556" name="Check Box 4" hidden="1">
              <a:extLst>
                <a:ext uri="{63B3BB69-23CF-44E3-9099-C40C66FF867C}">
                  <a14:compatExt spid="_x0000_s151556"/>
                </a:ext>
                <a:ext uri="{FF2B5EF4-FFF2-40B4-BE49-F238E27FC236}">
                  <a16:creationId xmlns:a16="http://schemas.microsoft.com/office/drawing/2014/main" id="{00000000-0008-0000-1E00-000004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51557" name="Check Box 5" hidden="1">
              <a:extLst>
                <a:ext uri="{63B3BB69-23CF-44E3-9099-C40C66FF867C}">
                  <a14:compatExt spid="_x0000_s151557"/>
                </a:ext>
                <a:ext uri="{FF2B5EF4-FFF2-40B4-BE49-F238E27FC236}">
                  <a16:creationId xmlns:a16="http://schemas.microsoft.com/office/drawing/2014/main" id="{00000000-0008-0000-1E00-000005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1F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1F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1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1F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1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51558" name="Check Box 6" hidden="1">
              <a:extLst>
                <a:ext uri="{63B3BB69-23CF-44E3-9099-C40C66FF867C}">
                  <a14:compatExt spid="_x0000_s151558"/>
                </a:ext>
                <a:ext uri="{FF2B5EF4-FFF2-40B4-BE49-F238E27FC236}">
                  <a16:creationId xmlns:a16="http://schemas.microsoft.com/office/drawing/2014/main" id="{00000000-0008-0000-1E00-000006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51559" name="Check Box 7" hidden="1">
              <a:extLst>
                <a:ext uri="{63B3BB69-23CF-44E3-9099-C40C66FF867C}">
                  <a14:compatExt spid="_x0000_s151559"/>
                </a:ext>
                <a:ext uri="{FF2B5EF4-FFF2-40B4-BE49-F238E27FC236}">
                  <a16:creationId xmlns:a16="http://schemas.microsoft.com/office/drawing/2014/main" id="{00000000-0008-0000-1E00-000007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51560" name="Check Box 8" hidden="1">
              <a:extLst>
                <a:ext uri="{63B3BB69-23CF-44E3-9099-C40C66FF867C}">
                  <a14:compatExt spid="_x0000_s151560"/>
                </a:ext>
                <a:ext uri="{FF2B5EF4-FFF2-40B4-BE49-F238E27FC236}">
                  <a16:creationId xmlns:a16="http://schemas.microsoft.com/office/drawing/2014/main" id="{00000000-0008-0000-1E00-000008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51561" name="Check Box 9" hidden="1">
              <a:extLst>
                <a:ext uri="{63B3BB69-23CF-44E3-9099-C40C66FF867C}">
                  <a14:compatExt spid="_x0000_s151561"/>
                </a:ext>
                <a:ext uri="{FF2B5EF4-FFF2-40B4-BE49-F238E27FC236}">
                  <a16:creationId xmlns:a16="http://schemas.microsoft.com/office/drawing/2014/main" id="{00000000-0008-0000-1E00-000009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51562" name="Check Box 10" hidden="1">
              <a:extLst>
                <a:ext uri="{63B3BB69-23CF-44E3-9099-C40C66FF867C}">
                  <a14:compatExt spid="_x0000_s151562"/>
                </a:ext>
                <a:ext uri="{FF2B5EF4-FFF2-40B4-BE49-F238E27FC236}">
                  <a16:creationId xmlns:a16="http://schemas.microsoft.com/office/drawing/2014/main" id="{00000000-0008-0000-1E00-00000A5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1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1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1F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1F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1F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1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5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60769" name="Check Box 1" hidden="1">
              <a:extLst>
                <a:ext uri="{63B3BB69-23CF-44E3-9099-C40C66FF867C}">
                  <a14:compatExt spid="_x0000_s160769"/>
                </a:ext>
                <a:ext uri="{FF2B5EF4-FFF2-40B4-BE49-F238E27FC236}">
                  <a16:creationId xmlns:a16="http://schemas.microsoft.com/office/drawing/2014/main" id="{00000000-0008-0000-1F00-000001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F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F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60772" name="Check Box 4" hidden="1">
              <a:extLst>
                <a:ext uri="{63B3BB69-23CF-44E3-9099-C40C66FF867C}">
                  <a14:compatExt spid="_x0000_s160772"/>
                </a:ext>
                <a:ext uri="{FF2B5EF4-FFF2-40B4-BE49-F238E27FC236}">
                  <a16:creationId xmlns:a16="http://schemas.microsoft.com/office/drawing/2014/main" id="{00000000-0008-0000-1F00-000004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60773" name="Check Box 5" hidden="1">
              <a:extLst>
                <a:ext uri="{63B3BB69-23CF-44E3-9099-C40C66FF867C}">
                  <a14:compatExt spid="_x0000_s160773"/>
                </a:ext>
                <a:ext uri="{FF2B5EF4-FFF2-40B4-BE49-F238E27FC236}">
                  <a16:creationId xmlns:a16="http://schemas.microsoft.com/office/drawing/2014/main" id="{00000000-0008-0000-1F00-000005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0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60774" name="Check Box 6" hidden="1">
              <a:extLst>
                <a:ext uri="{63B3BB69-23CF-44E3-9099-C40C66FF867C}">
                  <a14:compatExt spid="_x0000_s160774"/>
                </a:ext>
                <a:ext uri="{FF2B5EF4-FFF2-40B4-BE49-F238E27FC236}">
                  <a16:creationId xmlns:a16="http://schemas.microsoft.com/office/drawing/2014/main" id="{00000000-0008-0000-1F00-000006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60775" name="Check Box 7" hidden="1">
              <a:extLst>
                <a:ext uri="{63B3BB69-23CF-44E3-9099-C40C66FF867C}">
                  <a14:compatExt spid="_x0000_s160775"/>
                </a:ext>
                <a:ext uri="{FF2B5EF4-FFF2-40B4-BE49-F238E27FC236}">
                  <a16:creationId xmlns:a16="http://schemas.microsoft.com/office/drawing/2014/main" id="{00000000-0008-0000-1F00-000007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60776" name="Check Box 8" hidden="1">
              <a:extLst>
                <a:ext uri="{63B3BB69-23CF-44E3-9099-C40C66FF867C}">
                  <a14:compatExt spid="_x0000_s160776"/>
                </a:ext>
                <a:ext uri="{FF2B5EF4-FFF2-40B4-BE49-F238E27FC236}">
                  <a16:creationId xmlns:a16="http://schemas.microsoft.com/office/drawing/2014/main" id="{00000000-0008-0000-1F00-000008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60777" name="Check Box 9" hidden="1">
              <a:extLst>
                <a:ext uri="{63B3BB69-23CF-44E3-9099-C40C66FF867C}">
                  <a14:compatExt spid="_x0000_s160777"/>
                </a:ext>
                <a:ext uri="{FF2B5EF4-FFF2-40B4-BE49-F238E27FC236}">
                  <a16:creationId xmlns:a16="http://schemas.microsoft.com/office/drawing/2014/main" id="{00000000-0008-0000-1F00-000009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60778" name="Check Box 10" hidden="1">
              <a:extLst>
                <a:ext uri="{63B3BB69-23CF-44E3-9099-C40C66FF867C}">
                  <a14:compatExt spid="_x0000_s160778"/>
                </a:ext>
                <a:ext uri="{FF2B5EF4-FFF2-40B4-BE49-F238E27FC236}">
                  <a16:creationId xmlns:a16="http://schemas.microsoft.com/office/drawing/2014/main" id="{00000000-0008-0000-1F00-00000A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0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0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6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61793" name="Check Box 1" hidden="1">
              <a:extLst>
                <a:ext uri="{63B3BB69-23CF-44E3-9099-C40C66FF867C}">
                  <a14:compatExt spid="_x0000_s161793"/>
                </a:ext>
                <a:ext uri="{FF2B5EF4-FFF2-40B4-BE49-F238E27FC236}">
                  <a16:creationId xmlns:a16="http://schemas.microsoft.com/office/drawing/2014/main" id="{00000000-0008-0000-2000-000001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61794" name="Check Box 2" hidden="1">
              <a:extLst>
                <a:ext uri="{63B3BB69-23CF-44E3-9099-C40C66FF867C}">
                  <a14:compatExt spid="_x0000_s161794"/>
                </a:ext>
                <a:ext uri="{FF2B5EF4-FFF2-40B4-BE49-F238E27FC236}">
                  <a16:creationId xmlns:a16="http://schemas.microsoft.com/office/drawing/2014/main" id="{00000000-0008-0000-2000-000002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61795" name="Check Box 3" hidden="1">
              <a:extLst>
                <a:ext uri="{63B3BB69-23CF-44E3-9099-C40C66FF867C}">
                  <a14:compatExt spid="_x0000_s161795"/>
                </a:ext>
                <a:ext uri="{FF2B5EF4-FFF2-40B4-BE49-F238E27FC236}">
                  <a16:creationId xmlns:a16="http://schemas.microsoft.com/office/drawing/2014/main" id="{00000000-0008-0000-2000-000003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61796" name="Check Box 4" hidden="1">
              <a:extLst>
                <a:ext uri="{63B3BB69-23CF-44E3-9099-C40C66FF867C}">
                  <a14:compatExt spid="_x0000_s161796"/>
                </a:ext>
                <a:ext uri="{FF2B5EF4-FFF2-40B4-BE49-F238E27FC236}">
                  <a16:creationId xmlns:a16="http://schemas.microsoft.com/office/drawing/2014/main" id="{00000000-0008-0000-2000-000004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61797" name="Check Box 5" hidden="1">
              <a:extLst>
                <a:ext uri="{63B3BB69-23CF-44E3-9099-C40C66FF867C}">
                  <a14:compatExt spid="_x0000_s161797"/>
                </a:ext>
                <a:ext uri="{FF2B5EF4-FFF2-40B4-BE49-F238E27FC236}">
                  <a16:creationId xmlns:a16="http://schemas.microsoft.com/office/drawing/2014/main" id="{00000000-0008-0000-2000-000005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1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1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61798" name="Check Box 6" hidden="1">
              <a:extLst>
                <a:ext uri="{63B3BB69-23CF-44E3-9099-C40C66FF867C}">
                  <a14:compatExt spid="_x0000_s161798"/>
                </a:ext>
                <a:ext uri="{FF2B5EF4-FFF2-40B4-BE49-F238E27FC236}">
                  <a16:creationId xmlns:a16="http://schemas.microsoft.com/office/drawing/2014/main" id="{00000000-0008-0000-2000-000006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61799" name="Check Box 7" hidden="1">
              <a:extLst>
                <a:ext uri="{63B3BB69-23CF-44E3-9099-C40C66FF867C}">
                  <a14:compatExt spid="_x0000_s161799"/>
                </a:ext>
                <a:ext uri="{FF2B5EF4-FFF2-40B4-BE49-F238E27FC236}">
                  <a16:creationId xmlns:a16="http://schemas.microsoft.com/office/drawing/2014/main" id="{00000000-0008-0000-2000-000007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61800" name="Check Box 8" hidden="1">
              <a:extLst>
                <a:ext uri="{63B3BB69-23CF-44E3-9099-C40C66FF867C}">
                  <a14:compatExt spid="_x0000_s161800"/>
                </a:ext>
                <a:ext uri="{FF2B5EF4-FFF2-40B4-BE49-F238E27FC236}">
                  <a16:creationId xmlns:a16="http://schemas.microsoft.com/office/drawing/2014/main" id="{00000000-0008-0000-2000-000008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61801" name="Check Box 9" hidden="1">
              <a:extLst>
                <a:ext uri="{63B3BB69-23CF-44E3-9099-C40C66FF867C}">
                  <a14:compatExt spid="_x0000_s161801"/>
                </a:ext>
                <a:ext uri="{FF2B5EF4-FFF2-40B4-BE49-F238E27FC236}">
                  <a16:creationId xmlns:a16="http://schemas.microsoft.com/office/drawing/2014/main" id="{00000000-0008-0000-2000-000009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61802" name="Check Box 10" hidden="1">
              <a:extLst>
                <a:ext uri="{63B3BB69-23CF-44E3-9099-C40C66FF867C}">
                  <a14:compatExt spid="_x0000_s161802"/>
                </a:ext>
                <a:ext uri="{FF2B5EF4-FFF2-40B4-BE49-F238E27FC236}">
                  <a16:creationId xmlns:a16="http://schemas.microsoft.com/office/drawing/2014/main" id="{00000000-0008-0000-2000-00000A7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1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1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6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62817" name="Check Box 1" hidden="1">
              <a:extLst>
                <a:ext uri="{63B3BB69-23CF-44E3-9099-C40C66FF867C}">
                  <a14:compatExt spid="_x0000_s162817"/>
                </a:ext>
                <a:ext uri="{FF2B5EF4-FFF2-40B4-BE49-F238E27FC236}">
                  <a16:creationId xmlns:a16="http://schemas.microsoft.com/office/drawing/2014/main" id="{00000000-0008-0000-2100-000001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62818" name="Check Box 2" hidden="1">
              <a:extLst>
                <a:ext uri="{63B3BB69-23CF-44E3-9099-C40C66FF867C}">
                  <a14:compatExt spid="_x0000_s162818"/>
                </a:ext>
                <a:ext uri="{FF2B5EF4-FFF2-40B4-BE49-F238E27FC236}">
                  <a16:creationId xmlns:a16="http://schemas.microsoft.com/office/drawing/2014/main" id="{00000000-0008-0000-2100-000002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62819" name="Check Box 3" hidden="1">
              <a:extLst>
                <a:ext uri="{63B3BB69-23CF-44E3-9099-C40C66FF867C}">
                  <a14:compatExt spid="_x0000_s162819"/>
                </a:ext>
                <a:ext uri="{FF2B5EF4-FFF2-40B4-BE49-F238E27FC236}">
                  <a16:creationId xmlns:a16="http://schemas.microsoft.com/office/drawing/2014/main" id="{00000000-0008-0000-2100-000003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62820" name="Check Box 4" hidden="1">
              <a:extLst>
                <a:ext uri="{63B3BB69-23CF-44E3-9099-C40C66FF867C}">
                  <a14:compatExt spid="_x0000_s162820"/>
                </a:ext>
                <a:ext uri="{FF2B5EF4-FFF2-40B4-BE49-F238E27FC236}">
                  <a16:creationId xmlns:a16="http://schemas.microsoft.com/office/drawing/2014/main" id="{00000000-0008-0000-2100-000004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62821" name="Check Box 5" hidden="1">
              <a:extLst>
                <a:ext uri="{63B3BB69-23CF-44E3-9099-C40C66FF867C}">
                  <a14:compatExt spid="_x0000_s162821"/>
                </a:ext>
                <a:ext uri="{FF2B5EF4-FFF2-40B4-BE49-F238E27FC236}">
                  <a16:creationId xmlns:a16="http://schemas.microsoft.com/office/drawing/2014/main" id="{00000000-0008-0000-2100-000005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2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2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62822" name="Check Box 6" hidden="1">
              <a:extLst>
                <a:ext uri="{63B3BB69-23CF-44E3-9099-C40C66FF867C}">
                  <a14:compatExt spid="_x0000_s162822"/>
                </a:ext>
                <a:ext uri="{FF2B5EF4-FFF2-40B4-BE49-F238E27FC236}">
                  <a16:creationId xmlns:a16="http://schemas.microsoft.com/office/drawing/2014/main" id="{00000000-0008-0000-2100-000006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62823" name="Check Box 7" hidden="1">
              <a:extLst>
                <a:ext uri="{63B3BB69-23CF-44E3-9099-C40C66FF867C}">
                  <a14:compatExt spid="_x0000_s162823"/>
                </a:ext>
                <a:ext uri="{FF2B5EF4-FFF2-40B4-BE49-F238E27FC236}">
                  <a16:creationId xmlns:a16="http://schemas.microsoft.com/office/drawing/2014/main" id="{00000000-0008-0000-2100-000007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62824" name="Check Box 8" hidden="1">
              <a:extLst>
                <a:ext uri="{63B3BB69-23CF-44E3-9099-C40C66FF867C}">
                  <a14:compatExt spid="_x0000_s162824"/>
                </a:ext>
                <a:ext uri="{FF2B5EF4-FFF2-40B4-BE49-F238E27FC236}">
                  <a16:creationId xmlns:a16="http://schemas.microsoft.com/office/drawing/2014/main" id="{00000000-0008-0000-2100-000008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62825" name="Check Box 9" hidden="1">
              <a:extLst>
                <a:ext uri="{63B3BB69-23CF-44E3-9099-C40C66FF867C}">
                  <a14:compatExt spid="_x0000_s162825"/>
                </a:ext>
                <a:ext uri="{FF2B5EF4-FFF2-40B4-BE49-F238E27FC236}">
                  <a16:creationId xmlns:a16="http://schemas.microsoft.com/office/drawing/2014/main" id="{00000000-0008-0000-2100-000009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62826" name="Check Box 10" hidden="1">
              <a:extLst>
                <a:ext uri="{63B3BB69-23CF-44E3-9099-C40C66FF867C}">
                  <a14:compatExt spid="_x0000_s162826"/>
                </a:ext>
                <a:ext uri="{FF2B5EF4-FFF2-40B4-BE49-F238E27FC236}">
                  <a16:creationId xmlns:a16="http://schemas.microsoft.com/office/drawing/2014/main" id="{00000000-0008-0000-2100-00000A7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2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2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2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2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6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52577" name="Check Box 1" hidden="1">
              <a:extLst>
                <a:ext uri="{63B3BB69-23CF-44E3-9099-C40C66FF867C}">
                  <a14:compatExt spid="_x0000_s152577"/>
                </a:ext>
                <a:ext uri="{FF2B5EF4-FFF2-40B4-BE49-F238E27FC236}">
                  <a16:creationId xmlns:a16="http://schemas.microsoft.com/office/drawing/2014/main" id="{00000000-0008-0000-2200-000001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52578" name="Check Box 2" hidden="1">
              <a:extLst>
                <a:ext uri="{63B3BB69-23CF-44E3-9099-C40C66FF867C}">
                  <a14:compatExt spid="_x0000_s152578"/>
                </a:ext>
                <a:ext uri="{FF2B5EF4-FFF2-40B4-BE49-F238E27FC236}">
                  <a16:creationId xmlns:a16="http://schemas.microsoft.com/office/drawing/2014/main" id="{00000000-0008-0000-2200-000002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52579" name="Check Box 3" hidden="1">
              <a:extLst>
                <a:ext uri="{63B3BB69-23CF-44E3-9099-C40C66FF867C}">
                  <a14:compatExt spid="_x0000_s152579"/>
                </a:ext>
                <a:ext uri="{FF2B5EF4-FFF2-40B4-BE49-F238E27FC236}">
                  <a16:creationId xmlns:a16="http://schemas.microsoft.com/office/drawing/2014/main" id="{00000000-0008-0000-2200-000003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52580" name="Check Box 4" hidden="1">
              <a:extLst>
                <a:ext uri="{63B3BB69-23CF-44E3-9099-C40C66FF867C}">
                  <a14:compatExt spid="_x0000_s152580"/>
                </a:ext>
                <a:ext uri="{FF2B5EF4-FFF2-40B4-BE49-F238E27FC236}">
                  <a16:creationId xmlns:a16="http://schemas.microsoft.com/office/drawing/2014/main" id="{00000000-0008-0000-2200-000004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52581" name="Check Box 5" hidden="1">
              <a:extLst>
                <a:ext uri="{63B3BB69-23CF-44E3-9099-C40C66FF867C}">
                  <a14:compatExt spid="_x0000_s152581"/>
                </a:ext>
                <a:ext uri="{FF2B5EF4-FFF2-40B4-BE49-F238E27FC236}">
                  <a16:creationId xmlns:a16="http://schemas.microsoft.com/office/drawing/2014/main" id="{00000000-0008-0000-2200-000005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3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3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52582" name="Check Box 6" hidden="1">
              <a:extLst>
                <a:ext uri="{63B3BB69-23CF-44E3-9099-C40C66FF867C}">
                  <a14:compatExt spid="_x0000_s152582"/>
                </a:ext>
                <a:ext uri="{FF2B5EF4-FFF2-40B4-BE49-F238E27FC236}">
                  <a16:creationId xmlns:a16="http://schemas.microsoft.com/office/drawing/2014/main" id="{00000000-0008-0000-2200-000006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52583" name="Check Box 7" hidden="1">
              <a:extLst>
                <a:ext uri="{63B3BB69-23CF-44E3-9099-C40C66FF867C}">
                  <a14:compatExt spid="_x0000_s152583"/>
                </a:ext>
                <a:ext uri="{FF2B5EF4-FFF2-40B4-BE49-F238E27FC236}">
                  <a16:creationId xmlns:a16="http://schemas.microsoft.com/office/drawing/2014/main" id="{00000000-0008-0000-2200-000007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52584" name="Check Box 8" hidden="1">
              <a:extLst>
                <a:ext uri="{63B3BB69-23CF-44E3-9099-C40C66FF867C}">
                  <a14:compatExt spid="_x0000_s152584"/>
                </a:ext>
                <a:ext uri="{FF2B5EF4-FFF2-40B4-BE49-F238E27FC236}">
                  <a16:creationId xmlns:a16="http://schemas.microsoft.com/office/drawing/2014/main" id="{00000000-0008-0000-2200-000008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52585" name="Check Box 9" hidden="1">
              <a:extLst>
                <a:ext uri="{63B3BB69-23CF-44E3-9099-C40C66FF867C}">
                  <a14:compatExt spid="_x0000_s152585"/>
                </a:ext>
                <a:ext uri="{FF2B5EF4-FFF2-40B4-BE49-F238E27FC236}">
                  <a16:creationId xmlns:a16="http://schemas.microsoft.com/office/drawing/2014/main" id="{00000000-0008-0000-2200-000009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52586" name="Check Box 10" hidden="1">
              <a:extLst>
                <a:ext uri="{63B3BB69-23CF-44E3-9099-C40C66FF867C}">
                  <a14:compatExt spid="_x0000_s152586"/>
                </a:ext>
                <a:ext uri="{FF2B5EF4-FFF2-40B4-BE49-F238E27FC236}">
                  <a16:creationId xmlns:a16="http://schemas.microsoft.com/office/drawing/2014/main" id="{00000000-0008-0000-2200-00000A5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3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3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3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3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6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57697" name="Check Box 1" hidden="1">
              <a:extLst>
                <a:ext uri="{63B3BB69-23CF-44E3-9099-C40C66FF867C}">
                  <a14:compatExt spid="_x0000_s157697"/>
                </a:ext>
                <a:ext uri="{FF2B5EF4-FFF2-40B4-BE49-F238E27FC236}">
                  <a16:creationId xmlns:a16="http://schemas.microsoft.com/office/drawing/2014/main" id="{00000000-0008-0000-2300-000001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57698" name="Check Box 2" hidden="1">
              <a:extLst>
                <a:ext uri="{63B3BB69-23CF-44E3-9099-C40C66FF867C}">
                  <a14:compatExt spid="_x0000_s157698"/>
                </a:ext>
                <a:ext uri="{FF2B5EF4-FFF2-40B4-BE49-F238E27FC236}">
                  <a16:creationId xmlns:a16="http://schemas.microsoft.com/office/drawing/2014/main" id="{00000000-0008-0000-2300-000002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57699" name="Check Box 3" hidden="1">
              <a:extLst>
                <a:ext uri="{63B3BB69-23CF-44E3-9099-C40C66FF867C}">
                  <a14:compatExt spid="_x0000_s157699"/>
                </a:ext>
                <a:ext uri="{FF2B5EF4-FFF2-40B4-BE49-F238E27FC236}">
                  <a16:creationId xmlns:a16="http://schemas.microsoft.com/office/drawing/2014/main" id="{00000000-0008-0000-2300-000003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57700" name="Check Box 4" hidden="1">
              <a:extLst>
                <a:ext uri="{63B3BB69-23CF-44E3-9099-C40C66FF867C}">
                  <a14:compatExt spid="_x0000_s157700"/>
                </a:ext>
                <a:ext uri="{FF2B5EF4-FFF2-40B4-BE49-F238E27FC236}">
                  <a16:creationId xmlns:a16="http://schemas.microsoft.com/office/drawing/2014/main" id="{00000000-0008-0000-2300-000004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57701" name="Check Box 5" hidden="1">
              <a:extLst>
                <a:ext uri="{63B3BB69-23CF-44E3-9099-C40C66FF867C}">
                  <a14:compatExt spid="_x0000_s157701"/>
                </a:ext>
                <a:ext uri="{FF2B5EF4-FFF2-40B4-BE49-F238E27FC236}">
                  <a16:creationId xmlns:a16="http://schemas.microsoft.com/office/drawing/2014/main" id="{00000000-0008-0000-2300-000005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4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4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4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57702" name="Check Box 6" hidden="1">
              <a:extLst>
                <a:ext uri="{63B3BB69-23CF-44E3-9099-C40C66FF867C}">
                  <a14:compatExt spid="_x0000_s157702"/>
                </a:ext>
                <a:ext uri="{FF2B5EF4-FFF2-40B4-BE49-F238E27FC236}">
                  <a16:creationId xmlns:a16="http://schemas.microsoft.com/office/drawing/2014/main" id="{00000000-0008-0000-2300-000006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57703" name="Check Box 7" hidden="1">
              <a:extLst>
                <a:ext uri="{63B3BB69-23CF-44E3-9099-C40C66FF867C}">
                  <a14:compatExt spid="_x0000_s157703"/>
                </a:ext>
                <a:ext uri="{FF2B5EF4-FFF2-40B4-BE49-F238E27FC236}">
                  <a16:creationId xmlns:a16="http://schemas.microsoft.com/office/drawing/2014/main" id="{00000000-0008-0000-2300-000007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57704" name="Check Box 8" hidden="1">
              <a:extLst>
                <a:ext uri="{63B3BB69-23CF-44E3-9099-C40C66FF867C}">
                  <a14:compatExt spid="_x0000_s157704"/>
                </a:ext>
                <a:ext uri="{FF2B5EF4-FFF2-40B4-BE49-F238E27FC236}">
                  <a16:creationId xmlns:a16="http://schemas.microsoft.com/office/drawing/2014/main" id="{00000000-0008-0000-2300-000008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57705" name="Check Box 9" hidden="1">
              <a:extLst>
                <a:ext uri="{63B3BB69-23CF-44E3-9099-C40C66FF867C}">
                  <a14:compatExt spid="_x0000_s157705"/>
                </a:ext>
                <a:ext uri="{FF2B5EF4-FFF2-40B4-BE49-F238E27FC236}">
                  <a16:creationId xmlns:a16="http://schemas.microsoft.com/office/drawing/2014/main" id="{00000000-0008-0000-2300-000009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57706" name="Check Box 10" hidden="1">
              <a:extLst>
                <a:ext uri="{63B3BB69-23CF-44E3-9099-C40C66FF867C}">
                  <a14:compatExt spid="_x0000_s157706"/>
                </a:ext>
                <a:ext uri="{FF2B5EF4-FFF2-40B4-BE49-F238E27FC236}">
                  <a16:creationId xmlns:a16="http://schemas.microsoft.com/office/drawing/2014/main" id="{00000000-0008-0000-2300-00000A6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4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4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4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6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58721" name="Check Box 1" hidden="1">
              <a:extLst>
                <a:ext uri="{63B3BB69-23CF-44E3-9099-C40C66FF867C}">
                  <a14:compatExt spid="_x0000_s158721"/>
                </a:ext>
                <a:ext uri="{FF2B5EF4-FFF2-40B4-BE49-F238E27FC236}">
                  <a16:creationId xmlns:a16="http://schemas.microsoft.com/office/drawing/2014/main" id="{00000000-0008-0000-2400-000001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58722" name="Check Box 2" hidden="1">
              <a:extLst>
                <a:ext uri="{63B3BB69-23CF-44E3-9099-C40C66FF867C}">
                  <a14:compatExt spid="_x0000_s158722"/>
                </a:ext>
                <a:ext uri="{FF2B5EF4-FFF2-40B4-BE49-F238E27FC236}">
                  <a16:creationId xmlns:a16="http://schemas.microsoft.com/office/drawing/2014/main" id="{00000000-0008-0000-2400-000002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58723" name="Check Box 3" hidden="1">
              <a:extLst>
                <a:ext uri="{63B3BB69-23CF-44E3-9099-C40C66FF867C}">
                  <a14:compatExt spid="_x0000_s158723"/>
                </a:ext>
                <a:ext uri="{FF2B5EF4-FFF2-40B4-BE49-F238E27FC236}">
                  <a16:creationId xmlns:a16="http://schemas.microsoft.com/office/drawing/2014/main" id="{00000000-0008-0000-2400-000003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58724" name="Check Box 4" hidden="1">
              <a:extLst>
                <a:ext uri="{63B3BB69-23CF-44E3-9099-C40C66FF867C}">
                  <a14:compatExt spid="_x0000_s158724"/>
                </a:ext>
                <a:ext uri="{FF2B5EF4-FFF2-40B4-BE49-F238E27FC236}">
                  <a16:creationId xmlns:a16="http://schemas.microsoft.com/office/drawing/2014/main" id="{00000000-0008-0000-2400-000004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58725" name="Check Box 5" hidden="1">
              <a:extLst>
                <a:ext uri="{63B3BB69-23CF-44E3-9099-C40C66FF867C}">
                  <a14:compatExt spid="_x0000_s158725"/>
                </a:ext>
                <a:ext uri="{FF2B5EF4-FFF2-40B4-BE49-F238E27FC236}">
                  <a16:creationId xmlns:a16="http://schemas.microsoft.com/office/drawing/2014/main" id="{00000000-0008-0000-2400-000005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5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5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5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58726" name="Check Box 6" hidden="1">
              <a:extLst>
                <a:ext uri="{63B3BB69-23CF-44E3-9099-C40C66FF867C}">
                  <a14:compatExt spid="_x0000_s158726"/>
                </a:ext>
                <a:ext uri="{FF2B5EF4-FFF2-40B4-BE49-F238E27FC236}">
                  <a16:creationId xmlns:a16="http://schemas.microsoft.com/office/drawing/2014/main" id="{00000000-0008-0000-2400-000006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58727" name="Check Box 7" hidden="1">
              <a:extLst>
                <a:ext uri="{63B3BB69-23CF-44E3-9099-C40C66FF867C}">
                  <a14:compatExt spid="_x0000_s158727"/>
                </a:ext>
                <a:ext uri="{FF2B5EF4-FFF2-40B4-BE49-F238E27FC236}">
                  <a16:creationId xmlns:a16="http://schemas.microsoft.com/office/drawing/2014/main" id="{00000000-0008-0000-2400-000007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58728" name="Check Box 8" hidden="1">
              <a:extLst>
                <a:ext uri="{63B3BB69-23CF-44E3-9099-C40C66FF867C}">
                  <a14:compatExt spid="_x0000_s158728"/>
                </a:ext>
                <a:ext uri="{FF2B5EF4-FFF2-40B4-BE49-F238E27FC236}">
                  <a16:creationId xmlns:a16="http://schemas.microsoft.com/office/drawing/2014/main" id="{00000000-0008-0000-2400-000008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58729" name="Check Box 9" hidden="1">
              <a:extLst>
                <a:ext uri="{63B3BB69-23CF-44E3-9099-C40C66FF867C}">
                  <a14:compatExt spid="_x0000_s158729"/>
                </a:ext>
                <a:ext uri="{FF2B5EF4-FFF2-40B4-BE49-F238E27FC236}">
                  <a16:creationId xmlns:a16="http://schemas.microsoft.com/office/drawing/2014/main" id="{00000000-0008-0000-2400-000009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58730" name="Check Box 10" hidden="1">
              <a:extLst>
                <a:ext uri="{63B3BB69-23CF-44E3-9099-C40C66FF867C}">
                  <a14:compatExt spid="_x0000_s158730"/>
                </a:ext>
                <a:ext uri="{FF2B5EF4-FFF2-40B4-BE49-F238E27FC236}">
                  <a16:creationId xmlns:a16="http://schemas.microsoft.com/office/drawing/2014/main" id="{00000000-0008-0000-2400-00000A6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5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5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5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5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7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67937" name="Check Box 1" hidden="1">
              <a:extLst>
                <a:ext uri="{63B3BB69-23CF-44E3-9099-C40C66FF867C}">
                  <a14:compatExt spid="_x0000_s167937"/>
                </a:ext>
                <a:ext uri="{FF2B5EF4-FFF2-40B4-BE49-F238E27FC236}">
                  <a16:creationId xmlns:a16="http://schemas.microsoft.com/office/drawing/2014/main" id="{00000000-0008-0000-25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67938" name="Check Box 2" hidden="1">
              <a:extLst>
                <a:ext uri="{63B3BB69-23CF-44E3-9099-C40C66FF867C}">
                  <a14:compatExt spid="_x0000_s167938"/>
                </a:ext>
                <a:ext uri="{FF2B5EF4-FFF2-40B4-BE49-F238E27FC236}">
                  <a16:creationId xmlns:a16="http://schemas.microsoft.com/office/drawing/2014/main" id="{00000000-0008-0000-25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67939" name="Check Box 3" hidden="1">
              <a:extLst>
                <a:ext uri="{63B3BB69-23CF-44E3-9099-C40C66FF867C}">
                  <a14:compatExt spid="_x0000_s167939"/>
                </a:ext>
                <a:ext uri="{FF2B5EF4-FFF2-40B4-BE49-F238E27FC236}">
                  <a16:creationId xmlns:a16="http://schemas.microsoft.com/office/drawing/2014/main" id="{00000000-0008-0000-25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67940" name="Check Box 4" hidden="1">
              <a:extLst>
                <a:ext uri="{63B3BB69-23CF-44E3-9099-C40C66FF867C}">
                  <a14:compatExt spid="_x0000_s167940"/>
                </a:ext>
                <a:ext uri="{FF2B5EF4-FFF2-40B4-BE49-F238E27FC236}">
                  <a16:creationId xmlns:a16="http://schemas.microsoft.com/office/drawing/2014/main" id="{00000000-0008-0000-25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25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6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6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25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25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25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25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25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6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6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6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6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7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68961" name="Check Box 1" hidden="1">
              <a:extLst>
                <a:ext uri="{63B3BB69-23CF-44E3-9099-C40C66FF867C}">
                  <a14:compatExt spid="_x0000_s168961"/>
                </a:ext>
                <a:ext uri="{FF2B5EF4-FFF2-40B4-BE49-F238E27FC236}">
                  <a16:creationId xmlns:a16="http://schemas.microsoft.com/office/drawing/2014/main" id="{00000000-0008-0000-26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68962" name="Check Box 2" hidden="1">
              <a:extLst>
                <a:ext uri="{63B3BB69-23CF-44E3-9099-C40C66FF867C}">
                  <a14:compatExt spid="_x0000_s168962"/>
                </a:ext>
                <a:ext uri="{FF2B5EF4-FFF2-40B4-BE49-F238E27FC236}">
                  <a16:creationId xmlns:a16="http://schemas.microsoft.com/office/drawing/2014/main" id="{00000000-0008-0000-26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68963" name="Check Box 3" hidden="1">
              <a:extLst>
                <a:ext uri="{63B3BB69-23CF-44E3-9099-C40C66FF867C}">
                  <a14:compatExt spid="_x0000_s168963"/>
                </a:ext>
                <a:ext uri="{FF2B5EF4-FFF2-40B4-BE49-F238E27FC236}">
                  <a16:creationId xmlns:a16="http://schemas.microsoft.com/office/drawing/2014/main" id="{00000000-0008-0000-26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68964" name="Check Box 4" hidden="1">
              <a:extLst>
                <a:ext uri="{63B3BB69-23CF-44E3-9099-C40C66FF867C}">
                  <a14:compatExt spid="_x0000_s168964"/>
                </a:ext>
                <a:ext uri="{FF2B5EF4-FFF2-40B4-BE49-F238E27FC236}">
                  <a16:creationId xmlns:a16="http://schemas.microsoft.com/office/drawing/2014/main" id="{00000000-0008-0000-26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26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7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7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7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26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26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26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26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26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7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7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7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7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7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69985" name="Check Box 1" hidden="1">
              <a:extLst>
                <a:ext uri="{63B3BB69-23CF-44E3-9099-C40C66FF867C}">
                  <a14:compatExt spid="_x0000_s169985"/>
                </a:ext>
                <a:ext uri="{FF2B5EF4-FFF2-40B4-BE49-F238E27FC236}">
                  <a16:creationId xmlns:a16="http://schemas.microsoft.com/office/drawing/2014/main" id="{00000000-0008-0000-27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69986" name="Check Box 2" hidden="1">
              <a:extLst>
                <a:ext uri="{63B3BB69-23CF-44E3-9099-C40C66FF867C}">
                  <a14:compatExt spid="_x0000_s169986"/>
                </a:ext>
                <a:ext uri="{FF2B5EF4-FFF2-40B4-BE49-F238E27FC236}">
                  <a16:creationId xmlns:a16="http://schemas.microsoft.com/office/drawing/2014/main" id="{00000000-0008-0000-27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69987" name="Check Box 3" hidden="1">
              <a:extLst>
                <a:ext uri="{63B3BB69-23CF-44E3-9099-C40C66FF867C}">
                  <a14:compatExt spid="_x0000_s169987"/>
                </a:ext>
                <a:ext uri="{FF2B5EF4-FFF2-40B4-BE49-F238E27FC236}">
                  <a16:creationId xmlns:a16="http://schemas.microsoft.com/office/drawing/2014/main" id="{00000000-0008-0000-27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69988" name="Check Box 4" hidden="1">
              <a:extLst>
                <a:ext uri="{63B3BB69-23CF-44E3-9099-C40C66FF867C}">
                  <a14:compatExt spid="_x0000_s169988"/>
                </a:ext>
                <a:ext uri="{FF2B5EF4-FFF2-40B4-BE49-F238E27FC236}">
                  <a16:creationId xmlns:a16="http://schemas.microsoft.com/office/drawing/2014/main" id="{00000000-0008-0000-27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27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8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8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27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27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27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27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27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8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8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8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7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73057" name="Check Box 1" hidden="1">
              <a:extLst>
                <a:ext uri="{63B3BB69-23CF-44E3-9099-C40C66FF867C}">
                  <a14:compatExt spid="_x0000_s173057"/>
                </a:ext>
                <a:ext uri="{FF2B5EF4-FFF2-40B4-BE49-F238E27FC236}">
                  <a16:creationId xmlns:a16="http://schemas.microsoft.com/office/drawing/2014/main" id="{00000000-0008-0000-28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73058" name="Check Box 2" hidden="1">
              <a:extLst>
                <a:ext uri="{63B3BB69-23CF-44E3-9099-C40C66FF867C}">
                  <a14:compatExt spid="_x0000_s173058"/>
                </a:ext>
                <a:ext uri="{FF2B5EF4-FFF2-40B4-BE49-F238E27FC236}">
                  <a16:creationId xmlns:a16="http://schemas.microsoft.com/office/drawing/2014/main" id="{00000000-0008-0000-28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73059" name="Check Box 3" hidden="1">
              <a:extLst>
                <a:ext uri="{63B3BB69-23CF-44E3-9099-C40C66FF867C}">
                  <a14:compatExt spid="_x0000_s173059"/>
                </a:ext>
                <a:ext uri="{FF2B5EF4-FFF2-40B4-BE49-F238E27FC236}">
                  <a16:creationId xmlns:a16="http://schemas.microsoft.com/office/drawing/2014/main" id="{00000000-0008-0000-28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73060" name="Check Box 4" hidden="1">
              <a:extLst>
                <a:ext uri="{63B3BB69-23CF-44E3-9099-C40C66FF867C}">
                  <a14:compatExt spid="_x0000_s173060"/>
                </a:ext>
                <a:ext uri="{FF2B5EF4-FFF2-40B4-BE49-F238E27FC236}">
                  <a16:creationId xmlns:a16="http://schemas.microsoft.com/office/drawing/2014/main" id="{00000000-0008-0000-28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28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9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9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9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9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28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28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28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28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28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9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9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9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9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7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74081" name="Check Box 1" hidden="1">
              <a:extLst>
                <a:ext uri="{63B3BB69-23CF-44E3-9099-C40C66FF867C}">
                  <a14:compatExt spid="_x0000_s174081"/>
                </a:ext>
                <a:ext uri="{FF2B5EF4-FFF2-40B4-BE49-F238E27FC236}">
                  <a16:creationId xmlns:a16="http://schemas.microsoft.com/office/drawing/2014/main" id="{00000000-0008-0000-2900-000001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74082" name="Check Box 2" hidden="1">
              <a:extLst>
                <a:ext uri="{63B3BB69-23CF-44E3-9099-C40C66FF867C}">
                  <a14:compatExt spid="_x0000_s174082"/>
                </a:ext>
                <a:ext uri="{FF2B5EF4-FFF2-40B4-BE49-F238E27FC236}">
                  <a16:creationId xmlns:a16="http://schemas.microsoft.com/office/drawing/2014/main" id="{00000000-0008-0000-2900-000002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74083" name="Check Box 3" hidden="1">
              <a:extLst>
                <a:ext uri="{63B3BB69-23CF-44E3-9099-C40C66FF867C}">
                  <a14:compatExt spid="_x0000_s174083"/>
                </a:ext>
                <a:ext uri="{FF2B5EF4-FFF2-40B4-BE49-F238E27FC236}">
                  <a16:creationId xmlns:a16="http://schemas.microsoft.com/office/drawing/2014/main" id="{00000000-0008-0000-2900-000003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74084" name="Check Box 4" hidden="1">
              <a:extLst>
                <a:ext uri="{63B3BB69-23CF-44E3-9099-C40C66FF867C}">
                  <a14:compatExt spid="_x0000_s174084"/>
                </a:ext>
                <a:ext uri="{FF2B5EF4-FFF2-40B4-BE49-F238E27FC236}">
                  <a16:creationId xmlns:a16="http://schemas.microsoft.com/office/drawing/2014/main" id="{00000000-0008-0000-2900-000004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74085" name="Check Box 5" hidden="1">
              <a:extLst>
                <a:ext uri="{63B3BB69-23CF-44E3-9099-C40C66FF867C}">
                  <a14:compatExt spid="_x0000_s174085"/>
                </a:ext>
                <a:ext uri="{FF2B5EF4-FFF2-40B4-BE49-F238E27FC236}">
                  <a16:creationId xmlns:a16="http://schemas.microsoft.com/office/drawing/2014/main" id="{00000000-0008-0000-2900-000005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A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A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A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A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74086" name="Check Box 6" hidden="1">
              <a:extLst>
                <a:ext uri="{63B3BB69-23CF-44E3-9099-C40C66FF867C}">
                  <a14:compatExt spid="_x0000_s174086"/>
                </a:ext>
                <a:ext uri="{FF2B5EF4-FFF2-40B4-BE49-F238E27FC236}">
                  <a16:creationId xmlns:a16="http://schemas.microsoft.com/office/drawing/2014/main" id="{00000000-0008-0000-2900-000006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74087" name="Check Box 7" hidden="1">
              <a:extLst>
                <a:ext uri="{63B3BB69-23CF-44E3-9099-C40C66FF867C}">
                  <a14:compatExt spid="_x0000_s174087"/>
                </a:ext>
                <a:ext uri="{FF2B5EF4-FFF2-40B4-BE49-F238E27FC236}">
                  <a16:creationId xmlns:a16="http://schemas.microsoft.com/office/drawing/2014/main" id="{00000000-0008-0000-2900-000007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74088" name="Check Box 8" hidden="1">
              <a:extLst>
                <a:ext uri="{63B3BB69-23CF-44E3-9099-C40C66FF867C}">
                  <a14:compatExt spid="_x0000_s174088"/>
                </a:ext>
                <a:ext uri="{FF2B5EF4-FFF2-40B4-BE49-F238E27FC236}">
                  <a16:creationId xmlns:a16="http://schemas.microsoft.com/office/drawing/2014/main" id="{00000000-0008-0000-2900-000008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74089" name="Check Box 9" hidden="1">
              <a:extLst>
                <a:ext uri="{63B3BB69-23CF-44E3-9099-C40C66FF867C}">
                  <a14:compatExt spid="_x0000_s174089"/>
                </a:ext>
                <a:ext uri="{FF2B5EF4-FFF2-40B4-BE49-F238E27FC236}">
                  <a16:creationId xmlns:a16="http://schemas.microsoft.com/office/drawing/2014/main" id="{00000000-0008-0000-2900-000009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74090" name="Check Box 10" hidden="1">
              <a:extLst>
                <a:ext uri="{63B3BB69-23CF-44E3-9099-C40C66FF867C}">
                  <a14:compatExt spid="_x0000_s174090"/>
                </a:ext>
                <a:ext uri="{FF2B5EF4-FFF2-40B4-BE49-F238E27FC236}">
                  <a16:creationId xmlns:a16="http://schemas.microsoft.com/office/drawing/2014/main" id="{00000000-0008-0000-2900-00000AA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A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A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A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A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8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75105" name="Check Box 1" hidden="1">
              <a:extLst>
                <a:ext uri="{63B3BB69-23CF-44E3-9099-C40C66FF867C}">
                  <a14:compatExt spid="_x0000_s175105"/>
                </a:ext>
                <a:ext uri="{FF2B5EF4-FFF2-40B4-BE49-F238E27FC236}">
                  <a16:creationId xmlns:a16="http://schemas.microsoft.com/office/drawing/2014/main" id="{00000000-0008-0000-2A00-000001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75106" name="Check Box 2" hidden="1">
              <a:extLst>
                <a:ext uri="{63B3BB69-23CF-44E3-9099-C40C66FF867C}">
                  <a14:compatExt spid="_x0000_s175106"/>
                </a:ext>
                <a:ext uri="{FF2B5EF4-FFF2-40B4-BE49-F238E27FC236}">
                  <a16:creationId xmlns:a16="http://schemas.microsoft.com/office/drawing/2014/main" id="{00000000-0008-0000-2A00-000002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75107" name="Check Box 3" hidden="1">
              <a:extLst>
                <a:ext uri="{63B3BB69-23CF-44E3-9099-C40C66FF867C}">
                  <a14:compatExt spid="_x0000_s175107"/>
                </a:ext>
                <a:ext uri="{FF2B5EF4-FFF2-40B4-BE49-F238E27FC236}">
                  <a16:creationId xmlns:a16="http://schemas.microsoft.com/office/drawing/2014/main" id="{00000000-0008-0000-2A00-000003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75108" name="Check Box 4" hidden="1">
              <a:extLst>
                <a:ext uri="{63B3BB69-23CF-44E3-9099-C40C66FF867C}">
                  <a14:compatExt spid="_x0000_s175108"/>
                </a:ext>
                <a:ext uri="{FF2B5EF4-FFF2-40B4-BE49-F238E27FC236}">
                  <a16:creationId xmlns:a16="http://schemas.microsoft.com/office/drawing/2014/main" id="{00000000-0008-0000-2A00-000004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75109" name="Check Box 5" hidden="1">
              <a:extLst>
                <a:ext uri="{63B3BB69-23CF-44E3-9099-C40C66FF867C}">
                  <a14:compatExt spid="_x0000_s175109"/>
                </a:ext>
                <a:ext uri="{FF2B5EF4-FFF2-40B4-BE49-F238E27FC236}">
                  <a16:creationId xmlns:a16="http://schemas.microsoft.com/office/drawing/2014/main" id="{00000000-0008-0000-2A00-000005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B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B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B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75110" name="Check Box 6" hidden="1">
              <a:extLst>
                <a:ext uri="{63B3BB69-23CF-44E3-9099-C40C66FF867C}">
                  <a14:compatExt spid="_x0000_s175110"/>
                </a:ext>
                <a:ext uri="{FF2B5EF4-FFF2-40B4-BE49-F238E27FC236}">
                  <a16:creationId xmlns:a16="http://schemas.microsoft.com/office/drawing/2014/main" id="{00000000-0008-0000-2A00-000006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75111" name="Check Box 7" hidden="1">
              <a:extLst>
                <a:ext uri="{63B3BB69-23CF-44E3-9099-C40C66FF867C}">
                  <a14:compatExt spid="_x0000_s175111"/>
                </a:ext>
                <a:ext uri="{FF2B5EF4-FFF2-40B4-BE49-F238E27FC236}">
                  <a16:creationId xmlns:a16="http://schemas.microsoft.com/office/drawing/2014/main" id="{00000000-0008-0000-2A00-000007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75112" name="Check Box 8" hidden="1">
              <a:extLst>
                <a:ext uri="{63B3BB69-23CF-44E3-9099-C40C66FF867C}">
                  <a14:compatExt spid="_x0000_s175112"/>
                </a:ext>
                <a:ext uri="{FF2B5EF4-FFF2-40B4-BE49-F238E27FC236}">
                  <a16:creationId xmlns:a16="http://schemas.microsoft.com/office/drawing/2014/main" id="{00000000-0008-0000-2A00-000008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75113" name="Check Box 9" hidden="1">
              <a:extLst>
                <a:ext uri="{63B3BB69-23CF-44E3-9099-C40C66FF867C}">
                  <a14:compatExt spid="_x0000_s175113"/>
                </a:ext>
                <a:ext uri="{FF2B5EF4-FFF2-40B4-BE49-F238E27FC236}">
                  <a16:creationId xmlns:a16="http://schemas.microsoft.com/office/drawing/2014/main" id="{00000000-0008-0000-2A00-000009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75114" name="Check Box 10" hidden="1">
              <a:extLst>
                <a:ext uri="{63B3BB69-23CF-44E3-9099-C40C66FF867C}">
                  <a14:compatExt spid="_x0000_s175114"/>
                </a:ext>
                <a:ext uri="{FF2B5EF4-FFF2-40B4-BE49-F238E27FC236}">
                  <a16:creationId xmlns:a16="http://schemas.microsoft.com/office/drawing/2014/main" id="{00000000-0008-0000-2A00-00000AA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B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B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B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B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8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76129" name="Check Box 1" hidden="1">
              <a:extLst>
                <a:ext uri="{63B3BB69-23CF-44E3-9099-C40C66FF867C}">
                  <a14:compatExt spid="_x0000_s176129"/>
                </a:ext>
                <a:ext uri="{FF2B5EF4-FFF2-40B4-BE49-F238E27FC236}">
                  <a16:creationId xmlns:a16="http://schemas.microsoft.com/office/drawing/2014/main" id="{00000000-0008-0000-2B00-000001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76130" name="Check Box 2" hidden="1">
              <a:extLst>
                <a:ext uri="{63B3BB69-23CF-44E3-9099-C40C66FF867C}">
                  <a14:compatExt spid="_x0000_s176130"/>
                </a:ext>
                <a:ext uri="{FF2B5EF4-FFF2-40B4-BE49-F238E27FC236}">
                  <a16:creationId xmlns:a16="http://schemas.microsoft.com/office/drawing/2014/main" id="{00000000-0008-0000-2B00-000002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1524000</xdr:colOff>
          <xdr:row>17</xdr:row>
          <xdr:rowOff>0</xdr:rowOff>
        </xdr:to>
        <xdr:sp macro="" textlink="">
          <xdr:nvSpPr>
            <xdr:cNvPr id="176131" name="Check Box 3" hidden="1">
              <a:extLst>
                <a:ext uri="{63B3BB69-23CF-44E3-9099-C40C66FF867C}">
                  <a14:compatExt spid="_x0000_s176131"/>
                </a:ext>
                <a:ext uri="{FF2B5EF4-FFF2-40B4-BE49-F238E27FC236}">
                  <a16:creationId xmlns:a16="http://schemas.microsoft.com/office/drawing/2014/main" id="{00000000-0008-0000-2B00-000003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76132" name="Check Box 4" hidden="1">
              <a:extLst>
                <a:ext uri="{63B3BB69-23CF-44E3-9099-C40C66FF867C}">
                  <a14:compatExt spid="_x0000_s176132"/>
                </a:ext>
                <a:ext uri="{FF2B5EF4-FFF2-40B4-BE49-F238E27FC236}">
                  <a16:creationId xmlns:a16="http://schemas.microsoft.com/office/drawing/2014/main" id="{00000000-0008-0000-2B00-000004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76133" name="Check Box 5" hidden="1">
              <a:extLst>
                <a:ext uri="{63B3BB69-23CF-44E3-9099-C40C66FF867C}">
                  <a14:compatExt spid="_x0000_s176133"/>
                </a:ext>
                <a:ext uri="{FF2B5EF4-FFF2-40B4-BE49-F238E27FC236}">
                  <a16:creationId xmlns:a16="http://schemas.microsoft.com/office/drawing/2014/main" id="{00000000-0008-0000-2B00-000005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C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C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76134" name="Check Box 6" hidden="1">
              <a:extLst>
                <a:ext uri="{63B3BB69-23CF-44E3-9099-C40C66FF867C}">
                  <a14:compatExt spid="_x0000_s176134"/>
                </a:ext>
                <a:ext uri="{FF2B5EF4-FFF2-40B4-BE49-F238E27FC236}">
                  <a16:creationId xmlns:a16="http://schemas.microsoft.com/office/drawing/2014/main" id="{00000000-0008-0000-2B00-000006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76135" name="Check Box 7" hidden="1">
              <a:extLst>
                <a:ext uri="{63B3BB69-23CF-44E3-9099-C40C66FF867C}">
                  <a14:compatExt spid="_x0000_s176135"/>
                </a:ext>
                <a:ext uri="{FF2B5EF4-FFF2-40B4-BE49-F238E27FC236}">
                  <a16:creationId xmlns:a16="http://schemas.microsoft.com/office/drawing/2014/main" id="{00000000-0008-0000-2B00-000007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76136" name="Check Box 8" hidden="1">
              <a:extLst>
                <a:ext uri="{63B3BB69-23CF-44E3-9099-C40C66FF867C}">
                  <a14:compatExt spid="_x0000_s176136"/>
                </a:ext>
                <a:ext uri="{FF2B5EF4-FFF2-40B4-BE49-F238E27FC236}">
                  <a16:creationId xmlns:a16="http://schemas.microsoft.com/office/drawing/2014/main" id="{00000000-0008-0000-2B00-000008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76137" name="Check Box 9" hidden="1">
              <a:extLst>
                <a:ext uri="{63B3BB69-23CF-44E3-9099-C40C66FF867C}">
                  <a14:compatExt spid="_x0000_s176137"/>
                </a:ext>
                <a:ext uri="{FF2B5EF4-FFF2-40B4-BE49-F238E27FC236}">
                  <a16:creationId xmlns:a16="http://schemas.microsoft.com/office/drawing/2014/main" id="{00000000-0008-0000-2B00-000009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76138" name="Check Box 10" hidden="1">
              <a:extLst>
                <a:ext uri="{63B3BB69-23CF-44E3-9099-C40C66FF867C}">
                  <a14:compatExt spid="_x0000_s176138"/>
                </a:ext>
                <a:ext uri="{FF2B5EF4-FFF2-40B4-BE49-F238E27FC236}">
                  <a16:creationId xmlns:a16="http://schemas.microsoft.com/office/drawing/2014/main" id="{00000000-0008-0000-2B00-00000AB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C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C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C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C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8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77153" name="Check Box 1" hidden="1">
              <a:extLst>
                <a:ext uri="{63B3BB69-23CF-44E3-9099-C40C66FF867C}">
                  <a14:compatExt spid="_x0000_s177153"/>
                </a:ext>
                <a:ext uri="{FF2B5EF4-FFF2-40B4-BE49-F238E27FC236}">
                  <a16:creationId xmlns:a16="http://schemas.microsoft.com/office/drawing/2014/main" id="{00000000-0008-0000-2C00-000001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77154" name="Check Box 2" hidden="1">
              <a:extLst>
                <a:ext uri="{63B3BB69-23CF-44E3-9099-C40C66FF867C}">
                  <a14:compatExt spid="_x0000_s177154"/>
                </a:ext>
                <a:ext uri="{FF2B5EF4-FFF2-40B4-BE49-F238E27FC236}">
                  <a16:creationId xmlns:a16="http://schemas.microsoft.com/office/drawing/2014/main" id="{00000000-0008-0000-2C00-000002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1524000</xdr:colOff>
          <xdr:row>17</xdr:row>
          <xdr:rowOff>0</xdr:rowOff>
        </xdr:to>
        <xdr:sp macro="" textlink="">
          <xdr:nvSpPr>
            <xdr:cNvPr id="177155" name="Check Box 3" hidden="1">
              <a:extLst>
                <a:ext uri="{63B3BB69-23CF-44E3-9099-C40C66FF867C}">
                  <a14:compatExt spid="_x0000_s177155"/>
                </a:ext>
                <a:ext uri="{FF2B5EF4-FFF2-40B4-BE49-F238E27FC236}">
                  <a16:creationId xmlns:a16="http://schemas.microsoft.com/office/drawing/2014/main" id="{00000000-0008-0000-2C00-000003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77156" name="Check Box 4" hidden="1">
              <a:extLst>
                <a:ext uri="{63B3BB69-23CF-44E3-9099-C40C66FF867C}">
                  <a14:compatExt spid="_x0000_s177156"/>
                </a:ext>
                <a:ext uri="{FF2B5EF4-FFF2-40B4-BE49-F238E27FC236}">
                  <a16:creationId xmlns:a16="http://schemas.microsoft.com/office/drawing/2014/main" id="{00000000-0008-0000-2C00-000004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77157" name="Check Box 5" hidden="1">
              <a:extLst>
                <a:ext uri="{63B3BB69-23CF-44E3-9099-C40C66FF867C}">
                  <a14:compatExt spid="_x0000_s177157"/>
                </a:ext>
                <a:ext uri="{FF2B5EF4-FFF2-40B4-BE49-F238E27FC236}">
                  <a16:creationId xmlns:a16="http://schemas.microsoft.com/office/drawing/2014/main" id="{00000000-0008-0000-2C00-000005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D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D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D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D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77158" name="Check Box 6" hidden="1">
              <a:extLst>
                <a:ext uri="{63B3BB69-23CF-44E3-9099-C40C66FF867C}">
                  <a14:compatExt spid="_x0000_s177158"/>
                </a:ext>
                <a:ext uri="{FF2B5EF4-FFF2-40B4-BE49-F238E27FC236}">
                  <a16:creationId xmlns:a16="http://schemas.microsoft.com/office/drawing/2014/main" id="{00000000-0008-0000-2C00-000006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77159" name="Check Box 7" hidden="1">
              <a:extLst>
                <a:ext uri="{63B3BB69-23CF-44E3-9099-C40C66FF867C}">
                  <a14:compatExt spid="_x0000_s177159"/>
                </a:ext>
                <a:ext uri="{FF2B5EF4-FFF2-40B4-BE49-F238E27FC236}">
                  <a16:creationId xmlns:a16="http://schemas.microsoft.com/office/drawing/2014/main" id="{00000000-0008-0000-2C00-000007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77160" name="Check Box 8" hidden="1">
              <a:extLst>
                <a:ext uri="{63B3BB69-23CF-44E3-9099-C40C66FF867C}">
                  <a14:compatExt spid="_x0000_s177160"/>
                </a:ext>
                <a:ext uri="{FF2B5EF4-FFF2-40B4-BE49-F238E27FC236}">
                  <a16:creationId xmlns:a16="http://schemas.microsoft.com/office/drawing/2014/main" id="{00000000-0008-0000-2C00-000008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77161" name="Check Box 9" hidden="1">
              <a:extLst>
                <a:ext uri="{63B3BB69-23CF-44E3-9099-C40C66FF867C}">
                  <a14:compatExt spid="_x0000_s177161"/>
                </a:ext>
                <a:ext uri="{FF2B5EF4-FFF2-40B4-BE49-F238E27FC236}">
                  <a16:creationId xmlns:a16="http://schemas.microsoft.com/office/drawing/2014/main" id="{00000000-0008-0000-2C00-000009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77162" name="Check Box 10" hidden="1">
              <a:extLst>
                <a:ext uri="{63B3BB69-23CF-44E3-9099-C40C66FF867C}">
                  <a14:compatExt spid="_x0000_s177162"/>
                </a:ext>
                <a:ext uri="{FF2B5EF4-FFF2-40B4-BE49-F238E27FC236}">
                  <a16:creationId xmlns:a16="http://schemas.microsoft.com/office/drawing/2014/main" id="{00000000-0008-0000-2C00-00000AB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D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D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D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D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8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E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78177" name="Check Box 1" hidden="1">
              <a:extLst>
                <a:ext uri="{63B3BB69-23CF-44E3-9099-C40C66FF867C}">
                  <a14:compatExt spid="_x0000_s178177"/>
                </a:ext>
                <a:ext uri="{FF2B5EF4-FFF2-40B4-BE49-F238E27FC236}">
                  <a16:creationId xmlns:a16="http://schemas.microsoft.com/office/drawing/2014/main" id="{00000000-0008-0000-2D00-000001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78178" name="Check Box 2" hidden="1">
              <a:extLst>
                <a:ext uri="{63B3BB69-23CF-44E3-9099-C40C66FF867C}">
                  <a14:compatExt spid="_x0000_s178178"/>
                </a:ext>
                <a:ext uri="{FF2B5EF4-FFF2-40B4-BE49-F238E27FC236}">
                  <a16:creationId xmlns:a16="http://schemas.microsoft.com/office/drawing/2014/main" id="{00000000-0008-0000-2D00-000002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1524000</xdr:colOff>
          <xdr:row>17</xdr:row>
          <xdr:rowOff>0</xdr:rowOff>
        </xdr:to>
        <xdr:sp macro="" textlink="">
          <xdr:nvSpPr>
            <xdr:cNvPr id="178179" name="Check Box 3" hidden="1">
              <a:extLst>
                <a:ext uri="{63B3BB69-23CF-44E3-9099-C40C66FF867C}">
                  <a14:compatExt spid="_x0000_s178179"/>
                </a:ext>
                <a:ext uri="{FF2B5EF4-FFF2-40B4-BE49-F238E27FC236}">
                  <a16:creationId xmlns:a16="http://schemas.microsoft.com/office/drawing/2014/main" id="{00000000-0008-0000-2D00-000003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78180" name="Check Box 4" hidden="1">
              <a:extLst>
                <a:ext uri="{63B3BB69-23CF-44E3-9099-C40C66FF867C}">
                  <a14:compatExt spid="_x0000_s178180"/>
                </a:ext>
                <a:ext uri="{FF2B5EF4-FFF2-40B4-BE49-F238E27FC236}">
                  <a16:creationId xmlns:a16="http://schemas.microsoft.com/office/drawing/2014/main" id="{00000000-0008-0000-2D00-000004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78181" name="Check Box 5" hidden="1">
              <a:extLst>
                <a:ext uri="{63B3BB69-23CF-44E3-9099-C40C66FF867C}">
                  <a14:compatExt spid="_x0000_s178181"/>
                </a:ext>
                <a:ext uri="{FF2B5EF4-FFF2-40B4-BE49-F238E27FC236}">
                  <a16:creationId xmlns:a16="http://schemas.microsoft.com/office/drawing/2014/main" id="{00000000-0008-0000-2D00-000005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E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E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E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E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78182" name="Check Box 6" hidden="1">
              <a:extLst>
                <a:ext uri="{63B3BB69-23CF-44E3-9099-C40C66FF867C}">
                  <a14:compatExt spid="_x0000_s178182"/>
                </a:ext>
                <a:ext uri="{FF2B5EF4-FFF2-40B4-BE49-F238E27FC236}">
                  <a16:creationId xmlns:a16="http://schemas.microsoft.com/office/drawing/2014/main" id="{00000000-0008-0000-2D00-000006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78183" name="Check Box 7" hidden="1">
              <a:extLst>
                <a:ext uri="{63B3BB69-23CF-44E3-9099-C40C66FF867C}">
                  <a14:compatExt spid="_x0000_s178183"/>
                </a:ext>
                <a:ext uri="{FF2B5EF4-FFF2-40B4-BE49-F238E27FC236}">
                  <a16:creationId xmlns:a16="http://schemas.microsoft.com/office/drawing/2014/main" id="{00000000-0008-0000-2D00-000007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78184" name="Check Box 8" hidden="1">
              <a:extLst>
                <a:ext uri="{63B3BB69-23CF-44E3-9099-C40C66FF867C}">
                  <a14:compatExt spid="_x0000_s178184"/>
                </a:ext>
                <a:ext uri="{FF2B5EF4-FFF2-40B4-BE49-F238E27FC236}">
                  <a16:creationId xmlns:a16="http://schemas.microsoft.com/office/drawing/2014/main" id="{00000000-0008-0000-2D00-000008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78185" name="Check Box 9" hidden="1">
              <a:extLst>
                <a:ext uri="{63B3BB69-23CF-44E3-9099-C40C66FF867C}">
                  <a14:compatExt spid="_x0000_s178185"/>
                </a:ext>
                <a:ext uri="{FF2B5EF4-FFF2-40B4-BE49-F238E27FC236}">
                  <a16:creationId xmlns:a16="http://schemas.microsoft.com/office/drawing/2014/main" id="{00000000-0008-0000-2D00-000009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78186" name="Check Box 10" hidden="1">
              <a:extLst>
                <a:ext uri="{63B3BB69-23CF-44E3-9099-C40C66FF867C}">
                  <a14:compatExt spid="_x0000_s178186"/>
                </a:ext>
                <a:ext uri="{FF2B5EF4-FFF2-40B4-BE49-F238E27FC236}">
                  <a16:creationId xmlns:a16="http://schemas.microsoft.com/office/drawing/2014/main" id="{00000000-0008-0000-2D00-00000AB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E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E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E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E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E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8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8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2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82273" name="Check Box 1" hidden="1">
              <a:extLst>
                <a:ext uri="{63B3BB69-23CF-44E3-9099-C40C66FF867C}">
                  <a14:compatExt spid="_x0000_s182273"/>
                </a:ext>
                <a:ext uri="{FF2B5EF4-FFF2-40B4-BE49-F238E27FC236}">
                  <a16:creationId xmlns:a16="http://schemas.microsoft.com/office/drawing/2014/main" id="{00000000-0008-0000-2E00-000001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82274" name="Check Box 2" hidden="1">
              <a:extLst>
                <a:ext uri="{63B3BB69-23CF-44E3-9099-C40C66FF867C}">
                  <a14:compatExt spid="_x0000_s182274"/>
                </a:ext>
                <a:ext uri="{FF2B5EF4-FFF2-40B4-BE49-F238E27FC236}">
                  <a16:creationId xmlns:a16="http://schemas.microsoft.com/office/drawing/2014/main" id="{00000000-0008-0000-2E00-000002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82275" name="Check Box 3" hidden="1">
              <a:extLst>
                <a:ext uri="{63B3BB69-23CF-44E3-9099-C40C66FF867C}">
                  <a14:compatExt spid="_x0000_s182275"/>
                </a:ext>
                <a:ext uri="{FF2B5EF4-FFF2-40B4-BE49-F238E27FC236}">
                  <a16:creationId xmlns:a16="http://schemas.microsoft.com/office/drawing/2014/main" id="{00000000-0008-0000-2E00-000003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82276" name="Check Box 4" hidden="1">
              <a:extLst>
                <a:ext uri="{63B3BB69-23CF-44E3-9099-C40C66FF867C}">
                  <a14:compatExt spid="_x0000_s182276"/>
                </a:ext>
                <a:ext uri="{FF2B5EF4-FFF2-40B4-BE49-F238E27FC236}">
                  <a16:creationId xmlns:a16="http://schemas.microsoft.com/office/drawing/2014/main" id="{00000000-0008-0000-2E00-000004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82277" name="Check Box 5" hidden="1">
              <a:extLst>
                <a:ext uri="{63B3BB69-23CF-44E3-9099-C40C66FF867C}">
                  <a14:compatExt spid="_x0000_s182277"/>
                </a:ext>
                <a:ext uri="{FF2B5EF4-FFF2-40B4-BE49-F238E27FC236}">
                  <a16:creationId xmlns:a16="http://schemas.microsoft.com/office/drawing/2014/main" id="{00000000-0008-0000-2E00-000005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2F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2F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2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2F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2F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82278" name="Check Box 6" hidden="1">
              <a:extLst>
                <a:ext uri="{63B3BB69-23CF-44E3-9099-C40C66FF867C}">
                  <a14:compatExt spid="_x0000_s182278"/>
                </a:ext>
                <a:ext uri="{FF2B5EF4-FFF2-40B4-BE49-F238E27FC236}">
                  <a16:creationId xmlns:a16="http://schemas.microsoft.com/office/drawing/2014/main" id="{00000000-0008-0000-2E00-000006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82279" name="Check Box 7" hidden="1">
              <a:extLst>
                <a:ext uri="{63B3BB69-23CF-44E3-9099-C40C66FF867C}">
                  <a14:compatExt spid="_x0000_s182279"/>
                </a:ext>
                <a:ext uri="{FF2B5EF4-FFF2-40B4-BE49-F238E27FC236}">
                  <a16:creationId xmlns:a16="http://schemas.microsoft.com/office/drawing/2014/main" id="{00000000-0008-0000-2E00-000007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82280" name="Check Box 8" hidden="1">
              <a:extLst>
                <a:ext uri="{63B3BB69-23CF-44E3-9099-C40C66FF867C}">
                  <a14:compatExt spid="_x0000_s182280"/>
                </a:ext>
                <a:ext uri="{FF2B5EF4-FFF2-40B4-BE49-F238E27FC236}">
                  <a16:creationId xmlns:a16="http://schemas.microsoft.com/office/drawing/2014/main" id="{00000000-0008-0000-2E00-000008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82281" name="Check Box 9" hidden="1">
              <a:extLst>
                <a:ext uri="{63B3BB69-23CF-44E3-9099-C40C66FF867C}">
                  <a14:compatExt spid="_x0000_s182281"/>
                </a:ext>
                <a:ext uri="{FF2B5EF4-FFF2-40B4-BE49-F238E27FC236}">
                  <a16:creationId xmlns:a16="http://schemas.microsoft.com/office/drawing/2014/main" id="{00000000-0008-0000-2E00-000009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82282" name="Check Box 10" hidden="1">
              <a:extLst>
                <a:ext uri="{63B3BB69-23CF-44E3-9099-C40C66FF867C}">
                  <a14:compatExt spid="_x0000_s182282"/>
                </a:ext>
                <a:ext uri="{FF2B5EF4-FFF2-40B4-BE49-F238E27FC236}">
                  <a16:creationId xmlns:a16="http://schemas.microsoft.com/office/drawing/2014/main" id="{00000000-0008-0000-2E00-00000AC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2F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2F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2F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2F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2F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2F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2F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9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2F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2F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2F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2F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2F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0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0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0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2F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2F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2F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2F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2F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0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0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0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0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0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9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84321" name="Check Box 1" hidden="1">
              <a:extLst>
                <a:ext uri="{63B3BB69-23CF-44E3-9099-C40C66FF867C}">
                  <a14:compatExt spid="_x0000_s184321"/>
                </a:ext>
                <a:ext uri="{FF2B5EF4-FFF2-40B4-BE49-F238E27FC236}">
                  <a16:creationId xmlns:a16="http://schemas.microsoft.com/office/drawing/2014/main" id="{00000000-0008-0000-3000-000001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84322" name="Check Box 2" hidden="1">
              <a:extLst>
                <a:ext uri="{63B3BB69-23CF-44E3-9099-C40C66FF867C}">
                  <a14:compatExt spid="_x0000_s184322"/>
                </a:ext>
                <a:ext uri="{FF2B5EF4-FFF2-40B4-BE49-F238E27FC236}">
                  <a16:creationId xmlns:a16="http://schemas.microsoft.com/office/drawing/2014/main" id="{00000000-0008-0000-3000-000002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84323" name="Check Box 3" hidden="1">
              <a:extLst>
                <a:ext uri="{63B3BB69-23CF-44E3-9099-C40C66FF867C}">
                  <a14:compatExt spid="_x0000_s184323"/>
                </a:ext>
                <a:ext uri="{FF2B5EF4-FFF2-40B4-BE49-F238E27FC236}">
                  <a16:creationId xmlns:a16="http://schemas.microsoft.com/office/drawing/2014/main" id="{00000000-0008-0000-3000-000003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84324" name="Check Box 4" hidden="1">
              <a:extLst>
                <a:ext uri="{63B3BB69-23CF-44E3-9099-C40C66FF867C}">
                  <a14:compatExt spid="_x0000_s184324"/>
                </a:ext>
                <a:ext uri="{FF2B5EF4-FFF2-40B4-BE49-F238E27FC236}">
                  <a16:creationId xmlns:a16="http://schemas.microsoft.com/office/drawing/2014/main" id="{00000000-0008-0000-3000-000004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84325" name="Check Box 5" hidden="1">
              <a:extLst>
                <a:ext uri="{63B3BB69-23CF-44E3-9099-C40C66FF867C}">
                  <a14:compatExt spid="_x0000_s184325"/>
                </a:ext>
                <a:ext uri="{FF2B5EF4-FFF2-40B4-BE49-F238E27FC236}">
                  <a16:creationId xmlns:a16="http://schemas.microsoft.com/office/drawing/2014/main" id="{00000000-0008-0000-3000-000005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1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1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84326" name="Check Box 6" hidden="1">
              <a:extLst>
                <a:ext uri="{63B3BB69-23CF-44E3-9099-C40C66FF867C}">
                  <a14:compatExt spid="_x0000_s184326"/>
                </a:ext>
                <a:ext uri="{FF2B5EF4-FFF2-40B4-BE49-F238E27FC236}">
                  <a16:creationId xmlns:a16="http://schemas.microsoft.com/office/drawing/2014/main" id="{00000000-0008-0000-3000-000006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84327" name="Check Box 7" hidden="1">
              <a:extLst>
                <a:ext uri="{63B3BB69-23CF-44E3-9099-C40C66FF867C}">
                  <a14:compatExt spid="_x0000_s184327"/>
                </a:ext>
                <a:ext uri="{FF2B5EF4-FFF2-40B4-BE49-F238E27FC236}">
                  <a16:creationId xmlns:a16="http://schemas.microsoft.com/office/drawing/2014/main" id="{00000000-0008-0000-3000-000007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84328" name="Check Box 8" hidden="1">
              <a:extLst>
                <a:ext uri="{63B3BB69-23CF-44E3-9099-C40C66FF867C}">
                  <a14:compatExt spid="_x0000_s184328"/>
                </a:ext>
                <a:ext uri="{FF2B5EF4-FFF2-40B4-BE49-F238E27FC236}">
                  <a16:creationId xmlns:a16="http://schemas.microsoft.com/office/drawing/2014/main" id="{00000000-0008-0000-3000-000008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84329" name="Check Box 9" hidden="1">
              <a:extLst>
                <a:ext uri="{63B3BB69-23CF-44E3-9099-C40C66FF867C}">
                  <a14:compatExt spid="_x0000_s184329"/>
                </a:ext>
                <a:ext uri="{FF2B5EF4-FFF2-40B4-BE49-F238E27FC236}">
                  <a16:creationId xmlns:a16="http://schemas.microsoft.com/office/drawing/2014/main" id="{00000000-0008-0000-3000-000009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84330" name="Check Box 10" hidden="1">
              <a:extLst>
                <a:ext uri="{63B3BB69-23CF-44E3-9099-C40C66FF867C}">
                  <a14:compatExt spid="_x0000_s184330"/>
                </a:ext>
                <a:ext uri="{FF2B5EF4-FFF2-40B4-BE49-F238E27FC236}">
                  <a16:creationId xmlns:a16="http://schemas.microsoft.com/office/drawing/2014/main" id="{00000000-0008-0000-3000-00000AD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1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1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1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1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9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85345" name="Check Box 1" hidden="1">
              <a:extLst>
                <a:ext uri="{63B3BB69-23CF-44E3-9099-C40C66FF867C}">
                  <a14:compatExt spid="_x0000_s185345"/>
                </a:ext>
                <a:ext uri="{FF2B5EF4-FFF2-40B4-BE49-F238E27FC236}">
                  <a16:creationId xmlns:a16="http://schemas.microsoft.com/office/drawing/2014/main" id="{00000000-0008-0000-3100-000001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85346" name="Check Box 2" hidden="1">
              <a:extLst>
                <a:ext uri="{63B3BB69-23CF-44E3-9099-C40C66FF867C}">
                  <a14:compatExt spid="_x0000_s185346"/>
                </a:ext>
                <a:ext uri="{FF2B5EF4-FFF2-40B4-BE49-F238E27FC236}">
                  <a16:creationId xmlns:a16="http://schemas.microsoft.com/office/drawing/2014/main" id="{00000000-0008-0000-3100-000002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85347" name="Check Box 3" hidden="1">
              <a:extLst>
                <a:ext uri="{63B3BB69-23CF-44E3-9099-C40C66FF867C}">
                  <a14:compatExt spid="_x0000_s185347"/>
                </a:ext>
                <a:ext uri="{FF2B5EF4-FFF2-40B4-BE49-F238E27FC236}">
                  <a16:creationId xmlns:a16="http://schemas.microsoft.com/office/drawing/2014/main" id="{00000000-0008-0000-3100-000003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85348" name="Check Box 4" hidden="1">
              <a:extLst>
                <a:ext uri="{63B3BB69-23CF-44E3-9099-C40C66FF867C}">
                  <a14:compatExt spid="_x0000_s185348"/>
                </a:ext>
                <a:ext uri="{FF2B5EF4-FFF2-40B4-BE49-F238E27FC236}">
                  <a16:creationId xmlns:a16="http://schemas.microsoft.com/office/drawing/2014/main" id="{00000000-0008-0000-3100-000004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85349" name="Check Box 5" hidden="1">
              <a:extLst>
                <a:ext uri="{63B3BB69-23CF-44E3-9099-C40C66FF867C}">
                  <a14:compatExt spid="_x0000_s185349"/>
                </a:ext>
                <a:ext uri="{FF2B5EF4-FFF2-40B4-BE49-F238E27FC236}">
                  <a16:creationId xmlns:a16="http://schemas.microsoft.com/office/drawing/2014/main" id="{00000000-0008-0000-3100-000005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2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2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85350" name="Check Box 6" hidden="1">
              <a:extLst>
                <a:ext uri="{63B3BB69-23CF-44E3-9099-C40C66FF867C}">
                  <a14:compatExt spid="_x0000_s185350"/>
                </a:ext>
                <a:ext uri="{FF2B5EF4-FFF2-40B4-BE49-F238E27FC236}">
                  <a16:creationId xmlns:a16="http://schemas.microsoft.com/office/drawing/2014/main" id="{00000000-0008-0000-3100-000006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85351" name="Check Box 7" hidden="1">
              <a:extLst>
                <a:ext uri="{63B3BB69-23CF-44E3-9099-C40C66FF867C}">
                  <a14:compatExt spid="_x0000_s185351"/>
                </a:ext>
                <a:ext uri="{FF2B5EF4-FFF2-40B4-BE49-F238E27FC236}">
                  <a16:creationId xmlns:a16="http://schemas.microsoft.com/office/drawing/2014/main" id="{00000000-0008-0000-3100-000007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85352" name="Check Box 8" hidden="1">
              <a:extLst>
                <a:ext uri="{63B3BB69-23CF-44E3-9099-C40C66FF867C}">
                  <a14:compatExt spid="_x0000_s185352"/>
                </a:ext>
                <a:ext uri="{FF2B5EF4-FFF2-40B4-BE49-F238E27FC236}">
                  <a16:creationId xmlns:a16="http://schemas.microsoft.com/office/drawing/2014/main" id="{00000000-0008-0000-3100-000008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85353" name="Check Box 9" hidden="1">
              <a:extLst>
                <a:ext uri="{63B3BB69-23CF-44E3-9099-C40C66FF867C}">
                  <a14:compatExt spid="_x0000_s185353"/>
                </a:ext>
                <a:ext uri="{FF2B5EF4-FFF2-40B4-BE49-F238E27FC236}">
                  <a16:creationId xmlns:a16="http://schemas.microsoft.com/office/drawing/2014/main" id="{00000000-0008-0000-3100-000009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85354" name="Check Box 10" hidden="1">
              <a:extLst>
                <a:ext uri="{63B3BB69-23CF-44E3-9099-C40C66FF867C}">
                  <a14:compatExt spid="_x0000_s185354"/>
                </a:ext>
                <a:ext uri="{FF2B5EF4-FFF2-40B4-BE49-F238E27FC236}">
                  <a16:creationId xmlns:a16="http://schemas.microsoft.com/office/drawing/2014/main" id="{00000000-0008-0000-3100-00000AD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2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2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2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9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32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32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32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32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32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3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3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3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32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32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32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32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32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3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3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3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3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9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9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89441" name="Check Box 1" hidden="1">
              <a:extLst>
                <a:ext uri="{63B3BB69-23CF-44E3-9099-C40C66FF867C}">
                  <a14:compatExt spid="_x0000_s189441"/>
                </a:ext>
                <a:ext uri="{FF2B5EF4-FFF2-40B4-BE49-F238E27FC236}">
                  <a16:creationId xmlns:a16="http://schemas.microsoft.com/office/drawing/2014/main" id="{00000000-0008-0000-3300-000001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89442" name="Check Box 2" hidden="1">
              <a:extLst>
                <a:ext uri="{63B3BB69-23CF-44E3-9099-C40C66FF867C}">
                  <a14:compatExt spid="_x0000_s189442"/>
                </a:ext>
                <a:ext uri="{FF2B5EF4-FFF2-40B4-BE49-F238E27FC236}">
                  <a16:creationId xmlns:a16="http://schemas.microsoft.com/office/drawing/2014/main" id="{00000000-0008-0000-3300-000002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89443" name="Check Box 3" hidden="1">
              <a:extLst>
                <a:ext uri="{63B3BB69-23CF-44E3-9099-C40C66FF867C}">
                  <a14:compatExt spid="_x0000_s189443"/>
                </a:ext>
                <a:ext uri="{FF2B5EF4-FFF2-40B4-BE49-F238E27FC236}">
                  <a16:creationId xmlns:a16="http://schemas.microsoft.com/office/drawing/2014/main" id="{00000000-0008-0000-3300-000003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89444" name="Check Box 4" hidden="1">
              <a:extLst>
                <a:ext uri="{63B3BB69-23CF-44E3-9099-C40C66FF867C}">
                  <a14:compatExt spid="_x0000_s189444"/>
                </a:ext>
                <a:ext uri="{FF2B5EF4-FFF2-40B4-BE49-F238E27FC236}">
                  <a16:creationId xmlns:a16="http://schemas.microsoft.com/office/drawing/2014/main" id="{00000000-0008-0000-3300-000004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16</xdr:row>
          <xdr:rowOff>238125</xdr:rowOff>
        </xdr:from>
        <xdr:to>
          <xdr:col>6</xdr:col>
          <xdr:colOff>28575</xdr:colOff>
          <xdr:row>18</xdr:row>
          <xdr:rowOff>161925</xdr:rowOff>
        </xdr:to>
        <xdr:sp macro="" textlink="">
          <xdr:nvSpPr>
            <xdr:cNvPr id="189445" name="Check Box 5" hidden="1">
              <a:extLst>
                <a:ext uri="{63B3BB69-23CF-44E3-9099-C40C66FF867C}">
                  <a14:compatExt spid="_x0000_s189445"/>
                </a:ext>
                <a:ext uri="{FF2B5EF4-FFF2-40B4-BE49-F238E27FC236}">
                  <a16:creationId xmlns:a16="http://schemas.microsoft.com/office/drawing/2014/main" id="{00000000-0008-0000-3300-000005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4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4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4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4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89446" name="Check Box 6" hidden="1">
              <a:extLst>
                <a:ext uri="{63B3BB69-23CF-44E3-9099-C40C66FF867C}">
                  <a14:compatExt spid="_x0000_s189446"/>
                </a:ext>
                <a:ext uri="{FF2B5EF4-FFF2-40B4-BE49-F238E27FC236}">
                  <a16:creationId xmlns:a16="http://schemas.microsoft.com/office/drawing/2014/main" id="{00000000-0008-0000-3300-000006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89447" name="Check Box 7" hidden="1">
              <a:extLst>
                <a:ext uri="{63B3BB69-23CF-44E3-9099-C40C66FF867C}">
                  <a14:compatExt spid="_x0000_s189447"/>
                </a:ext>
                <a:ext uri="{FF2B5EF4-FFF2-40B4-BE49-F238E27FC236}">
                  <a16:creationId xmlns:a16="http://schemas.microsoft.com/office/drawing/2014/main" id="{00000000-0008-0000-3300-000007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89448" name="Check Box 8" hidden="1">
              <a:extLst>
                <a:ext uri="{63B3BB69-23CF-44E3-9099-C40C66FF867C}">
                  <a14:compatExt spid="_x0000_s189448"/>
                </a:ext>
                <a:ext uri="{FF2B5EF4-FFF2-40B4-BE49-F238E27FC236}">
                  <a16:creationId xmlns:a16="http://schemas.microsoft.com/office/drawing/2014/main" id="{00000000-0008-0000-3300-000008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89449" name="Check Box 9" hidden="1">
              <a:extLst>
                <a:ext uri="{63B3BB69-23CF-44E3-9099-C40C66FF867C}">
                  <a14:compatExt spid="_x0000_s189449"/>
                </a:ext>
                <a:ext uri="{FF2B5EF4-FFF2-40B4-BE49-F238E27FC236}">
                  <a16:creationId xmlns:a16="http://schemas.microsoft.com/office/drawing/2014/main" id="{00000000-0008-0000-3300-000009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89450" name="Check Box 10" hidden="1">
              <a:extLst>
                <a:ext uri="{63B3BB69-23CF-44E3-9099-C40C66FF867C}">
                  <a14:compatExt spid="_x0000_s189450"/>
                </a:ext>
                <a:ext uri="{FF2B5EF4-FFF2-40B4-BE49-F238E27FC236}">
                  <a16:creationId xmlns:a16="http://schemas.microsoft.com/office/drawing/2014/main" id="{00000000-0008-0000-3300-00000AE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4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4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4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4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0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90465" name="Check Box 1" hidden="1">
              <a:extLst>
                <a:ext uri="{63B3BB69-23CF-44E3-9099-C40C66FF867C}">
                  <a14:compatExt spid="_x0000_s190465"/>
                </a:ext>
                <a:ext uri="{FF2B5EF4-FFF2-40B4-BE49-F238E27FC236}">
                  <a16:creationId xmlns:a16="http://schemas.microsoft.com/office/drawing/2014/main" id="{00000000-0008-0000-3400-000001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90466" name="Check Box 2" hidden="1">
              <a:extLst>
                <a:ext uri="{63B3BB69-23CF-44E3-9099-C40C66FF867C}">
                  <a14:compatExt spid="_x0000_s190466"/>
                </a:ext>
                <a:ext uri="{FF2B5EF4-FFF2-40B4-BE49-F238E27FC236}">
                  <a16:creationId xmlns:a16="http://schemas.microsoft.com/office/drawing/2014/main" id="{00000000-0008-0000-3400-000002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90467" name="Check Box 3" hidden="1">
              <a:extLst>
                <a:ext uri="{63B3BB69-23CF-44E3-9099-C40C66FF867C}">
                  <a14:compatExt spid="_x0000_s190467"/>
                </a:ext>
                <a:ext uri="{FF2B5EF4-FFF2-40B4-BE49-F238E27FC236}">
                  <a16:creationId xmlns:a16="http://schemas.microsoft.com/office/drawing/2014/main" id="{00000000-0008-0000-3400-000003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90468" name="Check Box 4" hidden="1">
              <a:extLst>
                <a:ext uri="{63B3BB69-23CF-44E3-9099-C40C66FF867C}">
                  <a14:compatExt spid="_x0000_s190468"/>
                </a:ext>
                <a:ext uri="{FF2B5EF4-FFF2-40B4-BE49-F238E27FC236}">
                  <a16:creationId xmlns:a16="http://schemas.microsoft.com/office/drawing/2014/main" id="{00000000-0008-0000-3400-000004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90469" name="Check Box 5" hidden="1">
              <a:extLst>
                <a:ext uri="{63B3BB69-23CF-44E3-9099-C40C66FF867C}">
                  <a14:compatExt spid="_x0000_s190469"/>
                </a:ext>
                <a:ext uri="{FF2B5EF4-FFF2-40B4-BE49-F238E27FC236}">
                  <a16:creationId xmlns:a16="http://schemas.microsoft.com/office/drawing/2014/main" id="{00000000-0008-0000-3400-000005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5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5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5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5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90470" name="Check Box 6" hidden="1">
              <a:extLst>
                <a:ext uri="{63B3BB69-23CF-44E3-9099-C40C66FF867C}">
                  <a14:compatExt spid="_x0000_s190470"/>
                </a:ext>
                <a:ext uri="{FF2B5EF4-FFF2-40B4-BE49-F238E27FC236}">
                  <a16:creationId xmlns:a16="http://schemas.microsoft.com/office/drawing/2014/main" id="{00000000-0008-0000-3400-000006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90471" name="Check Box 7" hidden="1">
              <a:extLst>
                <a:ext uri="{63B3BB69-23CF-44E3-9099-C40C66FF867C}">
                  <a14:compatExt spid="_x0000_s190471"/>
                </a:ext>
                <a:ext uri="{FF2B5EF4-FFF2-40B4-BE49-F238E27FC236}">
                  <a16:creationId xmlns:a16="http://schemas.microsoft.com/office/drawing/2014/main" id="{00000000-0008-0000-3400-000007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90472" name="Check Box 8" hidden="1">
              <a:extLst>
                <a:ext uri="{63B3BB69-23CF-44E3-9099-C40C66FF867C}">
                  <a14:compatExt spid="_x0000_s190472"/>
                </a:ext>
                <a:ext uri="{FF2B5EF4-FFF2-40B4-BE49-F238E27FC236}">
                  <a16:creationId xmlns:a16="http://schemas.microsoft.com/office/drawing/2014/main" id="{00000000-0008-0000-3400-000008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90473" name="Check Box 9" hidden="1">
              <a:extLst>
                <a:ext uri="{63B3BB69-23CF-44E3-9099-C40C66FF867C}">
                  <a14:compatExt spid="_x0000_s190473"/>
                </a:ext>
                <a:ext uri="{FF2B5EF4-FFF2-40B4-BE49-F238E27FC236}">
                  <a16:creationId xmlns:a16="http://schemas.microsoft.com/office/drawing/2014/main" id="{00000000-0008-0000-3400-000009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90474" name="Check Box 10" hidden="1">
              <a:extLst>
                <a:ext uri="{63B3BB69-23CF-44E3-9099-C40C66FF867C}">
                  <a14:compatExt spid="_x0000_s190474"/>
                </a:ext>
                <a:ext uri="{FF2B5EF4-FFF2-40B4-BE49-F238E27FC236}">
                  <a16:creationId xmlns:a16="http://schemas.microsoft.com/office/drawing/2014/main" id="{00000000-0008-0000-3400-00000AE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5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5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5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5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7</xdr:col>
      <xdr:colOff>639536</xdr:colOff>
      <xdr:row>67</xdr:row>
      <xdr:rowOff>90151</xdr:rowOff>
    </xdr:from>
    <xdr:to>
      <xdr:col>11</xdr:col>
      <xdr:colOff>181428</xdr:colOff>
      <xdr:row>81</xdr:row>
      <xdr:rowOff>421821</xdr:rowOff>
    </xdr:to>
    <xdr:graphicFrame macro="">
      <xdr:nvGraphicFramePr>
        <xdr:cNvPr id="15" name="Gráfico 14">
          <a:extLst>
            <a:ext uri="{FF2B5EF4-FFF2-40B4-BE49-F238E27FC236}">
              <a16:creationId xmlns:a16="http://schemas.microsoft.com/office/drawing/2014/main" id="{00000000-0008-0000-35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0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91489" name="Check Box 1" hidden="1">
              <a:extLst>
                <a:ext uri="{63B3BB69-23CF-44E3-9099-C40C66FF867C}">
                  <a14:compatExt spid="_x0000_s191489"/>
                </a:ext>
                <a:ext uri="{FF2B5EF4-FFF2-40B4-BE49-F238E27FC236}">
                  <a16:creationId xmlns:a16="http://schemas.microsoft.com/office/drawing/2014/main" id="{00000000-0008-0000-3500-000001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91490" name="Check Box 2" hidden="1">
              <a:extLst>
                <a:ext uri="{63B3BB69-23CF-44E3-9099-C40C66FF867C}">
                  <a14:compatExt spid="_x0000_s191490"/>
                </a:ext>
                <a:ext uri="{FF2B5EF4-FFF2-40B4-BE49-F238E27FC236}">
                  <a16:creationId xmlns:a16="http://schemas.microsoft.com/office/drawing/2014/main" id="{00000000-0008-0000-3500-000002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91491" name="Check Box 3" hidden="1">
              <a:extLst>
                <a:ext uri="{63B3BB69-23CF-44E3-9099-C40C66FF867C}">
                  <a14:compatExt spid="_x0000_s191491"/>
                </a:ext>
                <a:ext uri="{FF2B5EF4-FFF2-40B4-BE49-F238E27FC236}">
                  <a16:creationId xmlns:a16="http://schemas.microsoft.com/office/drawing/2014/main" id="{00000000-0008-0000-3500-000003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91492" name="Check Box 4" hidden="1">
              <a:extLst>
                <a:ext uri="{63B3BB69-23CF-44E3-9099-C40C66FF867C}">
                  <a14:compatExt spid="_x0000_s191492"/>
                </a:ext>
                <a:ext uri="{FF2B5EF4-FFF2-40B4-BE49-F238E27FC236}">
                  <a16:creationId xmlns:a16="http://schemas.microsoft.com/office/drawing/2014/main" id="{00000000-0008-0000-3500-000004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91493" name="Check Box 5" hidden="1">
              <a:extLst>
                <a:ext uri="{63B3BB69-23CF-44E3-9099-C40C66FF867C}">
                  <a14:compatExt spid="_x0000_s191493"/>
                </a:ext>
                <a:ext uri="{FF2B5EF4-FFF2-40B4-BE49-F238E27FC236}">
                  <a16:creationId xmlns:a16="http://schemas.microsoft.com/office/drawing/2014/main" id="{00000000-0008-0000-3500-000005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6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6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91494" name="Check Box 6" hidden="1">
              <a:extLst>
                <a:ext uri="{63B3BB69-23CF-44E3-9099-C40C66FF867C}">
                  <a14:compatExt spid="_x0000_s191494"/>
                </a:ext>
                <a:ext uri="{FF2B5EF4-FFF2-40B4-BE49-F238E27FC236}">
                  <a16:creationId xmlns:a16="http://schemas.microsoft.com/office/drawing/2014/main" id="{00000000-0008-0000-3500-000006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35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91496" name="Check Box 8" hidden="1">
              <a:extLst>
                <a:ext uri="{63B3BB69-23CF-44E3-9099-C40C66FF867C}">
                  <a14:compatExt spid="_x0000_s191496"/>
                </a:ext>
                <a:ext uri="{FF2B5EF4-FFF2-40B4-BE49-F238E27FC236}">
                  <a16:creationId xmlns:a16="http://schemas.microsoft.com/office/drawing/2014/main" id="{00000000-0008-0000-3500-000008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91497" name="Check Box 9" hidden="1">
              <a:extLst>
                <a:ext uri="{63B3BB69-23CF-44E3-9099-C40C66FF867C}">
                  <a14:compatExt spid="_x0000_s191497"/>
                </a:ext>
                <a:ext uri="{FF2B5EF4-FFF2-40B4-BE49-F238E27FC236}">
                  <a16:creationId xmlns:a16="http://schemas.microsoft.com/office/drawing/2014/main" id="{00000000-0008-0000-3500-000009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91498" name="Check Box 10" hidden="1">
              <a:extLst>
                <a:ext uri="{63B3BB69-23CF-44E3-9099-C40C66FF867C}">
                  <a14:compatExt spid="_x0000_s191498"/>
                </a:ext>
                <a:ext uri="{FF2B5EF4-FFF2-40B4-BE49-F238E27FC236}">
                  <a16:creationId xmlns:a16="http://schemas.microsoft.com/office/drawing/2014/main" id="{00000000-0008-0000-3500-00000A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6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6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6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6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05.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92513" name="Check Box 1" hidden="1">
              <a:extLst>
                <a:ext uri="{63B3BB69-23CF-44E3-9099-C40C66FF867C}">
                  <a14:compatExt spid="_x0000_s192513"/>
                </a:ext>
                <a:ext uri="{FF2B5EF4-FFF2-40B4-BE49-F238E27FC236}">
                  <a16:creationId xmlns:a16="http://schemas.microsoft.com/office/drawing/2014/main" id="{00000000-0008-0000-3600-000001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92514" name="Check Box 2" hidden="1">
              <a:extLst>
                <a:ext uri="{63B3BB69-23CF-44E3-9099-C40C66FF867C}">
                  <a14:compatExt spid="_x0000_s192514"/>
                </a:ext>
                <a:ext uri="{FF2B5EF4-FFF2-40B4-BE49-F238E27FC236}">
                  <a16:creationId xmlns:a16="http://schemas.microsoft.com/office/drawing/2014/main" id="{00000000-0008-0000-3600-000002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92515" name="Check Box 3" hidden="1">
              <a:extLst>
                <a:ext uri="{63B3BB69-23CF-44E3-9099-C40C66FF867C}">
                  <a14:compatExt spid="_x0000_s192515"/>
                </a:ext>
                <a:ext uri="{FF2B5EF4-FFF2-40B4-BE49-F238E27FC236}">
                  <a16:creationId xmlns:a16="http://schemas.microsoft.com/office/drawing/2014/main" id="{00000000-0008-0000-3600-000003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92516" name="Check Box 4" hidden="1">
              <a:extLst>
                <a:ext uri="{63B3BB69-23CF-44E3-9099-C40C66FF867C}">
                  <a14:compatExt spid="_x0000_s192516"/>
                </a:ext>
                <a:ext uri="{FF2B5EF4-FFF2-40B4-BE49-F238E27FC236}">
                  <a16:creationId xmlns:a16="http://schemas.microsoft.com/office/drawing/2014/main" id="{00000000-0008-0000-3600-000004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92517" name="Check Box 5" hidden="1">
              <a:extLst>
                <a:ext uri="{63B3BB69-23CF-44E3-9099-C40C66FF867C}">
                  <a14:compatExt spid="_x0000_s192517"/>
                </a:ext>
                <a:ext uri="{FF2B5EF4-FFF2-40B4-BE49-F238E27FC236}">
                  <a16:creationId xmlns:a16="http://schemas.microsoft.com/office/drawing/2014/main" id="{00000000-0008-0000-3600-000005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7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7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7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92518" name="Check Box 6" hidden="1">
              <a:extLst>
                <a:ext uri="{63B3BB69-23CF-44E3-9099-C40C66FF867C}">
                  <a14:compatExt spid="_x0000_s192518"/>
                </a:ext>
                <a:ext uri="{FF2B5EF4-FFF2-40B4-BE49-F238E27FC236}">
                  <a16:creationId xmlns:a16="http://schemas.microsoft.com/office/drawing/2014/main" id="{00000000-0008-0000-3600-000006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92519" name="Check Box 7" hidden="1">
              <a:extLst>
                <a:ext uri="{63B3BB69-23CF-44E3-9099-C40C66FF867C}">
                  <a14:compatExt spid="_x0000_s192519"/>
                </a:ext>
                <a:ext uri="{FF2B5EF4-FFF2-40B4-BE49-F238E27FC236}">
                  <a16:creationId xmlns:a16="http://schemas.microsoft.com/office/drawing/2014/main" id="{00000000-0008-0000-3600-000007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92520" name="Check Box 8" hidden="1">
              <a:extLst>
                <a:ext uri="{63B3BB69-23CF-44E3-9099-C40C66FF867C}">
                  <a14:compatExt spid="_x0000_s192520"/>
                </a:ext>
                <a:ext uri="{FF2B5EF4-FFF2-40B4-BE49-F238E27FC236}">
                  <a16:creationId xmlns:a16="http://schemas.microsoft.com/office/drawing/2014/main" id="{00000000-0008-0000-3600-000008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92521" name="Check Box 9" hidden="1">
              <a:extLst>
                <a:ext uri="{63B3BB69-23CF-44E3-9099-C40C66FF867C}">
                  <a14:compatExt spid="_x0000_s192521"/>
                </a:ext>
                <a:ext uri="{FF2B5EF4-FFF2-40B4-BE49-F238E27FC236}">
                  <a16:creationId xmlns:a16="http://schemas.microsoft.com/office/drawing/2014/main" id="{00000000-0008-0000-3600-000009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92522" name="Check Box 10" hidden="1">
              <a:extLst>
                <a:ext uri="{63B3BB69-23CF-44E3-9099-C40C66FF867C}">
                  <a14:compatExt spid="_x0000_s192522"/>
                </a:ext>
                <a:ext uri="{FF2B5EF4-FFF2-40B4-BE49-F238E27FC236}">
                  <a16:creationId xmlns:a16="http://schemas.microsoft.com/office/drawing/2014/main" id="{00000000-0008-0000-3600-00000AF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7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7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7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7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6.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07.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95585" name="Check Box 1" hidden="1">
              <a:extLst>
                <a:ext uri="{63B3BB69-23CF-44E3-9099-C40C66FF867C}">
                  <a14:compatExt spid="_x0000_s195585"/>
                </a:ext>
                <a:ext uri="{FF2B5EF4-FFF2-40B4-BE49-F238E27FC236}">
                  <a16:creationId xmlns:a16="http://schemas.microsoft.com/office/drawing/2014/main" id="{00000000-0008-0000-3700-000001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95586" name="Check Box 2" hidden="1">
              <a:extLst>
                <a:ext uri="{63B3BB69-23CF-44E3-9099-C40C66FF867C}">
                  <a14:compatExt spid="_x0000_s195586"/>
                </a:ext>
                <a:ext uri="{FF2B5EF4-FFF2-40B4-BE49-F238E27FC236}">
                  <a16:creationId xmlns:a16="http://schemas.microsoft.com/office/drawing/2014/main" id="{00000000-0008-0000-3700-000002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95587" name="Check Box 3" hidden="1">
              <a:extLst>
                <a:ext uri="{63B3BB69-23CF-44E3-9099-C40C66FF867C}">
                  <a14:compatExt spid="_x0000_s195587"/>
                </a:ext>
                <a:ext uri="{FF2B5EF4-FFF2-40B4-BE49-F238E27FC236}">
                  <a16:creationId xmlns:a16="http://schemas.microsoft.com/office/drawing/2014/main" id="{00000000-0008-0000-3700-000003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95588" name="Check Box 4" hidden="1">
              <a:extLst>
                <a:ext uri="{63B3BB69-23CF-44E3-9099-C40C66FF867C}">
                  <a14:compatExt spid="_x0000_s195588"/>
                </a:ext>
                <a:ext uri="{FF2B5EF4-FFF2-40B4-BE49-F238E27FC236}">
                  <a16:creationId xmlns:a16="http://schemas.microsoft.com/office/drawing/2014/main" id="{00000000-0008-0000-3700-000004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95589" name="Check Box 5" hidden="1">
              <a:extLst>
                <a:ext uri="{63B3BB69-23CF-44E3-9099-C40C66FF867C}">
                  <a14:compatExt spid="_x0000_s195589"/>
                </a:ext>
                <a:ext uri="{FF2B5EF4-FFF2-40B4-BE49-F238E27FC236}">
                  <a16:creationId xmlns:a16="http://schemas.microsoft.com/office/drawing/2014/main" id="{00000000-0008-0000-3700-000005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8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8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95590" name="Check Box 6" hidden="1">
              <a:extLst>
                <a:ext uri="{63B3BB69-23CF-44E3-9099-C40C66FF867C}">
                  <a14:compatExt spid="_x0000_s195590"/>
                </a:ext>
                <a:ext uri="{FF2B5EF4-FFF2-40B4-BE49-F238E27FC236}">
                  <a16:creationId xmlns:a16="http://schemas.microsoft.com/office/drawing/2014/main" id="{00000000-0008-0000-3700-000006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95591" name="Check Box 7" hidden="1">
              <a:extLst>
                <a:ext uri="{63B3BB69-23CF-44E3-9099-C40C66FF867C}">
                  <a14:compatExt spid="_x0000_s195591"/>
                </a:ext>
                <a:ext uri="{FF2B5EF4-FFF2-40B4-BE49-F238E27FC236}">
                  <a16:creationId xmlns:a16="http://schemas.microsoft.com/office/drawing/2014/main" id="{00000000-0008-0000-3700-000007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95592" name="Check Box 8" hidden="1">
              <a:extLst>
                <a:ext uri="{63B3BB69-23CF-44E3-9099-C40C66FF867C}">
                  <a14:compatExt spid="_x0000_s195592"/>
                </a:ext>
                <a:ext uri="{FF2B5EF4-FFF2-40B4-BE49-F238E27FC236}">
                  <a16:creationId xmlns:a16="http://schemas.microsoft.com/office/drawing/2014/main" id="{00000000-0008-0000-3700-000008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95593" name="Check Box 9" hidden="1">
              <a:extLst>
                <a:ext uri="{63B3BB69-23CF-44E3-9099-C40C66FF867C}">
                  <a14:compatExt spid="_x0000_s195593"/>
                </a:ext>
                <a:ext uri="{FF2B5EF4-FFF2-40B4-BE49-F238E27FC236}">
                  <a16:creationId xmlns:a16="http://schemas.microsoft.com/office/drawing/2014/main" id="{00000000-0008-0000-3700-000009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95594" name="Check Box 10" hidden="1">
              <a:extLst>
                <a:ext uri="{63B3BB69-23CF-44E3-9099-C40C66FF867C}">
                  <a14:compatExt spid="_x0000_s195594"/>
                </a:ext>
                <a:ext uri="{FF2B5EF4-FFF2-40B4-BE49-F238E27FC236}">
                  <a16:creationId xmlns:a16="http://schemas.microsoft.com/office/drawing/2014/main" id="{00000000-0008-0000-3700-00000AF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8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8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8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8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08.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09.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96609" name="Check Box 1" hidden="1">
              <a:extLst>
                <a:ext uri="{63B3BB69-23CF-44E3-9099-C40C66FF867C}">
                  <a14:compatExt spid="_x0000_s196609"/>
                </a:ext>
                <a:ext uri="{FF2B5EF4-FFF2-40B4-BE49-F238E27FC236}">
                  <a16:creationId xmlns:a16="http://schemas.microsoft.com/office/drawing/2014/main" id="{00000000-0008-0000-3800-000001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96610" name="Check Box 2" hidden="1">
              <a:extLst>
                <a:ext uri="{63B3BB69-23CF-44E3-9099-C40C66FF867C}">
                  <a14:compatExt spid="_x0000_s196610"/>
                </a:ext>
                <a:ext uri="{FF2B5EF4-FFF2-40B4-BE49-F238E27FC236}">
                  <a16:creationId xmlns:a16="http://schemas.microsoft.com/office/drawing/2014/main" id="{00000000-0008-0000-3800-000002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96611" name="Check Box 3" hidden="1">
              <a:extLst>
                <a:ext uri="{63B3BB69-23CF-44E3-9099-C40C66FF867C}">
                  <a14:compatExt spid="_x0000_s196611"/>
                </a:ext>
                <a:ext uri="{FF2B5EF4-FFF2-40B4-BE49-F238E27FC236}">
                  <a16:creationId xmlns:a16="http://schemas.microsoft.com/office/drawing/2014/main" id="{00000000-0008-0000-3800-000003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96612" name="Check Box 4" hidden="1">
              <a:extLst>
                <a:ext uri="{63B3BB69-23CF-44E3-9099-C40C66FF867C}">
                  <a14:compatExt spid="_x0000_s196612"/>
                </a:ext>
                <a:ext uri="{FF2B5EF4-FFF2-40B4-BE49-F238E27FC236}">
                  <a16:creationId xmlns:a16="http://schemas.microsoft.com/office/drawing/2014/main" id="{00000000-0008-0000-3800-000004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96613" name="Check Box 5" hidden="1">
              <a:extLst>
                <a:ext uri="{63B3BB69-23CF-44E3-9099-C40C66FF867C}">
                  <a14:compatExt spid="_x0000_s196613"/>
                </a:ext>
                <a:ext uri="{FF2B5EF4-FFF2-40B4-BE49-F238E27FC236}">
                  <a16:creationId xmlns:a16="http://schemas.microsoft.com/office/drawing/2014/main" id="{00000000-0008-0000-3800-000005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9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9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9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9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96614" name="Check Box 6" hidden="1">
              <a:extLst>
                <a:ext uri="{63B3BB69-23CF-44E3-9099-C40C66FF867C}">
                  <a14:compatExt spid="_x0000_s196614"/>
                </a:ext>
                <a:ext uri="{FF2B5EF4-FFF2-40B4-BE49-F238E27FC236}">
                  <a16:creationId xmlns:a16="http://schemas.microsoft.com/office/drawing/2014/main" id="{00000000-0008-0000-3800-000006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96615" name="Check Box 7" hidden="1">
              <a:extLst>
                <a:ext uri="{63B3BB69-23CF-44E3-9099-C40C66FF867C}">
                  <a14:compatExt spid="_x0000_s196615"/>
                </a:ext>
                <a:ext uri="{FF2B5EF4-FFF2-40B4-BE49-F238E27FC236}">
                  <a16:creationId xmlns:a16="http://schemas.microsoft.com/office/drawing/2014/main" id="{00000000-0008-0000-3800-000007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96616" name="Check Box 8" hidden="1">
              <a:extLst>
                <a:ext uri="{63B3BB69-23CF-44E3-9099-C40C66FF867C}">
                  <a14:compatExt spid="_x0000_s196616"/>
                </a:ext>
                <a:ext uri="{FF2B5EF4-FFF2-40B4-BE49-F238E27FC236}">
                  <a16:creationId xmlns:a16="http://schemas.microsoft.com/office/drawing/2014/main" id="{00000000-0008-0000-3800-000008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96617" name="Check Box 9" hidden="1">
              <a:extLst>
                <a:ext uri="{63B3BB69-23CF-44E3-9099-C40C66FF867C}">
                  <a14:compatExt spid="_x0000_s196617"/>
                </a:ext>
                <a:ext uri="{FF2B5EF4-FFF2-40B4-BE49-F238E27FC236}">
                  <a16:creationId xmlns:a16="http://schemas.microsoft.com/office/drawing/2014/main" id="{00000000-0008-0000-3800-000009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96618" name="Check Box 10" hidden="1">
              <a:extLst>
                <a:ext uri="{63B3BB69-23CF-44E3-9099-C40C66FF867C}">
                  <a14:compatExt spid="_x0000_s196618"/>
                </a:ext>
                <a:ext uri="{FF2B5EF4-FFF2-40B4-BE49-F238E27FC236}">
                  <a16:creationId xmlns:a16="http://schemas.microsoft.com/office/drawing/2014/main" id="{00000000-0008-0000-3800-00000A0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9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9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9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9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10.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11.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97633" name="Check Box 1" hidden="1">
              <a:extLst>
                <a:ext uri="{63B3BB69-23CF-44E3-9099-C40C66FF867C}">
                  <a14:compatExt spid="_x0000_s197633"/>
                </a:ext>
                <a:ext uri="{FF2B5EF4-FFF2-40B4-BE49-F238E27FC236}">
                  <a16:creationId xmlns:a16="http://schemas.microsoft.com/office/drawing/2014/main" id="{00000000-0008-0000-3900-000001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97634" name="Check Box 2" hidden="1">
              <a:extLst>
                <a:ext uri="{63B3BB69-23CF-44E3-9099-C40C66FF867C}">
                  <a14:compatExt spid="_x0000_s197634"/>
                </a:ext>
                <a:ext uri="{FF2B5EF4-FFF2-40B4-BE49-F238E27FC236}">
                  <a16:creationId xmlns:a16="http://schemas.microsoft.com/office/drawing/2014/main" id="{00000000-0008-0000-3900-000002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97635" name="Check Box 3" hidden="1">
              <a:extLst>
                <a:ext uri="{63B3BB69-23CF-44E3-9099-C40C66FF867C}">
                  <a14:compatExt spid="_x0000_s197635"/>
                </a:ext>
                <a:ext uri="{FF2B5EF4-FFF2-40B4-BE49-F238E27FC236}">
                  <a16:creationId xmlns:a16="http://schemas.microsoft.com/office/drawing/2014/main" id="{00000000-0008-0000-3900-000003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97636" name="Check Box 4" hidden="1">
              <a:extLst>
                <a:ext uri="{63B3BB69-23CF-44E3-9099-C40C66FF867C}">
                  <a14:compatExt spid="_x0000_s197636"/>
                </a:ext>
                <a:ext uri="{FF2B5EF4-FFF2-40B4-BE49-F238E27FC236}">
                  <a16:creationId xmlns:a16="http://schemas.microsoft.com/office/drawing/2014/main" id="{00000000-0008-0000-3900-000004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97637" name="Check Box 5" hidden="1">
              <a:extLst>
                <a:ext uri="{63B3BB69-23CF-44E3-9099-C40C66FF867C}">
                  <a14:compatExt spid="_x0000_s197637"/>
                </a:ext>
                <a:ext uri="{FF2B5EF4-FFF2-40B4-BE49-F238E27FC236}">
                  <a16:creationId xmlns:a16="http://schemas.microsoft.com/office/drawing/2014/main" id="{00000000-0008-0000-3900-000005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A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A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A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A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97638" name="Check Box 6" hidden="1">
              <a:extLst>
                <a:ext uri="{63B3BB69-23CF-44E3-9099-C40C66FF867C}">
                  <a14:compatExt spid="_x0000_s197638"/>
                </a:ext>
                <a:ext uri="{FF2B5EF4-FFF2-40B4-BE49-F238E27FC236}">
                  <a16:creationId xmlns:a16="http://schemas.microsoft.com/office/drawing/2014/main" id="{00000000-0008-0000-3900-000006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97639" name="Check Box 7" hidden="1">
              <a:extLst>
                <a:ext uri="{63B3BB69-23CF-44E3-9099-C40C66FF867C}">
                  <a14:compatExt spid="_x0000_s197639"/>
                </a:ext>
                <a:ext uri="{FF2B5EF4-FFF2-40B4-BE49-F238E27FC236}">
                  <a16:creationId xmlns:a16="http://schemas.microsoft.com/office/drawing/2014/main" id="{00000000-0008-0000-3900-000007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97640" name="Check Box 8" hidden="1">
              <a:extLst>
                <a:ext uri="{63B3BB69-23CF-44E3-9099-C40C66FF867C}">
                  <a14:compatExt spid="_x0000_s197640"/>
                </a:ext>
                <a:ext uri="{FF2B5EF4-FFF2-40B4-BE49-F238E27FC236}">
                  <a16:creationId xmlns:a16="http://schemas.microsoft.com/office/drawing/2014/main" id="{00000000-0008-0000-3900-000008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97641" name="Check Box 9" hidden="1">
              <a:extLst>
                <a:ext uri="{63B3BB69-23CF-44E3-9099-C40C66FF867C}">
                  <a14:compatExt spid="_x0000_s197641"/>
                </a:ext>
                <a:ext uri="{FF2B5EF4-FFF2-40B4-BE49-F238E27FC236}">
                  <a16:creationId xmlns:a16="http://schemas.microsoft.com/office/drawing/2014/main" id="{00000000-0008-0000-3900-000009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97642" name="Check Box 10" hidden="1">
              <a:extLst>
                <a:ext uri="{63B3BB69-23CF-44E3-9099-C40C66FF867C}">
                  <a14:compatExt spid="_x0000_s197642"/>
                </a:ext>
                <a:ext uri="{FF2B5EF4-FFF2-40B4-BE49-F238E27FC236}">
                  <a16:creationId xmlns:a16="http://schemas.microsoft.com/office/drawing/2014/main" id="{00000000-0008-0000-3900-00000A0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A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A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A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A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12.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drawings/drawing113.xml><?xml version="1.0" encoding="utf-8"?>
<xdr:wsDr xmlns:xdr="http://schemas.openxmlformats.org/drawingml/2006/spreadsheetDrawing" xmlns:a="http://schemas.openxmlformats.org/drawingml/2006/main">
  <xdr:twoCellAnchor editAs="oneCell">
    <xdr:from>
      <xdr:col>1</xdr:col>
      <xdr:colOff>765521</xdr:colOff>
      <xdr:row>0</xdr:row>
      <xdr:rowOff>78441</xdr:rowOff>
    </xdr:from>
    <xdr:to>
      <xdr:col>3</xdr:col>
      <xdr:colOff>257736</xdr:colOff>
      <xdr:row>3</xdr:row>
      <xdr:rowOff>186665</xdr:rowOff>
    </xdr:to>
    <xdr:pic>
      <xdr:nvPicPr>
        <xdr:cNvPr id="2" name="Imagen 1">
          <a:extLst>
            <a:ext uri="{FF2B5EF4-FFF2-40B4-BE49-F238E27FC236}">
              <a16:creationId xmlns:a16="http://schemas.microsoft.com/office/drawing/2014/main" id="{00000000-0008-0000-3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146" y="78441"/>
          <a:ext cx="3121240" cy="879749"/>
        </a:xfrm>
        <a:prstGeom prst="rect">
          <a:avLst/>
        </a:prstGeom>
      </xdr:spPr>
    </xdr:pic>
    <xdr:clientData/>
  </xdr:twoCellAnchor>
  <xdr:twoCellAnchor editAs="oneCell">
    <xdr:from>
      <xdr:col>14</xdr:col>
      <xdr:colOff>627551</xdr:colOff>
      <xdr:row>0</xdr:row>
      <xdr:rowOff>91195</xdr:rowOff>
    </xdr:from>
    <xdr:to>
      <xdr:col>16</xdr:col>
      <xdr:colOff>258383</xdr:colOff>
      <xdr:row>3</xdr:row>
      <xdr:rowOff>138544</xdr:rowOff>
    </xdr:to>
    <xdr:pic>
      <xdr:nvPicPr>
        <xdr:cNvPr id="3" name="Imagen 2">
          <a:extLst>
            <a:ext uri="{FF2B5EF4-FFF2-40B4-BE49-F238E27FC236}">
              <a16:creationId xmlns:a16="http://schemas.microsoft.com/office/drawing/2014/main" id="{00000000-0008-0000-3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96651" y="91195"/>
          <a:ext cx="3002682" cy="81887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1962150</xdr:colOff>
          <xdr:row>16</xdr:row>
          <xdr:rowOff>0</xdr:rowOff>
        </xdr:from>
        <xdr:to>
          <xdr:col>2</xdr:col>
          <xdr:colOff>161925</xdr:colOff>
          <xdr:row>17</xdr:row>
          <xdr:rowOff>0</xdr:rowOff>
        </xdr:to>
        <xdr:sp macro="" textlink="">
          <xdr:nvSpPr>
            <xdr:cNvPr id="198657" name="Check Box 1" hidden="1">
              <a:extLst>
                <a:ext uri="{63B3BB69-23CF-44E3-9099-C40C66FF867C}">
                  <a14:compatExt spid="_x0000_s198657"/>
                </a:ext>
                <a:ext uri="{FF2B5EF4-FFF2-40B4-BE49-F238E27FC236}">
                  <a16:creationId xmlns:a16="http://schemas.microsoft.com/office/drawing/2014/main" id="{00000000-0008-0000-3A00-000001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609600</xdr:colOff>
          <xdr:row>16</xdr:row>
          <xdr:rowOff>9525</xdr:rowOff>
        </xdr:from>
        <xdr:to>
          <xdr:col>2</xdr:col>
          <xdr:colOff>1104900</xdr:colOff>
          <xdr:row>17</xdr:row>
          <xdr:rowOff>0</xdr:rowOff>
        </xdr:to>
        <xdr:sp macro="" textlink="">
          <xdr:nvSpPr>
            <xdr:cNvPr id="198658" name="Check Box 2" hidden="1">
              <a:extLst>
                <a:ext uri="{63B3BB69-23CF-44E3-9099-C40C66FF867C}">
                  <a14:compatExt spid="_x0000_s198658"/>
                </a:ext>
                <a:ext uri="{FF2B5EF4-FFF2-40B4-BE49-F238E27FC236}">
                  <a16:creationId xmlns:a16="http://schemas.microsoft.com/office/drawing/2014/main" id="{00000000-0008-0000-3A00-000002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1038225</xdr:colOff>
          <xdr:row>16</xdr:row>
          <xdr:rowOff>9525</xdr:rowOff>
        </xdr:from>
        <xdr:to>
          <xdr:col>1</xdr:col>
          <xdr:colOff>1533525</xdr:colOff>
          <xdr:row>17</xdr:row>
          <xdr:rowOff>0</xdr:rowOff>
        </xdr:to>
        <xdr:sp macro="" textlink="">
          <xdr:nvSpPr>
            <xdr:cNvPr id="198659" name="Check Box 3" hidden="1">
              <a:extLst>
                <a:ext uri="{63B3BB69-23CF-44E3-9099-C40C66FF867C}">
                  <a14:compatExt spid="_x0000_s198659"/>
                </a:ext>
                <a:ext uri="{FF2B5EF4-FFF2-40B4-BE49-F238E27FC236}">
                  <a16:creationId xmlns:a16="http://schemas.microsoft.com/office/drawing/2014/main" id="{00000000-0008-0000-3A00-000003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923925</xdr:colOff>
          <xdr:row>15</xdr:row>
          <xdr:rowOff>238125</xdr:rowOff>
        </xdr:from>
        <xdr:to>
          <xdr:col>4</xdr:col>
          <xdr:colOff>1400175</xdr:colOff>
          <xdr:row>17</xdr:row>
          <xdr:rowOff>0</xdr:rowOff>
        </xdr:to>
        <xdr:sp macro="" textlink="">
          <xdr:nvSpPr>
            <xdr:cNvPr id="198660" name="Check Box 4" hidden="1">
              <a:extLst>
                <a:ext uri="{63B3BB69-23CF-44E3-9099-C40C66FF867C}">
                  <a14:compatExt spid="_x0000_s198660"/>
                </a:ext>
                <a:ext uri="{FF2B5EF4-FFF2-40B4-BE49-F238E27FC236}">
                  <a16:creationId xmlns:a16="http://schemas.microsoft.com/office/drawing/2014/main" id="{00000000-0008-0000-3A00-000004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1123950</xdr:colOff>
          <xdr:row>15</xdr:row>
          <xdr:rowOff>238125</xdr:rowOff>
        </xdr:from>
        <xdr:to>
          <xdr:col>6</xdr:col>
          <xdr:colOff>28575</xdr:colOff>
          <xdr:row>17</xdr:row>
          <xdr:rowOff>0</xdr:rowOff>
        </xdr:to>
        <xdr:sp macro="" textlink="">
          <xdr:nvSpPr>
            <xdr:cNvPr id="198661" name="Check Box 5" hidden="1">
              <a:extLst>
                <a:ext uri="{63B3BB69-23CF-44E3-9099-C40C66FF867C}">
                  <a14:compatExt spid="_x0000_s198661"/>
                </a:ext>
                <a:ext uri="{FF2B5EF4-FFF2-40B4-BE49-F238E27FC236}">
                  <a16:creationId xmlns:a16="http://schemas.microsoft.com/office/drawing/2014/main" id="{00000000-0008-0000-3A00-000005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4</xdr:col>
      <xdr:colOff>752475</xdr:colOff>
      <xdr:row>67</xdr:row>
      <xdr:rowOff>190500</xdr:rowOff>
    </xdr:from>
    <xdr:to>
      <xdr:col>6</xdr:col>
      <xdr:colOff>990600</xdr:colOff>
      <xdr:row>72</xdr:row>
      <xdr:rowOff>304800</xdr:rowOff>
    </xdr:to>
    <xdr:sp macro="" textlink="">
      <xdr:nvSpPr>
        <xdr:cNvPr id="4" name="Flecha: hacia abajo 3">
          <a:extLst>
            <a:ext uri="{FF2B5EF4-FFF2-40B4-BE49-F238E27FC236}">
              <a16:creationId xmlns:a16="http://schemas.microsoft.com/office/drawing/2014/main" id="{00000000-0008-0000-3B00-000004000000}"/>
            </a:ext>
          </a:extLst>
        </xdr:cNvPr>
        <xdr:cNvSpPr/>
      </xdr:nvSpPr>
      <xdr:spPr>
        <a:xfrm>
          <a:off x="5448300" y="17306925"/>
          <a:ext cx="3400425" cy="1238250"/>
        </a:xfrm>
        <a:prstGeom prst="downArrow">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900"/>
            <a:t>DIGITE LOS</a:t>
          </a:r>
          <a:r>
            <a:rPr lang="es-MX" sz="900" baseline="0"/>
            <a:t> VALORES OBTENIDOS EN LA ECUACIÓN DE LA GRAFICA, SIN OMITIR SIGNOS </a:t>
          </a:r>
        </a:p>
        <a:p>
          <a:pPr algn="l"/>
          <a:endParaRPr lang="es-MX" sz="1100"/>
        </a:p>
      </xdr:txBody>
    </xdr:sp>
    <xdr:clientData/>
  </xdr:twoCellAnchor>
  <xdr:twoCellAnchor editAs="oneCell">
    <xdr:from>
      <xdr:col>6</xdr:col>
      <xdr:colOff>131279</xdr:colOff>
      <xdr:row>91</xdr:row>
      <xdr:rowOff>148257</xdr:rowOff>
    </xdr:from>
    <xdr:to>
      <xdr:col>10</xdr:col>
      <xdr:colOff>1091236</xdr:colOff>
      <xdr:row>107</xdr:row>
      <xdr:rowOff>7783</xdr:rowOff>
    </xdr:to>
    <xdr:pic>
      <xdr:nvPicPr>
        <xdr:cNvPr id="5" name="Imagen 4">
          <a:extLst>
            <a:ext uri="{FF2B5EF4-FFF2-40B4-BE49-F238E27FC236}">
              <a16:creationId xmlns:a16="http://schemas.microsoft.com/office/drawing/2014/main" id="{00000000-0008-0000-3B00-000005000000}"/>
            </a:ext>
          </a:extLst>
        </xdr:cNvPr>
        <xdr:cNvPicPr>
          <a:picLocks noChangeAspect="1"/>
        </xdr:cNvPicPr>
      </xdr:nvPicPr>
      <xdr:blipFill>
        <a:blip xmlns:r="http://schemas.openxmlformats.org/officeDocument/2006/relationships" r:embed="rId2"/>
        <a:stretch>
          <a:fillRect/>
        </a:stretch>
      </xdr:blipFill>
      <xdr:spPr>
        <a:xfrm>
          <a:off x="7989404" y="23617857"/>
          <a:ext cx="7494107" cy="3317101"/>
        </a:xfrm>
        <a:prstGeom prst="rect">
          <a:avLst/>
        </a:prstGeom>
      </xdr:spPr>
    </xdr:pic>
    <xdr:clientData/>
  </xdr:twoCellAnchor>
  <xdr:twoCellAnchor editAs="oneCell">
    <xdr:from>
      <xdr:col>14</xdr:col>
      <xdr:colOff>795131</xdr:colOff>
      <xdr:row>76</xdr:row>
      <xdr:rowOff>41413</xdr:rowOff>
    </xdr:from>
    <xdr:to>
      <xdr:col>16</xdr:col>
      <xdr:colOff>1183971</xdr:colOff>
      <xdr:row>79</xdr:row>
      <xdr:rowOff>126775</xdr:rowOff>
    </xdr:to>
    <xdr:pic>
      <xdr:nvPicPr>
        <xdr:cNvPr id="6" name="Imagen 5">
          <a:extLst>
            <a:ext uri="{FF2B5EF4-FFF2-40B4-BE49-F238E27FC236}">
              <a16:creationId xmlns:a16="http://schemas.microsoft.com/office/drawing/2014/main" id="{00000000-0008-0000-3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264231" y="19615288"/>
          <a:ext cx="3760690" cy="971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546652</xdr:colOff>
      <xdr:row>87</xdr:row>
      <xdr:rowOff>124239</xdr:rowOff>
    </xdr:from>
    <xdr:to>
      <xdr:col>16</xdr:col>
      <xdr:colOff>164786</xdr:colOff>
      <xdr:row>89</xdr:row>
      <xdr:rowOff>190913</xdr:rowOff>
    </xdr:to>
    <xdr:pic>
      <xdr:nvPicPr>
        <xdr:cNvPr id="7" name="Imagen 6">
          <a:extLst>
            <a:ext uri="{FF2B5EF4-FFF2-40B4-BE49-F238E27FC236}">
              <a16:creationId xmlns:a16="http://schemas.microsoft.com/office/drawing/2014/main" id="{00000000-0008-0000-3B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015752" y="22736589"/>
          <a:ext cx="2989984" cy="4571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30507</xdr:colOff>
      <xdr:row>38</xdr:row>
      <xdr:rowOff>40723</xdr:rowOff>
    </xdr:from>
    <xdr:to>
      <xdr:col>7</xdr:col>
      <xdr:colOff>1577522</xdr:colOff>
      <xdr:row>57</xdr:row>
      <xdr:rowOff>147864</xdr:rowOff>
    </xdr:to>
    <xdr:graphicFrame macro="">
      <xdr:nvGraphicFramePr>
        <xdr:cNvPr id="8" name="Gráfico 7">
          <a:extLst>
            <a:ext uri="{FF2B5EF4-FFF2-40B4-BE49-F238E27FC236}">
              <a16:creationId xmlns:a16="http://schemas.microsoft.com/office/drawing/2014/main" id="{00000000-0008-0000-3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466725</xdr:colOff>
          <xdr:row>15</xdr:row>
          <xdr:rowOff>228600</xdr:rowOff>
        </xdr:from>
        <xdr:to>
          <xdr:col>15</xdr:col>
          <xdr:colOff>962025</xdr:colOff>
          <xdr:row>17</xdr:row>
          <xdr:rowOff>0</xdr:rowOff>
        </xdr:to>
        <xdr:sp macro="" textlink="">
          <xdr:nvSpPr>
            <xdr:cNvPr id="198662" name="Check Box 6" hidden="1">
              <a:extLst>
                <a:ext uri="{63B3BB69-23CF-44E3-9099-C40C66FF867C}">
                  <a14:compatExt spid="_x0000_s198662"/>
                </a:ext>
                <a:ext uri="{FF2B5EF4-FFF2-40B4-BE49-F238E27FC236}">
                  <a16:creationId xmlns:a16="http://schemas.microsoft.com/office/drawing/2014/main" id="{00000000-0008-0000-3A00-000006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1552575</xdr:colOff>
          <xdr:row>15</xdr:row>
          <xdr:rowOff>238125</xdr:rowOff>
        </xdr:from>
        <xdr:to>
          <xdr:col>15</xdr:col>
          <xdr:colOff>0</xdr:colOff>
          <xdr:row>17</xdr:row>
          <xdr:rowOff>0</xdr:rowOff>
        </xdr:to>
        <xdr:sp macro="" textlink="">
          <xdr:nvSpPr>
            <xdr:cNvPr id="198663" name="Check Box 7" hidden="1">
              <a:extLst>
                <a:ext uri="{63B3BB69-23CF-44E3-9099-C40C66FF867C}">
                  <a14:compatExt spid="_x0000_s198663"/>
                </a:ext>
                <a:ext uri="{FF2B5EF4-FFF2-40B4-BE49-F238E27FC236}">
                  <a16:creationId xmlns:a16="http://schemas.microsoft.com/office/drawing/2014/main" id="{00000000-0008-0000-3A00-000007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CO" sz="1100" b="0" i="0" u="none" strike="noStrike" baseline="0">
                  <a:solidFill>
                    <a:srgbClr val="000000"/>
                  </a:solidFill>
                  <a:latin typeface="Calibri"/>
                  <a:ea typeface="Calibri"/>
                  <a:cs typeface="Calibr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657225</xdr:colOff>
          <xdr:row>15</xdr:row>
          <xdr:rowOff>238125</xdr:rowOff>
        </xdr:from>
        <xdr:to>
          <xdr:col>14</xdr:col>
          <xdr:colOff>1152525</xdr:colOff>
          <xdr:row>17</xdr:row>
          <xdr:rowOff>0</xdr:rowOff>
        </xdr:to>
        <xdr:sp macro="" textlink="">
          <xdr:nvSpPr>
            <xdr:cNvPr id="198664" name="Check Box 8" hidden="1">
              <a:extLst>
                <a:ext uri="{63B3BB69-23CF-44E3-9099-C40C66FF867C}">
                  <a14:compatExt spid="_x0000_s198664"/>
                </a:ext>
                <a:ext uri="{FF2B5EF4-FFF2-40B4-BE49-F238E27FC236}">
                  <a16:creationId xmlns:a16="http://schemas.microsoft.com/office/drawing/2014/main" id="{00000000-0008-0000-3A00-000008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495300</xdr:colOff>
          <xdr:row>15</xdr:row>
          <xdr:rowOff>238125</xdr:rowOff>
        </xdr:from>
        <xdr:to>
          <xdr:col>18</xdr:col>
          <xdr:colOff>962025</xdr:colOff>
          <xdr:row>16</xdr:row>
          <xdr:rowOff>276225</xdr:rowOff>
        </xdr:to>
        <xdr:sp macro="" textlink="">
          <xdr:nvSpPr>
            <xdr:cNvPr id="198665" name="Check Box 9" hidden="1">
              <a:extLst>
                <a:ext uri="{63B3BB69-23CF-44E3-9099-C40C66FF867C}">
                  <a14:compatExt spid="_x0000_s198665"/>
                </a:ext>
                <a:ext uri="{FF2B5EF4-FFF2-40B4-BE49-F238E27FC236}">
                  <a16:creationId xmlns:a16="http://schemas.microsoft.com/office/drawing/2014/main" id="{00000000-0008-0000-3A00-000009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866775</xdr:colOff>
          <xdr:row>15</xdr:row>
          <xdr:rowOff>238125</xdr:rowOff>
        </xdr:from>
        <xdr:to>
          <xdr:col>20</xdr:col>
          <xdr:colOff>1343025</xdr:colOff>
          <xdr:row>16</xdr:row>
          <xdr:rowOff>276225</xdr:rowOff>
        </xdr:to>
        <xdr:sp macro="" textlink="">
          <xdr:nvSpPr>
            <xdr:cNvPr id="198666" name="Check Box 10" hidden="1">
              <a:extLst>
                <a:ext uri="{63B3BB69-23CF-44E3-9099-C40C66FF867C}">
                  <a14:compatExt spid="_x0000_s198666"/>
                </a:ext>
                <a:ext uri="{FF2B5EF4-FFF2-40B4-BE49-F238E27FC236}">
                  <a16:creationId xmlns:a16="http://schemas.microsoft.com/office/drawing/2014/main" id="{00000000-0008-0000-3A00-00000A0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14</xdr:col>
      <xdr:colOff>73477</xdr:colOff>
      <xdr:row>47</xdr:row>
      <xdr:rowOff>91168</xdr:rowOff>
    </xdr:from>
    <xdr:to>
      <xdr:col>18</xdr:col>
      <xdr:colOff>294192</xdr:colOff>
      <xdr:row>62</xdr:row>
      <xdr:rowOff>27214</xdr:rowOff>
    </xdr:to>
    <xdr:graphicFrame macro="">
      <xdr:nvGraphicFramePr>
        <xdr:cNvPr id="9" name="7 Gráfico">
          <a:extLst>
            <a:ext uri="{FF2B5EF4-FFF2-40B4-BE49-F238E27FC236}">
              <a16:creationId xmlns:a16="http://schemas.microsoft.com/office/drawing/2014/main" id="{00000000-0008-0000-3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323854</xdr:colOff>
      <xdr:row>47</xdr:row>
      <xdr:rowOff>93889</xdr:rowOff>
    </xdr:from>
    <xdr:to>
      <xdr:col>25</xdr:col>
      <xdr:colOff>585389</xdr:colOff>
      <xdr:row>62</xdr:row>
      <xdr:rowOff>27214</xdr:rowOff>
    </xdr:to>
    <xdr:graphicFrame macro="">
      <xdr:nvGraphicFramePr>
        <xdr:cNvPr id="10" name="7 Gráfico">
          <a:extLst>
            <a:ext uri="{FF2B5EF4-FFF2-40B4-BE49-F238E27FC236}">
              <a16:creationId xmlns:a16="http://schemas.microsoft.com/office/drawing/2014/main" id="{00000000-0008-0000-3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9</xdr:col>
      <xdr:colOff>1655927</xdr:colOff>
      <xdr:row>45</xdr:row>
      <xdr:rowOff>309380</xdr:rowOff>
    </xdr:from>
    <xdr:to>
      <xdr:col>10</xdr:col>
      <xdr:colOff>2190749</xdr:colOff>
      <xdr:row>49</xdr:row>
      <xdr:rowOff>319965</xdr:rowOff>
    </xdr:to>
    <xdr:pic>
      <xdr:nvPicPr>
        <xdr:cNvPr id="11" name="Imagen 10">
          <a:extLst>
            <a:ext uri="{FF2B5EF4-FFF2-40B4-BE49-F238E27FC236}">
              <a16:creationId xmlns:a16="http://schemas.microsoft.com/office/drawing/2014/main" id="{00000000-0008-0000-3B00-00000B000000}"/>
            </a:ext>
          </a:extLst>
        </xdr:cNvPr>
        <xdr:cNvPicPr>
          <a:picLocks noChangeAspect="1"/>
        </xdr:cNvPicPr>
      </xdr:nvPicPr>
      <xdr:blipFill rotWithShape="1">
        <a:blip xmlns:r="http://schemas.openxmlformats.org/officeDocument/2006/relationships" r:embed="rId8"/>
        <a:srcRect l="88188"/>
        <a:stretch/>
      </xdr:blipFill>
      <xdr:spPr>
        <a:xfrm>
          <a:off x="13657427" y="11329805"/>
          <a:ext cx="2925597" cy="1125010"/>
        </a:xfrm>
        <a:prstGeom prst="rect">
          <a:avLst/>
        </a:prstGeom>
      </xdr:spPr>
    </xdr:pic>
    <xdr:clientData/>
  </xdr:twoCellAnchor>
  <xdr:twoCellAnchor editAs="oneCell">
    <xdr:from>
      <xdr:col>26</xdr:col>
      <xdr:colOff>131929</xdr:colOff>
      <xdr:row>55</xdr:row>
      <xdr:rowOff>163287</xdr:rowOff>
    </xdr:from>
    <xdr:to>
      <xdr:col>29</xdr:col>
      <xdr:colOff>285750</xdr:colOff>
      <xdr:row>57</xdr:row>
      <xdr:rowOff>156683</xdr:rowOff>
    </xdr:to>
    <xdr:pic>
      <xdr:nvPicPr>
        <xdr:cNvPr id="12" name="Imagen 11">
          <a:extLst>
            <a:ext uri="{FF2B5EF4-FFF2-40B4-BE49-F238E27FC236}">
              <a16:creationId xmlns:a16="http://schemas.microsoft.com/office/drawing/2014/main" id="{00000000-0008-0000-3B00-00000C000000}"/>
            </a:ext>
          </a:extLst>
        </xdr:cNvPr>
        <xdr:cNvPicPr>
          <a:picLocks noChangeAspect="1"/>
        </xdr:cNvPicPr>
      </xdr:nvPicPr>
      <xdr:blipFill rotWithShape="1">
        <a:blip xmlns:r="http://schemas.openxmlformats.org/officeDocument/2006/relationships" r:embed="rId8"/>
        <a:srcRect l="88188"/>
        <a:stretch/>
      </xdr:blipFill>
      <xdr:spPr>
        <a:xfrm>
          <a:off x="33145579" y="14155512"/>
          <a:ext cx="2411246" cy="926846"/>
        </a:xfrm>
        <a:prstGeom prst="rect">
          <a:avLst/>
        </a:prstGeom>
      </xdr:spPr>
    </xdr:pic>
    <xdr:clientData/>
  </xdr:twoCellAnchor>
  <xdr:twoCellAnchor editAs="oneCell">
    <xdr:from>
      <xdr:col>9</xdr:col>
      <xdr:colOff>2044700</xdr:colOff>
      <xdr:row>54</xdr:row>
      <xdr:rowOff>114300</xdr:rowOff>
    </xdr:from>
    <xdr:to>
      <xdr:col>10</xdr:col>
      <xdr:colOff>1516541</xdr:colOff>
      <xdr:row>57</xdr:row>
      <xdr:rowOff>81882</xdr:rowOff>
    </xdr:to>
    <xdr:pic>
      <xdr:nvPicPr>
        <xdr:cNvPr id="13" name="Imagen 12">
          <a:extLst>
            <a:ext uri="{FF2B5EF4-FFF2-40B4-BE49-F238E27FC236}">
              <a16:creationId xmlns:a16="http://schemas.microsoft.com/office/drawing/2014/main" id="{00000000-0008-0000-3B00-00000D000000}"/>
            </a:ext>
          </a:extLst>
        </xdr:cNvPr>
        <xdr:cNvPicPr>
          <a:picLocks noChangeAspect="1"/>
        </xdr:cNvPicPr>
      </xdr:nvPicPr>
      <xdr:blipFill>
        <a:blip xmlns:r="http://schemas.openxmlformats.org/officeDocument/2006/relationships" r:embed="rId9"/>
        <a:stretch>
          <a:fillRect/>
        </a:stretch>
      </xdr:blipFill>
      <xdr:spPr>
        <a:xfrm>
          <a:off x="14046200" y="13925550"/>
          <a:ext cx="1862616" cy="1082007"/>
        </a:xfrm>
        <a:prstGeom prst="rect">
          <a:avLst/>
        </a:prstGeom>
      </xdr:spPr>
    </xdr:pic>
    <xdr:clientData/>
  </xdr:twoCellAnchor>
  <xdr:twoCellAnchor editAs="oneCell">
    <xdr:from>
      <xdr:col>31</xdr:col>
      <xdr:colOff>698500</xdr:colOff>
      <xdr:row>55</xdr:row>
      <xdr:rowOff>330200</xdr:rowOff>
    </xdr:from>
    <xdr:to>
      <xdr:col>33</xdr:col>
      <xdr:colOff>411641</xdr:colOff>
      <xdr:row>59</xdr:row>
      <xdr:rowOff>81882</xdr:rowOff>
    </xdr:to>
    <xdr:pic>
      <xdr:nvPicPr>
        <xdr:cNvPr id="14" name="Imagen 13">
          <a:extLst>
            <a:ext uri="{FF2B5EF4-FFF2-40B4-BE49-F238E27FC236}">
              <a16:creationId xmlns:a16="http://schemas.microsoft.com/office/drawing/2014/main" id="{00000000-0008-0000-3B00-00000E000000}"/>
            </a:ext>
          </a:extLst>
        </xdr:cNvPr>
        <xdr:cNvPicPr>
          <a:picLocks noChangeAspect="1"/>
        </xdr:cNvPicPr>
      </xdr:nvPicPr>
      <xdr:blipFill>
        <a:blip xmlns:r="http://schemas.openxmlformats.org/officeDocument/2006/relationships" r:embed="rId10"/>
        <a:stretch>
          <a:fillRect/>
        </a:stretch>
      </xdr:blipFill>
      <xdr:spPr>
        <a:xfrm>
          <a:off x="36617275" y="14322425"/>
          <a:ext cx="1846741" cy="1075657"/>
        </a:xfrm>
        <a:prstGeom prst="rect">
          <a:avLst/>
        </a:prstGeom>
      </xdr:spPr>
    </xdr:pic>
    <xdr:clientData/>
  </xdr:twoCellAnchor>
  <xdr:twoCellAnchor>
    <xdr:from>
      <xdr:col>9</xdr:col>
      <xdr:colOff>340334</xdr:colOff>
      <xdr:row>67</xdr:row>
      <xdr:rowOff>90151</xdr:rowOff>
    </xdr:from>
    <xdr:to>
      <xdr:col>11</xdr:col>
      <xdr:colOff>181428</xdr:colOff>
      <xdr:row>76</xdr:row>
      <xdr:rowOff>313369</xdr:rowOff>
    </xdr:to>
    <xdr:graphicFrame macro="">
      <xdr:nvGraphicFramePr>
        <xdr:cNvPr id="15" name="Gráfico 14">
          <a:extLst>
            <a:ext uri="{FF2B5EF4-FFF2-40B4-BE49-F238E27FC236}">
              <a16:creationId xmlns:a16="http://schemas.microsoft.com/office/drawing/2014/main" id="{00000000-0008-0000-3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114.xml><?xml version="1.0" encoding="utf-8"?>
<c:userShapes xmlns:c="http://schemas.openxmlformats.org/drawingml/2006/chart">
  <cdr:relSizeAnchor xmlns:cdr="http://schemas.openxmlformats.org/drawingml/2006/chartDrawing">
    <cdr:from>
      <cdr:x>0.25154</cdr:x>
      <cdr:y>0.02341</cdr:y>
    </cdr:from>
    <cdr:to>
      <cdr:x>0.7954</cdr:x>
      <cdr:y>0.10231</cdr:y>
    </cdr:to>
    <cdr:sp macro="" textlink="">
      <cdr:nvSpPr>
        <cdr:cNvPr id="2" name="1 CuadroTexto"/>
        <cdr:cNvSpPr txBox="1"/>
      </cdr:nvSpPr>
      <cdr:spPr>
        <a:xfrm xmlns:a="http://schemas.openxmlformats.org/drawingml/2006/main">
          <a:off x="1042205" y="67556"/>
          <a:ext cx="2253445" cy="2277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s-CO" sz="1600" i="1">
              <a:latin typeface="Arial" panose="020B0604020202020204" pitchFamily="34" charset="0"/>
              <a:cs typeface="Arial" panose="020B0604020202020204" pitchFamily="34" charset="0"/>
            </a:rPr>
            <a:t>Gráfica Esfuerzo</a:t>
          </a:r>
          <a:r>
            <a:rPr lang="es-CO" sz="1600" i="1" baseline="0">
              <a:latin typeface="Arial" panose="020B0604020202020204" pitchFamily="34" charset="0"/>
              <a:cs typeface="Arial" panose="020B0604020202020204" pitchFamily="34" charset="0"/>
            </a:rPr>
            <a:t> Vs Penetración</a:t>
          </a:r>
          <a:endParaRPr lang="es-CO" sz="1600" i="1">
            <a:latin typeface="Arial" panose="020B0604020202020204" pitchFamily="34" charset="0"/>
            <a:cs typeface="Arial" panose="020B0604020202020204" pitchFamily="34" charset="0"/>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printerSettings" Target="../printerSettings/printerSettings1.bin"/><Relationship Id="rId1" Type="http://schemas.openxmlformats.org/officeDocument/2006/relationships/hyperlink" Target="mailto:GERENCIA.DCMING@GMAIL.COM"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omments" Target="../comments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drawing" Target="../drawings/drawing3.x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printerSettings" Target="../printerSettings/printerSettings2.bin"/><Relationship Id="rId1" Type="http://schemas.openxmlformats.org/officeDocument/2006/relationships/hyperlink" Target="mailto:BRYAN.ALARCON@CO.TPFINGENIERIA.COM" TargetMode="External"/><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5" Type="http://schemas.openxmlformats.org/officeDocument/2006/relationships/comments" Target="../comments2.xml"/><Relationship Id="rId10"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3" Type="http://schemas.openxmlformats.org/officeDocument/2006/relationships/drawing" Target="../drawings/drawing5.x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printerSettings" Target="../printerSettings/printerSettings3.bin"/><Relationship Id="rId1" Type="http://schemas.openxmlformats.org/officeDocument/2006/relationships/hyperlink" Target="mailto:utvias25@gmail.com" TargetMode="External"/><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omments" Target="../comments3.xml"/><Relationship Id="rId10" Type="http://schemas.openxmlformats.org/officeDocument/2006/relationships/ctrlProp" Target="../ctrlProps/ctrlProp26.xml"/><Relationship Id="rId4" Type="http://schemas.openxmlformats.org/officeDocument/2006/relationships/vmlDrawing" Target="../drawings/vmlDrawing3.v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drawing" Target="../drawings/drawing7.x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printerSettings" Target="../printerSettings/printerSettings4.bin"/><Relationship Id="rId1" Type="http://schemas.openxmlformats.org/officeDocument/2006/relationships/hyperlink" Target="mailto:GERENCIA.DCMING@GMAIL.COM" TargetMode="External"/><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omments" Target="../comments4.xml"/><Relationship Id="rId10" Type="http://schemas.openxmlformats.org/officeDocument/2006/relationships/ctrlProp" Target="../ctrlProps/ctrlProp36.xml"/><Relationship Id="rId4" Type="http://schemas.openxmlformats.org/officeDocument/2006/relationships/vmlDrawing" Target="../drawings/vmlDrawing4.v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drawing" Target="../drawings/drawing9.x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printerSettings" Target="../printerSettings/printerSettings5.bin"/><Relationship Id="rId1" Type="http://schemas.openxmlformats.org/officeDocument/2006/relationships/hyperlink" Target="mailto:GERENCIA.DCMING@GMAIL.COM" TargetMode="External"/><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omments" Target="../comments5.xml"/><Relationship Id="rId10" Type="http://schemas.openxmlformats.org/officeDocument/2006/relationships/ctrlProp" Target="../ctrlProps/ctrlProp46.xml"/><Relationship Id="rId4" Type="http://schemas.openxmlformats.org/officeDocument/2006/relationships/vmlDrawing" Target="../drawings/vmlDrawing5.v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drawing" Target="../drawings/drawing11.x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printerSettings" Target="../printerSettings/printerSettings6.bin"/><Relationship Id="rId1" Type="http://schemas.openxmlformats.org/officeDocument/2006/relationships/hyperlink" Target="mailto:GERENCIA.DCMING@GMAIL.COM" TargetMode="External"/><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omments" Target="../comments6.xml"/><Relationship Id="rId10" Type="http://schemas.openxmlformats.org/officeDocument/2006/relationships/ctrlProp" Target="../ctrlProps/ctrlProp56.xml"/><Relationship Id="rId4" Type="http://schemas.openxmlformats.org/officeDocument/2006/relationships/vmlDrawing" Target="../drawings/vmlDrawing6.v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4.xml"/><Relationship Id="rId13" Type="http://schemas.openxmlformats.org/officeDocument/2006/relationships/ctrlProp" Target="../ctrlProps/ctrlProp69.xml"/><Relationship Id="rId3" Type="http://schemas.openxmlformats.org/officeDocument/2006/relationships/drawing" Target="../drawings/drawing13.xml"/><Relationship Id="rId7" Type="http://schemas.openxmlformats.org/officeDocument/2006/relationships/ctrlProp" Target="../ctrlProps/ctrlProp63.xml"/><Relationship Id="rId12" Type="http://schemas.openxmlformats.org/officeDocument/2006/relationships/ctrlProp" Target="../ctrlProps/ctrlProp68.xml"/><Relationship Id="rId2" Type="http://schemas.openxmlformats.org/officeDocument/2006/relationships/printerSettings" Target="../printerSettings/printerSettings7.bin"/><Relationship Id="rId1" Type="http://schemas.openxmlformats.org/officeDocument/2006/relationships/hyperlink" Target="mailto:GERENCIA.DCMING@GMAIL.COM" TargetMode="External"/><Relationship Id="rId6" Type="http://schemas.openxmlformats.org/officeDocument/2006/relationships/ctrlProp" Target="../ctrlProps/ctrlProp62.xml"/><Relationship Id="rId11" Type="http://schemas.openxmlformats.org/officeDocument/2006/relationships/ctrlProp" Target="../ctrlProps/ctrlProp67.xml"/><Relationship Id="rId5" Type="http://schemas.openxmlformats.org/officeDocument/2006/relationships/ctrlProp" Target="../ctrlProps/ctrlProp61.xml"/><Relationship Id="rId15" Type="http://schemas.openxmlformats.org/officeDocument/2006/relationships/comments" Target="../comments7.xml"/><Relationship Id="rId10" Type="http://schemas.openxmlformats.org/officeDocument/2006/relationships/ctrlProp" Target="../ctrlProps/ctrlProp66.xml"/><Relationship Id="rId4" Type="http://schemas.openxmlformats.org/officeDocument/2006/relationships/vmlDrawing" Target="../drawings/vmlDrawing7.vml"/><Relationship Id="rId9" Type="http://schemas.openxmlformats.org/officeDocument/2006/relationships/ctrlProp" Target="../ctrlProps/ctrlProp65.xml"/><Relationship Id="rId14" Type="http://schemas.openxmlformats.org/officeDocument/2006/relationships/ctrlProp" Target="../ctrlProps/ctrlProp7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4.xml"/><Relationship Id="rId13" Type="http://schemas.openxmlformats.org/officeDocument/2006/relationships/ctrlProp" Target="../ctrlProps/ctrlProp79.xml"/><Relationship Id="rId3" Type="http://schemas.openxmlformats.org/officeDocument/2006/relationships/drawing" Target="../drawings/drawing15.xml"/><Relationship Id="rId7" Type="http://schemas.openxmlformats.org/officeDocument/2006/relationships/ctrlProp" Target="../ctrlProps/ctrlProp73.xml"/><Relationship Id="rId12" Type="http://schemas.openxmlformats.org/officeDocument/2006/relationships/ctrlProp" Target="../ctrlProps/ctrlProp78.xml"/><Relationship Id="rId2" Type="http://schemas.openxmlformats.org/officeDocument/2006/relationships/printerSettings" Target="../printerSettings/printerSettings8.bin"/><Relationship Id="rId1" Type="http://schemas.openxmlformats.org/officeDocument/2006/relationships/hyperlink" Target="mailto:GERENCIA.DCMING@GMAIL.COM" TargetMode="External"/><Relationship Id="rId6" Type="http://schemas.openxmlformats.org/officeDocument/2006/relationships/ctrlProp" Target="../ctrlProps/ctrlProp72.xml"/><Relationship Id="rId11" Type="http://schemas.openxmlformats.org/officeDocument/2006/relationships/ctrlProp" Target="../ctrlProps/ctrlProp77.xml"/><Relationship Id="rId5" Type="http://schemas.openxmlformats.org/officeDocument/2006/relationships/ctrlProp" Target="../ctrlProps/ctrlProp71.xml"/><Relationship Id="rId15" Type="http://schemas.openxmlformats.org/officeDocument/2006/relationships/comments" Target="../comments8.xml"/><Relationship Id="rId10" Type="http://schemas.openxmlformats.org/officeDocument/2006/relationships/ctrlProp" Target="../ctrlProps/ctrlProp76.xml"/><Relationship Id="rId4" Type="http://schemas.openxmlformats.org/officeDocument/2006/relationships/vmlDrawing" Target="../drawings/vmlDrawing8.vml"/><Relationship Id="rId9" Type="http://schemas.openxmlformats.org/officeDocument/2006/relationships/ctrlProp" Target="../ctrlProps/ctrlProp75.xml"/><Relationship Id="rId14" Type="http://schemas.openxmlformats.org/officeDocument/2006/relationships/ctrlProp" Target="../ctrlProps/ctrlProp8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drawing" Target="../drawings/drawing17.xml"/><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printerSettings" Target="../printerSettings/printerSettings9.bin"/><Relationship Id="rId1" Type="http://schemas.openxmlformats.org/officeDocument/2006/relationships/hyperlink" Target="mailto:GERENCIA.DCMING@GMAIL.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ctrlProp" Target="../ctrlProps/ctrlProp81.xml"/><Relationship Id="rId15" Type="http://schemas.openxmlformats.org/officeDocument/2006/relationships/comments" Target="../comments9.xml"/><Relationship Id="rId10" Type="http://schemas.openxmlformats.org/officeDocument/2006/relationships/ctrlProp" Target="../ctrlProps/ctrlProp86.xml"/><Relationship Id="rId4" Type="http://schemas.openxmlformats.org/officeDocument/2006/relationships/vmlDrawing" Target="../drawings/vmlDrawing9.v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3" Type="http://schemas.openxmlformats.org/officeDocument/2006/relationships/drawing" Target="../drawings/drawing19.xml"/><Relationship Id="rId7" Type="http://schemas.openxmlformats.org/officeDocument/2006/relationships/ctrlProp" Target="../ctrlProps/ctrlProp93.xml"/><Relationship Id="rId12" Type="http://schemas.openxmlformats.org/officeDocument/2006/relationships/ctrlProp" Target="../ctrlProps/ctrlProp98.xml"/><Relationship Id="rId2" Type="http://schemas.openxmlformats.org/officeDocument/2006/relationships/printerSettings" Target="../printerSettings/printerSettings10.bin"/><Relationship Id="rId1" Type="http://schemas.openxmlformats.org/officeDocument/2006/relationships/hyperlink" Target="mailto:GERENCIA.DCMING@GMAIL.COM" TargetMode="External"/><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omments" Target="../comments10.xml"/><Relationship Id="rId10" Type="http://schemas.openxmlformats.org/officeDocument/2006/relationships/ctrlProp" Target="../ctrlProps/ctrlProp96.xml"/><Relationship Id="rId4" Type="http://schemas.openxmlformats.org/officeDocument/2006/relationships/vmlDrawing" Target="../drawings/vmlDrawing10.v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04.xml"/><Relationship Id="rId13" Type="http://schemas.openxmlformats.org/officeDocument/2006/relationships/ctrlProp" Target="../ctrlProps/ctrlProp109.xml"/><Relationship Id="rId3" Type="http://schemas.openxmlformats.org/officeDocument/2006/relationships/drawing" Target="../drawings/drawing21.xml"/><Relationship Id="rId7" Type="http://schemas.openxmlformats.org/officeDocument/2006/relationships/ctrlProp" Target="../ctrlProps/ctrlProp103.xml"/><Relationship Id="rId12" Type="http://schemas.openxmlformats.org/officeDocument/2006/relationships/ctrlProp" Target="../ctrlProps/ctrlProp108.xml"/><Relationship Id="rId2" Type="http://schemas.openxmlformats.org/officeDocument/2006/relationships/printerSettings" Target="../printerSettings/printerSettings11.bin"/><Relationship Id="rId1" Type="http://schemas.openxmlformats.org/officeDocument/2006/relationships/hyperlink" Target="mailto:GERENCIA.DCMING@GMAIL.COM" TargetMode="External"/><Relationship Id="rId6" Type="http://schemas.openxmlformats.org/officeDocument/2006/relationships/ctrlProp" Target="../ctrlProps/ctrlProp102.xml"/><Relationship Id="rId11" Type="http://schemas.openxmlformats.org/officeDocument/2006/relationships/ctrlProp" Target="../ctrlProps/ctrlProp107.xml"/><Relationship Id="rId5" Type="http://schemas.openxmlformats.org/officeDocument/2006/relationships/ctrlProp" Target="../ctrlProps/ctrlProp101.xml"/><Relationship Id="rId15" Type="http://schemas.openxmlformats.org/officeDocument/2006/relationships/comments" Target="../comments11.xml"/><Relationship Id="rId10" Type="http://schemas.openxmlformats.org/officeDocument/2006/relationships/ctrlProp" Target="../ctrlProps/ctrlProp106.xml"/><Relationship Id="rId4" Type="http://schemas.openxmlformats.org/officeDocument/2006/relationships/vmlDrawing" Target="../drawings/vmlDrawing11.vml"/><Relationship Id="rId9" Type="http://schemas.openxmlformats.org/officeDocument/2006/relationships/ctrlProp" Target="../ctrlProps/ctrlProp105.xml"/><Relationship Id="rId14" Type="http://schemas.openxmlformats.org/officeDocument/2006/relationships/ctrlProp" Target="../ctrlProps/ctrlProp110.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14.xml"/><Relationship Id="rId13" Type="http://schemas.openxmlformats.org/officeDocument/2006/relationships/ctrlProp" Target="../ctrlProps/ctrlProp119.xml"/><Relationship Id="rId3" Type="http://schemas.openxmlformats.org/officeDocument/2006/relationships/drawing" Target="../drawings/drawing23.xml"/><Relationship Id="rId7" Type="http://schemas.openxmlformats.org/officeDocument/2006/relationships/ctrlProp" Target="../ctrlProps/ctrlProp113.xml"/><Relationship Id="rId12" Type="http://schemas.openxmlformats.org/officeDocument/2006/relationships/ctrlProp" Target="../ctrlProps/ctrlProp118.xml"/><Relationship Id="rId2" Type="http://schemas.openxmlformats.org/officeDocument/2006/relationships/printerSettings" Target="../printerSettings/printerSettings12.bin"/><Relationship Id="rId1" Type="http://schemas.openxmlformats.org/officeDocument/2006/relationships/hyperlink" Target="mailto:GERENCIA.DCMING@GMAIL.COM" TargetMode="External"/><Relationship Id="rId6" Type="http://schemas.openxmlformats.org/officeDocument/2006/relationships/ctrlProp" Target="../ctrlProps/ctrlProp112.xml"/><Relationship Id="rId11" Type="http://schemas.openxmlformats.org/officeDocument/2006/relationships/ctrlProp" Target="../ctrlProps/ctrlProp117.xml"/><Relationship Id="rId5" Type="http://schemas.openxmlformats.org/officeDocument/2006/relationships/ctrlProp" Target="../ctrlProps/ctrlProp111.xml"/><Relationship Id="rId15" Type="http://schemas.openxmlformats.org/officeDocument/2006/relationships/comments" Target="../comments12.xml"/><Relationship Id="rId10" Type="http://schemas.openxmlformats.org/officeDocument/2006/relationships/ctrlProp" Target="../ctrlProps/ctrlProp116.xml"/><Relationship Id="rId4" Type="http://schemas.openxmlformats.org/officeDocument/2006/relationships/vmlDrawing" Target="../drawings/vmlDrawing12.vml"/><Relationship Id="rId9" Type="http://schemas.openxmlformats.org/officeDocument/2006/relationships/ctrlProp" Target="../ctrlProps/ctrlProp115.xml"/><Relationship Id="rId14" Type="http://schemas.openxmlformats.org/officeDocument/2006/relationships/ctrlProp" Target="../ctrlProps/ctrlProp12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4.xml"/><Relationship Id="rId13" Type="http://schemas.openxmlformats.org/officeDocument/2006/relationships/ctrlProp" Target="../ctrlProps/ctrlProp129.xml"/><Relationship Id="rId3" Type="http://schemas.openxmlformats.org/officeDocument/2006/relationships/drawing" Target="../drawings/drawing25.xml"/><Relationship Id="rId7" Type="http://schemas.openxmlformats.org/officeDocument/2006/relationships/ctrlProp" Target="../ctrlProps/ctrlProp123.xml"/><Relationship Id="rId12" Type="http://schemas.openxmlformats.org/officeDocument/2006/relationships/ctrlProp" Target="../ctrlProps/ctrlProp128.xml"/><Relationship Id="rId2" Type="http://schemas.openxmlformats.org/officeDocument/2006/relationships/printerSettings" Target="../printerSettings/printerSettings13.bin"/><Relationship Id="rId1" Type="http://schemas.openxmlformats.org/officeDocument/2006/relationships/hyperlink" Target="mailto:GERENCIA.DCMING@GMAIL.COM" TargetMode="External"/><Relationship Id="rId6" Type="http://schemas.openxmlformats.org/officeDocument/2006/relationships/ctrlProp" Target="../ctrlProps/ctrlProp122.xml"/><Relationship Id="rId11" Type="http://schemas.openxmlformats.org/officeDocument/2006/relationships/ctrlProp" Target="../ctrlProps/ctrlProp127.xml"/><Relationship Id="rId5" Type="http://schemas.openxmlformats.org/officeDocument/2006/relationships/ctrlProp" Target="../ctrlProps/ctrlProp121.xml"/><Relationship Id="rId15" Type="http://schemas.openxmlformats.org/officeDocument/2006/relationships/comments" Target="../comments13.xml"/><Relationship Id="rId10" Type="http://schemas.openxmlformats.org/officeDocument/2006/relationships/ctrlProp" Target="../ctrlProps/ctrlProp126.xml"/><Relationship Id="rId4" Type="http://schemas.openxmlformats.org/officeDocument/2006/relationships/vmlDrawing" Target="../drawings/vmlDrawing13.vml"/><Relationship Id="rId9" Type="http://schemas.openxmlformats.org/officeDocument/2006/relationships/ctrlProp" Target="../ctrlProps/ctrlProp125.xml"/><Relationship Id="rId14"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4.xml"/><Relationship Id="rId13" Type="http://schemas.openxmlformats.org/officeDocument/2006/relationships/ctrlProp" Target="../ctrlProps/ctrlProp139.xml"/><Relationship Id="rId3" Type="http://schemas.openxmlformats.org/officeDocument/2006/relationships/drawing" Target="../drawings/drawing27.xml"/><Relationship Id="rId7" Type="http://schemas.openxmlformats.org/officeDocument/2006/relationships/ctrlProp" Target="../ctrlProps/ctrlProp133.xml"/><Relationship Id="rId12" Type="http://schemas.openxmlformats.org/officeDocument/2006/relationships/ctrlProp" Target="../ctrlProps/ctrlProp138.xml"/><Relationship Id="rId2" Type="http://schemas.openxmlformats.org/officeDocument/2006/relationships/printerSettings" Target="../printerSettings/printerSettings14.bin"/><Relationship Id="rId1" Type="http://schemas.openxmlformats.org/officeDocument/2006/relationships/hyperlink" Target="mailto:GERENCIA.DCMING@GMAIL.COM" TargetMode="External"/><Relationship Id="rId6" Type="http://schemas.openxmlformats.org/officeDocument/2006/relationships/ctrlProp" Target="../ctrlProps/ctrlProp132.xml"/><Relationship Id="rId11" Type="http://schemas.openxmlformats.org/officeDocument/2006/relationships/ctrlProp" Target="../ctrlProps/ctrlProp137.xml"/><Relationship Id="rId5" Type="http://schemas.openxmlformats.org/officeDocument/2006/relationships/ctrlProp" Target="../ctrlProps/ctrlProp131.xml"/><Relationship Id="rId15" Type="http://schemas.openxmlformats.org/officeDocument/2006/relationships/comments" Target="../comments14.xml"/><Relationship Id="rId10" Type="http://schemas.openxmlformats.org/officeDocument/2006/relationships/ctrlProp" Target="../ctrlProps/ctrlProp136.xml"/><Relationship Id="rId4" Type="http://schemas.openxmlformats.org/officeDocument/2006/relationships/vmlDrawing" Target="../drawings/vmlDrawing14.vml"/><Relationship Id="rId9" Type="http://schemas.openxmlformats.org/officeDocument/2006/relationships/ctrlProp" Target="../ctrlProps/ctrlProp135.xml"/><Relationship Id="rId14" Type="http://schemas.openxmlformats.org/officeDocument/2006/relationships/ctrlProp" Target="../ctrlProps/ctrlProp14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44.xml"/><Relationship Id="rId13" Type="http://schemas.openxmlformats.org/officeDocument/2006/relationships/ctrlProp" Target="../ctrlProps/ctrlProp149.xml"/><Relationship Id="rId3" Type="http://schemas.openxmlformats.org/officeDocument/2006/relationships/drawing" Target="../drawings/drawing29.xml"/><Relationship Id="rId7" Type="http://schemas.openxmlformats.org/officeDocument/2006/relationships/ctrlProp" Target="../ctrlProps/ctrlProp143.xml"/><Relationship Id="rId12" Type="http://schemas.openxmlformats.org/officeDocument/2006/relationships/ctrlProp" Target="../ctrlProps/ctrlProp148.xml"/><Relationship Id="rId2" Type="http://schemas.openxmlformats.org/officeDocument/2006/relationships/printerSettings" Target="../printerSettings/printerSettings15.bin"/><Relationship Id="rId1" Type="http://schemas.openxmlformats.org/officeDocument/2006/relationships/hyperlink" Target="mailto:GERENCIA.DCMING@GMAIL.COM" TargetMode="External"/><Relationship Id="rId6" Type="http://schemas.openxmlformats.org/officeDocument/2006/relationships/ctrlProp" Target="../ctrlProps/ctrlProp142.xml"/><Relationship Id="rId11" Type="http://schemas.openxmlformats.org/officeDocument/2006/relationships/ctrlProp" Target="../ctrlProps/ctrlProp147.xml"/><Relationship Id="rId5" Type="http://schemas.openxmlformats.org/officeDocument/2006/relationships/ctrlProp" Target="../ctrlProps/ctrlProp141.xml"/><Relationship Id="rId15" Type="http://schemas.openxmlformats.org/officeDocument/2006/relationships/comments" Target="../comments15.xml"/><Relationship Id="rId10" Type="http://schemas.openxmlformats.org/officeDocument/2006/relationships/ctrlProp" Target="../ctrlProps/ctrlProp146.xml"/><Relationship Id="rId4" Type="http://schemas.openxmlformats.org/officeDocument/2006/relationships/vmlDrawing" Target="../drawings/vmlDrawing15.vml"/><Relationship Id="rId9" Type="http://schemas.openxmlformats.org/officeDocument/2006/relationships/ctrlProp" Target="../ctrlProps/ctrlProp145.xml"/><Relationship Id="rId14" Type="http://schemas.openxmlformats.org/officeDocument/2006/relationships/ctrlProp" Target="../ctrlProps/ctrlProp15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4.xml"/><Relationship Id="rId13" Type="http://schemas.openxmlformats.org/officeDocument/2006/relationships/ctrlProp" Target="../ctrlProps/ctrlProp159.xml"/><Relationship Id="rId3" Type="http://schemas.openxmlformats.org/officeDocument/2006/relationships/drawing" Target="../drawings/drawing31.xml"/><Relationship Id="rId7" Type="http://schemas.openxmlformats.org/officeDocument/2006/relationships/ctrlProp" Target="../ctrlProps/ctrlProp153.xml"/><Relationship Id="rId12" Type="http://schemas.openxmlformats.org/officeDocument/2006/relationships/ctrlProp" Target="../ctrlProps/ctrlProp158.xml"/><Relationship Id="rId2" Type="http://schemas.openxmlformats.org/officeDocument/2006/relationships/printerSettings" Target="../printerSettings/printerSettings16.bin"/><Relationship Id="rId1" Type="http://schemas.openxmlformats.org/officeDocument/2006/relationships/hyperlink" Target="mailto:GERENCIA.DCMING@GMAIL.COM" TargetMode="External"/><Relationship Id="rId6" Type="http://schemas.openxmlformats.org/officeDocument/2006/relationships/ctrlProp" Target="../ctrlProps/ctrlProp152.xml"/><Relationship Id="rId11" Type="http://schemas.openxmlformats.org/officeDocument/2006/relationships/ctrlProp" Target="../ctrlProps/ctrlProp157.xml"/><Relationship Id="rId5" Type="http://schemas.openxmlformats.org/officeDocument/2006/relationships/ctrlProp" Target="../ctrlProps/ctrlProp151.xml"/><Relationship Id="rId15" Type="http://schemas.openxmlformats.org/officeDocument/2006/relationships/comments" Target="../comments16.xml"/><Relationship Id="rId10" Type="http://schemas.openxmlformats.org/officeDocument/2006/relationships/ctrlProp" Target="../ctrlProps/ctrlProp156.xml"/><Relationship Id="rId4" Type="http://schemas.openxmlformats.org/officeDocument/2006/relationships/vmlDrawing" Target="../drawings/vmlDrawing16.vml"/><Relationship Id="rId9" Type="http://schemas.openxmlformats.org/officeDocument/2006/relationships/ctrlProp" Target="../ctrlProps/ctrlProp155.xml"/><Relationship Id="rId14" Type="http://schemas.openxmlformats.org/officeDocument/2006/relationships/ctrlProp" Target="../ctrlProps/ctrlProp160.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4.xml"/><Relationship Id="rId13" Type="http://schemas.openxmlformats.org/officeDocument/2006/relationships/ctrlProp" Target="../ctrlProps/ctrlProp169.xml"/><Relationship Id="rId3" Type="http://schemas.openxmlformats.org/officeDocument/2006/relationships/drawing" Target="../drawings/drawing33.xml"/><Relationship Id="rId7" Type="http://schemas.openxmlformats.org/officeDocument/2006/relationships/ctrlProp" Target="../ctrlProps/ctrlProp163.xml"/><Relationship Id="rId12" Type="http://schemas.openxmlformats.org/officeDocument/2006/relationships/ctrlProp" Target="../ctrlProps/ctrlProp168.xml"/><Relationship Id="rId2" Type="http://schemas.openxmlformats.org/officeDocument/2006/relationships/printerSettings" Target="../printerSettings/printerSettings17.bin"/><Relationship Id="rId1" Type="http://schemas.openxmlformats.org/officeDocument/2006/relationships/hyperlink" Target="mailto:=@CONCAT(D12;%22%20%22;%22%20%22;F12)" TargetMode="External"/><Relationship Id="rId6" Type="http://schemas.openxmlformats.org/officeDocument/2006/relationships/ctrlProp" Target="../ctrlProps/ctrlProp162.xml"/><Relationship Id="rId11" Type="http://schemas.openxmlformats.org/officeDocument/2006/relationships/ctrlProp" Target="../ctrlProps/ctrlProp167.xml"/><Relationship Id="rId5" Type="http://schemas.openxmlformats.org/officeDocument/2006/relationships/ctrlProp" Target="../ctrlProps/ctrlProp161.xml"/><Relationship Id="rId15" Type="http://schemas.openxmlformats.org/officeDocument/2006/relationships/comments" Target="../comments17.xml"/><Relationship Id="rId10" Type="http://schemas.openxmlformats.org/officeDocument/2006/relationships/ctrlProp" Target="../ctrlProps/ctrlProp166.xml"/><Relationship Id="rId4" Type="http://schemas.openxmlformats.org/officeDocument/2006/relationships/vmlDrawing" Target="../drawings/vmlDrawing17.vml"/><Relationship Id="rId9" Type="http://schemas.openxmlformats.org/officeDocument/2006/relationships/ctrlProp" Target="../ctrlProps/ctrlProp165.xml"/><Relationship Id="rId14" Type="http://schemas.openxmlformats.org/officeDocument/2006/relationships/ctrlProp" Target="../ctrlProps/ctrlProp170.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drawing" Target="../drawings/drawing35.x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printerSettings" Target="../printerSettings/printerSettings18.bin"/><Relationship Id="rId1" Type="http://schemas.openxmlformats.org/officeDocument/2006/relationships/hyperlink" Target="mailto:GERENCIA.DCMING@GMAIL.COM" TargetMode="External"/><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omments" Target="../comments18.xml"/><Relationship Id="rId10" Type="http://schemas.openxmlformats.org/officeDocument/2006/relationships/ctrlProp" Target="../ctrlProps/ctrlProp176.xml"/><Relationship Id="rId4" Type="http://schemas.openxmlformats.org/officeDocument/2006/relationships/vmlDrawing" Target="../drawings/vmlDrawing18.v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84.xml"/><Relationship Id="rId13" Type="http://schemas.openxmlformats.org/officeDocument/2006/relationships/ctrlProp" Target="../ctrlProps/ctrlProp189.xml"/><Relationship Id="rId3" Type="http://schemas.openxmlformats.org/officeDocument/2006/relationships/drawing" Target="../drawings/drawing37.xml"/><Relationship Id="rId7" Type="http://schemas.openxmlformats.org/officeDocument/2006/relationships/ctrlProp" Target="../ctrlProps/ctrlProp183.xml"/><Relationship Id="rId12" Type="http://schemas.openxmlformats.org/officeDocument/2006/relationships/ctrlProp" Target="../ctrlProps/ctrlProp188.xml"/><Relationship Id="rId2" Type="http://schemas.openxmlformats.org/officeDocument/2006/relationships/printerSettings" Target="../printerSettings/printerSettings19.bin"/><Relationship Id="rId1" Type="http://schemas.openxmlformats.org/officeDocument/2006/relationships/hyperlink" Target="mailto:GERENCIA.DCMING@GMAIL.COM" TargetMode="External"/><Relationship Id="rId6" Type="http://schemas.openxmlformats.org/officeDocument/2006/relationships/ctrlProp" Target="../ctrlProps/ctrlProp182.xml"/><Relationship Id="rId11" Type="http://schemas.openxmlformats.org/officeDocument/2006/relationships/ctrlProp" Target="../ctrlProps/ctrlProp187.xml"/><Relationship Id="rId5" Type="http://schemas.openxmlformats.org/officeDocument/2006/relationships/ctrlProp" Target="../ctrlProps/ctrlProp181.xml"/><Relationship Id="rId15" Type="http://schemas.openxmlformats.org/officeDocument/2006/relationships/comments" Target="../comments19.xml"/><Relationship Id="rId10" Type="http://schemas.openxmlformats.org/officeDocument/2006/relationships/ctrlProp" Target="../ctrlProps/ctrlProp186.xml"/><Relationship Id="rId4" Type="http://schemas.openxmlformats.org/officeDocument/2006/relationships/vmlDrawing" Target="../drawings/vmlDrawing19.vml"/><Relationship Id="rId9" Type="http://schemas.openxmlformats.org/officeDocument/2006/relationships/ctrlProp" Target="../ctrlProps/ctrlProp185.xml"/><Relationship Id="rId14" Type="http://schemas.openxmlformats.org/officeDocument/2006/relationships/ctrlProp" Target="../ctrlProps/ctrlProp19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94.xml"/><Relationship Id="rId13" Type="http://schemas.openxmlformats.org/officeDocument/2006/relationships/ctrlProp" Target="../ctrlProps/ctrlProp199.xml"/><Relationship Id="rId3" Type="http://schemas.openxmlformats.org/officeDocument/2006/relationships/drawing" Target="../drawings/drawing39.xml"/><Relationship Id="rId7" Type="http://schemas.openxmlformats.org/officeDocument/2006/relationships/ctrlProp" Target="../ctrlProps/ctrlProp193.xml"/><Relationship Id="rId12" Type="http://schemas.openxmlformats.org/officeDocument/2006/relationships/ctrlProp" Target="../ctrlProps/ctrlProp198.xml"/><Relationship Id="rId2" Type="http://schemas.openxmlformats.org/officeDocument/2006/relationships/printerSettings" Target="../printerSettings/printerSettings20.bin"/><Relationship Id="rId1" Type="http://schemas.openxmlformats.org/officeDocument/2006/relationships/hyperlink" Target="mailto:GERENCIA.DCMING@GMAIL.COM" TargetMode="External"/><Relationship Id="rId6" Type="http://schemas.openxmlformats.org/officeDocument/2006/relationships/ctrlProp" Target="../ctrlProps/ctrlProp192.xml"/><Relationship Id="rId11" Type="http://schemas.openxmlformats.org/officeDocument/2006/relationships/ctrlProp" Target="../ctrlProps/ctrlProp197.xml"/><Relationship Id="rId5" Type="http://schemas.openxmlformats.org/officeDocument/2006/relationships/ctrlProp" Target="../ctrlProps/ctrlProp191.xml"/><Relationship Id="rId15" Type="http://schemas.openxmlformats.org/officeDocument/2006/relationships/comments" Target="../comments20.xml"/><Relationship Id="rId10" Type="http://schemas.openxmlformats.org/officeDocument/2006/relationships/ctrlProp" Target="../ctrlProps/ctrlProp196.xml"/><Relationship Id="rId4" Type="http://schemas.openxmlformats.org/officeDocument/2006/relationships/vmlDrawing" Target="../drawings/vmlDrawing20.vml"/><Relationship Id="rId9" Type="http://schemas.openxmlformats.org/officeDocument/2006/relationships/ctrlProp" Target="../ctrlProps/ctrlProp195.xml"/><Relationship Id="rId14" Type="http://schemas.openxmlformats.org/officeDocument/2006/relationships/ctrlProp" Target="../ctrlProps/ctrlProp200.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04.xml"/><Relationship Id="rId13" Type="http://schemas.openxmlformats.org/officeDocument/2006/relationships/ctrlProp" Target="../ctrlProps/ctrlProp209.xml"/><Relationship Id="rId3" Type="http://schemas.openxmlformats.org/officeDocument/2006/relationships/drawing" Target="../drawings/drawing41.xml"/><Relationship Id="rId7" Type="http://schemas.openxmlformats.org/officeDocument/2006/relationships/ctrlProp" Target="../ctrlProps/ctrlProp203.xml"/><Relationship Id="rId12" Type="http://schemas.openxmlformats.org/officeDocument/2006/relationships/ctrlProp" Target="../ctrlProps/ctrlProp208.xml"/><Relationship Id="rId2" Type="http://schemas.openxmlformats.org/officeDocument/2006/relationships/printerSettings" Target="../printerSettings/printerSettings21.bin"/><Relationship Id="rId1" Type="http://schemas.openxmlformats.org/officeDocument/2006/relationships/hyperlink" Target="mailto:GERENCIA.DCMING@GMAIL.COM" TargetMode="External"/><Relationship Id="rId6" Type="http://schemas.openxmlformats.org/officeDocument/2006/relationships/ctrlProp" Target="../ctrlProps/ctrlProp202.xml"/><Relationship Id="rId11" Type="http://schemas.openxmlformats.org/officeDocument/2006/relationships/ctrlProp" Target="../ctrlProps/ctrlProp207.xml"/><Relationship Id="rId5" Type="http://schemas.openxmlformats.org/officeDocument/2006/relationships/ctrlProp" Target="../ctrlProps/ctrlProp201.xml"/><Relationship Id="rId15" Type="http://schemas.openxmlformats.org/officeDocument/2006/relationships/comments" Target="../comments21.xml"/><Relationship Id="rId10" Type="http://schemas.openxmlformats.org/officeDocument/2006/relationships/ctrlProp" Target="../ctrlProps/ctrlProp206.xml"/><Relationship Id="rId4" Type="http://schemas.openxmlformats.org/officeDocument/2006/relationships/vmlDrawing" Target="../drawings/vmlDrawing21.vml"/><Relationship Id="rId9" Type="http://schemas.openxmlformats.org/officeDocument/2006/relationships/ctrlProp" Target="../ctrlProps/ctrlProp205.xml"/><Relationship Id="rId14" Type="http://schemas.openxmlformats.org/officeDocument/2006/relationships/ctrlProp" Target="../ctrlProps/ctrlProp210.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14.xml"/><Relationship Id="rId13" Type="http://schemas.openxmlformats.org/officeDocument/2006/relationships/ctrlProp" Target="../ctrlProps/ctrlProp219.xml"/><Relationship Id="rId3" Type="http://schemas.openxmlformats.org/officeDocument/2006/relationships/drawing" Target="../drawings/drawing43.xml"/><Relationship Id="rId7" Type="http://schemas.openxmlformats.org/officeDocument/2006/relationships/ctrlProp" Target="../ctrlProps/ctrlProp213.xml"/><Relationship Id="rId12" Type="http://schemas.openxmlformats.org/officeDocument/2006/relationships/ctrlProp" Target="../ctrlProps/ctrlProp218.xml"/><Relationship Id="rId2" Type="http://schemas.openxmlformats.org/officeDocument/2006/relationships/printerSettings" Target="../printerSettings/printerSettings22.bin"/><Relationship Id="rId1" Type="http://schemas.openxmlformats.org/officeDocument/2006/relationships/hyperlink" Target="mailto:GERENCIA.DCMING@GMAIL.COM" TargetMode="External"/><Relationship Id="rId6" Type="http://schemas.openxmlformats.org/officeDocument/2006/relationships/ctrlProp" Target="../ctrlProps/ctrlProp212.xml"/><Relationship Id="rId11" Type="http://schemas.openxmlformats.org/officeDocument/2006/relationships/ctrlProp" Target="../ctrlProps/ctrlProp217.xml"/><Relationship Id="rId5" Type="http://schemas.openxmlformats.org/officeDocument/2006/relationships/ctrlProp" Target="../ctrlProps/ctrlProp211.xml"/><Relationship Id="rId15" Type="http://schemas.openxmlformats.org/officeDocument/2006/relationships/comments" Target="../comments22.xml"/><Relationship Id="rId10" Type="http://schemas.openxmlformats.org/officeDocument/2006/relationships/ctrlProp" Target="../ctrlProps/ctrlProp216.xml"/><Relationship Id="rId4" Type="http://schemas.openxmlformats.org/officeDocument/2006/relationships/vmlDrawing" Target="../drawings/vmlDrawing22.vml"/><Relationship Id="rId9" Type="http://schemas.openxmlformats.org/officeDocument/2006/relationships/ctrlProp" Target="../ctrlProps/ctrlProp215.xml"/><Relationship Id="rId14" Type="http://schemas.openxmlformats.org/officeDocument/2006/relationships/ctrlProp" Target="../ctrlProps/ctrlProp220.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24.xml"/><Relationship Id="rId13" Type="http://schemas.openxmlformats.org/officeDocument/2006/relationships/ctrlProp" Target="../ctrlProps/ctrlProp229.xml"/><Relationship Id="rId3" Type="http://schemas.openxmlformats.org/officeDocument/2006/relationships/drawing" Target="../drawings/drawing45.xml"/><Relationship Id="rId7" Type="http://schemas.openxmlformats.org/officeDocument/2006/relationships/ctrlProp" Target="../ctrlProps/ctrlProp223.xml"/><Relationship Id="rId12" Type="http://schemas.openxmlformats.org/officeDocument/2006/relationships/ctrlProp" Target="../ctrlProps/ctrlProp228.xml"/><Relationship Id="rId2" Type="http://schemas.openxmlformats.org/officeDocument/2006/relationships/printerSettings" Target="../printerSettings/printerSettings23.bin"/><Relationship Id="rId1" Type="http://schemas.openxmlformats.org/officeDocument/2006/relationships/hyperlink" Target="mailto:GERENCIA.DCMING@GMAIL.COM" TargetMode="External"/><Relationship Id="rId6" Type="http://schemas.openxmlformats.org/officeDocument/2006/relationships/ctrlProp" Target="../ctrlProps/ctrlProp222.xml"/><Relationship Id="rId11" Type="http://schemas.openxmlformats.org/officeDocument/2006/relationships/ctrlProp" Target="../ctrlProps/ctrlProp227.xml"/><Relationship Id="rId5" Type="http://schemas.openxmlformats.org/officeDocument/2006/relationships/ctrlProp" Target="../ctrlProps/ctrlProp221.xml"/><Relationship Id="rId15" Type="http://schemas.openxmlformats.org/officeDocument/2006/relationships/comments" Target="../comments23.xml"/><Relationship Id="rId10" Type="http://schemas.openxmlformats.org/officeDocument/2006/relationships/ctrlProp" Target="../ctrlProps/ctrlProp226.xml"/><Relationship Id="rId4" Type="http://schemas.openxmlformats.org/officeDocument/2006/relationships/vmlDrawing" Target="../drawings/vmlDrawing23.vml"/><Relationship Id="rId9" Type="http://schemas.openxmlformats.org/officeDocument/2006/relationships/ctrlProp" Target="../ctrlProps/ctrlProp225.xml"/><Relationship Id="rId14" Type="http://schemas.openxmlformats.org/officeDocument/2006/relationships/ctrlProp" Target="../ctrlProps/ctrlProp230.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drawing" Target="../drawings/drawing47.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printerSettings" Target="../printerSettings/printerSettings24.bin"/><Relationship Id="rId1" Type="http://schemas.openxmlformats.org/officeDocument/2006/relationships/hyperlink" Target="mailto:GERENCIA.DCMING@GMAIL.COM" TargetMode="Externa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5" Type="http://schemas.openxmlformats.org/officeDocument/2006/relationships/comments" Target="../comments24.xml"/><Relationship Id="rId10" Type="http://schemas.openxmlformats.org/officeDocument/2006/relationships/ctrlProp" Target="../ctrlProps/ctrlProp236.xml"/><Relationship Id="rId4" Type="http://schemas.openxmlformats.org/officeDocument/2006/relationships/vmlDrawing" Target="../drawings/vmlDrawing24.v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44.xml"/><Relationship Id="rId13" Type="http://schemas.openxmlformats.org/officeDocument/2006/relationships/ctrlProp" Target="../ctrlProps/ctrlProp249.xml"/><Relationship Id="rId3" Type="http://schemas.openxmlformats.org/officeDocument/2006/relationships/drawing" Target="../drawings/drawing49.xml"/><Relationship Id="rId7" Type="http://schemas.openxmlformats.org/officeDocument/2006/relationships/ctrlProp" Target="../ctrlProps/ctrlProp243.xml"/><Relationship Id="rId12" Type="http://schemas.openxmlformats.org/officeDocument/2006/relationships/ctrlProp" Target="../ctrlProps/ctrlProp248.xml"/><Relationship Id="rId2" Type="http://schemas.openxmlformats.org/officeDocument/2006/relationships/printerSettings" Target="../printerSettings/printerSettings25.bin"/><Relationship Id="rId1" Type="http://schemas.openxmlformats.org/officeDocument/2006/relationships/hyperlink" Target="mailto:GERENCIA.DCMING@GMAIL.COM" TargetMode="External"/><Relationship Id="rId6" Type="http://schemas.openxmlformats.org/officeDocument/2006/relationships/ctrlProp" Target="../ctrlProps/ctrlProp242.xml"/><Relationship Id="rId11" Type="http://schemas.openxmlformats.org/officeDocument/2006/relationships/ctrlProp" Target="../ctrlProps/ctrlProp247.xml"/><Relationship Id="rId5" Type="http://schemas.openxmlformats.org/officeDocument/2006/relationships/ctrlProp" Target="../ctrlProps/ctrlProp241.xml"/><Relationship Id="rId15" Type="http://schemas.openxmlformats.org/officeDocument/2006/relationships/comments" Target="../comments25.xml"/><Relationship Id="rId10" Type="http://schemas.openxmlformats.org/officeDocument/2006/relationships/ctrlProp" Target="../ctrlProps/ctrlProp246.xml"/><Relationship Id="rId4" Type="http://schemas.openxmlformats.org/officeDocument/2006/relationships/vmlDrawing" Target="../drawings/vmlDrawing25.vml"/><Relationship Id="rId9" Type="http://schemas.openxmlformats.org/officeDocument/2006/relationships/ctrlProp" Target="../ctrlProps/ctrlProp245.xml"/><Relationship Id="rId14" Type="http://schemas.openxmlformats.org/officeDocument/2006/relationships/ctrlProp" Target="../ctrlProps/ctrlProp25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254.xml"/><Relationship Id="rId13" Type="http://schemas.openxmlformats.org/officeDocument/2006/relationships/ctrlProp" Target="../ctrlProps/ctrlProp259.xml"/><Relationship Id="rId3" Type="http://schemas.openxmlformats.org/officeDocument/2006/relationships/drawing" Target="../drawings/drawing51.xml"/><Relationship Id="rId7" Type="http://schemas.openxmlformats.org/officeDocument/2006/relationships/ctrlProp" Target="../ctrlProps/ctrlProp253.xml"/><Relationship Id="rId12" Type="http://schemas.openxmlformats.org/officeDocument/2006/relationships/ctrlProp" Target="../ctrlProps/ctrlProp258.xml"/><Relationship Id="rId2" Type="http://schemas.openxmlformats.org/officeDocument/2006/relationships/printerSettings" Target="../printerSettings/printerSettings26.bin"/><Relationship Id="rId1" Type="http://schemas.openxmlformats.org/officeDocument/2006/relationships/hyperlink" Target="mailto:GERENCIA.DCMING@GMAIL.COM" TargetMode="External"/><Relationship Id="rId6" Type="http://schemas.openxmlformats.org/officeDocument/2006/relationships/ctrlProp" Target="../ctrlProps/ctrlProp252.xml"/><Relationship Id="rId11" Type="http://schemas.openxmlformats.org/officeDocument/2006/relationships/ctrlProp" Target="../ctrlProps/ctrlProp257.xml"/><Relationship Id="rId5" Type="http://schemas.openxmlformats.org/officeDocument/2006/relationships/ctrlProp" Target="../ctrlProps/ctrlProp251.xml"/><Relationship Id="rId15" Type="http://schemas.openxmlformats.org/officeDocument/2006/relationships/comments" Target="../comments26.xml"/><Relationship Id="rId10" Type="http://schemas.openxmlformats.org/officeDocument/2006/relationships/ctrlProp" Target="../ctrlProps/ctrlProp256.xml"/><Relationship Id="rId4" Type="http://schemas.openxmlformats.org/officeDocument/2006/relationships/vmlDrawing" Target="../drawings/vmlDrawing26.vml"/><Relationship Id="rId9" Type="http://schemas.openxmlformats.org/officeDocument/2006/relationships/ctrlProp" Target="../ctrlProps/ctrlProp255.xml"/><Relationship Id="rId14" Type="http://schemas.openxmlformats.org/officeDocument/2006/relationships/ctrlProp" Target="../ctrlProps/ctrlProp260.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264.xml"/><Relationship Id="rId13" Type="http://schemas.openxmlformats.org/officeDocument/2006/relationships/ctrlProp" Target="../ctrlProps/ctrlProp269.xml"/><Relationship Id="rId3" Type="http://schemas.openxmlformats.org/officeDocument/2006/relationships/drawing" Target="../drawings/drawing53.xml"/><Relationship Id="rId7" Type="http://schemas.openxmlformats.org/officeDocument/2006/relationships/ctrlProp" Target="../ctrlProps/ctrlProp263.xml"/><Relationship Id="rId12" Type="http://schemas.openxmlformats.org/officeDocument/2006/relationships/ctrlProp" Target="../ctrlProps/ctrlProp268.xml"/><Relationship Id="rId2" Type="http://schemas.openxmlformats.org/officeDocument/2006/relationships/printerSettings" Target="../printerSettings/printerSettings27.bin"/><Relationship Id="rId1" Type="http://schemas.openxmlformats.org/officeDocument/2006/relationships/hyperlink" Target="mailto:GERENCIA.DCMING@GMAIL.COM" TargetMode="External"/><Relationship Id="rId6" Type="http://schemas.openxmlformats.org/officeDocument/2006/relationships/ctrlProp" Target="../ctrlProps/ctrlProp262.xml"/><Relationship Id="rId11" Type="http://schemas.openxmlformats.org/officeDocument/2006/relationships/ctrlProp" Target="../ctrlProps/ctrlProp267.xml"/><Relationship Id="rId5" Type="http://schemas.openxmlformats.org/officeDocument/2006/relationships/ctrlProp" Target="../ctrlProps/ctrlProp261.xml"/><Relationship Id="rId15" Type="http://schemas.openxmlformats.org/officeDocument/2006/relationships/comments" Target="../comments27.xml"/><Relationship Id="rId10" Type="http://schemas.openxmlformats.org/officeDocument/2006/relationships/ctrlProp" Target="../ctrlProps/ctrlProp266.xml"/><Relationship Id="rId4" Type="http://schemas.openxmlformats.org/officeDocument/2006/relationships/vmlDrawing" Target="../drawings/vmlDrawing27.vml"/><Relationship Id="rId9" Type="http://schemas.openxmlformats.org/officeDocument/2006/relationships/ctrlProp" Target="../ctrlProps/ctrlProp265.xml"/><Relationship Id="rId14" Type="http://schemas.openxmlformats.org/officeDocument/2006/relationships/ctrlProp" Target="../ctrlProps/ctrlProp270.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274.xml"/><Relationship Id="rId13" Type="http://schemas.openxmlformats.org/officeDocument/2006/relationships/ctrlProp" Target="../ctrlProps/ctrlProp279.xml"/><Relationship Id="rId3" Type="http://schemas.openxmlformats.org/officeDocument/2006/relationships/drawing" Target="../drawings/drawing55.xml"/><Relationship Id="rId7" Type="http://schemas.openxmlformats.org/officeDocument/2006/relationships/ctrlProp" Target="../ctrlProps/ctrlProp273.xml"/><Relationship Id="rId12" Type="http://schemas.openxmlformats.org/officeDocument/2006/relationships/ctrlProp" Target="../ctrlProps/ctrlProp278.xml"/><Relationship Id="rId2" Type="http://schemas.openxmlformats.org/officeDocument/2006/relationships/printerSettings" Target="../printerSettings/printerSettings28.bin"/><Relationship Id="rId1" Type="http://schemas.openxmlformats.org/officeDocument/2006/relationships/hyperlink" Target="mailto:GERENCIA.DCMING@GMAIL.COM" TargetMode="External"/><Relationship Id="rId6" Type="http://schemas.openxmlformats.org/officeDocument/2006/relationships/ctrlProp" Target="../ctrlProps/ctrlProp272.xml"/><Relationship Id="rId11" Type="http://schemas.openxmlformats.org/officeDocument/2006/relationships/ctrlProp" Target="../ctrlProps/ctrlProp277.xml"/><Relationship Id="rId5" Type="http://schemas.openxmlformats.org/officeDocument/2006/relationships/ctrlProp" Target="../ctrlProps/ctrlProp271.xml"/><Relationship Id="rId15" Type="http://schemas.openxmlformats.org/officeDocument/2006/relationships/comments" Target="../comments28.xml"/><Relationship Id="rId10" Type="http://schemas.openxmlformats.org/officeDocument/2006/relationships/ctrlProp" Target="../ctrlProps/ctrlProp276.xml"/><Relationship Id="rId4" Type="http://schemas.openxmlformats.org/officeDocument/2006/relationships/vmlDrawing" Target="../drawings/vmlDrawing28.vml"/><Relationship Id="rId9" Type="http://schemas.openxmlformats.org/officeDocument/2006/relationships/ctrlProp" Target="../ctrlProps/ctrlProp275.xml"/><Relationship Id="rId14" Type="http://schemas.openxmlformats.org/officeDocument/2006/relationships/ctrlProp" Target="../ctrlProps/ctrlProp280.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284.xml"/><Relationship Id="rId13" Type="http://schemas.openxmlformats.org/officeDocument/2006/relationships/ctrlProp" Target="../ctrlProps/ctrlProp289.xml"/><Relationship Id="rId3" Type="http://schemas.openxmlformats.org/officeDocument/2006/relationships/drawing" Target="../drawings/drawing57.xml"/><Relationship Id="rId7" Type="http://schemas.openxmlformats.org/officeDocument/2006/relationships/ctrlProp" Target="../ctrlProps/ctrlProp283.xml"/><Relationship Id="rId12" Type="http://schemas.openxmlformats.org/officeDocument/2006/relationships/ctrlProp" Target="../ctrlProps/ctrlProp288.xml"/><Relationship Id="rId2" Type="http://schemas.openxmlformats.org/officeDocument/2006/relationships/printerSettings" Target="../printerSettings/printerSettings29.bin"/><Relationship Id="rId1" Type="http://schemas.openxmlformats.org/officeDocument/2006/relationships/hyperlink" Target="mailto:GERENCIA.DCMING@GMAIL.COM" TargetMode="External"/><Relationship Id="rId6" Type="http://schemas.openxmlformats.org/officeDocument/2006/relationships/ctrlProp" Target="../ctrlProps/ctrlProp282.xml"/><Relationship Id="rId11" Type="http://schemas.openxmlformats.org/officeDocument/2006/relationships/ctrlProp" Target="../ctrlProps/ctrlProp287.xml"/><Relationship Id="rId5" Type="http://schemas.openxmlformats.org/officeDocument/2006/relationships/ctrlProp" Target="../ctrlProps/ctrlProp281.xml"/><Relationship Id="rId15" Type="http://schemas.openxmlformats.org/officeDocument/2006/relationships/comments" Target="../comments29.xml"/><Relationship Id="rId10" Type="http://schemas.openxmlformats.org/officeDocument/2006/relationships/ctrlProp" Target="../ctrlProps/ctrlProp286.xml"/><Relationship Id="rId4" Type="http://schemas.openxmlformats.org/officeDocument/2006/relationships/vmlDrawing" Target="../drawings/vmlDrawing29.vml"/><Relationship Id="rId9" Type="http://schemas.openxmlformats.org/officeDocument/2006/relationships/ctrlProp" Target="../ctrlProps/ctrlProp285.xml"/><Relationship Id="rId14" Type="http://schemas.openxmlformats.org/officeDocument/2006/relationships/ctrlProp" Target="../ctrlProps/ctrlProp290.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3" Type="http://schemas.openxmlformats.org/officeDocument/2006/relationships/drawing" Target="../drawings/drawing59.xml"/><Relationship Id="rId7" Type="http://schemas.openxmlformats.org/officeDocument/2006/relationships/ctrlProp" Target="../ctrlProps/ctrlProp293.xml"/><Relationship Id="rId12" Type="http://schemas.openxmlformats.org/officeDocument/2006/relationships/ctrlProp" Target="../ctrlProps/ctrlProp298.xml"/><Relationship Id="rId2" Type="http://schemas.openxmlformats.org/officeDocument/2006/relationships/printerSettings" Target="../printerSettings/printerSettings30.bin"/><Relationship Id="rId1" Type="http://schemas.openxmlformats.org/officeDocument/2006/relationships/hyperlink" Target="mailto:GERENCIA.DCMING@GMAIL.COM" TargetMode="Externa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omments" Target="../comments30.xml"/><Relationship Id="rId10" Type="http://schemas.openxmlformats.org/officeDocument/2006/relationships/ctrlProp" Target="../ctrlProps/ctrlProp296.xml"/><Relationship Id="rId4" Type="http://schemas.openxmlformats.org/officeDocument/2006/relationships/vmlDrawing" Target="../drawings/vmlDrawing30.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drawing" Target="../drawings/drawing61.x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printerSettings" Target="../printerSettings/printerSettings31.bin"/><Relationship Id="rId1" Type="http://schemas.openxmlformats.org/officeDocument/2006/relationships/hyperlink" Target="mailto:GERENCIA.DCMING@GMAIL.COM" TargetMode="External"/><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omments" Target="../comments31.xml"/><Relationship Id="rId10" Type="http://schemas.openxmlformats.org/officeDocument/2006/relationships/ctrlProp" Target="../ctrlProps/ctrlProp306.xml"/><Relationship Id="rId4" Type="http://schemas.openxmlformats.org/officeDocument/2006/relationships/vmlDrawing" Target="../drawings/vmlDrawing31.v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14.xml"/><Relationship Id="rId13" Type="http://schemas.openxmlformats.org/officeDocument/2006/relationships/ctrlProp" Target="../ctrlProps/ctrlProp319.xml"/><Relationship Id="rId3" Type="http://schemas.openxmlformats.org/officeDocument/2006/relationships/drawing" Target="../drawings/drawing63.xml"/><Relationship Id="rId7" Type="http://schemas.openxmlformats.org/officeDocument/2006/relationships/ctrlProp" Target="../ctrlProps/ctrlProp313.xml"/><Relationship Id="rId12" Type="http://schemas.openxmlformats.org/officeDocument/2006/relationships/ctrlProp" Target="../ctrlProps/ctrlProp318.xml"/><Relationship Id="rId2" Type="http://schemas.openxmlformats.org/officeDocument/2006/relationships/printerSettings" Target="../printerSettings/printerSettings32.bin"/><Relationship Id="rId1" Type="http://schemas.openxmlformats.org/officeDocument/2006/relationships/hyperlink" Target="mailto:GERENCIA.DCMING@GMAIL.COM" TargetMode="External"/><Relationship Id="rId6" Type="http://schemas.openxmlformats.org/officeDocument/2006/relationships/ctrlProp" Target="../ctrlProps/ctrlProp312.xml"/><Relationship Id="rId11" Type="http://schemas.openxmlformats.org/officeDocument/2006/relationships/ctrlProp" Target="../ctrlProps/ctrlProp317.xml"/><Relationship Id="rId5" Type="http://schemas.openxmlformats.org/officeDocument/2006/relationships/ctrlProp" Target="../ctrlProps/ctrlProp311.xml"/><Relationship Id="rId15" Type="http://schemas.openxmlformats.org/officeDocument/2006/relationships/comments" Target="../comments32.xml"/><Relationship Id="rId10" Type="http://schemas.openxmlformats.org/officeDocument/2006/relationships/ctrlProp" Target="../ctrlProps/ctrlProp316.xml"/><Relationship Id="rId4" Type="http://schemas.openxmlformats.org/officeDocument/2006/relationships/vmlDrawing" Target="../drawings/vmlDrawing32.vml"/><Relationship Id="rId9" Type="http://schemas.openxmlformats.org/officeDocument/2006/relationships/ctrlProp" Target="../ctrlProps/ctrlProp315.xml"/><Relationship Id="rId14" Type="http://schemas.openxmlformats.org/officeDocument/2006/relationships/ctrlProp" Target="../ctrlProps/ctrlProp320.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324.xml"/><Relationship Id="rId13" Type="http://schemas.openxmlformats.org/officeDocument/2006/relationships/ctrlProp" Target="../ctrlProps/ctrlProp329.xml"/><Relationship Id="rId3" Type="http://schemas.openxmlformats.org/officeDocument/2006/relationships/drawing" Target="../drawings/drawing65.xml"/><Relationship Id="rId7" Type="http://schemas.openxmlformats.org/officeDocument/2006/relationships/ctrlProp" Target="../ctrlProps/ctrlProp323.xml"/><Relationship Id="rId12" Type="http://schemas.openxmlformats.org/officeDocument/2006/relationships/ctrlProp" Target="../ctrlProps/ctrlProp328.xml"/><Relationship Id="rId2" Type="http://schemas.openxmlformats.org/officeDocument/2006/relationships/printerSettings" Target="../printerSettings/printerSettings33.bin"/><Relationship Id="rId1" Type="http://schemas.openxmlformats.org/officeDocument/2006/relationships/hyperlink" Target="mailto:GERENCIA.DCMING@GMAIL.COM" TargetMode="External"/><Relationship Id="rId6" Type="http://schemas.openxmlformats.org/officeDocument/2006/relationships/ctrlProp" Target="../ctrlProps/ctrlProp322.xml"/><Relationship Id="rId11" Type="http://schemas.openxmlformats.org/officeDocument/2006/relationships/ctrlProp" Target="../ctrlProps/ctrlProp327.xml"/><Relationship Id="rId5" Type="http://schemas.openxmlformats.org/officeDocument/2006/relationships/ctrlProp" Target="../ctrlProps/ctrlProp321.xml"/><Relationship Id="rId15" Type="http://schemas.openxmlformats.org/officeDocument/2006/relationships/comments" Target="../comments33.xml"/><Relationship Id="rId10" Type="http://schemas.openxmlformats.org/officeDocument/2006/relationships/ctrlProp" Target="../ctrlProps/ctrlProp326.xml"/><Relationship Id="rId4" Type="http://schemas.openxmlformats.org/officeDocument/2006/relationships/vmlDrawing" Target="../drawings/vmlDrawing33.vml"/><Relationship Id="rId9" Type="http://schemas.openxmlformats.org/officeDocument/2006/relationships/ctrlProp" Target="../ctrlProps/ctrlProp325.xml"/><Relationship Id="rId14" Type="http://schemas.openxmlformats.org/officeDocument/2006/relationships/ctrlProp" Target="../ctrlProps/ctrlProp330.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334.xml"/><Relationship Id="rId13" Type="http://schemas.openxmlformats.org/officeDocument/2006/relationships/ctrlProp" Target="../ctrlProps/ctrlProp339.xml"/><Relationship Id="rId3" Type="http://schemas.openxmlformats.org/officeDocument/2006/relationships/drawing" Target="../drawings/drawing67.xml"/><Relationship Id="rId7" Type="http://schemas.openxmlformats.org/officeDocument/2006/relationships/ctrlProp" Target="../ctrlProps/ctrlProp333.xml"/><Relationship Id="rId12" Type="http://schemas.openxmlformats.org/officeDocument/2006/relationships/ctrlProp" Target="../ctrlProps/ctrlProp338.xml"/><Relationship Id="rId2" Type="http://schemas.openxmlformats.org/officeDocument/2006/relationships/printerSettings" Target="../printerSettings/printerSettings34.bin"/><Relationship Id="rId1" Type="http://schemas.openxmlformats.org/officeDocument/2006/relationships/hyperlink" Target="mailto:GERENCIA.DCMING@GMAIL.COM" TargetMode="External"/><Relationship Id="rId6" Type="http://schemas.openxmlformats.org/officeDocument/2006/relationships/ctrlProp" Target="../ctrlProps/ctrlProp332.xml"/><Relationship Id="rId11" Type="http://schemas.openxmlformats.org/officeDocument/2006/relationships/ctrlProp" Target="../ctrlProps/ctrlProp337.xml"/><Relationship Id="rId5" Type="http://schemas.openxmlformats.org/officeDocument/2006/relationships/ctrlProp" Target="../ctrlProps/ctrlProp331.xml"/><Relationship Id="rId15" Type="http://schemas.openxmlformats.org/officeDocument/2006/relationships/comments" Target="../comments34.xml"/><Relationship Id="rId10" Type="http://schemas.openxmlformats.org/officeDocument/2006/relationships/ctrlProp" Target="../ctrlProps/ctrlProp336.xml"/><Relationship Id="rId4" Type="http://schemas.openxmlformats.org/officeDocument/2006/relationships/vmlDrawing" Target="../drawings/vmlDrawing34.vml"/><Relationship Id="rId9" Type="http://schemas.openxmlformats.org/officeDocument/2006/relationships/ctrlProp" Target="../ctrlProps/ctrlProp335.xml"/><Relationship Id="rId14" Type="http://schemas.openxmlformats.org/officeDocument/2006/relationships/ctrlProp" Target="../ctrlProps/ctrlProp340.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344.xml"/><Relationship Id="rId13" Type="http://schemas.openxmlformats.org/officeDocument/2006/relationships/ctrlProp" Target="../ctrlProps/ctrlProp349.xml"/><Relationship Id="rId3" Type="http://schemas.openxmlformats.org/officeDocument/2006/relationships/drawing" Target="../drawings/drawing69.xml"/><Relationship Id="rId7" Type="http://schemas.openxmlformats.org/officeDocument/2006/relationships/ctrlProp" Target="../ctrlProps/ctrlProp343.xml"/><Relationship Id="rId12" Type="http://schemas.openxmlformats.org/officeDocument/2006/relationships/ctrlProp" Target="../ctrlProps/ctrlProp348.xml"/><Relationship Id="rId2" Type="http://schemas.openxmlformats.org/officeDocument/2006/relationships/printerSettings" Target="../printerSettings/printerSettings35.bin"/><Relationship Id="rId1" Type="http://schemas.openxmlformats.org/officeDocument/2006/relationships/hyperlink" Target="mailto:GERENCIA.DCMING@GMAIL.COM" TargetMode="External"/><Relationship Id="rId6" Type="http://schemas.openxmlformats.org/officeDocument/2006/relationships/ctrlProp" Target="../ctrlProps/ctrlProp342.xml"/><Relationship Id="rId11" Type="http://schemas.openxmlformats.org/officeDocument/2006/relationships/ctrlProp" Target="../ctrlProps/ctrlProp347.xml"/><Relationship Id="rId5" Type="http://schemas.openxmlformats.org/officeDocument/2006/relationships/ctrlProp" Target="../ctrlProps/ctrlProp341.xml"/><Relationship Id="rId15" Type="http://schemas.openxmlformats.org/officeDocument/2006/relationships/comments" Target="../comments35.xml"/><Relationship Id="rId10" Type="http://schemas.openxmlformats.org/officeDocument/2006/relationships/ctrlProp" Target="../ctrlProps/ctrlProp346.xml"/><Relationship Id="rId4" Type="http://schemas.openxmlformats.org/officeDocument/2006/relationships/vmlDrawing" Target="../drawings/vmlDrawing35.vml"/><Relationship Id="rId9" Type="http://schemas.openxmlformats.org/officeDocument/2006/relationships/ctrlProp" Target="../ctrlProps/ctrlProp345.xml"/><Relationship Id="rId14" Type="http://schemas.openxmlformats.org/officeDocument/2006/relationships/ctrlProp" Target="../ctrlProps/ctrlProp350.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354.xml"/><Relationship Id="rId13" Type="http://schemas.openxmlformats.org/officeDocument/2006/relationships/ctrlProp" Target="../ctrlProps/ctrlProp359.xml"/><Relationship Id="rId3" Type="http://schemas.openxmlformats.org/officeDocument/2006/relationships/drawing" Target="../drawings/drawing71.xml"/><Relationship Id="rId7" Type="http://schemas.openxmlformats.org/officeDocument/2006/relationships/ctrlProp" Target="../ctrlProps/ctrlProp353.xml"/><Relationship Id="rId12" Type="http://schemas.openxmlformats.org/officeDocument/2006/relationships/ctrlProp" Target="../ctrlProps/ctrlProp358.xml"/><Relationship Id="rId2" Type="http://schemas.openxmlformats.org/officeDocument/2006/relationships/printerSettings" Target="../printerSettings/printerSettings36.bin"/><Relationship Id="rId1" Type="http://schemas.openxmlformats.org/officeDocument/2006/relationships/hyperlink" Target="mailto:GERENCIA.DCMING@GMAIL.COM" TargetMode="External"/><Relationship Id="rId6" Type="http://schemas.openxmlformats.org/officeDocument/2006/relationships/ctrlProp" Target="../ctrlProps/ctrlProp352.xml"/><Relationship Id="rId11" Type="http://schemas.openxmlformats.org/officeDocument/2006/relationships/ctrlProp" Target="../ctrlProps/ctrlProp357.xml"/><Relationship Id="rId5" Type="http://schemas.openxmlformats.org/officeDocument/2006/relationships/ctrlProp" Target="../ctrlProps/ctrlProp351.xml"/><Relationship Id="rId15" Type="http://schemas.openxmlformats.org/officeDocument/2006/relationships/comments" Target="../comments36.xml"/><Relationship Id="rId10" Type="http://schemas.openxmlformats.org/officeDocument/2006/relationships/ctrlProp" Target="../ctrlProps/ctrlProp356.xml"/><Relationship Id="rId4" Type="http://schemas.openxmlformats.org/officeDocument/2006/relationships/vmlDrawing" Target="../drawings/vmlDrawing36.vml"/><Relationship Id="rId9" Type="http://schemas.openxmlformats.org/officeDocument/2006/relationships/ctrlProp" Target="../ctrlProps/ctrlProp355.xml"/><Relationship Id="rId14" Type="http://schemas.openxmlformats.org/officeDocument/2006/relationships/ctrlProp" Target="../ctrlProps/ctrlProp360.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3" Type="http://schemas.openxmlformats.org/officeDocument/2006/relationships/drawing" Target="../drawings/drawing73.xml"/><Relationship Id="rId7" Type="http://schemas.openxmlformats.org/officeDocument/2006/relationships/ctrlProp" Target="../ctrlProps/ctrlProp363.xml"/><Relationship Id="rId12" Type="http://schemas.openxmlformats.org/officeDocument/2006/relationships/ctrlProp" Target="../ctrlProps/ctrlProp368.xml"/><Relationship Id="rId2" Type="http://schemas.openxmlformats.org/officeDocument/2006/relationships/printerSettings" Target="../printerSettings/printerSettings37.bin"/><Relationship Id="rId1" Type="http://schemas.openxmlformats.org/officeDocument/2006/relationships/hyperlink" Target="mailto:GERENCIA.DCMING@GMAIL.COM" TargetMode="External"/><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omments" Target="../comments37.xml"/><Relationship Id="rId10" Type="http://schemas.openxmlformats.org/officeDocument/2006/relationships/ctrlProp" Target="../ctrlProps/ctrlProp366.xml"/><Relationship Id="rId4" Type="http://schemas.openxmlformats.org/officeDocument/2006/relationships/vmlDrawing" Target="../drawings/vmlDrawing37.v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374.xml"/><Relationship Id="rId13" Type="http://schemas.openxmlformats.org/officeDocument/2006/relationships/ctrlProp" Target="../ctrlProps/ctrlProp379.xml"/><Relationship Id="rId3" Type="http://schemas.openxmlformats.org/officeDocument/2006/relationships/drawing" Target="../drawings/drawing75.xml"/><Relationship Id="rId7" Type="http://schemas.openxmlformats.org/officeDocument/2006/relationships/ctrlProp" Target="../ctrlProps/ctrlProp373.xml"/><Relationship Id="rId12" Type="http://schemas.openxmlformats.org/officeDocument/2006/relationships/ctrlProp" Target="../ctrlProps/ctrlProp378.xml"/><Relationship Id="rId2" Type="http://schemas.openxmlformats.org/officeDocument/2006/relationships/printerSettings" Target="../printerSettings/printerSettings38.bin"/><Relationship Id="rId1" Type="http://schemas.openxmlformats.org/officeDocument/2006/relationships/hyperlink" Target="mailto:GERENCIA.DCMING@GMAIL.COM" TargetMode="External"/><Relationship Id="rId6" Type="http://schemas.openxmlformats.org/officeDocument/2006/relationships/ctrlProp" Target="../ctrlProps/ctrlProp372.xml"/><Relationship Id="rId11" Type="http://schemas.openxmlformats.org/officeDocument/2006/relationships/ctrlProp" Target="../ctrlProps/ctrlProp377.xml"/><Relationship Id="rId5" Type="http://schemas.openxmlformats.org/officeDocument/2006/relationships/ctrlProp" Target="../ctrlProps/ctrlProp371.xml"/><Relationship Id="rId15" Type="http://schemas.openxmlformats.org/officeDocument/2006/relationships/comments" Target="../comments38.xml"/><Relationship Id="rId10" Type="http://schemas.openxmlformats.org/officeDocument/2006/relationships/ctrlProp" Target="../ctrlProps/ctrlProp376.xml"/><Relationship Id="rId4" Type="http://schemas.openxmlformats.org/officeDocument/2006/relationships/vmlDrawing" Target="../drawings/vmlDrawing38.vml"/><Relationship Id="rId9" Type="http://schemas.openxmlformats.org/officeDocument/2006/relationships/ctrlProp" Target="../ctrlProps/ctrlProp375.xml"/><Relationship Id="rId14" Type="http://schemas.openxmlformats.org/officeDocument/2006/relationships/ctrlProp" Target="../ctrlProps/ctrlProp380.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384.xml"/><Relationship Id="rId13" Type="http://schemas.openxmlformats.org/officeDocument/2006/relationships/ctrlProp" Target="../ctrlProps/ctrlProp389.xml"/><Relationship Id="rId3" Type="http://schemas.openxmlformats.org/officeDocument/2006/relationships/drawing" Target="../drawings/drawing77.xml"/><Relationship Id="rId7" Type="http://schemas.openxmlformats.org/officeDocument/2006/relationships/ctrlProp" Target="../ctrlProps/ctrlProp383.xml"/><Relationship Id="rId12" Type="http://schemas.openxmlformats.org/officeDocument/2006/relationships/ctrlProp" Target="../ctrlProps/ctrlProp388.xml"/><Relationship Id="rId2" Type="http://schemas.openxmlformats.org/officeDocument/2006/relationships/printerSettings" Target="../printerSettings/printerSettings39.bin"/><Relationship Id="rId1" Type="http://schemas.openxmlformats.org/officeDocument/2006/relationships/hyperlink" Target="mailto:GERENCIA.DCMING@GMAIL.COM" TargetMode="External"/><Relationship Id="rId6" Type="http://schemas.openxmlformats.org/officeDocument/2006/relationships/ctrlProp" Target="../ctrlProps/ctrlProp382.xml"/><Relationship Id="rId11" Type="http://schemas.openxmlformats.org/officeDocument/2006/relationships/ctrlProp" Target="../ctrlProps/ctrlProp387.xml"/><Relationship Id="rId5" Type="http://schemas.openxmlformats.org/officeDocument/2006/relationships/ctrlProp" Target="../ctrlProps/ctrlProp381.xml"/><Relationship Id="rId15" Type="http://schemas.openxmlformats.org/officeDocument/2006/relationships/comments" Target="../comments39.xml"/><Relationship Id="rId10" Type="http://schemas.openxmlformats.org/officeDocument/2006/relationships/ctrlProp" Target="../ctrlProps/ctrlProp386.xml"/><Relationship Id="rId4" Type="http://schemas.openxmlformats.org/officeDocument/2006/relationships/vmlDrawing" Target="../drawings/vmlDrawing39.vml"/><Relationship Id="rId9" Type="http://schemas.openxmlformats.org/officeDocument/2006/relationships/ctrlProp" Target="../ctrlProps/ctrlProp385.xml"/><Relationship Id="rId14" Type="http://schemas.openxmlformats.org/officeDocument/2006/relationships/ctrlProp" Target="../ctrlProps/ctrlProp390.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394.xml"/><Relationship Id="rId13" Type="http://schemas.openxmlformats.org/officeDocument/2006/relationships/ctrlProp" Target="../ctrlProps/ctrlProp399.xml"/><Relationship Id="rId3" Type="http://schemas.openxmlformats.org/officeDocument/2006/relationships/drawing" Target="../drawings/drawing79.xml"/><Relationship Id="rId7" Type="http://schemas.openxmlformats.org/officeDocument/2006/relationships/ctrlProp" Target="../ctrlProps/ctrlProp393.xml"/><Relationship Id="rId12" Type="http://schemas.openxmlformats.org/officeDocument/2006/relationships/ctrlProp" Target="../ctrlProps/ctrlProp398.xml"/><Relationship Id="rId2" Type="http://schemas.openxmlformats.org/officeDocument/2006/relationships/printerSettings" Target="../printerSettings/printerSettings40.bin"/><Relationship Id="rId1" Type="http://schemas.openxmlformats.org/officeDocument/2006/relationships/hyperlink" Target="mailto:GERENCIA.DCMING@GMAIL.COM" TargetMode="External"/><Relationship Id="rId6" Type="http://schemas.openxmlformats.org/officeDocument/2006/relationships/ctrlProp" Target="../ctrlProps/ctrlProp392.xml"/><Relationship Id="rId11" Type="http://schemas.openxmlformats.org/officeDocument/2006/relationships/ctrlProp" Target="../ctrlProps/ctrlProp397.xml"/><Relationship Id="rId5" Type="http://schemas.openxmlformats.org/officeDocument/2006/relationships/ctrlProp" Target="../ctrlProps/ctrlProp391.xml"/><Relationship Id="rId15" Type="http://schemas.openxmlformats.org/officeDocument/2006/relationships/comments" Target="../comments40.xml"/><Relationship Id="rId10" Type="http://schemas.openxmlformats.org/officeDocument/2006/relationships/ctrlProp" Target="../ctrlProps/ctrlProp396.xml"/><Relationship Id="rId4" Type="http://schemas.openxmlformats.org/officeDocument/2006/relationships/vmlDrawing" Target="../drawings/vmlDrawing40.vml"/><Relationship Id="rId9" Type="http://schemas.openxmlformats.org/officeDocument/2006/relationships/ctrlProp" Target="../ctrlProps/ctrlProp395.xml"/><Relationship Id="rId14" Type="http://schemas.openxmlformats.org/officeDocument/2006/relationships/ctrlProp" Target="../ctrlProps/ctrlProp400.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404.xml"/><Relationship Id="rId13" Type="http://schemas.openxmlformats.org/officeDocument/2006/relationships/ctrlProp" Target="../ctrlProps/ctrlProp409.xml"/><Relationship Id="rId3" Type="http://schemas.openxmlformats.org/officeDocument/2006/relationships/drawing" Target="../drawings/drawing81.xml"/><Relationship Id="rId7" Type="http://schemas.openxmlformats.org/officeDocument/2006/relationships/ctrlProp" Target="../ctrlProps/ctrlProp403.xml"/><Relationship Id="rId12" Type="http://schemas.openxmlformats.org/officeDocument/2006/relationships/ctrlProp" Target="../ctrlProps/ctrlProp408.xml"/><Relationship Id="rId2" Type="http://schemas.openxmlformats.org/officeDocument/2006/relationships/printerSettings" Target="../printerSettings/printerSettings41.bin"/><Relationship Id="rId1" Type="http://schemas.openxmlformats.org/officeDocument/2006/relationships/hyperlink" Target="mailto:GERENCIA.DCMING@GMAIL.COM" TargetMode="External"/><Relationship Id="rId6" Type="http://schemas.openxmlformats.org/officeDocument/2006/relationships/ctrlProp" Target="../ctrlProps/ctrlProp402.xml"/><Relationship Id="rId11" Type="http://schemas.openxmlformats.org/officeDocument/2006/relationships/ctrlProp" Target="../ctrlProps/ctrlProp407.xml"/><Relationship Id="rId5" Type="http://schemas.openxmlformats.org/officeDocument/2006/relationships/ctrlProp" Target="../ctrlProps/ctrlProp401.xml"/><Relationship Id="rId15" Type="http://schemas.openxmlformats.org/officeDocument/2006/relationships/comments" Target="../comments41.xml"/><Relationship Id="rId10" Type="http://schemas.openxmlformats.org/officeDocument/2006/relationships/ctrlProp" Target="../ctrlProps/ctrlProp406.xml"/><Relationship Id="rId4" Type="http://schemas.openxmlformats.org/officeDocument/2006/relationships/vmlDrawing" Target="../drawings/vmlDrawing41.vml"/><Relationship Id="rId9" Type="http://schemas.openxmlformats.org/officeDocument/2006/relationships/ctrlProp" Target="../ctrlProps/ctrlProp405.xml"/><Relationship Id="rId14" Type="http://schemas.openxmlformats.org/officeDocument/2006/relationships/ctrlProp" Target="../ctrlProps/ctrlProp41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414.xml"/><Relationship Id="rId13" Type="http://schemas.openxmlformats.org/officeDocument/2006/relationships/ctrlProp" Target="../ctrlProps/ctrlProp419.xml"/><Relationship Id="rId3" Type="http://schemas.openxmlformats.org/officeDocument/2006/relationships/drawing" Target="../drawings/drawing83.xml"/><Relationship Id="rId7" Type="http://schemas.openxmlformats.org/officeDocument/2006/relationships/ctrlProp" Target="../ctrlProps/ctrlProp413.xml"/><Relationship Id="rId12" Type="http://schemas.openxmlformats.org/officeDocument/2006/relationships/ctrlProp" Target="../ctrlProps/ctrlProp418.xml"/><Relationship Id="rId2" Type="http://schemas.openxmlformats.org/officeDocument/2006/relationships/printerSettings" Target="../printerSettings/printerSettings42.bin"/><Relationship Id="rId1" Type="http://schemas.openxmlformats.org/officeDocument/2006/relationships/hyperlink" Target="mailto:GERENCIA.DCMING@GMAIL.COM" TargetMode="External"/><Relationship Id="rId6" Type="http://schemas.openxmlformats.org/officeDocument/2006/relationships/ctrlProp" Target="../ctrlProps/ctrlProp412.xml"/><Relationship Id="rId11" Type="http://schemas.openxmlformats.org/officeDocument/2006/relationships/ctrlProp" Target="../ctrlProps/ctrlProp417.xml"/><Relationship Id="rId5" Type="http://schemas.openxmlformats.org/officeDocument/2006/relationships/ctrlProp" Target="../ctrlProps/ctrlProp411.xml"/><Relationship Id="rId15" Type="http://schemas.openxmlformats.org/officeDocument/2006/relationships/comments" Target="../comments42.xml"/><Relationship Id="rId10" Type="http://schemas.openxmlformats.org/officeDocument/2006/relationships/ctrlProp" Target="../ctrlProps/ctrlProp416.xml"/><Relationship Id="rId4" Type="http://schemas.openxmlformats.org/officeDocument/2006/relationships/vmlDrawing" Target="../drawings/vmlDrawing42.vml"/><Relationship Id="rId9" Type="http://schemas.openxmlformats.org/officeDocument/2006/relationships/ctrlProp" Target="../ctrlProps/ctrlProp415.xml"/><Relationship Id="rId14" Type="http://schemas.openxmlformats.org/officeDocument/2006/relationships/ctrlProp" Target="../ctrlProps/ctrlProp420.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424.xml"/><Relationship Id="rId13" Type="http://schemas.openxmlformats.org/officeDocument/2006/relationships/ctrlProp" Target="../ctrlProps/ctrlProp429.xml"/><Relationship Id="rId3" Type="http://schemas.openxmlformats.org/officeDocument/2006/relationships/drawing" Target="../drawings/drawing85.xml"/><Relationship Id="rId7" Type="http://schemas.openxmlformats.org/officeDocument/2006/relationships/ctrlProp" Target="../ctrlProps/ctrlProp423.xml"/><Relationship Id="rId12" Type="http://schemas.openxmlformats.org/officeDocument/2006/relationships/ctrlProp" Target="../ctrlProps/ctrlProp428.xml"/><Relationship Id="rId2" Type="http://schemas.openxmlformats.org/officeDocument/2006/relationships/printerSettings" Target="../printerSettings/printerSettings43.bin"/><Relationship Id="rId1" Type="http://schemas.openxmlformats.org/officeDocument/2006/relationships/hyperlink" Target="mailto:GERENCIA.DCMING@GMAIL.COM" TargetMode="External"/><Relationship Id="rId6" Type="http://schemas.openxmlformats.org/officeDocument/2006/relationships/ctrlProp" Target="../ctrlProps/ctrlProp422.xml"/><Relationship Id="rId11" Type="http://schemas.openxmlformats.org/officeDocument/2006/relationships/ctrlProp" Target="../ctrlProps/ctrlProp427.xml"/><Relationship Id="rId5" Type="http://schemas.openxmlformats.org/officeDocument/2006/relationships/ctrlProp" Target="../ctrlProps/ctrlProp421.xml"/><Relationship Id="rId15" Type="http://schemas.openxmlformats.org/officeDocument/2006/relationships/comments" Target="../comments43.xml"/><Relationship Id="rId10" Type="http://schemas.openxmlformats.org/officeDocument/2006/relationships/ctrlProp" Target="../ctrlProps/ctrlProp426.xml"/><Relationship Id="rId4" Type="http://schemas.openxmlformats.org/officeDocument/2006/relationships/vmlDrawing" Target="../drawings/vmlDrawing43.vml"/><Relationship Id="rId9" Type="http://schemas.openxmlformats.org/officeDocument/2006/relationships/ctrlProp" Target="../ctrlProps/ctrlProp425.xml"/><Relationship Id="rId14" Type="http://schemas.openxmlformats.org/officeDocument/2006/relationships/ctrlProp" Target="../ctrlProps/ctrlProp430.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434.xml"/><Relationship Id="rId13" Type="http://schemas.openxmlformats.org/officeDocument/2006/relationships/ctrlProp" Target="../ctrlProps/ctrlProp439.xml"/><Relationship Id="rId3" Type="http://schemas.openxmlformats.org/officeDocument/2006/relationships/drawing" Target="../drawings/drawing87.xml"/><Relationship Id="rId7" Type="http://schemas.openxmlformats.org/officeDocument/2006/relationships/ctrlProp" Target="../ctrlProps/ctrlProp433.xml"/><Relationship Id="rId12" Type="http://schemas.openxmlformats.org/officeDocument/2006/relationships/ctrlProp" Target="../ctrlProps/ctrlProp438.xml"/><Relationship Id="rId2" Type="http://schemas.openxmlformats.org/officeDocument/2006/relationships/printerSettings" Target="../printerSettings/printerSettings44.bin"/><Relationship Id="rId1" Type="http://schemas.openxmlformats.org/officeDocument/2006/relationships/hyperlink" Target="mailto:GERENCIA.DCMING@GMAIL.COM" TargetMode="External"/><Relationship Id="rId6" Type="http://schemas.openxmlformats.org/officeDocument/2006/relationships/ctrlProp" Target="../ctrlProps/ctrlProp432.xml"/><Relationship Id="rId11" Type="http://schemas.openxmlformats.org/officeDocument/2006/relationships/ctrlProp" Target="../ctrlProps/ctrlProp437.xml"/><Relationship Id="rId5" Type="http://schemas.openxmlformats.org/officeDocument/2006/relationships/ctrlProp" Target="../ctrlProps/ctrlProp431.xml"/><Relationship Id="rId15" Type="http://schemas.openxmlformats.org/officeDocument/2006/relationships/comments" Target="../comments44.xml"/><Relationship Id="rId10" Type="http://schemas.openxmlformats.org/officeDocument/2006/relationships/ctrlProp" Target="../ctrlProps/ctrlProp436.xml"/><Relationship Id="rId4" Type="http://schemas.openxmlformats.org/officeDocument/2006/relationships/vmlDrawing" Target="../drawings/vmlDrawing44.vml"/><Relationship Id="rId9" Type="http://schemas.openxmlformats.org/officeDocument/2006/relationships/ctrlProp" Target="../ctrlProps/ctrlProp435.xml"/><Relationship Id="rId14" Type="http://schemas.openxmlformats.org/officeDocument/2006/relationships/ctrlProp" Target="../ctrlProps/ctrlProp440.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444.xml"/><Relationship Id="rId13" Type="http://schemas.openxmlformats.org/officeDocument/2006/relationships/ctrlProp" Target="../ctrlProps/ctrlProp449.xml"/><Relationship Id="rId3" Type="http://schemas.openxmlformats.org/officeDocument/2006/relationships/drawing" Target="../drawings/drawing89.xml"/><Relationship Id="rId7" Type="http://schemas.openxmlformats.org/officeDocument/2006/relationships/ctrlProp" Target="../ctrlProps/ctrlProp443.xml"/><Relationship Id="rId12" Type="http://schemas.openxmlformats.org/officeDocument/2006/relationships/ctrlProp" Target="../ctrlProps/ctrlProp448.xml"/><Relationship Id="rId2" Type="http://schemas.openxmlformats.org/officeDocument/2006/relationships/printerSettings" Target="../printerSettings/printerSettings45.bin"/><Relationship Id="rId1" Type="http://schemas.openxmlformats.org/officeDocument/2006/relationships/hyperlink" Target="mailto:GERENCIA.DCMING@GMAIL.COM" TargetMode="External"/><Relationship Id="rId6" Type="http://schemas.openxmlformats.org/officeDocument/2006/relationships/ctrlProp" Target="../ctrlProps/ctrlProp442.xml"/><Relationship Id="rId11" Type="http://schemas.openxmlformats.org/officeDocument/2006/relationships/ctrlProp" Target="../ctrlProps/ctrlProp447.xml"/><Relationship Id="rId5" Type="http://schemas.openxmlformats.org/officeDocument/2006/relationships/ctrlProp" Target="../ctrlProps/ctrlProp441.xml"/><Relationship Id="rId15" Type="http://schemas.openxmlformats.org/officeDocument/2006/relationships/comments" Target="../comments45.xml"/><Relationship Id="rId10" Type="http://schemas.openxmlformats.org/officeDocument/2006/relationships/ctrlProp" Target="../ctrlProps/ctrlProp446.xml"/><Relationship Id="rId4" Type="http://schemas.openxmlformats.org/officeDocument/2006/relationships/vmlDrawing" Target="../drawings/vmlDrawing45.vml"/><Relationship Id="rId9" Type="http://schemas.openxmlformats.org/officeDocument/2006/relationships/ctrlProp" Target="../ctrlProps/ctrlProp445.xml"/><Relationship Id="rId14" Type="http://schemas.openxmlformats.org/officeDocument/2006/relationships/ctrlProp" Target="../ctrlProps/ctrlProp450.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454.xml"/><Relationship Id="rId13" Type="http://schemas.openxmlformats.org/officeDocument/2006/relationships/ctrlProp" Target="../ctrlProps/ctrlProp459.xml"/><Relationship Id="rId3" Type="http://schemas.openxmlformats.org/officeDocument/2006/relationships/drawing" Target="../drawings/drawing91.xml"/><Relationship Id="rId7" Type="http://schemas.openxmlformats.org/officeDocument/2006/relationships/ctrlProp" Target="../ctrlProps/ctrlProp453.xml"/><Relationship Id="rId12" Type="http://schemas.openxmlformats.org/officeDocument/2006/relationships/ctrlProp" Target="../ctrlProps/ctrlProp458.xml"/><Relationship Id="rId2" Type="http://schemas.openxmlformats.org/officeDocument/2006/relationships/printerSettings" Target="../printerSettings/printerSettings46.bin"/><Relationship Id="rId1" Type="http://schemas.openxmlformats.org/officeDocument/2006/relationships/hyperlink" Target="mailto:GERENCIA.DCMING@GMAIL.COM" TargetMode="External"/><Relationship Id="rId6" Type="http://schemas.openxmlformats.org/officeDocument/2006/relationships/ctrlProp" Target="../ctrlProps/ctrlProp452.xml"/><Relationship Id="rId11" Type="http://schemas.openxmlformats.org/officeDocument/2006/relationships/ctrlProp" Target="../ctrlProps/ctrlProp457.xml"/><Relationship Id="rId5" Type="http://schemas.openxmlformats.org/officeDocument/2006/relationships/ctrlProp" Target="../ctrlProps/ctrlProp451.xml"/><Relationship Id="rId15" Type="http://schemas.openxmlformats.org/officeDocument/2006/relationships/comments" Target="../comments46.xml"/><Relationship Id="rId10" Type="http://schemas.openxmlformats.org/officeDocument/2006/relationships/ctrlProp" Target="../ctrlProps/ctrlProp456.xml"/><Relationship Id="rId4" Type="http://schemas.openxmlformats.org/officeDocument/2006/relationships/vmlDrawing" Target="../drawings/vmlDrawing46.vml"/><Relationship Id="rId9" Type="http://schemas.openxmlformats.org/officeDocument/2006/relationships/ctrlProp" Target="../ctrlProps/ctrlProp455.xml"/><Relationship Id="rId14" Type="http://schemas.openxmlformats.org/officeDocument/2006/relationships/ctrlProp" Target="../ctrlProps/ctrlProp460.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464.xml"/><Relationship Id="rId13" Type="http://schemas.openxmlformats.org/officeDocument/2006/relationships/ctrlProp" Target="../ctrlProps/ctrlProp469.xml"/><Relationship Id="rId3" Type="http://schemas.openxmlformats.org/officeDocument/2006/relationships/drawing" Target="../drawings/drawing93.xml"/><Relationship Id="rId7" Type="http://schemas.openxmlformats.org/officeDocument/2006/relationships/ctrlProp" Target="../ctrlProps/ctrlProp463.xml"/><Relationship Id="rId12" Type="http://schemas.openxmlformats.org/officeDocument/2006/relationships/ctrlProp" Target="../ctrlProps/ctrlProp468.xml"/><Relationship Id="rId2" Type="http://schemas.openxmlformats.org/officeDocument/2006/relationships/printerSettings" Target="../printerSettings/printerSettings47.bin"/><Relationship Id="rId1" Type="http://schemas.openxmlformats.org/officeDocument/2006/relationships/hyperlink" Target="mailto:GERENCIA.DCMING@GMAIL.COM" TargetMode="External"/><Relationship Id="rId6" Type="http://schemas.openxmlformats.org/officeDocument/2006/relationships/ctrlProp" Target="../ctrlProps/ctrlProp462.xml"/><Relationship Id="rId11" Type="http://schemas.openxmlformats.org/officeDocument/2006/relationships/ctrlProp" Target="../ctrlProps/ctrlProp467.xml"/><Relationship Id="rId5" Type="http://schemas.openxmlformats.org/officeDocument/2006/relationships/ctrlProp" Target="../ctrlProps/ctrlProp461.xml"/><Relationship Id="rId15" Type="http://schemas.openxmlformats.org/officeDocument/2006/relationships/comments" Target="../comments47.xml"/><Relationship Id="rId10" Type="http://schemas.openxmlformats.org/officeDocument/2006/relationships/ctrlProp" Target="../ctrlProps/ctrlProp466.xml"/><Relationship Id="rId4" Type="http://schemas.openxmlformats.org/officeDocument/2006/relationships/vmlDrawing" Target="../drawings/vmlDrawing47.vml"/><Relationship Id="rId9" Type="http://schemas.openxmlformats.org/officeDocument/2006/relationships/ctrlProp" Target="../ctrlProps/ctrlProp465.xml"/><Relationship Id="rId14" Type="http://schemas.openxmlformats.org/officeDocument/2006/relationships/ctrlProp" Target="../ctrlProps/ctrlProp470.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474.xml"/><Relationship Id="rId13" Type="http://schemas.openxmlformats.org/officeDocument/2006/relationships/ctrlProp" Target="../ctrlProps/ctrlProp479.xml"/><Relationship Id="rId3" Type="http://schemas.openxmlformats.org/officeDocument/2006/relationships/drawing" Target="../drawings/drawing95.xml"/><Relationship Id="rId7" Type="http://schemas.openxmlformats.org/officeDocument/2006/relationships/ctrlProp" Target="../ctrlProps/ctrlProp473.xml"/><Relationship Id="rId12" Type="http://schemas.openxmlformats.org/officeDocument/2006/relationships/ctrlProp" Target="../ctrlProps/ctrlProp478.xml"/><Relationship Id="rId2" Type="http://schemas.openxmlformats.org/officeDocument/2006/relationships/printerSettings" Target="../printerSettings/printerSettings48.bin"/><Relationship Id="rId1" Type="http://schemas.openxmlformats.org/officeDocument/2006/relationships/hyperlink" Target="mailto:GERENCIA.DCMING@GMAIL.COM" TargetMode="External"/><Relationship Id="rId6" Type="http://schemas.openxmlformats.org/officeDocument/2006/relationships/ctrlProp" Target="../ctrlProps/ctrlProp472.xml"/><Relationship Id="rId11" Type="http://schemas.openxmlformats.org/officeDocument/2006/relationships/ctrlProp" Target="../ctrlProps/ctrlProp477.xml"/><Relationship Id="rId5" Type="http://schemas.openxmlformats.org/officeDocument/2006/relationships/ctrlProp" Target="../ctrlProps/ctrlProp471.xml"/><Relationship Id="rId15" Type="http://schemas.openxmlformats.org/officeDocument/2006/relationships/comments" Target="../comments48.xml"/><Relationship Id="rId10" Type="http://schemas.openxmlformats.org/officeDocument/2006/relationships/ctrlProp" Target="../ctrlProps/ctrlProp476.xml"/><Relationship Id="rId4" Type="http://schemas.openxmlformats.org/officeDocument/2006/relationships/vmlDrawing" Target="../drawings/vmlDrawing48.vml"/><Relationship Id="rId9" Type="http://schemas.openxmlformats.org/officeDocument/2006/relationships/ctrlProp" Target="../ctrlProps/ctrlProp475.xml"/><Relationship Id="rId14" Type="http://schemas.openxmlformats.org/officeDocument/2006/relationships/ctrlProp" Target="../ctrlProps/ctrlProp480.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484.xml"/><Relationship Id="rId13" Type="http://schemas.openxmlformats.org/officeDocument/2006/relationships/ctrlProp" Target="../ctrlProps/ctrlProp489.xml"/><Relationship Id="rId3" Type="http://schemas.openxmlformats.org/officeDocument/2006/relationships/drawing" Target="../drawings/drawing97.xml"/><Relationship Id="rId7" Type="http://schemas.openxmlformats.org/officeDocument/2006/relationships/ctrlProp" Target="../ctrlProps/ctrlProp483.xml"/><Relationship Id="rId12" Type="http://schemas.openxmlformats.org/officeDocument/2006/relationships/ctrlProp" Target="../ctrlProps/ctrlProp488.xml"/><Relationship Id="rId2" Type="http://schemas.openxmlformats.org/officeDocument/2006/relationships/printerSettings" Target="../printerSettings/printerSettings49.bin"/><Relationship Id="rId1" Type="http://schemas.openxmlformats.org/officeDocument/2006/relationships/hyperlink" Target="mailto:GERENCIA.DCMING@GMAIL.COM" TargetMode="External"/><Relationship Id="rId6" Type="http://schemas.openxmlformats.org/officeDocument/2006/relationships/ctrlProp" Target="../ctrlProps/ctrlProp482.xml"/><Relationship Id="rId11" Type="http://schemas.openxmlformats.org/officeDocument/2006/relationships/ctrlProp" Target="../ctrlProps/ctrlProp487.xml"/><Relationship Id="rId5" Type="http://schemas.openxmlformats.org/officeDocument/2006/relationships/ctrlProp" Target="../ctrlProps/ctrlProp481.xml"/><Relationship Id="rId15" Type="http://schemas.openxmlformats.org/officeDocument/2006/relationships/comments" Target="../comments49.xml"/><Relationship Id="rId10" Type="http://schemas.openxmlformats.org/officeDocument/2006/relationships/ctrlProp" Target="../ctrlProps/ctrlProp486.xml"/><Relationship Id="rId4" Type="http://schemas.openxmlformats.org/officeDocument/2006/relationships/vmlDrawing" Target="../drawings/vmlDrawing49.vml"/><Relationship Id="rId9" Type="http://schemas.openxmlformats.org/officeDocument/2006/relationships/ctrlProp" Target="../ctrlProps/ctrlProp485.xml"/><Relationship Id="rId14" Type="http://schemas.openxmlformats.org/officeDocument/2006/relationships/ctrlProp" Target="../ctrlProps/ctrlProp490.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494.xml"/><Relationship Id="rId13" Type="http://schemas.openxmlformats.org/officeDocument/2006/relationships/ctrlProp" Target="../ctrlProps/ctrlProp499.xml"/><Relationship Id="rId3" Type="http://schemas.openxmlformats.org/officeDocument/2006/relationships/drawing" Target="../drawings/drawing99.xml"/><Relationship Id="rId7" Type="http://schemas.openxmlformats.org/officeDocument/2006/relationships/ctrlProp" Target="../ctrlProps/ctrlProp493.xml"/><Relationship Id="rId12" Type="http://schemas.openxmlformats.org/officeDocument/2006/relationships/ctrlProp" Target="../ctrlProps/ctrlProp498.xml"/><Relationship Id="rId2" Type="http://schemas.openxmlformats.org/officeDocument/2006/relationships/printerSettings" Target="../printerSettings/printerSettings50.bin"/><Relationship Id="rId1" Type="http://schemas.openxmlformats.org/officeDocument/2006/relationships/hyperlink" Target="mailto:GERENCIA.DCMING@GMAIL.COM" TargetMode="External"/><Relationship Id="rId6" Type="http://schemas.openxmlformats.org/officeDocument/2006/relationships/ctrlProp" Target="../ctrlProps/ctrlProp492.xml"/><Relationship Id="rId11" Type="http://schemas.openxmlformats.org/officeDocument/2006/relationships/ctrlProp" Target="../ctrlProps/ctrlProp497.xml"/><Relationship Id="rId5" Type="http://schemas.openxmlformats.org/officeDocument/2006/relationships/ctrlProp" Target="../ctrlProps/ctrlProp491.xml"/><Relationship Id="rId15" Type="http://schemas.openxmlformats.org/officeDocument/2006/relationships/comments" Target="../comments50.xml"/><Relationship Id="rId10" Type="http://schemas.openxmlformats.org/officeDocument/2006/relationships/ctrlProp" Target="../ctrlProps/ctrlProp496.xml"/><Relationship Id="rId4" Type="http://schemas.openxmlformats.org/officeDocument/2006/relationships/vmlDrawing" Target="../drawings/vmlDrawing50.vml"/><Relationship Id="rId9" Type="http://schemas.openxmlformats.org/officeDocument/2006/relationships/ctrlProp" Target="../ctrlProps/ctrlProp495.xml"/><Relationship Id="rId14" Type="http://schemas.openxmlformats.org/officeDocument/2006/relationships/ctrlProp" Target="../ctrlProps/ctrlProp500.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504.xml"/><Relationship Id="rId13" Type="http://schemas.openxmlformats.org/officeDocument/2006/relationships/ctrlProp" Target="../ctrlProps/ctrlProp509.xml"/><Relationship Id="rId3" Type="http://schemas.openxmlformats.org/officeDocument/2006/relationships/drawing" Target="../drawings/drawing101.xml"/><Relationship Id="rId7" Type="http://schemas.openxmlformats.org/officeDocument/2006/relationships/ctrlProp" Target="../ctrlProps/ctrlProp503.xml"/><Relationship Id="rId12" Type="http://schemas.openxmlformats.org/officeDocument/2006/relationships/ctrlProp" Target="../ctrlProps/ctrlProp508.xml"/><Relationship Id="rId2" Type="http://schemas.openxmlformats.org/officeDocument/2006/relationships/printerSettings" Target="../printerSettings/printerSettings51.bin"/><Relationship Id="rId1" Type="http://schemas.openxmlformats.org/officeDocument/2006/relationships/hyperlink" Target="mailto:GERENCIA.DCMING@GMAIL.COM" TargetMode="External"/><Relationship Id="rId6" Type="http://schemas.openxmlformats.org/officeDocument/2006/relationships/ctrlProp" Target="../ctrlProps/ctrlProp502.xml"/><Relationship Id="rId11" Type="http://schemas.openxmlformats.org/officeDocument/2006/relationships/ctrlProp" Target="../ctrlProps/ctrlProp507.xml"/><Relationship Id="rId5" Type="http://schemas.openxmlformats.org/officeDocument/2006/relationships/ctrlProp" Target="../ctrlProps/ctrlProp501.xml"/><Relationship Id="rId15" Type="http://schemas.openxmlformats.org/officeDocument/2006/relationships/comments" Target="../comments51.xml"/><Relationship Id="rId10" Type="http://schemas.openxmlformats.org/officeDocument/2006/relationships/ctrlProp" Target="../ctrlProps/ctrlProp506.xml"/><Relationship Id="rId4" Type="http://schemas.openxmlformats.org/officeDocument/2006/relationships/vmlDrawing" Target="../drawings/vmlDrawing51.vml"/><Relationship Id="rId9" Type="http://schemas.openxmlformats.org/officeDocument/2006/relationships/ctrlProp" Target="../ctrlProps/ctrlProp505.xml"/><Relationship Id="rId14" Type="http://schemas.openxmlformats.org/officeDocument/2006/relationships/ctrlProp" Target="../ctrlProps/ctrlProp510.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514.xml"/><Relationship Id="rId13" Type="http://schemas.openxmlformats.org/officeDocument/2006/relationships/ctrlProp" Target="../ctrlProps/ctrlProp519.xml"/><Relationship Id="rId3" Type="http://schemas.openxmlformats.org/officeDocument/2006/relationships/drawing" Target="../drawings/drawing103.xml"/><Relationship Id="rId7" Type="http://schemas.openxmlformats.org/officeDocument/2006/relationships/ctrlProp" Target="../ctrlProps/ctrlProp513.xml"/><Relationship Id="rId12" Type="http://schemas.openxmlformats.org/officeDocument/2006/relationships/ctrlProp" Target="../ctrlProps/ctrlProp518.xml"/><Relationship Id="rId2" Type="http://schemas.openxmlformats.org/officeDocument/2006/relationships/printerSettings" Target="../printerSettings/printerSettings52.bin"/><Relationship Id="rId1" Type="http://schemas.openxmlformats.org/officeDocument/2006/relationships/hyperlink" Target="mailto:GERENCIA.DCMING@GMAIL.COM" TargetMode="External"/><Relationship Id="rId6" Type="http://schemas.openxmlformats.org/officeDocument/2006/relationships/ctrlProp" Target="../ctrlProps/ctrlProp512.xml"/><Relationship Id="rId11" Type="http://schemas.openxmlformats.org/officeDocument/2006/relationships/ctrlProp" Target="../ctrlProps/ctrlProp517.xml"/><Relationship Id="rId5" Type="http://schemas.openxmlformats.org/officeDocument/2006/relationships/ctrlProp" Target="../ctrlProps/ctrlProp511.xml"/><Relationship Id="rId15" Type="http://schemas.openxmlformats.org/officeDocument/2006/relationships/comments" Target="../comments52.xml"/><Relationship Id="rId10" Type="http://schemas.openxmlformats.org/officeDocument/2006/relationships/ctrlProp" Target="../ctrlProps/ctrlProp516.xml"/><Relationship Id="rId4" Type="http://schemas.openxmlformats.org/officeDocument/2006/relationships/vmlDrawing" Target="../drawings/vmlDrawing52.vml"/><Relationship Id="rId9" Type="http://schemas.openxmlformats.org/officeDocument/2006/relationships/ctrlProp" Target="../ctrlProps/ctrlProp515.xml"/><Relationship Id="rId14" Type="http://schemas.openxmlformats.org/officeDocument/2006/relationships/ctrlProp" Target="../ctrlProps/ctrlProp520.xml"/></Relationships>
</file>

<file path=xl/worksheets/_rels/sheet55.xml.rels><?xml version="1.0" encoding="UTF-8" standalone="yes"?>
<Relationships xmlns="http://schemas.openxmlformats.org/package/2006/relationships"><Relationship Id="rId8" Type="http://schemas.openxmlformats.org/officeDocument/2006/relationships/ctrlProp" Target="../ctrlProps/ctrlProp524.xml"/><Relationship Id="rId13" Type="http://schemas.openxmlformats.org/officeDocument/2006/relationships/ctrlProp" Target="../ctrlProps/ctrlProp529.xml"/><Relationship Id="rId3" Type="http://schemas.openxmlformats.org/officeDocument/2006/relationships/drawing" Target="../drawings/drawing105.xml"/><Relationship Id="rId7" Type="http://schemas.openxmlformats.org/officeDocument/2006/relationships/ctrlProp" Target="../ctrlProps/ctrlProp523.xml"/><Relationship Id="rId12" Type="http://schemas.openxmlformats.org/officeDocument/2006/relationships/ctrlProp" Target="../ctrlProps/ctrlProp528.xml"/><Relationship Id="rId2" Type="http://schemas.openxmlformats.org/officeDocument/2006/relationships/printerSettings" Target="../printerSettings/printerSettings53.bin"/><Relationship Id="rId1" Type="http://schemas.openxmlformats.org/officeDocument/2006/relationships/hyperlink" Target="mailto:GERENCIA.DCMING@GMAIL.COM" TargetMode="External"/><Relationship Id="rId6" Type="http://schemas.openxmlformats.org/officeDocument/2006/relationships/ctrlProp" Target="../ctrlProps/ctrlProp522.xml"/><Relationship Id="rId11" Type="http://schemas.openxmlformats.org/officeDocument/2006/relationships/ctrlProp" Target="../ctrlProps/ctrlProp527.xml"/><Relationship Id="rId5" Type="http://schemas.openxmlformats.org/officeDocument/2006/relationships/ctrlProp" Target="../ctrlProps/ctrlProp521.xml"/><Relationship Id="rId15" Type="http://schemas.openxmlformats.org/officeDocument/2006/relationships/comments" Target="../comments53.xml"/><Relationship Id="rId10" Type="http://schemas.openxmlformats.org/officeDocument/2006/relationships/ctrlProp" Target="../ctrlProps/ctrlProp526.xml"/><Relationship Id="rId4" Type="http://schemas.openxmlformats.org/officeDocument/2006/relationships/vmlDrawing" Target="../drawings/vmlDrawing53.vml"/><Relationship Id="rId9" Type="http://schemas.openxmlformats.org/officeDocument/2006/relationships/ctrlProp" Target="../ctrlProps/ctrlProp525.xml"/><Relationship Id="rId14" Type="http://schemas.openxmlformats.org/officeDocument/2006/relationships/ctrlProp" Target="../ctrlProps/ctrlProp530.xml"/></Relationships>
</file>

<file path=xl/worksheets/_rels/sheet56.xml.rels><?xml version="1.0" encoding="UTF-8" standalone="yes"?>
<Relationships xmlns="http://schemas.openxmlformats.org/package/2006/relationships"><Relationship Id="rId8" Type="http://schemas.openxmlformats.org/officeDocument/2006/relationships/ctrlProp" Target="../ctrlProps/ctrlProp534.xml"/><Relationship Id="rId13" Type="http://schemas.openxmlformats.org/officeDocument/2006/relationships/ctrlProp" Target="../ctrlProps/ctrlProp539.xml"/><Relationship Id="rId3" Type="http://schemas.openxmlformats.org/officeDocument/2006/relationships/drawing" Target="../drawings/drawing107.xml"/><Relationship Id="rId7" Type="http://schemas.openxmlformats.org/officeDocument/2006/relationships/ctrlProp" Target="../ctrlProps/ctrlProp533.xml"/><Relationship Id="rId12" Type="http://schemas.openxmlformats.org/officeDocument/2006/relationships/ctrlProp" Target="../ctrlProps/ctrlProp538.xml"/><Relationship Id="rId2" Type="http://schemas.openxmlformats.org/officeDocument/2006/relationships/printerSettings" Target="../printerSettings/printerSettings54.bin"/><Relationship Id="rId1" Type="http://schemas.openxmlformats.org/officeDocument/2006/relationships/hyperlink" Target="mailto:GERENCIA.DCMING@GMAIL.COM" TargetMode="External"/><Relationship Id="rId6" Type="http://schemas.openxmlformats.org/officeDocument/2006/relationships/ctrlProp" Target="../ctrlProps/ctrlProp532.xml"/><Relationship Id="rId11" Type="http://schemas.openxmlformats.org/officeDocument/2006/relationships/ctrlProp" Target="../ctrlProps/ctrlProp537.xml"/><Relationship Id="rId5" Type="http://schemas.openxmlformats.org/officeDocument/2006/relationships/ctrlProp" Target="../ctrlProps/ctrlProp531.xml"/><Relationship Id="rId15" Type="http://schemas.openxmlformats.org/officeDocument/2006/relationships/comments" Target="../comments54.xml"/><Relationship Id="rId10" Type="http://schemas.openxmlformats.org/officeDocument/2006/relationships/ctrlProp" Target="../ctrlProps/ctrlProp536.xml"/><Relationship Id="rId4" Type="http://schemas.openxmlformats.org/officeDocument/2006/relationships/vmlDrawing" Target="../drawings/vmlDrawing54.vml"/><Relationship Id="rId9" Type="http://schemas.openxmlformats.org/officeDocument/2006/relationships/ctrlProp" Target="../ctrlProps/ctrlProp535.xml"/><Relationship Id="rId14" Type="http://schemas.openxmlformats.org/officeDocument/2006/relationships/ctrlProp" Target="../ctrlProps/ctrlProp540.xml"/></Relationships>
</file>

<file path=xl/worksheets/_rels/sheet57.xml.rels><?xml version="1.0" encoding="UTF-8" standalone="yes"?>
<Relationships xmlns="http://schemas.openxmlformats.org/package/2006/relationships"><Relationship Id="rId8" Type="http://schemas.openxmlformats.org/officeDocument/2006/relationships/ctrlProp" Target="../ctrlProps/ctrlProp544.xml"/><Relationship Id="rId13" Type="http://schemas.openxmlformats.org/officeDocument/2006/relationships/ctrlProp" Target="../ctrlProps/ctrlProp549.xml"/><Relationship Id="rId3" Type="http://schemas.openxmlformats.org/officeDocument/2006/relationships/drawing" Target="../drawings/drawing109.xml"/><Relationship Id="rId7" Type="http://schemas.openxmlformats.org/officeDocument/2006/relationships/ctrlProp" Target="../ctrlProps/ctrlProp543.xml"/><Relationship Id="rId12" Type="http://schemas.openxmlformats.org/officeDocument/2006/relationships/ctrlProp" Target="../ctrlProps/ctrlProp548.xml"/><Relationship Id="rId2" Type="http://schemas.openxmlformats.org/officeDocument/2006/relationships/printerSettings" Target="../printerSettings/printerSettings55.bin"/><Relationship Id="rId1" Type="http://schemas.openxmlformats.org/officeDocument/2006/relationships/hyperlink" Target="mailto:GERENCIA.DCMING@GMAIL.COM" TargetMode="External"/><Relationship Id="rId6" Type="http://schemas.openxmlformats.org/officeDocument/2006/relationships/ctrlProp" Target="../ctrlProps/ctrlProp542.xml"/><Relationship Id="rId11" Type="http://schemas.openxmlformats.org/officeDocument/2006/relationships/ctrlProp" Target="../ctrlProps/ctrlProp547.xml"/><Relationship Id="rId5" Type="http://schemas.openxmlformats.org/officeDocument/2006/relationships/ctrlProp" Target="../ctrlProps/ctrlProp541.xml"/><Relationship Id="rId15" Type="http://schemas.openxmlformats.org/officeDocument/2006/relationships/comments" Target="../comments55.xml"/><Relationship Id="rId10" Type="http://schemas.openxmlformats.org/officeDocument/2006/relationships/ctrlProp" Target="../ctrlProps/ctrlProp546.xml"/><Relationship Id="rId4" Type="http://schemas.openxmlformats.org/officeDocument/2006/relationships/vmlDrawing" Target="../drawings/vmlDrawing55.vml"/><Relationship Id="rId9" Type="http://schemas.openxmlformats.org/officeDocument/2006/relationships/ctrlProp" Target="../ctrlProps/ctrlProp545.xml"/><Relationship Id="rId14" Type="http://schemas.openxmlformats.org/officeDocument/2006/relationships/ctrlProp" Target="../ctrlProps/ctrlProp550.xml"/></Relationships>
</file>

<file path=xl/worksheets/_rels/sheet58.xml.rels><?xml version="1.0" encoding="UTF-8" standalone="yes"?>
<Relationships xmlns="http://schemas.openxmlformats.org/package/2006/relationships"><Relationship Id="rId8" Type="http://schemas.openxmlformats.org/officeDocument/2006/relationships/ctrlProp" Target="../ctrlProps/ctrlProp554.xml"/><Relationship Id="rId13" Type="http://schemas.openxmlformats.org/officeDocument/2006/relationships/ctrlProp" Target="../ctrlProps/ctrlProp559.xml"/><Relationship Id="rId3" Type="http://schemas.openxmlformats.org/officeDocument/2006/relationships/drawing" Target="../drawings/drawing111.xml"/><Relationship Id="rId7" Type="http://schemas.openxmlformats.org/officeDocument/2006/relationships/ctrlProp" Target="../ctrlProps/ctrlProp553.xml"/><Relationship Id="rId12" Type="http://schemas.openxmlformats.org/officeDocument/2006/relationships/ctrlProp" Target="../ctrlProps/ctrlProp558.xml"/><Relationship Id="rId2" Type="http://schemas.openxmlformats.org/officeDocument/2006/relationships/printerSettings" Target="../printerSettings/printerSettings56.bin"/><Relationship Id="rId1" Type="http://schemas.openxmlformats.org/officeDocument/2006/relationships/hyperlink" Target="mailto:GERENCIA.DCMING@GMAIL.COM" TargetMode="External"/><Relationship Id="rId6" Type="http://schemas.openxmlformats.org/officeDocument/2006/relationships/ctrlProp" Target="../ctrlProps/ctrlProp552.xml"/><Relationship Id="rId11" Type="http://schemas.openxmlformats.org/officeDocument/2006/relationships/ctrlProp" Target="../ctrlProps/ctrlProp557.xml"/><Relationship Id="rId5" Type="http://schemas.openxmlformats.org/officeDocument/2006/relationships/ctrlProp" Target="../ctrlProps/ctrlProp551.xml"/><Relationship Id="rId15" Type="http://schemas.openxmlformats.org/officeDocument/2006/relationships/comments" Target="../comments56.xml"/><Relationship Id="rId10" Type="http://schemas.openxmlformats.org/officeDocument/2006/relationships/ctrlProp" Target="../ctrlProps/ctrlProp556.xml"/><Relationship Id="rId4" Type="http://schemas.openxmlformats.org/officeDocument/2006/relationships/vmlDrawing" Target="../drawings/vmlDrawing56.vml"/><Relationship Id="rId9" Type="http://schemas.openxmlformats.org/officeDocument/2006/relationships/ctrlProp" Target="../ctrlProps/ctrlProp555.xml"/><Relationship Id="rId14" Type="http://schemas.openxmlformats.org/officeDocument/2006/relationships/ctrlProp" Target="../ctrlProps/ctrlProp560.xml"/></Relationships>
</file>

<file path=xl/worksheets/_rels/sheet59.xml.rels><?xml version="1.0" encoding="UTF-8" standalone="yes"?>
<Relationships xmlns="http://schemas.openxmlformats.org/package/2006/relationships"><Relationship Id="rId8" Type="http://schemas.openxmlformats.org/officeDocument/2006/relationships/ctrlProp" Target="../ctrlProps/ctrlProp564.xml"/><Relationship Id="rId13" Type="http://schemas.openxmlformats.org/officeDocument/2006/relationships/ctrlProp" Target="../ctrlProps/ctrlProp569.xml"/><Relationship Id="rId3" Type="http://schemas.openxmlformats.org/officeDocument/2006/relationships/drawing" Target="../drawings/drawing113.xml"/><Relationship Id="rId7" Type="http://schemas.openxmlformats.org/officeDocument/2006/relationships/ctrlProp" Target="../ctrlProps/ctrlProp563.xml"/><Relationship Id="rId12" Type="http://schemas.openxmlformats.org/officeDocument/2006/relationships/ctrlProp" Target="../ctrlProps/ctrlProp568.xml"/><Relationship Id="rId2" Type="http://schemas.openxmlformats.org/officeDocument/2006/relationships/printerSettings" Target="../printerSettings/printerSettings57.bin"/><Relationship Id="rId1" Type="http://schemas.openxmlformats.org/officeDocument/2006/relationships/hyperlink" Target="mailto:GERENCIA.DCMING@GMAIL.COM" TargetMode="External"/><Relationship Id="rId6" Type="http://schemas.openxmlformats.org/officeDocument/2006/relationships/ctrlProp" Target="../ctrlProps/ctrlProp562.xml"/><Relationship Id="rId11" Type="http://schemas.openxmlformats.org/officeDocument/2006/relationships/ctrlProp" Target="../ctrlProps/ctrlProp567.xml"/><Relationship Id="rId5" Type="http://schemas.openxmlformats.org/officeDocument/2006/relationships/ctrlProp" Target="../ctrlProps/ctrlProp561.xml"/><Relationship Id="rId15" Type="http://schemas.openxmlformats.org/officeDocument/2006/relationships/comments" Target="../comments57.xml"/><Relationship Id="rId10" Type="http://schemas.openxmlformats.org/officeDocument/2006/relationships/ctrlProp" Target="../ctrlProps/ctrlProp566.xml"/><Relationship Id="rId4" Type="http://schemas.openxmlformats.org/officeDocument/2006/relationships/vmlDrawing" Target="../drawings/vmlDrawing57.vml"/><Relationship Id="rId9" Type="http://schemas.openxmlformats.org/officeDocument/2006/relationships/ctrlProp" Target="../ctrlProps/ctrlProp565.xml"/><Relationship Id="rId14" Type="http://schemas.openxmlformats.org/officeDocument/2006/relationships/ctrlProp" Target="../ctrlProps/ctrlProp57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7">
    <tabColor rgb="FF92D050"/>
  </sheetPr>
  <dimension ref="A1:CP153"/>
  <sheetViews>
    <sheetView view="pageBreakPreview" topLeftCell="L1" zoomScale="75" zoomScaleNormal="100" zoomScaleSheetLayoutView="75"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496" t="s">
        <v>1</v>
      </c>
      <c r="C6" s="496"/>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522" t="s">
        <v>2</v>
      </c>
      <c r="C7" s="522"/>
      <c r="D7" s="479" t="s">
        <v>209</v>
      </c>
      <c r="E7" s="479"/>
      <c r="F7" s="479"/>
      <c r="G7" s="479"/>
      <c r="H7" s="479"/>
      <c r="I7" s="523" t="s">
        <v>55</v>
      </c>
      <c r="J7" s="523"/>
      <c r="K7" s="524">
        <v>45894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45894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522" t="s">
        <v>57</v>
      </c>
      <c r="C8" s="522"/>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522" t="s">
        <v>60</v>
      </c>
      <c r="C9" s="522"/>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3" t="s">
        <v>62</v>
      </c>
      <c r="AC9" s="222" t="s">
        <v>204</v>
      </c>
      <c r="AD9" s="222" t="s">
        <v>195</v>
      </c>
      <c r="AE9" s="532" t="s">
        <v>195</v>
      </c>
      <c r="AF9" s="533"/>
      <c r="AG9" s="212"/>
      <c r="AH9" s="26"/>
      <c r="AR9" s="24"/>
      <c r="AS9" s="24"/>
      <c r="AT9" s="24"/>
      <c r="AU9" s="24"/>
      <c r="AV9" s="24"/>
      <c r="AW9" s="24"/>
      <c r="AX9" s="24"/>
      <c r="AY9" s="24"/>
      <c r="AZ9" s="24"/>
      <c r="BA9" s="24"/>
      <c r="BB9" s="24"/>
      <c r="BE9" s="23" t="s">
        <v>63</v>
      </c>
    </row>
    <row r="10" spans="1:57" s="22" customFormat="1" ht="22.5" customHeight="1" thickBot="1" x14ac:dyDescent="0.3">
      <c r="A10" s="90"/>
      <c r="B10" s="534" t="s">
        <v>64</v>
      </c>
      <c r="C10" s="534"/>
      <c r="D10" s="482" t="s">
        <v>184</v>
      </c>
      <c r="E10" s="482"/>
      <c r="F10" s="482"/>
      <c r="G10" s="482"/>
      <c r="H10" s="482"/>
      <c r="I10" s="535" t="s">
        <v>65</v>
      </c>
      <c r="J10" s="535"/>
      <c r="K10" s="536" t="str">
        <f>CONCATENATE(L9,," ",M9,"-",F12,,"-",H12)</f>
        <v>056 25-CAV-S2-AP4-3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41" t="str">
        <f>K10</f>
        <v>056 25-CAV-S2-AP4-3</v>
      </c>
      <c r="AC10" s="541"/>
      <c r="AD10" s="541"/>
      <c r="AE10" s="541"/>
      <c r="AF10" s="541"/>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496" t="s">
        <v>3</v>
      </c>
      <c r="C12" s="496"/>
      <c r="D12" s="545" t="s">
        <v>56</v>
      </c>
      <c r="E12" s="545"/>
      <c r="F12" s="145" t="s">
        <v>213</v>
      </c>
      <c r="G12" s="31" t="s">
        <v>4</v>
      </c>
      <c r="H12" s="146">
        <v>3</v>
      </c>
      <c r="I12" s="546" t="s">
        <v>5</v>
      </c>
      <c r="J12" s="546"/>
      <c r="K12" s="209">
        <v>1.7</v>
      </c>
      <c r="L12" s="32" t="s">
        <v>6</v>
      </c>
      <c r="M12" s="147">
        <v>2</v>
      </c>
      <c r="N12" s="78"/>
      <c r="O12" s="501" t="s">
        <v>3</v>
      </c>
      <c r="P12" s="501"/>
      <c r="Q12" s="225" t="s">
        <v>56</v>
      </c>
      <c r="R12" s="224" t="str">
        <f>F12</f>
        <v>CAV-S2-AP4</v>
      </c>
      <c r="S12" s="224"/>
      <c r="T12" s="502" t="s">
        <v>4</v>
      </c>
      <c r="U12" s="502"/>
      <c r="V12" s="33">
        <f>+H12</f>
        <v>3</v>
      </c>
      <c r="W12" s="547" t="s">
        <v>5</v>
      </c>
      <c r="X12" s="547"/>
      <c r="Y12" s="547"/>
      <c r="Z12" s="547"/>
      <c r="AA12" s="547"/>
      <c r="AB12" s="547"/>
      <c r="AC12" s="34">
        <f>K12</f>
        <v>1.7</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522" t="s">
        <v>130</v>
      </c>
      <c r="C13" s="522"/>
      <c r="D13" s="479" t="s">
        <v>218</v>
      </c>
      <c r="E13" s="479"/>
      <c r="F13" s="479"/>
      <c r="G13" s="479"/>
      <c r="H13" s="479"/>
      <c r="I13" s="479"/>
      <c r="J13" s="479"/>
      <c r="K13" s="479"/>
      <c r="L13" s="479"/>
      <c r="M13" s="480"/>
      <c r="N13" s="188"/>
      <c r="O13" s="526" t="s">
        <v>130</v>
      </c>
      <c r="P13" s="526"/>
      <c r="Q13" s="527" t="str">
        <f>D13</f>
        <v>LIMO CON ALGUNAS GRAVAS, COLOR MARRÓN, DE ESTADO SUELTO,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569"/>
      <c r="Q19" s="105">
        <v>56</v>
      </c>
      <c r="R19" s="106">
        <v>25</v>
      </c>
      <c r="S19" s="107">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48">
        <v>607</v>
      </c>
      <c r="R20" s="148">
        <v>504</v>
      </c>
      <c r="S20" s="149">
        <v>609</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11180-300</f>
        <v>10880</v>
      </c>
      <c r="F22" s="150">
        <f>11814-300</f>
        <v>11514</v>
      </c>
      <c r="G22" s="150">
        <f>11882-300</f>
        <v>11582</v>
      </c>
      <c r="H22" s="151">
        <f>11613-300</f>
        <v>11313</v>
      </c>
      <c r="I22" s="174"/>
      <c r="J22" s="578"/>
      <c r="K22" s="578"/>
      <c r="L22" s="578"/>
      <c r="M22" s="104"/>
      <c r="N22" s="103"/>
      <c r="O22" s="579" t="s">
        <v>132</v>
      </c>
      <c r="P22" s="580"/>
      <c r="Q22" s="219">
        <v>8082</v>
      </c>
      <c r="R22" s="219">
        <v>7713</v>
      </c>
      <c r="S22" s="208">
        <v>7457</v>
      </c>
      <c r="T22" s="174"/>
      <c r="U22" s="112">
        <v>5.0000000000000001E-3</v>
      </c>
      <c r="V22" s="113">
        <f>U22*25.4</f>
        <v>0.127</v>
      </c>
      <c r="W22" s="581">
        <v>0.06</v>
      </c>
      <c r="X22" s="582"/>
      <c r="Y22" s="449">
        <f>((W22/19.32)*10)</f>
        <v>3.1055900621118009E-2</v>
      </c>
      <c r="Z22" s="450"/>
      <c r="AA22" s="581">
        <f>AJ22</f>
        <v>3.5000000000000003E-2</v>
      </c>
      <c r="AB22" s="582"/>
      <c r="AC22" s="449">
        <f>((AA22/19.32)*10)</f>
        <v>1.8115942028985511E-2</v>
      </c>
      <c r="AD22" s="450"/>
      <c r="AE22" s="581">
        <v>2.5000000000000001E-2</v>
      </c>
      <c r="AF22" s="582"/>
      <c r="AG22" s="114">
        <f>((AE22/19.32)*10)</f>
        <v>1.2939958592132504E-2</v>
      </c>
      <c r="AH22" s="104"/>
      <c r="AI22" s="42">
        <f t="shared" ref="AI22:AI27" si="0">AJ22*1.45</f>
        <v>5.0750000000000003E-2</v>
      </c>
      <c r="AJ22" s="42">
        <f t="shared" ref="AJ22:AJ33" si="1">AJ50</f>
        <v>3.5000000000000003E-2</v>
      </c>
      <c r="AK22" s="42">
        <f>AJ22*0.81</f>
        <v>2.8350000000000004E-2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3862</v>
      </c>
      <c r="R23" s="150">
        <v>3788</v>
      </c>
      <c r="S23" s="151">
        <v>3848</v>
      </c>
      <c r="T23" s="174"/>
      <c r="U23" s="112">
        <v>2.5000000000000001E-2</v>
      </c>
      <c r="V23" s="113">
        <f>U23*25.4</f>
        <v>0.63500000000000001</v>
      </c>
      <c r="W23" s="581">
        <v>0.18909999999999999</v>
      </c>
      <c r="X23" s="582"/>
      <c r="Y23" s="449">
        <f>((W23/19.32)*10)</f>
        <v>9.7877846790890274E-2</v>
      </c>
      <c r="Z23" s="450"/>
      <c r="AA23" s="581">
        <f>AJ23</f>
        <v>0.104</v>
      </c>
      <c r="AB23" s="582"/>
      <c r="AC23" s="449">
        <f>((AA23/19.32)*10)</f>
        <v>5.3830227743271217E-2</v>
      </c>
      <c r="AD23" s="450"/>
      <c r="AE23" s="581">
        <v>8.8999999999999996E-2</v>
      </c>
      <c r="AF23" s="582"/>
      <c r="AG23" s="114">
        <f>((AE23/19.32)*10)</f>
        <v>4.606625258799172E-2</v>
      </c>
      <c r="AH23" s="104"/>
      <c r="AI23" s="42">
        <f t="shared" si="0"/>
        <v>0.15079999999999999</v>
      </c>
      <c r="AJ23" s="42">
        <f t="shared" si="1"/>
        <v>0.104</v>
      </c>
      <c r="AK23" s="42">
        <f>AJ23*0.81</f>
        <v>8.4239999999999995E-2</v>
      </c>
      <c r="AO23" s="42">
        <v>0.247</v>
      </c>
      <c r="AS23" s="42">
        <f t="shared" ref="AS23:AS37" si="2">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11.7</v>
      </c>
      <c r="R24" s="152">
        <v>11.65</v>
      </c>
      <c r="S24" s="153">
        <v>11.62</v>
      </c>
      <c r="T24" s="174"/>
      <c r="U24" s="112">
        <v>0.05</v>
      </c>
      <c r="V24" s="113">
        <f>U24*25.4</f>
        <v>1.27</v>
      </c>
      <c r="W24" s="581">
        <v>0.31890000000000002</v>
      </c>
      <c r="X24" s="582"/>
      <c r="Y24" s="449">
        <f>((W24/19.32)*10)</f>
        <v>0.16506211180124225</v>
      </c>
      <c r="Z24" s="450"/>
      <c r="AA24" s="581">
        <f>AJ24</f>
        <v>0.19400000000000001</v>
      </c>
      <c r="AB24" s="582"/>
      <c r="AC24" s="449">
        <f>((AA24/19.32)*10)</f>
        <v>0.10041407867494825</v>
      </c>
      <c r="AD24" s="450"/>
      <c r="AE24" s="581">
        <f>AK24</f>
        <v>0.15714</v>
      </c>
      <c r="AF24" s="582"/>
      <c r="AG24" s="114">
        <f>((AE24/19.32)*10)</f>
        <v>8.1335403726708069E-2</v>
      </c>
      <c r="AH24" s="104"/>
      <c r="AI24" s="42">
        <f t="shared" si="0"/>
        <v>0.28129999999999999</v>
      </c>
      <c r="AJ24" s="42">
        <f t="shared" si="1"/>
        <v>0.19400000000000001</v>
      </c>
      <c r="AK24" s="42">
        <f>AJ24*0.81</f>
        <v>0.15714</v>
      </c>
      <c r="AO24" s="42">
        <v>0.68400000000000005</v>
      </c>
      <c r="AS24" s="42">
        <f t="shared" si="2"/>
        <v>0.55609756097560981</v>
      </c>
    </row>
    <row r="25" spans="1:45" ht="24.95" customHeight="1" thickBot="1" x14ac:dyDescent="0.3">
      <c r="A25" s="103"/>
      <c r="B25" s="602" t="s">
        <v>69</v>
      </c>
      <c r="C25" s="603"/>
      <c r="D25" s="603"/>
      <c r="E25" s="115">
        <f>E22-E23</f>
        <v>3568</v>
      </c>
      <c r="F25" s="115">
        <f>F22-F23</f>
        <v>4202</v>
      </c>
      <c r="G25" s="115">
        <f>G22-G23</f>
        <v>4270</v>
      </c>
      <c r="H25" s="116">
        <f>H22-H23</f>
        <v>4001</v>
      </c>
      <c r="I25" s="174"/>
      <c r="J25" s="174" t="s">
        <v>127</v>
      </c>
      <c r="K25" s="174"/>
      <c r="L25" s="218" t="s">
        <v>128</v>
      </c>
      <c r="M25" s="155">
        <v>0</v>
      </c>
      <c r="N25" s="103"/>
      <c r="O25" s="604" t="s">
        <v>46</v>
      </c>
      <c r="P25" s="605"/>
      <c r="Q25" s="608">
        <v>15.2</v>
      </c>
      <c r="R25" s="608">
        <v>15.25</v>
      </c>
      <c r="S25" s="610">
        <v>15.28</v>
      </c>
      <c r="T25" s="174"/>
      <c r="U25" s="112">
        <v>7.4999999999999997E-2</v>
      </c>
      <c r="V25" s="113">
        <f>U25*25.4</f>
        <v>1.9049999999999998</v>
      </c>
      <c r="W25" s="581">
        <v>0.49890000000000001</v>
      </c>
      <c r="X25" s="582"/>
      <c r="Y25" s="449">
        <f>((W25/19.32)*10)</f>
        <v>0.2582298136645963</v>
      </c>
      <c r="Z25" s="450"/>
      <c r="AA25" s="581">
        <f>AJ25</f>
        <v>0.29199999999999998</v>
      </c>
      <c r="AB25" s="582"/>
      <c r="AC25" s="449">
        <f>((AA25/19.32)*10)</f>
        <v>0.15113871635610765</v>
      </c>
      <c r="AD25" s="450"/>
      <c r="AE25" s="581">
        <f>AK25</f>
        <v>0.22775999999999999</v>
      </c>
      <c r="AF25" s="582"/>
      <c r="AG25" s="114">
        <f>((AE25/19.32)*10)</f>
        <v>0.11788819875776396</v>
      </c>
      <c r="AH25" s="104"/>
      <c r="AI25" s="42">
        <f t="shared" si="0"/>
        <v>0.42339999999999994</v>
      </c>
      <c r="AJ25" s="42">
        <f t="shared" si="1"/>
        <v>0.29199999999999998</v>
      </c>
      <c r="AK25" s="42">
        <f>AJ25*0.78</f>
        <v>0.22775999999999999</v>
      </c>
      <c r="AO25" s="42">
        <v>1.3149999999999999</v>
      </c>
      <c r="AS25" s="42">
        <f t="shared" si="2"/>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593">
        <v>0.67779999999999996</v>
      </c>
      <c r="X26" s="594"/>
      <c r="Y26" s="439">
        <f>((W26/19.32)*10)</f>
        <v>0.35082815734989642</v>
      </c>
      <c r="Z26" s="440"/>
      <c r="AA26" s="593">
        <f>AJ26</f>
        <v>0.39100000000000001</v>
      </c>
      <c r="AB26" s="594"/>
      <c r="AC26" s="439">
        <f>((AA26/19.32)*10)</f>
        <v>0.20238095238095238</v>
      </c>
      <c r="AD26" s="440"/>
      <c r="AE26" s="593">
        <f>AK26</f>
        <v>0.30498000000000003</v>
      </c>
      <c r="AF26" s="594"/>
      <c r="AG26" s="469">
        <f>((AE26/19.32)*10)</f>
        <v>0.15785714285714289</v>
      </c>
      <c r="AH26" s="104"/>
      <c r="AI26" s="42">
        <f t="shared" si="0"/>
        <v>0.56694999999999995</v>
      </c>
      <c r="AJ26" s="42">
        <f t="shared" si="1"/>
        <v>0.39100000000000001</v>
      </c>
      <c r="AK26" s="42">
        <f>AJ26*0.78</f>
        <v>0.30498000000000003</v>
      </c>
      <c r="AO26" s="42">
        <v>1.875</v>
      </c>
      <c r="AS26" s="42">
        <f t="shared" si="2"/>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2123.0631825547534</v>
      </c>
      <c r="R27" s="152">
        <f>(PI()*((R25^2)/4)*R24)</f>
        <v>2127.920968370137</v>
      </c>
      <c r="S27" s="153">
        <f>(PI()*((S25^2)/4)*S24)</f>
        <v>2130.8001461455669</v>
      </c>
      <c r="T27" s="174"/>
      <c r="U27" s="600"/>
      <c r="V27" s="601"/>
      <c r="W27" s="595"/>
      <c r="X27" s="596"/>
      <c r="Y27" s="441"/>
      <c r="Z27" s="442"/>
      <c r="AA27" s="595"/>
      <c r="AB27" s="596"/>
      <c r="AC27" s="441"/>
      <c r="AD27" s="442"/>
      <c r="AE27" s="595"/>
      <c r="AF27" s="596"/>
      <c r="AG27" s="470"/>
      <c r="AH27" s="193"/>
      <c r="AI27" s="42">
        <f t="shared" si="0"/>
        <v>0.71775</v>
      </c>
      <c r="AJ27" s="42">
        <f t="shared" si="1"/>
        <v>0.495</v>
      </c>
      <c r="AK27" s="42">
        <f>AJ27*0.76</f>
        <v>0.37619999999999998</v>
      </c>
      <c r="AO27" s="42">
        <v>2.387</v>
      </c>
      <c r="AS27" s="42">
        <f t="shared" si="2"/>
        <v>1.9406504065040651</v>
      </c>
    </row>
    <row r="28" spans="1:45" ht="24.95" customHeight="1" thickBot="1" x14ac:dyDescent="0.3">
      <c r="A28" s="103"/>
      <c r="B28" s="560" t="s">
        <v>9</v>
      </c>
      <c r="C28" s="561"/>
      <c r="D28" s="561"/>
      <c r="E28" s="148">
        <v>331</v>
      </c>
      <c r="F28" s="148">
        <v>308</v>
      </c>
      <c r="G28" s="148">
        <v>382</v>
      </c>
      <c r="H28" s="149">
        <v>356</v>
      </c>
      <c r="I28" s="174"/>
      <c r="J28" s="597" t="s">
        <v>107</v>
      </c>
      <c r="K28" s="597"/>
      <c r="L28" s="562" t="s">
        <v>119</v>
      </c>
      <c r="M28" s="459">
        <f>IF(M26="","",(100-M26))</f>
        <v>100</v>
      </c>
      <c r="N28" s="103"/>
      <c r="O28" s="625" t="s">
        <v>136</v>
      </c>
      <c r="P28" s="626"/>
      <c r="Q28" s="115">
        <f>Q22-Q23</f>
        <v>4220</v>
      </c>
      <c r="R28" s="220">
        <f>R22-R23</f>
        <v>3925</v>
      </c>
      <c r="S28" s="221">
        <f>S22-S23</f>
        <v>3609</v>
      </c>
      <c r="T28" s="174"/>
      <c r="U28" s="627">
        <v>0.125</v>
      </c>
      <c r="V28" s="624">
        <f>U28*25.4</f>
        <v>3.1749999999999998</v>
      </c>
      <c r="W28" s="593">
        <v>0.91324000000000005</v>
      </c>
      <c r="X28" s="594"/>
      <c r="Y28" s="439">
        <f>((W28/19.32)*10)</f>
        <v>0.47269151138716359</v>
      </c>
      <c r="Z28" s="440"/>
      <c r="AA28" s="593">
        <f>AJ27</f>
        <v>0.495</v>
      </c>
      <c r="AB28" s="594"/>
      <c r="AC28" s="439">
        <f>((AA28/19.32)*10)</f>
        <v>0.25621118012422361</v>
      </c>
      <c r="AD28" s="440"/>
      <c r="AE28" s="593">
        <f>AK27</f>
        <v>0.37619999999999998</v>
      </c>
      <c r="AF28" s="594"/>
      <c r="AG28" s="443">
        <f>((AE28/19.32)*10)</f>
        <v>0.19472049689440993</v>
      </c>
      <c r="AH28" s="104"/>
      <c r="AI28" s="42">
        <f>AJ28*1.4</f>
        <v>0.88619999999999999</v>
      </c>
      <c r="AJ28" s="42">
        <f t="shared" si="1"/>
        <v>0.63300000000000001</v>
      </c>
      <c r="AK28" s="42">
        <f t="shared" ref="AK28:AK33" si="3">AJ28*0.71</f>
        <v>0.44943</v>
      </c>
      <c r="AO28" s="42">
        <v>2.8959999999999999</v>
      </c>
      <c r="AS28" s="42">
        <f t="shared" si="2"/>
        <v>2.3544715447154472</v>
      </c>
    </row>
    <row r="29" spans="1:45" ht="5.0999999999999996" customHeight="1" thickBot="1" x14ac:dyDescent="0.3">
      <c r="A29" s="103"/>
      <c r="B29" s="612" t="s">
        <v>73</v>
      </c>
      <c r="C29" s="613"/>
      <c r="D29" s="614"/>
      <c r="E29" s="618">
        <v>1025.43</v>
      </c>
      <c r="F29" s="618">
        <v>948.13</v>
      </c>
      <c r="G29" s="618">
        <v>912.89</v>
      </c>
      <c r="H29" s="620">
        <v>993.14</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AJ29*1.32</f>
        <v>1.0269600000000001</v>
      </c>
      <c r="AJ29" s="42">
        <f t="shared" si="1"/>
        <v>0.77800000000000002</v>
      </c>
      <c r="AK29" s="42">
        <f t="shared" si="3"/>
        <v>0.55237999999999998</v>
      </c>
      <c r="AO29" s="42">
        <v>3.3879999999999999</v>
      </c>
      <c r="AS29" s="42">
        <f t="shared" si="2"/>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18.123279675824179</v>
      </c>
      <c r="N30" s="103"/>
      <c r="O30" s="622" t="s">
        <v>134</v>
      </c>
      <c r="P30" s="623"/>
      <c r="Q30" s="229">
        <f>Q28/Q27</f>
        <v>1.987694023746355</v>
      </c>
      <c r="R30" s="229">
        <f>R28/R27</f>
        <v>1.8445233908317189</v>
      </c>
      <c r="S30" s="131">
        <f>S28/S27</f>
        <v>1.6937299382714839</v>
      </c>
      <c r="T30" s="174"/>
      <c r="U30" s="120">
        <v>0.15</v>
      </c>
      <c r="V30" s="113">
        <f>U30*25.4</f>
        <v>3.8099999999999996</v>
      </c>
      <c r="W30" s="581">
        <v>1.1255999999999999</v>
      </c>
      <c r="X30" s="582"/>
      <c r="Y30" s="449">
        <f>((W30/19.32)*10)</f>
        <v>0.58260869565217388</v>
      </c>
      <c r="Z30" s="450"/>
      <c r="AA30" s="581">
        <f>AJ28</f>
        <v>0.63300000000000001</v>
      </c>
      <c r="AB30" s="582"/>
      <c r="AC30" s="449">
        <f>((AA30/19.32)*10)</f>
        <v>0.32763975155279507</v>
      </c>
      <c r="AD30" s="450"/>
      <c r="AE30" s="581">
        <f>AK28</f>
        <v>0.44943</v>
      </c>
      <c r="AF30" s="582"/>
      <c r="AG30" s="114">
        <f>((AE30/19.32)*10)</f>
        <v>0.23262422360248447</v>
      </c>
      <c r="AH30" s="104"/>
      <c r="AI30" s="42">
        <f>AJ30*1.32</f>
        <v>1.2342000000000002</v>
      </c>
      <c r="AJ30" s="42">
        <f t="shared" si="1"/>
        <v>0.93500000000000005</v>
      </c>
      <c r="AK30" s="42">
        <f t="shared" si="3"/>
        <v>0.66385000000000005</v>
      </c>
      <c r="AO30" s="42">
        <v>3.8439999999999999</v>
      </c>
      <c r="AS30" s="42">
        <f t="shared" si="2"/>
        <v>3.1252032520325201</v>
      </c>
    </row>
    <row r="31" spans="1:45" ht="24.95" customHeight="1" thickBot="1" x14ac:dyDescent="0.3">
      <c r="A31" s="103"/>
      <c r="B31" s="576" t="s">
        <v>74</v>
      </c>
      <c r="C31" s="577"/>
      <c r="D31" s="577"/>
      <c r="E31" s="152">
        <v>983.24</v>
      </c>
      <c r="F31" s="152">
        <v>892.71</v>
      </c>
      <c r="G31" s="152">
        <v>845.29</v>
      </c>
      <c r="H31" s="153">
        <v>900.32</v>
      </c>
      <c r="I31" s="174"/>
      <c r="J31" s="597" t="s">
        <v>138</v>
      </c>
      <c r="K31" s="597"/>
      <c r="L31" s="562" t="s">
        <v>116</v>
      </c>
      <c r="M31" s="457">
        <f>IF(M25="","",S82)</f>
        <v>2.7120000000000002</v>
      </c>
      <c r="N31" s="121"/>
      <c r="O31" s="628" t="s">
        <v>135</v>
      </c>
      <c r="P31" s="629"/>
      <c r="Q31" s="122">
        <f>Q30/(1+Q40/100)</f>
        <v>1.8240247427648029</v>
      </c>
      <c r="R31" s="122">
        <f>R30/(1+R40/100)</f>
        <v>1.6937813607715224</v>
      </c>
      <c r="S31" s="123">
        <f>S30/(1+S40/100)</f>
        <v>1.5511633061147447</v>
      </c>
      <c r="T31" s="174"/>
      <c r="U31" s="627">
        <v>0.17499999999999999</v>
      </c>
      <c r="V31" s="624">
        <f>U31*25.4</f>
        <v>4.4449999999999994</v>
      </c>
      <c r="W31" s="593">
        <v>1.42452</v>
      </c>
      <c r="X31" s="594"/>
      <c r="Y31" s="439">
        <f>((W31/19.32)*10)</f>
        <v>0.73732919254658391</v>
      </c>
      <c r="Z31" s="440"/>
      <c r="AA31" s="593">
        <f>AJ29</f>
        <v>0.77800000000000002</v>
      </c>
      <c r="AB31" s="594"/>
      <c r="AC31" s="439">
        <f>((AA31/19.32)*10)</f>
        <v>0.40269151138716353</v>
      </c>
      <c r="AD31" s="440"/>
      <c r="AE31" s="593">
        <f>AK29</f>
        <v>0.55237999999999998</v>
      </c>
      <c r="AF31" s="594"/>
      <c r="AG31" s="443">
        <f>((AE31/19.32)*10)</f>
        <v>0.28591097308488611</v>
      </c>
      <c r="AH31" s="104"/>
      <c r="AI31" s="42">
        <f>AJ31*1.32</f>
        <v>1.8928800000000001</v>
      </c>
      <c r="AJ31" s="42">
        <f t="shared" si="1"/>
        <v>1.4339999999999999</v>
      </c>
      <c r="AK31" s="42">
        <f t="shared" si="3"/>
        <v>1.0181399999999998</v>
      </c>
      <c r="AO31" s="42">
        <v>5.516</v>
      </c>
      <c r="AS31" s="42">
        <f t="shared" si="2"/>
        <v>4.4845528455284551</v>
      </c>
    </row>
    <row r="32" spans="1:45" ht="5.0999999999999996" customHeight="1" thickBot="1" x14ac:dyDescent="0.3">
      <c r="A32" s="103"/>
      <c r="B32" s="612" t="s">
        <v>75</v>
      </c>
      <c r="C32" s="613"/>
      <c r="D32" s="614"/>
      <c r="E32" s="618">
        <v>83.95</v>
      </c>
      <c r="F32" s="618">
        <v>100.52</v>
      </c>
      <c r="G32" s="618">
        <v>102.32</v>
      </c>
      <c r="H32" s="620">
        <v>101.38</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AJ32*1.32</f>
        <v>2.4644400000000002</v>
      </c>
      <c r="AJ32" s="42">
        <f t="shared" si="1"/>
        <v>1.867</v>
      </c>
      <c r="AK32" s="42">
        <f t="shared" si="3"/>
        <v>1.3255699999999999</v>
      </c>
      <c r="AO32" s="42">
        <v>6.7220000000000004</v>
      </c>
      <c r="AS32" s="42">
        <f t="shared" si="2"/>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v>1.66995</v>
      </c>
      <c r="X33" s="582"/>
      <c r="Y33" s="449">
        <f>((W33/19.32)*10)</f>
        <v>0.86436335403726705</v>
      </c>
      <c r="Z33" s="450"/>
      <c r="AA33" s="581">
        <f>AJ30</f>
        <v>0.93500000000000005</v>
      </c>
      <c r="AB33" s="582"/>
      <c r="AC33" s="449">
        <f>((AA33/19.32)*10)</f>
        <v>0.48395445134575565</v>
      </c>
      <c r="AD33" s="450"/>
      <c r="AE33" s="581">
        <f>AK30</f>
        <v>0.66385000000000005</v>
      </c>
      <c r="AF33" s="582"/>
      <c r="AG33" s="144">
        <f>((AE33/19.32)*10)</f>
        <v>0.34360766045548657</v>
      </c>
      <c r="AH33" s="104"/>
      <c r="AI33" s="42">
        <f>AJ33*1.32</f>
        <v>3.0531600000000005</v>
      </c>
      <c r="AJ33" s="42">
        <f t="shared" si="1"/>
        <v>2.3130000000000002</v>
      </c>
      <c r="AK33" s="42">
        <f t="shared" si="3"/>
        <v>1.6422300000000001</v>
      </c>
      <c r="AO33" s="42">
        <v>7.7720000000000002</v>
      </c>
      <c r="AS33" s="42">
        <f t="shared" si="2"/>
        <v>6.3186991869918705</v>
      </c>
    </row>
    <row r="34" spans="1:45" ht="24.95" customHeight="1" thickBot="1" x14ac:dyDescent="0.3">
      <c r="A34" s="103"/>
      <c r="B34" s="602" t="s">
        <v>10</v>
      </c>
      <c r="C34" s="603"/>
      <c r="D34" s="603"/>
      <c r="E34" s="125">
        <f>((E29-E31)/(E31-E32))*100</f>
        <v>4.6914788333018338</v>
      </c>
      <c r="F34" s="125">
        <f>((F29-F31)/(F31-F32))*100</f>
        <v>6.9957964629697358</v>
      </c>
      <c r="G34" s="125">
        <f>((G29-G31)/(G31-G32))*100</f>
        <v>9.0986177100017525</v>
      </c>
      <c r="H34" s="126">
        <f>((H29-H31)/(H31-H32))*100</f>
        <v>11.617893709164633</v>
      </c>
      <c r="I34" s="174"/>
      <c r="J34" s="630" t="s">
        <v>125</v>
      </c>
      <c r="K34" s="630"/>
      <c r="L34" s="184" t="s">
        <v>126</v>
      </c>
      <c r="M34" s="127">
        <v>2.69</v>
      </c>
      <c r="N34" s="128"/>
      <c r="O34" s="631" t="s">
        <v>9</v>
      </c>
      <c r="P34" s="632"/>
      <c r="Q34" s="156">
        <v>355</v>
      </c>
      <c r="R34" s="156">
        <v>331</v>
      </c>
      <c r="S34" s="157">
        <v>347</v>
      </c>
      <c r="T34" s="174"/>
      <c r="U34" s="120">
        <v>0.3</v>
      </c>
      <c r="V34" s="113">
        <f>U34*25.4</f>
        <v>7.6199999999999992</v>
      </c>
      <c r="W34" s="581">
        <v>2.2888999999999999</v>
      </c>
      <c r="X34" s="582"/>
      <c r="Y34" s="449">
        <f>((W34/19.32)*10)</f>
        <v>1.1847308488612835</v>
      </c>
      <c r="Z34" s="450"/>
      <c r="AA34" s="581">
        <f>AJ31</f>
        <v>1.4339999999999999</v>
      </c>
      <c r="AB34" s="582"/>
      <c r="AC34" s="449">
        <f>((AA34/19.32)*10)</f>
        <v>0.7422360248447204</v>
      </c>
      <c r="AD34" s="450"/>
      <c r="AE34" s="581">
        <v>1.1020000000000001</v>
      </c>
      <c r="AF34" s="582"/>
      <c r="AG34" s="114">
        <f>((AE34/19.32)*10)</f>
        <v>0.57039337474120089</v>
      </c>
      <c r="AH34" s="104"/>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741.45</v>
      </c>
      <c r="R35" s="608">
        <v>791.33</v>
      </c>
      <c r="S35" s="610">
        <v>825.58</v>
      </c>
      <c r="T35" s="174"/>
      <c r="U35" s="627">
        <v>0.4</v>
      </c>
      <c r="V35" s="624">
        <f>U35*25.4</f>
        <v>10.16</v>
      </c>
      <c r="W35" s="593">
        <v>2.6951999999999998</v>
      </c>
      <c r="X35" s="594"/>
      <c r="Y35" s="439">
        <f>((W35/19.32)*10)</f>
        <v>1.3950310559006209</v>
      </c>
      <c r="Z35" s="440"/>
      <c r="AA35" s="593">
        <f>AJ32</f>
        <v>1.867</v>
      </c>
      <c r="AB35" s="594"/>
      <c r="AC35" s="439">
        <f>(AA35/19.32)*10</f>
        <v>0.96635610766045543</v>
      </c>
      <c r="AD35" s="440"/>
      <c r="AE35" s="593">
        <v>1.4320200000000001</v>
      </c>
      <c r="AF35" s="594"/>
      <c r="AG35" s="443">
        <f>((AE35/19.32)*10)</f>
        <v>0.74121118012422371</v>
      </c>
      <c r="AH35" s="104"/>
      <c r="AS35" s="42">
        <f t="shared" si="2"/>
        <v>0</v>
      </c>
    </row>
    <row r="36" spans="1:45" ht="20.100000000000001" customHeight="1" thickBot="1" x14ac:dyDescent="0.3">
      <c r="A36" s="103"/>
      <c r="B36" s="639" t="s">
        <v>71</v>
      </c>
      <c r="C36" s="640"/>
      <c r="D36" s="640"/>
      <c r="E36" s="130">
        <f>E25/E24</f>
        <v>1.6610800744878957</v>
      </c>
      <c r="F36" s="130">
        <f>F25/F24</f>
        <v>1.9562383612662941</v>
      </c>
      <c r="G36" s="130">
        <f>G25/G24</f>
        <v>1.9878957169459963</v>
      </c>
      <c r="H36" s="131">
        <f>H25/H24</f>
        <v>1.8626629422718808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2"/>
        <v>0</v>
      </c>
    </row>
    <row r="37" spans="1:45" ht="24.95" customHeight="1" thickBot="1" x14ac:dyDescent="0.3">
      <c r="A37" s="103"/>
      <c r="B37" s="602" t="s">
        <v>72</v>
      </c>
      <c r="C37" s="603"/>
      <c r="D37" s="603"/>
      <c r="E37" s="122">
        <f>E36/(1+E34/100)</f>
        <v>1.5866430515637291</v>
      </c>
      <c r="F37" s="230">
        <f>F36/(1+F34/100)</f>
        <v>1.8283319774560773</v>
      </c>
      <c r="G37" s="230">
        <f>G36/(1+G34/100)</f>
        <v>1.8221089860460749</v>
      </c>
      <c r="H37" s="123">
        <f>H36/(1+H34/100)</f>
        <v>1.6687852461409982</v>
      </c>
      <c r="I37" s="174"/>
      <c r="J37" s="641" t="s">
        <v>139</v>
      </c>
      <c r="K37" s="641"/>
      <c r="L37" s="643" t="s">
        <v>121</v>
      </c>
      <c r="M37" s="433">
        <f>IF(F74="","",(M42^2*F74+M42*F75+F76))</f>
        <v>1.8474291208791209</v>
      </c>
      <c r="N37" s="101"/>
      <c r="O37" s="576" t="s">
        <v>28</v>
      </c>
      <c r="P37" s="577"/>
      <c r="Q37" s="150">
        <v>689.09</v>
      </c>
      <c r="R37" s="150">
        <v>733.52</v>
      </c>
      <c r="S37" s="151">
        <v>764.61</v>
      </c>
      <c r="T37" s="174"/>
      <c r="U37" s="132">
        <v>0.5</v>
      </c>
      <c r="V37" s="133">
        <f>U37*25.4</f>
        <v>12.7</v>
      </c>
      <c r="W37" s="637">
        <v>2.8792</v>
      </c>
      <c r="X37" s="638"/>
      <c r="Y37" s="431">
        <f>((W37/19.32)*10)</f>
        <v>1.4902691511387165</v>
      </c>
      <c r="Z37" s="432"/>
      <c r="AA37" s="637">
        <f>AJ33</f>
        <v>2.3130000000000002</v>
      </c>
      <c r="AB37" s="638"/>
      <c r="AC37" s="431">
        <f>((AA37/19.32)*10)</f>
        <v>1.1972049689440993</v>
      </c>
      <c r="AD37" s="432"/>
      <c r="AE37" s="637">
        <f>AK33</f>
        <v>1.6422300000000001</v>
      </c>
      <c r="AF37" s="638"/>
      <c r="AG37" s="134">
        <f>((AE37/19.32)*10)</f>
        <v>0.85001552795031066</v>
      </c>
      <c r="AH37" s="104"/>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105.56</v>
      </c>
      <c r="R38" s="647">
        <v>83.95</v>
      </c>
      <c r="S38" s="648">
        <v>101.24</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18.123279675824179</v>
      </c>
      <c r="N40" s="103"/>
      <c r="O40" s="628" t="s">
        <v>10</v>
      </c>
      <c r="P40" s="629"/>
      <c r="Q40" s="125">
        <f>((Q35-Q37)/(Q37-Q38))*100</f>
        <v>8.9729748256302191</v>
      </c>
      <c r="R40" s="125">
        <f>((R35-R37)/(R37-R38))*100</f>
        <v>8.8997336699662952</v>
      </c>
      <c r="S40" s="126">
        <f>((S35-S37)/(S37-S38))*100</f>
        <v>9.1909492440116409</v>
      </c>
      <c r="T40" s="174"/>
      <c r="U40" s="645" t="s">
        <v>151</v>
      </c>
      <c r="V40" s="646"/>
      <c r="W40" s="423">
        <f>(AM79/6.9)*100</f>
        <v>5.0844660485492232</v>
      </c>
      <c r="X40" s="423"/>
      <c r="Y40" s="423"/>
      <c r="Z40" s="424"/>
      <c r="AA40" s="425">
        <f>(AO79/6.9)*100</f>
        <v>2.9330572808833675</v>
      </c>
      <c r="AB40" s="426"/>
      <c r="AC40" s="427"/>
      <c r="AD40" s="425">
        <f>(AQ79/6.9)*100</f>
        <v>2.2877846790890275</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8.3918772236627852</v>
      </c>
      <c r="X41" s="418"/>
      <c r="Y41" s="418"/>
      <c r="Z41" s="419"/>
      <c r="AA41" s="420">
        <f>(AO83/10.3)*100</f>
        <v>4.6985869062694716</v>
      </c>
      <c r="AB41" s="421"/>
      <c r="AC41" s="418"/>
      <c r="AD41" s="420">
        <f>(AQ83/10.3)*100</f>
        <v>3.3359967034513258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8.4340659340659343</v>
      </c>
      <c r="N42" s="103"/>
      <c r="O42" s="639" t="s">
        <v>9</v>
      </c>
      <c r="P42" s="640"/>
      <c r="Q42" s="148">
        <v>364</v>
      </c>
      <c r="R42" s="148">
        <v>306</v>
      </c>
      <c r="S42" s="149">
        <v>356</v>
      </c>
      <c r="T42" s="174"/>
      <c r="U42" s="651" t="s">
        <v>42</v>
      </c>
      <c r="V42" s="652"/>
      <c r="W42" s="413">
        <f>IF(W40&lt;W41,W40,W41)</f>
        <v>5.0844660485492232</v>
      </c>
      <c r="X42" s="414"/>
      <c r="Y42" s="414"/>
      <c r="Z42" s="415"/>
      <c r="AA42" s="416">
        <f>IF(AA40&lt;AA41,AA40,AA41)</f>
        <v>2.9330572808833675</v>
      </c>
      <c r="AB42" s="414"/>
      <c r="AC42" s="415"/>
      <c r="AD42" s="416">
        <f>IF(AD40&lt;AD41,AD40,AD41)</f>
        <v>2.2877846790890275</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971.19</v>
      </c>
      <c r="R43" s="608">
        <v>966.27</v>
      </c>
      <c r="S43" s="610">
        <v>841.01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852.87</v>
      </c>
      <c r="R45" s="150">
        <v>843.1</v>
      </c>
      <c r="S45" s="151">
        <v>726.38</v>
      </c>
      <c r="T45" s="174"/>
      <c r="U45" s="656" t="s">
        <v>139</v>
      </c>
      <c r="V45" s="656"/>
      <c r="W45" s="179" t="s">
        <v>121</v>
      </c>
      <c r="X45" s="406">
        <f>MAX(M37:M39)</f>
        <v>1.8474291208791209</v>
      </c>
      <c r="Y45" s="406"/>
      <c r="Z45" s="406"/>
      <c r="AA45" s="174"/>
      <c r="AB45" s="657" t="s">
        <v>31</v>
      </c>
      <c r="AC45" s="658"/>
      <c r="AD45" s="658"/>
      <c r="AE45" s="658"/>
      <c r="AF45" s="231">
        <v>5.5E-2</v>
      </c>
      <c r="AG45" s="231">
        <v>0.14249999999999999</v>
      </c>
      <c r="AH45" s="233">
        <v>0.1255</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104.05</v>
      </c>
      <c r="R46" s="150">
        <v>114.24</v>
      </c>
      <c r="S46" s="151">
        <v>103.3</v>
      </c>
      <c r="T46" s="174"/>
      <c r="U46" s="555" t="s">
        <v>123</v>
      </c>
      <c r="V46" s="555"/>
      <c r="W46" s="179" t="s">
        <v>41</v>
      </c>
      <c r="X46" s="401">
        <f>MIN(M42:M44)</f>
        <v>8.4340659340659343</v>
      </c>
      <c r="Y46" s="401"/>
      <c r="Z46" s="401"/>
      <c r="AA46" s="174"/>
      <c r="AB46" s="660" t="s">
        <v>32</v>
      </c>
      <c r="AC46" s="661"/>
      <c r="AD46" s="661"/>
      <c r="AE46" s="661"/>
      <c r="AF46" s="234">
        <v>0.24349999999999999</v>
      </c>
      <c r="AG46" s="234">
        <v>0.28899999999999998</v>
      </c>
      <c r="AH46" s="235">
        <v>0.20394999999999999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15.800860019764434</v>
      </c>
      <c r="R47" s="125">
        <f>((R43-R45)/(R45-R46))*100</f>
        <v>16.898992947891223</v>
      </c>
      <c r="S47" s="126">
        <f>((S43-S45)/(S45-S46))*100</f>
        <v>18.397316556461448</v>
      </c>
      <c r="T47" s="174"/>
      <c r="U47" s="555" t="s">
        <v>162</v>
      </c>
      <c r="V47" s="555"/>
      <c r="W47" s="179" t="s">
        <v>41</v>
      </c>
      <c r="X47" s="402">
        <f>IF(L25=D103,"-",IF(L25=D102,"-",IF(L25=D101,M25)))</f>
        <v>0</v>
      </c>
      <c r="Y47" s="402"/>
      <c r="Z47" s="402"/>
      <c r="AA47" s="174"/>
      <c r="AB47" s="662" t="s">
        <v>33</v>
      </c>
      <c r="AC47" s="663"/>
      <c r="AD47" s="663"/>
      <c r="AE47" s="663"/>
      <c r="AF47" s="232">
        <f>(AF46-AF45)*2.54</f>
        <v>0.47878999999999999</v>
      </c>
      <c r="AG47" s="140">
        <f>(AG46-AG45)*2.54</f>
        <v>0.37211</v>
      </c>
      <c r="AH47" s="141">
        <f>(AH46-AH45)*2.54</f>
        <v>0.199263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4.0922222222222224</v>
      </c>
      <c r="AG48" s="142">
        <f>IF(AG47&lt;&gt;"",IF(R24&lt;&gt;"",AG47/R24*100,""),"")</f>
        <v>3.1940772532188841</v>
      </c>
      <c r="AH48" s="173">
        <f>IF(AH47&lt;&gt;"",IF(S24&lt;&gt;"",AH47/S24*100,""),"")</f>
        <v>1.7148278829604131</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634" t="s">
        <v>161</v>
      </c>
      <c r="AC50" s="635"/>
      <c r="AD50" s="635"/>
      <c r="AE50" s="635"/>
      <c r="AF50" s="636"/>
      <c r="AG50" s="678" t="s">
        <v>168</v>
      </c>
      <c r="AH50" s="679"/>
      <c r="AJ50" s="42">
        <v>3.5000000000000003E-2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606" t="str">
        <f>W19</f>
        <v xml:space="preserve">56  GOLPES </v>
      </c>
      <c r="AC51" s="681"/>
      <c r="AD51" s="681"/>
      <c r="AE51" s="607"/>
      <c r="AF51" s="150">
        <v>4556</v>
      </c>
      <c r="AG51" s="682">
        <v>4</v>
      </c>
      <c r="AH51" s="683"/>
      <c r="AJ51" s="42">
        <v>0.104</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5" t="str">
        <f>AA19</f>
        <v xml:space="preserve">25  GOLPES </v>
      </c>
      <c r="AC52" s="665"/>
      <c r="AD52" s="665"/>
      <c r="AE52" s="586"/>
      <c r="AF52" s="150">
        <v>4555</v>
      </c>
      <c r="AG52" s="666">
        <v>4</v>
      </c>
      <c r="AH52" s="667"/>
      <c r="AJ52" s="42">
        <v>0.19400000000000001</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625" t="str">
        <f>AE19</f>
        <v xml:space="preserve">10  GOLPES </v>
      </c>
      <c r="AC53" s="668"/>
      <c r="AD53" s="668"/>
      <c r="AE53" s="626"/>
      <c r="AF53" s="150">
        <v>4555</v>
      </c>
      <c r="AG53" s="669">
        <v>4</v>
      </c>
      <c r="AH53" s="670"/>
      <c r="AJ53" s="42">
        <v>0.29199999999999998</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2" t="s">
        <v>177</v>
      </c>
      <c r="AG54" s="672"/>
      <c r="AH54" s="673"/>
      <c r="AJ54" s="42">
        <v>0.39100000000000001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0.495</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0.63300000000000001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0.77800000000000002</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0.93500000000000005</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1.4339999999999999</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1.867</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2.3130000000000002</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-1.8200000000000001E-2</v>
      </c>
      <c r="G74" s="75">
        <v>-0.12509999999999999</v>
      </c>
      <c r="J74" s="701"/>
      <c r="K74" s="702"/>
      <c r="L74" s="44"/>
      <c r="M74" s="44"/>
      <c r="N74" s="44"/>
    </row>
    <row r="75" spans="1:94" ht="26.25" customHeight="1" thickBot="1" x14ac:dyDescent="0.3">
      <c r="A75" s="11"/>
      <c r="B75" s="377" t="s">
        <v>113</v>
      </c>
      <c r="C75" s="377"/>
      <c r="D75" s="19"/>
      <c r="E75" s="54" t="s">
        <v>12</v>
      </c>
      <c r="F75" s="55">
        <v>0.307</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0.06</v>
      </c>
      <c r="AM75" s="3">
        <f t="shared" ref="AM75:AM86" si="4">((AL75/19.32)*10)</f>
        <v>3.1055900621118009E-2</v>
      </c>
      <c r="AN75" s="5">
        <f>AA22</f>
        <v>3.5000000000000003E-2</v>
      </c>
      <c r="AO75" s="3">
        <f>((AN75/19.32)*10)</f>
        <v>1.8115942028985511E-2</v>
      </c>
      <c r="AP75" s="5">
        <f>AE22</f>
        <v>2.5000000000000001E-2</v>
      </c>
      <c r="AQ75" s="161">
        <f t="shared" ref="AQ75:AQ84" si="5">((AP75/19.32)*10)</f>
        <v>1.2939958592132504E-2</v>
      </c>
    </row>
    <row r="76" spans="1:94" ht="26.25" customHeight="1" thickBot="1" x14ac:dyDescent="0.3">
      <c r="A76" s="11"/>
      <c r="B76" s="377" t="s">
        <v>114</v>
      </c>
      <c r="C76" s="377"/>
      <c r="D76" s="20"/>
      <c r="E76" s="56" t="s">
        <v>13</v>
      </c>
      <c r="F76" s="57">
        <v>0.55279999999999996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0.18909999999999999</v>
      </c>
      <c r="AM76" s="3">
        <f t="shared" si="4"/>
        <v>9.7877846790890274E-2</v>
      </c>
      <c r="AN76" s="5">
        <f>AA23</f>
        <v>0.104</v>
      </c>
      <c r="AO76" s="3">
        <f t="shared" ref="AO76:AO86" si="7">((AN76/19.32)*10)</f>
        <v>5.3830227743271217E-2</v>
      </c>
      <c r="AP76" s="5">
        <f>AE23</f>
        <v>8.8999999999999996E-2</v>
      </c>
      <c r="AQ76" s="161">
        <f t="shared" si="5"/>
        <v>4.606625258799172E-2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0.31890000000000002</v>
      </c>
      <c r="AM77" s="3">
        <f t="shared" si="4"/>
        <v>0.16506211180124225</v>
      </c>
      <c r="AN77" s="5">
        <f>AA24</f>
        <v>0.19400000000000001</v>
      </c>
      <c r="AO77" s="3">
        <f t="shared" si="7"/>
        <v>0.10041407867494825</v>
      </c>
      <c r="AP77" s="5">
        <f>AE24</f>
        <v>0.15714</v>
      </c>
      <c r="AQ77" s="161">
        <f t="shared" si="5"/>
        <v>8.1335403726708069E-2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0.49890000000000001</v>
      </c>
      <c r="AM78" s="3">
        <f t="shared" si="4"/>
        <v>0.2582298136645963</v>
      </c>
      <c r="AN78" s="5">
        <f>AA25</f>
        <v>0.29199999999999998</v>
      </c>
      <c r="AO78" s="3">
        <f t="shared" si="7"/>
        <v>0.15113871635610765</v>
      </c>
      <c r="AP78" s="5">
        <f>AE25</f>
        <v>0.22775999999999999</v>
      </c>
      <c r="AQ78" s="161">
        <f t="shared" si="5"/>
        <v>0.11788819875776396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0.67779999999999996</v>
      </c>
      <c r="AM79" s="4">
        <f t="shared" si="4"/>
        <v>0.35082815734989642</v>
      </c>
      <c r="AN79" s="5">
        <f>AA26</f>
        <v>0.39100000000000001</v>
      </c>
      <c r="AO79" s="4">
        <f t="shared" si="7"/>
        <v>0.20238095238095238</v>
      </c>
      <c r="AP79" s="5">
        <f>AE26</f>
        <v>0.30498000000000003</v>
      </c>
      <c r="AQ79" s="162">
        <f t="shared" si="5"/>
        <v>0.15785714285714289</v>
      </c>
      <c r="BB79" s="12">
        <v>17</v>
      </c>
      <c r="BC79" s="12">
        <v>18</v>
      </c>
    </row>
    <row r="80" spans="1:94" ht="42" customHeight="1" thickTop="1" thickBot="1" x14ac:dyDescent="0.3">
      <c r="D80" s="49"/>
      <c r="H80" s="711" t="s">
        <v>105</v>
      </c>
      <c r="I80" s="712"/>
      <c r="J80" s="58"/>
      <c r="AJ80" s="160">
        <f>U28</f>
        <v>0.125</v>
      </c>
      <c r="AK80" s="3">
        <f t="shared" si="6"/>
        <v>3.1749999999999998</v>
      </c>
      <c r="AL80" s="5">
        <f>W28</f>
        <v>0.91324000000000005</v>
      </c>
      <c r="AM80" s="3">
        <f t="shared" si="4"/>
        <v>0.47269151138716359</v>
      </c>
      <c r="AN80" s="5">
        <f>AA28</f>
        <v>0.495</v>
      </c>
      <c r="AO80" s="3">
        <f t="shared" si="7"/>
        <v>0.25621118012422361</v>
      </c>
      <c r="AP80" s="5">
        <f>AE28</f>
        <v>0.37619999999999998</v>
      </c>
      <c r="AQ80" s="161">
        <f t="shared" si="5"/>
        <v>0.19472049689440993</v>
      </c>
      <c r="BC80" s="45">
        <v>0.99880400000000003</v>
      </c>
      <c r="BD80" s="45">
        <v>0.99862499999999998</v>
      </c>
    </row>
    <row r="81" spans="2:43" ht="15.75" customHeight="1" x14ac:dyDescent="0.25">
      <c r="AJ81" s="160">
        <f>U30</f>
        <v>0.15</v>
      </c>
      <c r="AK81" s="3">
        <f t="shared" si="6"/>
        <v>3.8099999999999996</v>
      </c>
      <c r="AL81" s="5">
        <f>W30</f>
        <v>1.1255999999999999</v>
      </c>
      <c r="AM81" s="3">
        <f t="shared" si="4"/>
        <v>0.58260869565217388</v>
      </c>
      <c r="AN81" s="5">
        <f>AA30</f>
        <v>0.63300000000000001</v>
      </c>
      <c r="AO81" s="3">
        <f t="shared" si="7"/>
        <v>0.32763975155279507</v>
      </c>
      <c r="AP81" s="5">
        <f>AE30</f>
        <v>0.44943</v>
      </c>
      <c r="AQ81" s="161">
        <f t="shared" si="5"/>
        <v>0.23262422360248447</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1.42452</v>
      </c>
      <c r="AM82" s="3">
        <f t="shared" si="4"/>
        <v>0.73732919254658391</v>
      </c>
      <c r="AN82" s="5">
        <f>AA31</f>
        <v>0.77800000000000002</v>
      </c>
      <c r="AO82" s="3">
        <f t="shared" si="7"/>
        <v>0.40269151138716353</v>
      </c>
      <c r="AP82" s="5">
        <f>AE31</f>
        <v>0.55237999999999998</v>
      </c>
      <c r="AQ82" s="161">
        <f t="shared" si="5"/>
        <v>0.28591097308488611</v>
      </c>
    </row>
    <row r="83" spans="2:43" ht="15" customHeight="1" x14ac:dyDescent="0.25">
      <c r="B83" s="49"/>
      <c r="C83" s="49"/>
      <c r="D83" s="49">
        <v>0</v>
      </c>
      <c r="E83" s="50">
        <f>M42</f>
        <v>8.4340659340659343</v>
      </c>
      <c r="F83" s="49"/>
      <c r="G83" s="43">
        <f>G84/10</f>
        <v>2.3431789831978493</v>
      </c>
      <c r="H83" s="43">
        <f>H84/10</f>
        <v>2.2209384271119719</v>
      </c>
      <c r="I83" s="43">
        <f>I84/10</f>
        <v>2.1200112706987566</v>
      </c>
      <c r="J83" s="43">
        <f>J84/10</f>
        <v>2.0105501663224388</v>
      </c>
      <c r="K83" s="43"/>
      <c r="L83" s="42">
        <v>0</v>
      </c>
      <c r="O83" s="706"/>
      <c r="P83" s="706"/>
      <c r="Q83" s="706"/>
      <c r="R83" s="706"/>
      <c r="S83" s="707"/>
      <c r="W83" s="112"/>
      <c r="AJ83" s="160">
        <f>U33</f>
        <v>0.2</v>
      </c>
      <c r="AK83" s="4">
        <f t="shared" si="6"/>
        <v>5.08</v>
      </c>
      <c r="AL83" s="5">
        <f>W33</f>
        <v>1.66995</v>
      </c>
      <c r="AM83" s="4">
        <f t="shared" si="4"/>
        <v>0.86436335403726705</v>
      </c>
      <c r="AN83" s="5">
        <f>AA33</f>
        <v>0.93500000000000005</v>
      </c>
      <c r="AO83" s="4">
        <f t="shared" si="7"/>
        <v>0.48395445134575565</v>
      </c>
      <c r="AP83" s="5">
        <f>AE33</f>
        <v>0.66385000000000005</v>
      </c>
      <c r="AQ83" s="162">
        <f t="shared" si="5"/>
        <v>0.34360766045548657</v>
      </c>
    </row>
    <row r="84" spans="2:43" ht="15" customHeight="1" x14ac:dyDescent="0.25">
      <c r="C84" s="94"/>
      <c r="D84" s="94"/>
      <c r="E84" s="94"/>
      <c r="F84" s="49"/>
      <c r="G84" s="43">
        <f>($M$34/(1+(E34*$M$34/100)))*($O$73)</f>
        <v>23.431789831978495</v>
      </c>
      <c r="H84" s="43">
        <f>($M$34/(1+(F34*$M$34/100)))*($O$73)</f>
        <v>22.20938427111972</v>
      </c>
      <c r="I84" s="43">
        <f>($M$34/(1+(G34*$M$34/100)))*($O$73)</f>
        <v>21.200112706987568</v>
      </c>
      <c r="J84" s="43">
        <f>($M$34/(1+(H34*$M$34/100)))*($O$73)</f>
        <v>20.105501663224388</v>
      </c>
      <c r="K84" s="43"/>
      <c r="O84" s="706" t="s">
        <v>146</v>
      </c>
      <c r="P84" s="706"/>
      <c r="Q84" s="706"/>
      <c r="R84" s="706"/>
      <c r="S84" s="707">
        <v>2240</v>
      </c>
      <c r="W84" s="112"/>
      <c r="AJ84" s="160">
        <f>U34</f>
        <v>0.3</v>
      </c>
      <c r="AK84" s="3">
        <f t="shared" si="6"/>
        <v>7.6199999999999992</v>
      </c>
      <c r="AL84" s="5">
        <f>W34</f>
        <v>2.2888999999999999</v>
      </c>
      <c r="AM84" s="3">
        <f t="shared" si="4"/>
        <v>1.1847308488612835</v>
      </c>
      <c r="AN84" s="5">
        <f>AA34</f>
        <v>1.4339999999999999</v>
      </c>
      <c r="AO84" s="3">
        <f t="shared" si="7"/>
        <v>0.7422360248447204</v>
      </c>
      <c r="AP84" s="5">
        <f>AE34</f>
        <v>1.1020000000000001</v>
      </c>
      <c r="AQ84" s="161">
        <f t="shared" si="5"/>
        <v>0.57039337474120089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2.6951999999999998</v>
      </c>
      <c r="AM85" s="3">
        <f t="shared" si="4"/>
        <v>1.3950310559006209</v>
      </c>
      <c r="AN85" s="5">
        <f>AA35</f>
        <v>1.867</v>
      </c>
      <c r="AO85" s="3">
        <f t="shared" si="7"/>
        <v>0.96635610766045543</v>
      </c>
      <c r="AP85" s="5">
        <f>AE35</f>
        <v>1.4320200000000001</v>
      </c>
      <c r="AQ85" s="161">
        <f>((AP85/19.32)*10)</f>
        <v>0.74121118012422371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2.8792</v>
      </c>
      <c r="AM86" s="164">
        <f t="shared" si="4"/>
        <v>1.4902691511387165</v>
      </c>
      <c r="AN86" s="165">
        <f>AA37</f>
        <v>2.3130000000000002</v>
      </c>
      <c r="AO86" s="164">
        <f t="shared" si="7"/>
        <v>1.1972049689440993</v>
      </c>
      <c r="AP86" s="165">
        <f>AE37</f>
        <v>1.6422300000000001</v>
      </c>
      <c r="AQ86" s="166">
        <f>((AP86/19.32)*10)</f>
        <v>0.85001552795031066</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1.8240247427648029</v>
      </c>
      <c r="AK91" s="9">
        <f>R31</f>
        <v>1.6937813607715224</v>
      </c>
      <c r="AL91" s="10">
        <f>S31</f>
        <v>1.5511633061147447</v>
      </c>
    </row>
    <row r="92" spans="2:43" ht="21" customHeight="1" thickBot="1" x14ac:dyDescent="0.3">
      <c r="B92" s="92"/>
      <c r="C92" s="93"/>
      <c r="D92" s="93"/>
      <c r="E92" s="93"/>
      <c r="F92" s="62"/>
      <c r="G92" s="63"/>
      <c r="H92" s="49"/>
      <c r="I92" s="49"/>
      <c r="O92" s="725" t="s">
        <v>147</v>
      </c>
      <c r="P92" s="726"/>
      <c r="Q92" s="726"/>
      <c r="R92" s="726"/>
      <c r="S92" s="61">
        <f>M42</f>
        <v>8.4340659340659343</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5.0844660485492232</v>
      </c>
      <c r="AK94" s="158">
        <f>AA42</f>
        <v>2.9330572808833675</v>
      </c>
      <c r="AL94" s="158">
        <f>AD42</f>
        <v>2.2877846790890275</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B6:B10 B12:B13 D6:D10 D12 F12:M12 L9:M9 I6:J10">
    <cfRule type="containsBlanks" dxfId="2569" priority="43">
      <formula>LEN(TRIM(B6))=0</formula>
    </cfRule>
  </conditionalFormatting>
  <conditionalFormatting sqref="D6:H10">
    <cfRule type="containsBlanks" dxfId="2568" priority="42">
      <formula>LEN(TRIM(D6))=0</formula>
    </cfRule>
  </conditionalFormatting>
  <conditionalFormatting sqref="M19">
    <cfRule type="containsBlanks" dxfId="2567" priority="41">
      <formula>LEN(TRIM(M19))=0</formula>
    </cfRule>
  </conditionalFormatting>
  <conditionalFormatting sqref="CP70">
    <cfRule type="containsBlanks" dxfId="2566" priority="40">
      <formula>LEN(TRIM(CP70))=0</formula>
    </cfRule>
  </conditionalFormatting>
  <conditionalFormatting sqref="M21">
    <cfRule type="containsBlanks" dxfId="2565" priority="39">
      <formula>LEN(TRIM(M21))=0</formula>
    </cfRule>
  </conditionalFormatting>
  <conditionalFormatting sqref="D12:M12">
    <cfRule type="containsBlanks" dxfId="2564" priority="38">
      <formula>LEN(TRIM(D12))=0</formula>
    </cfRule>
  </conditionalFormatting>
  <conditionalFormatting sqref="L9:M9">
    <cfRule type="containsBlanks" dxfId="2563" priority="37">
      <formula>LEN(TRIM(L9))=0</formula>
    </cfRule>
  </conditionalFormatting>
  <conditionalFormatting sqref="L25">
    <cfRule type="containsBlanks" dxfId="2562" priority="36">
      <formula>LEN(TRIM(L25))=0</formula>
    </cfRule>
  </conditionalFormatting>
  <conditionalFormatting sqref="Q20:S26">
    <cfRule type="containsBlanks" dxfId="2561" priority="26">
      <formula>LEN(TRIM(Q20))=0</formula>
    </cfRule>
    <cfRule type="containsBlanks" dxfId="2560" priority="35">
      <formula>LEN(TRIM(Q20))=0</formula>
    </cfRule>
  </conditionalFormatting>
  <conditionalFormatting sqref="U26:V27 AC33 AC26">
    <cfRule type="cellIs" dxfId="2559" priority="34" operator="between">
      <formula>0</formula>
      <formula>500</formula>
    </cfRule>
  </conditionalFormatting>
  <conditionalFormatting sqref="U33:V33">
    <cfRule type="cellIs" dxfId="2558" priority="33" operator="between">
      <formula>0</formula>
      <formula>500</formula>
    </cfRule>
  </conditionalFormatting>
  <conditionalFormatting sqref="AF45:AH46">
    <cfRule type="containsBlanks" dxfId="2557" priority="32">
      <formula>LEN(TRIM(AF45))=0</formula>
    </cfRule>
  </conditionalFormatting>
  <conditionalFormatting sqref="AF51:AG53">
    <cfRule type="containsBlanks" dxfId="2556" priority="31">
      <formula>LEN(TRIM(AF51))=0</formula>
    </cfRule>
  </conditionalFormatting>
  <conditionalFormatting sqref="E20:H24">
    <cfRule type="containsBlanks" dxfId="2555" priority="30">
      <formula>LEN(TRIM(E20))=0</formula>
    </cfRule>
  </conditionalFormatting>
  <conditionalFormatting sqref="E28:H33">
    <cfRule type="containsBlanks" dxfId="2554" priority="29">
      <formula>LEN(TRIM(E28))=0</formula>
    </cfRule>
  </conditionalFormatting>
  <conditionalFormatting sqref="Q42:S46">
    <cfRule type="containsBlanks" dxfId="2553" priority="28">
      <formula>LEN(TRIM(Q42))=0</formula>
    </cfRule>
  </conditionalFormatting>
  <conditionalFormatting sqref="Q34:S39">
    <cfRule type="containsBlanks" dxfId="2552" priority="27">
      <formula>LEN(TRIM(Q34))=0</formula>
    </cfRule>
  </conditionalFormatting>
  <conditionalFormatting sqref="M25">
    <cfRule type="containsBlanks" dxfId="2551" priority="25">
      <formula>LEN(TRIM(M25))=0</formula>
    </cfRule>
  </conditionalFormatting>
  <conditionalFormatting sqref="U26:V27 Y26:Z27 AC26:AD27 AG26:AG27">
    <cfRule type="containsBlanks" dxfId="2550" priority="23">
      <formula>LEN(TRIM(U26))=0</formula>
    </cfRule>
    <cfRule type="cellIs" dxfId="2549" priority="24" operator="between">
      <formula>0</formula>
      <formula>1000</formula>
    </cfRule>
  </conditionalFormatting>
  <conditionalFormatting sqref="W87:W88">
    <cfRule type="cellIs" dxfId="2548" priority="22" operator="between">
      <formula>0</formula>
      <formula>500</formula>
    </cfRule>
  </conditionalFormatting>
  <conditionalFormatting sqref="W94">
    <cfRule type="cellIs" dxfId="2547" priority="21" operator="between">
      <formula>0</formula>
      <formula>500</formula>
    </cfRule>
  </conditionalFormatting>
  <conditionalFormatting sqref="W87:W88">
    <cfRule type="containsBlanks" dxfId="2546" priority="19">
      <formula>LEN(TRIM(W87))=0</formula>
    </cfRule>
    <cfRule type="cellIs" dxfId="2545" priority="20" operator="between">
      <formula>0</formula>
      <formula>1000</formula>
    </cfRule>
  </conditionalFormatting>
  <conditionalFormatting sqref="U33:V33 Y33:Z33 AC33:AD33 AG33">
    <cfRule type="cellIs" dxfId="2544" priority="18" operator="between">
      <formula>0</formula>
      <formula>1000</formula>
    </cfRule>
  </conditionalFormatting>
  <conditionalFormatting sqref="Q27:S27">
    <cfRule type="containsBlanks" dxfId="2543" priority="16">
      <formula>LEN(TRIM(Q27))=0</formula>
    </cfRule>
    <cfRule type="containsBlanks" dxfId="2542" priority="17">
      <formula>LEN(TRIM(Q27))=0</formula>
    </cfRule>
  </conditionalFormatting>
  <conditionalFormatting sqref="W30:W31 W33:W35 W37 W28 W22:W26">
    <cfRule type="containsBlanks" dxfId="2541" priority="15">
      <formula>LEN(TRIM(W22))=0</formula>
    </cfRule>
  </conditionalFormatting>
  <conditionalFormatting sqref="W37 W30:W31 W33:W35 W28 W22:W26">
    <cfRule type="containsBlanks" dxfId="2540" priority="14">
      <formula>LEN(TRIM(W22))=0</formula>
    </cfRule>
  </conditionalFormatting>
  <conditionalFormatting sqref="W33:X33">
    <cfRule type="cellIs" dxfId="2539" priority="13" operator="between">
      <formula>0</formula>
      <formula>1000</formula>
    </cfRule>
  </conditionalFormatting>
  <conditionalFormatting sqref="W30:X37 W26 W28 W22:X25">
    <cfRule type="containsBlanks" dxfId="2538" priority="12">
      <formula>LEN(TRIM(W22))=0</formula>
    </cfRule>
  </conditionalFormatting>
  <conditionalFormatting sqref="AA37 AA30:AA31 AA33:AA35 AA22:AA26 AA28">
    <cfRule type="containsBlanks" dxfId="2537" priority="11">
      <formula>LEN(TRIM(AA22))=0</formula>
    </cfRule>
  </conditionalFormatting>
  <conditionalFormatting sqref="AA37 AA30:AA31 AA33:AA35 AA22:AA26 AA28">
    <cfRule type="containsBlanks" dxfId="2536" priority="10">
      <formula>LEN(TRIM(AA22))=0</formula>
    </cfRule>
  </conditionalFormatting>
  <conditionalFormatting sqref="AA33:AB34">
    <cfRule type="cellIs" dxfId="2535" priority="9" operator="between">
      <formula>0</formula>
      <formula>1000</formula>
    </cfRule>
  </conditionalFormatting>
  <conditionalFormatting sqref="AA30:AB30 AA31 AA33:AB37 AA22:AB25 AA26 AA28">
    <cfRule type="containsBlanks" dxfId="2534" priority="8">
      <formula>LEN(TRIM(AA22))=0</formula>
    </cfRule>
  </conditionalFormatting>
  <conditionalFormatting sqref="AE37 AE28 AE30:AE31 AE33:AE35 AE22:AE26">
    <cfRule type="containsBlanks" dxfId="2533" priority="7">
      <formula>LEN(TRIM(AE22))=0</formula>
    </cfRule>
  </conditionalFormatting>
  <conditionalFormatting sqref="AE37 AE28 AE30:AE31 AE33:AE35 AE22:AE26">
    <cfRule type="containsBlanks" dxfId="2532" priority="6">
      <formula>LEN(TRIM(AE22))=0</formula>
    </cfRule>
  </conditionalFormatting>
  <conditionalFormatting sqref="AE33:AF33">
    <cfRule type="cellIs" dxfId="2531" priority="5" operator="between">
      <formula>0</formula>
      <formula>1000</formula>
    </cfRule>
  </conditionalFormatting>
  <conditionalFormatting sqref="AE33:AF37 AE26 AE28 AE30:AE31 AE22:AF25">
    <cfRule type="containsBlanks" dxfId="2530" priority="4">
      <formula>LEN(TRIM(AE22))=0</formula>
    </cfRule>
  </conditionalFormatting>
  <conditionalFormatting sqref="K6:M6">
    <cfRule type="containsBlanks" dxfId="2529" priority="3">
      <formula>LEN(TRIM(K6))=0</formula>
    </cfRule>
  </conditionalFormatting>
  <conditionalFormatting sqref="K7:K8">
    <cfRule type="containsBlanks" dxfId="2528" priority="2">
      <formula>LEN(TRIM(K7))=0</formula>
    </cfRule>
  </conditionalFormatting>
  <conditionalFormatting sqref="D13:M13">
    <cfRule type="containsBlanks" dxfId="2527" priority="1">
      <formula>LEN(TRIM(D13))=0</formula>
    </cfRule>
  </conditionalFormatting>
  <dataValidations count="5">
    <dataValidation type="list" allowBlank="1" showInputMessage="1" showErrorMessage="1" sqref="L25" xr:uid="{00000000-0002-0000-0000-000000000000}">
      <formula1>$D$101:$D$104</formula1>
    </dataValidation>
    <dataValidation type="list" allowBlank="1" showInputMessage="1" showErrorMessage="1" sqref="M21" xr:uid="{00000000-0002-0000-0000-000001000000}">
      <formula1>$AX$3:$AX$4</formula1>
    </dataValidation>
    <dataValidation type="list" allowBlank="1" showInputMessage="1" showErrorMessage="1" sqref="M19" xr:uid="{00000000-0002-0000-0000-000002000000}">
      <formula1>$AX$3:$AX$5</formula1>
    </dataValidation>
    <dataValidation type="list" allowBlank="1" showInputMessage="1" showErrorMessage="1" sqref="CP70" xr:uid="{00000000-0002-0000-0000-000003000000}">
      <formula1>$BA$3:$BA$5</formula1>
    </dataValidation>
    <dataValidation type="list" allowBlank="1" showInputMessage="1" showErrorMessage="1" sqref="D12:E12" xr:uid="{00000000-0002-0000-0000-000004000000}">
      <formula1>$B$87:$B$94</formula1>
    </dataValidation>
  </dataValidations>
  <hyperlinks>
    <hyperlink ref="D8" r:id="rId1" xr:uid="{00000000-0004-0000-00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07522"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07523"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0752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0752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07526"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07527"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0752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0752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0753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CP153"/>
  <sheetViews>
    <sheetView view="pageBreakPreview" topLeftCell="Q25" zoomScale="70" zoomScaleNormal="100" zoomScaleSheetLayoutView="70"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2"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3" t="s">
        <v>188</v>
      </c>
      <c r="F2" s="513"/>
      <c r="G2" s="513"/>
      <c r="H2" s="513"/>
      <c r="I2" s="513"/>
      <c r="J2" s="513"/>
      <c r="K2" s="514"/>
      <c r="L2" s="488" t="s">
        <v>172</v>
      </c>
      <c r="M2" s="489"/>
      <c r="N2" s="190"/>
      <c r="O2" s="503"/>
      <c r="P2" s="503"/>
      <c r="Q2" s="509"/>
      <c r="R2" s="513" t="s">
        <v>50</v>
      </c>
      <c r="S2" s="513"/>
      <c r="T2" s="513"/>
      <c r="U2" s="513"/>
      <c r="V2" s="513"/>
      <c r="W2" s="513"/>
      <c r="X2" s="513"/>
      <c r="Y2" s="513"/>
      <c r="Z2" s="513"/>
      <c r="AA2" s="513"/>
      <c r="AB2" s="513"/>
      <c r="AC2" s="513"/>
      <c r="AD2" s="513"/>
      <c r="AE2" s="514"/>
      <c r="AF2" s="488" t="s">
        <v>172</v>
      </c>
      <c r="AG2" s="518"/>
      <c r="AH2" s="489"/>
      <c r="AS2" s="24"/>
      <c r="AT2" s="24"/>
      <c r="AU2" s="24"/>
      <c r="AV2" s="24"/>
      <c r="AX2" s="24"/>
      <c r="AY2" s="24"/>
      <c r="AZ2" s="24"/>
      <c r="BA2" s="24"/>
      <c r="BB2" s="24"/>
      <c r="BC2" s="24"/>
    </row>
    <row r="3" spans="1:57" s="22" customFormat="1" ht="20.25" customHeight="1" x14ac:dyDescent="0.25">
      <c r="A3" s="90"/>
      <c r="B3" s="503"/>
      <c r="C3" s="503"/>
      <c r="D3" s="503"/>
      <c r="E3" s="513"/>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6"/>
      <c r="F4" s="516"/>
      <c r="G4" s="516"/>
      <c r="H4" s="516"/>
      <c r="I4" s="516"/>
      <c r="J4" s="516"/>
      <c r="K4" s="517"/>
      <c r="L4" s="490" t="s">
        <v>174</v>
      </c>
      <c r="M4" s="491"/>
      <c r="N4" s="191"/>
      <c r="O4" s="504"/>
      <c r="P4" s="504"/>
      <c r="Q4" s="510"/>
      <c r="R4" s="516"/>
      <c r="S4" s="516"/>
      <c r="T4" s="516"/>
      <c r="U4" s="516"/>
      <c r="V4" s="516"/>
      <c r="W4" s="516"/>
      <c r="X4" s="516"/>
      <c r="Y4" s="516"/>
      <c r="Z4" s="516"/>
      <c r="AA4" s="516"/>
      <c r="AB4" s="516"/>
      <c r="AC4" s="516"/>
      <c r="AD4" s="516"/>
      <c r="AE4" s="517"/>
      <c r="AF4" s="490" t="s">
        <v>174</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496" t="s">
        <v>1</v>
      </c>
      <c r="C6" s="496"/>
      <c r="D6" s="497" t="s">
        <v>180</v>
      </c>
      <c r="E6" s="497"/>
      <c r="F6" s="497"/>
      <c r="G6" s="497"/>
      <c r="H6" s="497"/>
      <c r="I6" s="498" t="s">
        <v>53</v>
      </c>
      <c r="J6" s="498"/>
      <c r="K6" s="733">
        <v>45400</v>
      </c>
      <c r="L6" s="733"/>
      <c r="M6" s="734"/>
      <c r="N6" s="88"/>
      <c r="O6" s="501" t="str">
        <f>B6</f>
        <v>CLIENTE:</v>
      </c>
      <c r="P6" s="501"/>
      <c r="Q6" s="519" t="str">
        <f>+D6</f>
        <v>TPF GETINSA EURO ESTUDIOS COLOMBIA</v>
      </c>
      <c r="R6" s="519"/>
      <c r="S6" s="519"/>
      <c r="T6" s="519"/>
      <c r="U6" s="519"/>
      <c r="V6" s="519"/>
      <c r="W6" s="520" t="str">
        <f>I6</f>
        <v>FECHA DE RECEPCIÓN:</v>
      </c>
      <c r="X6" s="520"/>
      <c r="Y6" s="520"/>
      <c r="Z6" s="520"/>
      <c r="AA6" s="520"/>
      <c r="AB6" s="521">
        <f>K6</f>
        <v>45400</v>
      </c>
      <c r="AC6" s="521"/>
      <c r="AD6" s="521"/>
      <c r="AE6" s="521"/>
      <c r="AF6" s="521"/>
      <c r="AG6" s="87"/>
      <c r="AH6" s="21"/>
      <c r="AR6" s="24"/>
      <c r="AS6" s="24"/>
      <c r="AT6" s="24"/>
      <c r="AV6" s="24"/>
      <c r="AW6" s="24"/>
      <c r="AX6" s="24"/>
      <c r="AY6" s="25"/>
      <c r="AZ6" s="24"/>
      <c r="BA6" s="24"/>
      <c r="BB6" s="24"/>
      <c r="BE6" s="23" t="s">
        <v>54</v>
      </c>
    </row>
    <row r="7" spans="1:57" s="22" customFormat="1" ht="27.75" customHeight="1" x14ac:dyDescent="0.25">
      <c r="A7" s="90"/>
      <c r="B7" s="522" t="s">
        <v>2</v>
      </c>
      <c r="C7" s="522"/>
      <c r="D7" s="732" t="s">
        <v>181</v>
      </c>
      <c r="E7" s="732"/>
      <c r="F7" s="732"/>
      <c r="G7" s="732"/>
      <c r="H7" s="732"/>
      <c r="I7" s="523" t="s">
        <v>55</v>
      </c>
      <c r="J7" s="523"/>
      <c r="K7" s="730"/>
      <c r="L7" s="730"/>
      <c r="M7" s="731"/>
      <c r="N7" s="89"/>
      <c r="O7" s="526" t="str">
        <f>B7</f>
        <v>PROYECTO:</v>
      </c>
      <c r="P7" s="526"/>
      <c r="Q7" s="531" t="str">
        <f>D7</f>
        <v xml:space="preserve">ESTUDIOS Y DISEÑOS  DE LA CALZADAS DE LAS CUATRO UNIDADES FUNCIONALES  AUTOPISTAS AL RIO MAGDALENA 2 </v>
      </c>
      <c r="R7" s="531"/>
      <c r="S7" s="531"/>
      <c r="T7" s="531"/>
      <c r="U7" s="531"/>
      <c r="V7" s="531"/>
      <c r="W7" s="528" t="str">
        <f>I7</f>
        <v xml:space="preserve">FECHA DE EJECUCIÓN: </v>
      </c>
      <c r="X7" s="528"/>
      <c r="Y7" s="528"/>
      <c r="Z7" s="528"/>
      <c r="AA7" s="528"/>
      <c r="AB7" s="529">
        <f>K7</f>
        <v>0</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522" t="s">
        <v>57</v>
      </c>
      <c r="C8" s="522"/>
      <c r="D8" s="735" t="s">
        <v>182</v>
      </c>
      <c r="E8" s="736"/>
      <c r="F8" s="736"/>
      <c r="G8" s="736"/>
      <c r="H8" s="736"/>
      <c r="I8" s="523" t="s">
        <v>58</v>
      </c>
      <c r="J8" s="523"/>
      <c r="K8" s="730"/>
      <c r="L8" s="730"/>
      <c r="M8" s="731"/>
      <c r="N8" s="89"/>
      <c r="O8" s="526" t="str">
        <f>B8</f>
        <v>CORREO ELECTRÓNICO:</v>
      </c>
      <c r="P8" s="526"/>
      <c r="Q8" s="531" t="str">
        <f>D8</f>
        <v>BRYAN.ALARCON@CO.TPFINGENIERIA.COM</v>
      </c>
      <c r="R8" s="531"/>
      <c r="S8" s="531"/>
      <c r="T8" s="531"/>
      <c r="U8" s="531"/>
      <c r="V8" s="531"/>
      <c r="W8" s="528" t="str">
        <f>I8</f>
        <v>FECHA DE EMISIÓN:</v>
      </c>
      <c r="X8" s="528"/>
      <c r="Y8" s="528"/>
      <c r="Z8" s="528"/>
      <c r="AA8" s="528"/>
      <c r="AB8" s="529">
        <f>K8</f>
        <v>0</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522" t="s">
        <v>60</v>
      </c>
      <c r="C9" s="522"/>
      <c r="D9" s="482" t="s">
        <v>183</v>
      </c>
      <c r="E9" s="482"/>
      <c r="F9" s="482"/>
      <c r="G9" s="482"/>
      <c r="H9" s="482"/>
      <c r="I9" s="523" t="s">
        <v>61</v>
      </c>
      <c r="J9" s="523"/>
      <c r="K9" s="27" t="s">
        <v>62</v>
      </c>
      <c r="L9" s="28" t="s">
        <v>156</v>
      </c>
      <c r="M9" s="97" t="s">
        <v>157</v>
      </c>
      <c r="N9" s="89"/>
      <c r="O9" s="526" t="str">
        <f>B9</f>
        <v>LOCALIZACIÓN:</v>
      </c>
      <c r="P9" s="526"/>
      <c r="Q9" s="531" t="str">
        <f>D9</f>
        <v xml:space="preserve">RUTA DEL SOL UF1, 2, 3 Y 4 </v>
      </c>
      <c r="R9" s="531"/>
      <c r="S9" s="531"/>
      <c r="T9" s="531"/>
      <c r="U9" s="531"/>
      <c r="V9" s="531"/>
      <c r="W9" s="528" t="str">
        <f>I9</f>
        <v xml:space="preserve">ORDEN INTERNA: </v>
      </c>
      <c r="X9" s="528"/>
      <c r="Y9" s="528"/>
      <c r="Z9" s="528"/>
      <c r="AA9" s="528"/>
      <c r="AB9" s="529" t="str">
        <f>_xlfn.CONCAT(K9," "," ",L9," ","-"," ",M9)</f>
        <v>GDA  023 - 23</v>
      </c>
      <c r="AC9" s="529"/>
      <c r="AD9" s="529"/>
      <c r="AE9" s="529"/>
      <c r="AF9" s="529"/>
      <c r="AG9" s="212"/>
      <c r="AH9" s="26"/>
      <c r="AR9" s="24"/>
      <c r="AS9" s="24"/>
      <c r="AT9" s="24"/>
      <c r="AU9" s="24"/>
      <c r="AV9" s="24"/>
      <c r="AW9" s="24"/>
      <c r="AX9" s="24"/>
      <c r="AY9" s="24"/>
      <c r="AZ9" s="24"/>
      <c r="BA9" s="24"/>
      <c r="BB9" s="24"/>
      <c r="BE9" s="23" t="s">
        <v>63</v>
      </c>
    </row>
    <row r="10" spans="1:57" s="22" customFormat="1" ht="22.5" customHeight="1" thickBot="1" x14ac:dyDescent="0.3">
      <c r="A10" s="90"/>
      <c r="B10" s="534" t="s">
        <v>64</v>
      </c>
      <c r="C10" s="534"/>
      <c r="D10" s="482" t="s">
        <v>184</v>
      </c>
      <c r="E10" s="482"/>
      <c r="F10" s="482"/>
      <c r="G10" s="482"/>
      <c r="H10" s="482"/>
      <c r="I10" s="535" t="s">
        <v>65</v>
      </c>
      <c r="J10" s="535"/>
      <c r="K10" s="536" t="str">
        <f>CONCATENATE(L9,," ",M9,F12,"-",D69,"-",H12)</f>
        <v>023 23--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41" t="str">
        <f>K10</f>
        <v>023 23--</v>
      </c>
      <c r="AC10" s="541"/>
      <c r="AD10" s="541"/>
      <c r="AE10" s="541"/>
      <c r="AF10" s="541"/>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496" t="s">
        <v>3</v>
      </c>
      <c r="C12" s="496"/>
      <c r="D12" s="545"/>
      <c r="E12" s="545"/>
      <c r="F12" s="145"/>
      <c r="G12" s="31" t="s">
        <v>4</v>
      </c>
      <c r="H12" s="146"/>
      <c r="I12" s="546" t="s">
        <v>5</v>
      </c>
      <c r="J12" s="546"/>
      <c r="K12" s="209"/>
      <c r="L12" s="32" t="s">
        <v>6</v>
      </c>
      <c r="M12" s="147"/>
      <c r="N12" s="78"/>
      <c r="O12" s="501" t="s">
        <v>3</v>
      </c>
      <c r="P12" s="501"/>
      <c r="Q12" s="519" t="str">
        <f>_xlfn.CONCAT(D12," "," ",F12)</f>
        <v xml:space="preserve">  </v>
      </c>
      <c r="R12" s="519"/>
      <c r="S12" s="519"/>
      <c r="T12" s="502" t="s">
        <v>4</v>
      </c>
      <c r="U12" s="502"/>
      <c r="V12" s="33">
        <f>+H12</f>
        <v>0</v>
      </c>
      <c r="W12" s="547" t="s">
        <v>5</v>
      </c>
      <c r="X12" s="547"/>
      <c r="Y12" s="547"/>
      <c r="Z12" s="547"/>
      <c r="AA12" s="547"/>
      <c r="AB12" s="547"/>
      <c r="AC12" s="34">
        <f>K12</f>
        <v>0</v>
      </c>
      <c r="AD12" s="548" t="s">
        <v>6</v>
      </c>
      <c r="AE12" s="548"/>
      <c r="AF12" s="35">
        <f>+M12</f>
        <v>0</v>
      </c>
      <c r="AG12" s="37"/>
      <c r="AH12" s="21"/>
      <c r="AT12" s="23"/>
      <c r="AU12" s="24"/>
      <c r="AV12" s="24"/>
      <c r="AW12" s="24"/>
      <c r="AX12" s="24"/>
      <c r="AY12" s="24"/>
      <c r="AZ12" s="24"/>
      <c r="BA12" s="24"/>
      <c r="BB12" s="24"/>
      <c r="BC12" s="24"/>
      <c r="BD12" s="24"/>
      <c r="BE12" s="24"/>
    </row>
    <row r="13" spans="1:57" s="22" customFormat="1" ht="22.5" customHeight="1" x14ac:dyDescent="0.25">
      <c r="A13" s="90"/>
      <c r="B13" s="522" t="s">
        <v>130</v>
      </c>
      <c r="C13" s="522"/>
      <c r="D13" s="737"/>
      <c r="E13" s="737"/>
      <c r="F13" s="737"/>
      <c r="G13" s="737"/>
      <c r="H13" s="737"/>
      <c r="I13" s="737"/>
      <c r="J13" s="737"/>
      <c r="K13" s="737"/>
      <c r="L13" s="737"/>
      <c r="M13" s="738"/>
      <c r="N13" s="188"/>
      <c r="O13" s="526" t="s">
        <v>130</v>
      </c>
      <c r="P13" s="526"/>
      <c r="Q13" s="728">
        <f>D13</f>
        <v>0</v>
      </c>
      <c r="R13" s="728"/>
      <c r="S13" s="728"/>
      <c r="T13" s="728"/>
      <c r="U13" s="728"/>
      <c r="V13" s="728"/>
      <c r="W13" s="728"/>
      <c r="X13" s="728"/>
      <c r="Y13" s="728"/>
      <c r="Z13" s="728"/>
      <c r="AA13" s="728"/>
      <c r="AB13" s="728"/>
      <c r="AC13" s="728"/>
      <c r="AD13" s="728"/>
      <c r="AE13" s="728"/>
      <c r="AF13" s="728"/>
      <c r="AG13" s="728"/>
      <c r="AH13" s="729"/>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34"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34"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34" ht="35.1" customHeight="1" thickBot="1" x14ac:dyDescent="0.3">
      <c r="A19" s="103"/>
      <c r="B19" s="565" t="s">
        <v>26</v>
      </c>
      <c r="C19" s="566"/>
      <c r="D19" s="566"/>
      <c r="E19" s="566"/>
      <c r="F19" s="566"/>
      <c r="G19" s="566"/>
      <c r="H19" s="567"/>
      <c r="I19" s="174"/>
      <c r="J19" s="739" t="s">
        <v>185</v>
      </c>
      <c r="K19" s="739"/>
      <c r="L19" s="739"/>
      <c r="M19" s="154"/>
      <c r="N19" s="103"/>
      <c r="O19" s="568" t="s">
        <v>26</v>
      </c>
      <c r="P19" s="569"/>
      <c r="Q19" s="105">
        <v>10</v>
      </c>
      <c r="R19" s="106">
        <v>25</v>
      </c>
      <c r="S19" s="107">
        <v>56</v>
      </c>
      <c r="T19" s="174"/>
      <c r="U19" s="570" t="s">
        <v>14</v>
      </c>
      <c r="V19" s="571"/>
      <c r="W19" s="574" t="str">
        <f>_xlfn.CONCAT(Q19," "," ",AK1)</f>
        <v xml:space="preserve">10  GOLPES </v>
      </c>
      <c r="X19" s="558"/>
      <c r="Y19" s="558"/>
      <c r="Z19" s="575"/>
      <c r="AA19" s="557" t="str">
        <f>_xlfn.CONCAT(R19," "," ",AK1)</f>
        <v xml:space="preserve">25  GOLPES </v>
      </c>
      <c r="AB19" s="558"/>
      <c r="AC19" s="558"/>
      <c r="AD19" s="558"/>
      <c r="AE19" s="557" t="str">
        <f>_xlfn.CONCAT(S19," "," ",AK1)</f>
        <v xml:space="preserve">56  GOLPES </v>
      </c>
      <c r="AF19" s="558"/>
      <c r="AG19" s="559"/>
      <c r="AH19" s="192"/>
    </row>
    <row r="20" spans="1:34" ht="24.95" customHeight="1" thickBot="1" x14ac:dyDescent="0.3">
      <c r="A20" s="103"/>
      <c r="B20" s="560" t="s">
        <v>7</v>
      </c>
      <c r="C20" s="561"/>
      <c r="D20" s="561"/>
      <c r="E20" s="148"/>
      <c r="F20" s="148">
        <f t="shared" ref="F20:H21" si="0">E20</f>
        <v>0</v>
      </c>
      <c r="G20" s="148">
        <f t="shared" si="0"/>
        <v>0</v>
      </c>
      <c r="H20" s="149">
        <f t="shared" si="0"/>
        <v>0</v>
      </c>
      <c r="I20" s="174"/>
      <c r="J20" s="739" t="s">
        <v>96</v>
      </c>
      <c r="K20" s="739"/>
      <c r="L20" s="739"/>
      <c r="M20" s="39" t="b">
        <f>IF(M19=" ","-",IF(M19=" ","-",IF(M19=AX4,AW4,IF(M19=AX3,AW3))))</f>
        <v>0</v>
      </c>
      <c r="N20" s="103"/>
      <c r="O20" s="560" t="s">
        <v>24</v>
      </c>
      <c r="P20" s="561"/>
      <c r="Q20" s="148"/>
      <c r="R20" s="148"/>
      <c r="S20" s="149"/>
      <c r="T20" s="174"/>
      <c r="U20" s="572"/>
      <c r="V20" s="573"/>
      <c r="W20" s="563" t="s">
        <v>15</v>
      </c>
      <c r="X20" s="564"/>
      <c r="Y20" s="563" t="s">
        <v>16</v>
      </c>
      <c r="Z20" s="564"/>
      <c r="AA20" s="563" t="s">
        <v>17</v>
      </c>
      <c r="AB20" s="564"/>
      <c r="AC20" s="563" t="s">
        <v>16</v>
      </c>
      <c r="AD20" s="564"/>
      <c r="AE20" s="563" t="s">
        <v>17</v>
      </c>
      <c r="AF20" s="564"/>
      <c r="AG20" s="108" t="s">
        <v>16</v>
      </c>
      <c r="AH20" s="104"/>
    </row>
    <row r="21" spans="1:34" ht="24.95" customHeight="1" x14ac:dyDescent="0.25">
      <c r="A21" s="103"/>
      <c r="B21" s="583" t="s">
        <v>8</v>
      </c>
      <c r="C21" s="584"/>
      <c r="D21" s="584"/>
      <c r="E21" s="150"/>
      <c r="F21" s="150">
        <f t="shared" si="0"/>
        <v>0</v>
      </c>
      <c r="G21" s="150">
        <f t="shared" si="0"/>
        <v>0</v>
      </c>
      <c r="H21" s="151">
        <f t="shared" si="0"/>
        <v>0</v>
      </c>
      <c r="I21" s="174"/>
      <c r="J21" s="739" t="s">
        <v>47</v>
      </c>
      <c r="K21" s="739"/>
      <c r="L21" s="739"/>
      <c r="M21" s="154"/>
      <c r="N21" s="103"/>
      <c r="O21" s="579" t="s">
        <v>131</v>
      </c>
      <c r="P21" s="580"/>
      <c r="Q21" s="150"/>
      <c r="R21" s="150"/>
      <c r="S21" s="151"/>
      <c r="T21" s="174"/>
      <c r="U21" s="109" t="s">
        <v>18</v>
      </c>
      <c r="V21" s="110" t="s">
        <v>19</v>
      </c>
      <c r="W21" s="477" t="s">
        <v>20</v>
      </c>
      <c r="X21" s="478"/>
      <c r="Y21" s="477" t="s">
        <v>21</v>
      </c>
      <c r="Z21" s="478"/>
      <c r="AA21" s="477" t="s">
        <v>20</v>
      </c>
      <c r="AB21" s="478"/>
      <c r="AC21" s="477" t="s">
        <v>21</v>
      </c>
      <c r="AD21" s="478"/>
      <c r="AE21" s="477" t="s">
        <v>20</v>
      </c>
      <c r="AF21" s="478"/>
      <c r="AG21" s="111" t="s">
        <v>21</v>
      </c>
      <c r="AH21" s="104"/>
    </row>
    <row r="22" spans="1:34" ht="24.95" customHeight="1" thickBot="1" x14ac:dyDescent="0.3">
      <c r="A22" s="103"/>
      <c r="B22" s="576" t="s">
        <v>67</v>
      </c>
      <c r="C22" s="577"/>
      <c r="D22" s="577"/>
      <c r="E22" s="150"/>
      <c r="F22" s="150"/>
      <c r="G22" s="150"/>
      <c r="H22" s="151"/>
      <c r="I22" s="174"/>
      <c r="J22" s="578"/>
      <c r="K22" s="578"/>
      <c r="L22" s="578"/>
      <c r="M22" s="104"/>
      <c r="N22" s="103"/>
      <c r="O22" s="579" t="s">
        <v>132</v>
      </c>
      <c r="P22" s="580"/>
      <c r="Q22" s="150"/>
      <c r="R22" s="150"/>
      <c r="S22" s="153"/>
      <c r="T22" s="174"/>
      <c r="U22" s="112">
        <v>5.0000000000000001E-3</v>
      </c>
      <c r="V22" s="113">
        <f>U22*25.4</f>
        <v>0.127</v>
      </c>
      <c r="W22" s="581"/>
      <c r="X22" s="582"/>
      <c r="Y22" s="449">
        <f>((W22/19.32)*10)</f>
        <v>0</v>
      </c>
      <c r="Z22" s="450"/>
      <c r="AA22" s="581"/>
      <c r="AB22" s="582"/>
      <c r="AC22" s="449">
        <f>((AA22/19.32)*10)</f>
        <v>0</v>
      </c>
      <c r="AD22" s="450"/>
      <c r="AE22" s="581"/>
      <c r="AF22" s="582"/>
      <c r="AG22" s="114">
        <f>((AE22/19.32)*10)</f>
        <v>0</v>
      </c>
      <c r="AH22" s="104"/>
    </row>
    <row r="23" spans="1:34" ht="24.95" customHeight="1" x14ac:dyDescent="0.25">
      <c r="A23" s="103"/>
      <c r="B23" s="583" t="s">
        <v>68</v>
      </c>
      <c r="C23" s="584"/>
      <c r="D23" s="584"/>
      <c r="E23" s="150"/>
      <c r="F23" s="150">
        <f t="shared" ref="F23:H24" si="1">E23</f>
        <v>0</v>
      </c>
      <c r="G23" s="150">
        <f t="shared" si="1"/>
        <v>0</v>
      </c>
      <c r="H23" s="151">
        <f t="shared" si="1"/>
        <v>0</v>
      </c>
      <c r="I23" s="174"/>
      <c r="J23" s="587" t="s">
        <v>165</v>
      </c>
      <c r="K23" s="588"/>
      <c r="L23" s="588"/>
      <c r="M23" s="589"/>
      <c r="N23" s="103"/>
      <c r="O23" s="579" t="s">
        <v>27</v>
      </c>
      <c r="P23" s="580"/>
      <c r="Q23" s="150"/>
      <c r="R23" s="150"/>
      <c r="S23" s="151"/>
      <c r="T23" s="174"/>
      <c r="U23" s="112">
        <v>2.5000000000000001E-2</v>
      </c>
      <c r="V23" s="113">
        <f>U23*25.4</f>
        <v>0.63500000000000001</v>
      </c>
      <c r="W23" s="581"/>
      <c r="X23" s="582"/>
      <c r="Y23" s="449">
        <f>((W23/19.32)*10)</f>
        <v>0</v>
      </c>
      <c r="Z23" s="450"/>
      <c r="AA23" s="581"/>
      <c r="AB23" s="582"/>
      <c r="AC23" s="449">
        <f>((AA23/19.32)*10)</f>
        <v>0</v>
      </c>
      <c r="AD23" s="450"/>
      <c r="AE23" s="581"/>
      <c r="AF23" s="582"/>
      <c r="AG23" s="114">
        <f>((AE23/19.32)*10)</f>
        <v>0</v>
      </c>
      <c r="AH23" s="104"/>
    </row>
    <row r="24" spans="1:34" ht="24.95" customHeight="1" thickBot="1" x14ac:dyDescent="0.3">
      <c r="A24" s="103"/>
      <c r="B24" s="583" t="s">
        <v>70</v>
      </c>
      <c r="C24" s="584"/>
      <c r="D24" s="584"/>
      <c r="E24" s="150"/>
      <c r="F24" s="150">
        <f t="shared" si="1"/>
        <v>0</v>
      </c>
      <c r="G24" s="150">
        <f t="shared" si="1"/>
        <v>0</v>
      </c>
      <c r="H24" s="151">
        <f t="shared" si="1"/>
        <v>0</v>
      </c>
      <c r="I24" s="174"/>
      <c r="J24" s="590"/>
      <c r="K24" s="591"/>
      <c r="L24" s="591"/>
      <c r="M24" s="592"/>
      <c r="N24" s="103"/>
      <c r="O24" s="585" t="s">
        <v>35</v>
      </c>
      <c r="P24" s="586"/>
      <c r="Q24" s="150"/>
      <c r="R24" s="150"/>
      <c r="S24" s="151"/>
      <c r="T24" s="174"/>
      <c r="U24" s="112">
        <v>0.05</v>
      </c>
      <c r="V24" s="113">
        <f>U24*25.4</f>
        <v>1.27</v>
      </c>
      <c r="W24" s="581"/>
      <c r="X24" s="582"/>
      <c r="Y24" s="449">
        <f>((W24/19.32)*10)</f>
        <v>0</v>
      </c>
      <c r="Z24" s="450"/>
      <c r="AA24" s="581"/>
      <c r="AB24" s="582"/>
      <c r="AC24" s="449">
        <f>((AA24/19.32)*10)</f>
        <v>0</v>
      </c>
      <c r="AD24" s="450"/>
      <c r="AE24" s="581"/>
      <c r="AF24" s="582"/>
      <c r="AG24" s="114">
        <f>((AE24/19.32)*10)</f>
        <v>0</v>
      </c>
      <c r="AH24" s="104"/>
    </row>
    <row r="25" spans="1:34" ht="24.95" customHeight="1" thickBot="1" x14ac:dyDescent="0.3">
      <c r="A25" s="103"/>
      <c r="B25" s="602" t="s">
        <v>69</v>
      </c>
      <c r="C25" s="603"/>
      <c r="D25" s="603"/>
      <c r="E25" s="115">
        <f>E22-E23</f>
        <v>0</v>
      </c>
      <c r="F25" s="115">
        <f>F22-F23</f>
        <v>0</v>
      </c>
      <c r="G25" s="115">
        <f>G22-G23</f>
        <v>0</v>
      </c>
      <c r="H25" s="116">
        <f>H22-H23</f>
        <v>0</v>
      </c>
      <c r="I25" s="174"/>
      <c r="J25" s="174" t="s">
        <v>127</v>
      </c>
      <c r="K25" s="174"/>
      <c r="L25" s="183" t="s">
        <v>128</v>
      </c>
      <c r="M25" s="155"/>
      <c r="N25" s="103"/>
      <c r="O25" s="604" t="s">
        <v>46</v>
      </c>
      <c r="P25" s="605"/>
      <c r="Q25" s="608"/>
      <c r="R25" s="608"/>
      <c r="S25" s="610"/>
      <c r="T25" s="174"/>
      <c r="U25" s="112">
        <v>7.4999999999999997E-2</v>
      </c>
      <c r="V25" s="113">
        <f>U25*25.4</f>
        <v>1.9049999999999998</v>
      </c>
      <c r="W25" s="581"/>
      <c r="X25" s="582"/>
      <c r="Y25" s="449">
        <f>((W25/19.32)*10)</f>
        <v>0</v>
      </c>
      <c r="Z25" s="450"/>
      <c r="AA25" s="581"/>
      <c r="AB25" s="582"/>
      <c r="AC25" s="449">
        <f>((AA25/19.32)*10)</f>
        <v>0</v>
      </c>
      <c r="AD25" s="450"/>
      <c r="AE25" s="581"/>
      <c r="AF25" s="582"/>
      <c r="AG25" s="114">
        <f>((AE25/19.32)*10)</f>
        <v>0</v>
      </c>
      <c r="AH25" s="104"/>
    </row>
    <row r="26" spans="1:34" ht="5.0999999999999996" customHeight="1" thickBot="1" x14ac:dyDescent="0.3">
      <c r="A26" s="103"/>
      <c r="B26" s="174"/>
      <c r="C26" s="174"/>
      <c r="D26" s="174"/>
      <c r="E26" s="174"/>
      <c r="F26" s="174"/>
      <c r="G26" s="174"/>
      <c r="H26" s="174"/>
      <c r="I26" s="174"/>
      <c r="J26" s="597" t="s">
        <v>106</v>
      </c>
      <c r="K26" s="597"/>
      <c r="L26" s="598" t="s">
        <v>120</v>
      </c>
      <c r="M26" s="599" t="str">
        <f>IF(M25="","",M25)</f>
        <v/>
      </c>
      <c r="N26" s="103"/>
      <c r="O26" s="606"/>
      <c r="P26" s="607"/>
      <c r="Q26" s="609"/>
      <c r="R26" s="609"/>
      <c r="S26" s="611"/>
      <c r="T26" s="174"/>
      <c r="U26" s="600">
        <v>0.1</v>
      </c>
      <c r="V26" s="601">
        <f>U26*25.4</f>
        <v>2.54</v>
      </c>
      <c r="W26" s="593"/>
      <c r="X26" s="594"/>
      <c r="Y26" s="439">
        <f>((W27/19.32)*10)</f>
        <v>0</v>
      </c>
      <c r="Z26" s="440"/>
      <c r="AA26" s="593"/>
      <c r="AB26" s="594"/>
      <c r="AC26" s="439">
        <f>((AA26/19.32)*10)</f>
        <v>0</v>
      </c>
      <c r="AD26" s="440"/>
      <c r="AE26" s="746"/>
      <c r="AF26" s="747"/>
      <c r="AG26" s="469">
        <f>((AE26/19.32)*10)</f>
        <v>0</v>
      </c>
      <c r="AH26" s="104"/>
    </row>
    <row r="27" spans="1:34"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0</v>
      </c>
      <c r="R27" s="152">
        <f>(PI()*((R25^2)/4)*R24)</f>
        <v>0</v>
      </c>
      <c r="S27" s="153">
        <f>(PI()*((S25^2)/4)*S24)</f>
        <v>0</v>
      </c>
      <c r="T27" s="174"/>
      <c r="U27" s="600"/>
      <c r="V27" s="601"/>
      <c r="W27" s="595"/>
      <c r="X27" s="596"/>
      <c r="Y27" s="441"/>
      <c r="Z27" s="442"/>
      <c r="AA27" s="595"/>
      <c r="AB27" s="596"/>
      <c r="AC27" s="441"/>
      <c r="AD27" s="442"/>
      <c r="AE27" s="748"/>
      <c r="AF27" s="749"/>
      <c r="AG27" s="470"/>
      <c r="AH27" s="193"/>
    </row>
    <row r="28" spans="1:34" ht="24.95" customHeight="1" thickBot="1" x14ac:dyDescent="0.3">
      <c r="A28" s="103"/>
      <c r="B28" s="560" t="s">
        <v>9</v>
      </c>
      <c r="C28" s="561"/>
      <c r="D28" s="561"/>
      <c r="E28" s="148"/>
      <c r="F28" s="148"/>
      <c r="G28" s="148"/>
      <c r="H28" s="149"/>
      <c r="I28" s="174"/>
      <c r="J28" s="597" t="s">
        <v>107</v>
      </c>
      <c r="K28" s="597"/>
      <c r="L28" s="562" t="s">
        <v>119</v>
      </c>
      <c r="M28" s="459" t="str">
        <f>IF(M26="","",(100-M26))</f>
        <v/>
      </c>
      <c r="N28" s="103"/>
      <c r="O28" s="625" t="s">
        <v>136</v>
      </c>
      <c r="P28" s="626"/>
      <c r="Q28" s="115">
        <f>Q22-Q23</f>
        <v>0</v>
      </c>
      <c r="R28" s="115">
        <f>R22-R23</f>
        <v>0</v>
      </c>
      <c r="S28" s="116">
        <f>S22-S23</f>
        <v>0</v>
      </c>
      <c r="T28" s="174"/>
      <c r="U28" s="627">
        <v>0.125</v>
      </c>
      <c r="V28" s="624">
        <f>U28*25.4</f>
        <v>3.1749999999999998</v>
      </c>
      <c r="W28" s="593"/>
      <c r="X28" s="594"/>
      <c r="Y28" s="439">
        <f>((W29/19.32)*10)</f>
        <v>0</v>
      </c>
      <c r="Z28" s="440"/>
      <c r="AA28" s="593"/>
      <c r="AB28" s="594"/>
      <c r="AC28" s="439">
        <f>((AA28/19.32)*10)</f>
        <v>0</v>
      </c>
      <c r="AD28" s="440"/>
      <c r="AE28" s="593"/>
      <c r="AF28" s="594"/>
      <c r="AG28" s="443">
        <f>((AE28/19.32)*10)</f>
        <v>0</v>
      </c>
      <c r="AH28" s="104"/>
    </row>
    <row r="29" spans="1:34" ht="5.0999999999999996" customHeight="1" thickBot="1" x14ac:dyDescent="0.3">
      <c r="A29" s="103"/>
      <c r="B29" s="612" t="s">
        <v>73</v>
      </c>
      <c r="C29" s="613"/>
      <c r="D29" s="614"/>
      <c r="E29" s="618"/>
      <c r="F29" s="618"/>
      <c r="G29" s="618"/>
      <c r="H29" s="620"/>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row>
    <row r="30" spans="1:34" ht="24.95" customHeight="1" thickBot="1" x14ac:dyDescent="0.3">
      <c r="A30" s="103"/>
      <c r="B30" s="615"/>
      <c r="C30" s="616"/>
      <c r="D30" s="617"/>
      <c r="E30" s="619"/>
      <c r="F30" s="619"/>
      <c r="G30" s="619"/>
      <c r="H30" s="621"/>
      <c r="I30" s="174"/>
      <c r="J30" s="174" t="s">
        <v>108</v>
      </c>
      <c r="K30" s="174"/>
      <c r="L30" s="180" t="s">
        <v>137</v>
      </c>
      <c r="M30" s="119" t="str">
        <f>IF(M25="","",(M37*1000*9.81/1000))</f>
        <v/>
      </c>
      <c r="N30" s="103"/>
      <c r="O30" s="622" t="s">
        <v>134</v>
      </c>
      <c r="P30" s="623"/>
      <c r="Q30" s="130" t="e">
        <f>Q28/Q27</f>
        <v>#DIV/0!</v>
      </c>
      <c r="R30" s="130" t="e">
        <f>R28/R27</f>
        <v>#DIV/0!</v>
      </c>
      <c r="S30" s="131" t="e">
        <f>S28/S27</f>
        <v>#DIV/0!</v>
      </c>
      <c r="T30" s="174"/>
      <c r="U30" s="120">
        <v>0.15</v>
      </c>
      <c r="V30" s="113">
        <f>U30*25.4</f>
        <v>3.8099999999999996</v>
      </c>
      <c r="W30" s="581"/>
      <c r="X30" s="582"/>
      <c r="Y30" s="449">
        <f>((W30/19.32)*10)</f>
        <v>0</v>
      </c>
      <c r="Z30" s="450"/>
      <c r="AA30" s="581"/>
      <c r="AB30" s="582"/>
      <c r="AC30" s="449">
        <f>((AA30/19.32)*10)</f>
        <v>0</v>
      </c>
      <c r="AD30" s="450"/>
      <c r="AE30" s="581"/>
      <c r="AF30" s="582"/>
      <c r="AG30" s="114">
        <f>((AE30/19.32)*10)</f>
        <v>0</v>
      </c>
      <c r="AH30" s="104"/>
    </row>
    <row r="31" spans="1:34" ht="24.95" customHeight="1" thickBot="1" x14ac:dyDescent="0.3">
      <c r="A31" s="103"/>
      <c r="B31" s="576" t="s">
        <v>74</v>
      </c>
      <c r="C31" s="577"/>
      <c r="D31" s="577"/>
      <c r="E31" s="152"/>
      <c r="F31" s="152"/>
      <c r="G31" s="152"/>
      <c r="H31" s="153"/>
      <c r="I31" s="174"/>
      <c r="J31" s="597" t="s">
        <v>138</v>
      </c>
      <c r="K31" s="597"/>
      <c r="L31" s="562" t="s">
        <v>116</v>
      </c>
      <c r="M31" s="457" t="str">
        <f>IF(M25="","",S82)</f>
        <v/>
      </c>
      <c r="N31" s="121"/>
      <c r="O31" s="628" t="s">
        <v>135</v>
      </c>
      <c r="P31" s="629"/>
      <c r="Q31" s="122" t="e">
        <f>Q30/(1+Q40/100)</f>
        <v>#DIV/0!</v>
      </c>
      <c r="R31" s="122" t="e">
        <f>R30/(1+R40/100)</f>
        <v>#DIV/0!</v>
      </c>
      <c r="S31" s="123" t="e">
        <f>S30/(1+S40/100)</f>
        <v>#DIV/0!</v>
      </c>
      <c r="T31" s="174"/>
      <c r="U31" s="627">
        <v>0.17499999999999999</v>
      </c>
      <c r="V31" s="624">
        <f>U31*25.4</f>
        <v>4.4449999999999994</v>
      </c>
      <c r="W31" s="593"/>
      <c r="X31" s="594"/>
      <c r="Y31" s="439">
        <f>((W32/19.32)*10)</f>
        <v>0</v>
      </c>
      <c r="Z31" s="440"/>
      <c r="AA31" s="593"/>
      <c r="AB31" s="594"/>
      <c r="AC31" s="439">
        <f>((AA31/19.32)*10)</f>
        <v>0</v>
      </c>
      <c r="AD31" s="440"/>
      <c r="AE31" s="593"/>
      <c r="AF31" s="594"/>
      <c r="AG31" s="443">
        <f>((AE31/19.32)*10)</f>
        <v>0</v>
      </c>
      <c r="AH31" s="104"/>
    </row>
    <row r="32" spans="1:34" ht="5.0999999999999996" customHeight="1" thickBot="1" x14ac:dyDescent="0.3">
      <c r="A32" s="103"/>
      <c r="B32" s="612" t="s">
        <v>75</v>
      </c>
      <c r="C32" s="613"/>
      <c r="D32" s="614"/>
      <c r="E32" s="618"/>
      <c r="F32" s="618"/>
      <c r="G32" s="618"/>
      <c r="H32" s="620"/>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row>
    <row r="33" spans="1:40" ht="24.95" customHeight="1" thickBot="1" x14ac:dyDescent="0.3">
      <c r="A33" s="103"/>
      <c r="B33" s="615"/>
      <c r="C33" s="616"/>
      <c r="D33" s="617"/>
      <c r="E33" s="619"/>
      <c r="F33" s="619"/>
      <c r="G33" s="619"/>
      <c r="H33" s="621"/>
      <c r="I33" s="174"/>
      <c r="J33" s="633" t="s">
        <v>109</v>
      </c>
      <c r="K33" s="633"/>
      <c r="L33" s="180" t="s">
        <v>117</v>
      </c>
      <c r="M33" s="118" t="str">
        <f>IF(M25="","",O73)</f>
        <v/>
      </c>
      <c r="N33" s="101"/>
      <c r="O33" s="634" t="s">
        <v>25</v>
      </c>
      <c r="P33" s="635"/>
      <c r="Q33" s="635"/>
      <c r="R33" s="635"/>
      <c r="S33" s="636"/>
      <c r="T33" s="174"/>
      <c r="U33" s="117">
        <v>0.2</v>
      </c>
      <c r="V33" s="124">
        <f>U33*25.4</f>
        <v>5.08</v>
      </c>
      <c r="W33" s="581"/>
      <c r="X33" s="582"/>
      <c r="Y33" s="449">
        <f>((W33/19.32)*10)</f>
        <v>0</v>
      </c>
      <c r="Z33" s="450"/>
      <c r="AA33" s="581"/>
      <c r="AB33" s="582"/>
      <c r="AC33" s="449">
        <f>((AA33/19.32)*10)</f>
        <v>0</v>
      </c>
      <c r="AD33" s="450"/>
      <c r="AE33" s="750"/>
      <c r="AF33" s="751"/>
      <c r="AG33" s="144">
        <f>((AE33/19.32)*10)</f>
        <v>0</v>
      </c>
      <c r="AH33" s="104"/>
    </row>
    <row r="34" spans="1:40" ht="24.95" customHeight="1" thickBot="1" x14ac:dyDescent="0.3">
      <c r="A34" s="103"/>
      <c r="B34" s="602" t="s">
        <v>10</v>
      </c>
      <c r="C34" s="603"/>
      <c r="D34" s="603"/>
      <c r="E34" s="125" t="e">
        <f>((E29-E31)/(E31-E32))*100</f>
        <v>#DIV/0!</v>
      </c>
      <c r="F34" s="125" t="e">
        <f>((F29-F31)/(F31-F32))*100</f>
        <v>#DIV/0!</v>
      </c>
      <c r="G34" s="125" t="e">
        <f>((G29-G31)/(G31-G32))*100</f>
        <v>#DIV/0!</v>
      </c>
      <c r="H34" s="126" t="e">
        <f>((H29-H31)/(H31-H32))*100</f>
        <v>#DIV/0!</v>
      </c>
      <c r="I34" s="174"/>
      <c r="J34" s="630" t="s">
        <v>125</v>
      </c>
      <c r="K34" s="630"/>
      <c r="L34" s="184" t="s">
        <v>126</v>
      </c>
      <c r="M34" s="127" t="str">
        <f>D78</f>
        <v/>
      </c>
      <c r="N34" s="128"/>
      <c r="O34" s="631" t="s">
        <v>9</v>
      </c>
      <c r="P34" s="632"/>
      <c r="Q34" s="156"/>
      <c r="R34" s="156"/>
      <c r="S34" s="157"/>
      <c r="T34" s="174"/>
      <c r="U34" s="120">
        <v>0.3</v>
      </c>
      <c r="V34" s="113">
        <f>U34*25.4</f>
        <v>7.6199999999999992</v>
      </c>
      <c r="W34" s="581"/>
      <c r="X34" s="582"/>
      <c r="Y34" s="449">
        <f>((W34/19.32)*10)</f>
        <v>0</v>
      </c>
      <c r="Z34" s="450"/>
      <c r="AA34" s="581"/>
      <c r="AB34" s="582"/>
      <c r="AC34" s="449">
        <f>((AA34/19.32)*10)</f>
        <v>0</v>
      </c>
      <c r="AD34" s="450"/>
      <c r="AE34" s="581"/>
      <c r="AF34" s="582"/>
      <c r="AG34" s="114">
        <f>((AE34/19.32)*10)</f>
        <v>0</v>
      </c>
      <c r="AH34" s="104"/>
    </row>
    <row r="35" spans="1:40" ht="5.0999999999999996" customHeight="1" thickBot="1" x14ac:dyDescent="0.3">
      <c r="A35" s="103"/>
      <c r="B35" s="176"/>
      <c r="C35" s="176"/>
      <c r="D35" s="176"/>
      <c r="E35" s="181"/>
      <c r="F35" s="181"/>
      <c r="G35" s="181"/>
      <c r="H35" s="181"/>
      <c r="I35" s="174"/>
      <c r="J35" s="185"/>
      <c r="K35" s="185"/>
      <c r="L35" s="184"/>
      <c r="M35" s="129"/>
      <c r="N35" s="128"/>
      <c r="O35" s="612" t="s">
        <v>49</v>
      </c>
      <c r="P35" s="614"/>
      <c r="Q35" s="608"/>
      <c r="R35" s="608"/>
      <c r="S35" s="610"/>
      <c r="T35" s="174"/>
      <c r="U35" s="627">
        <v>0.4</v>
      </c>
      <c r="V35" s="624">
        <f>U35*25.4</f>
        <v>10.16</v>
      </c>
      <c r="W35" s="593"/>
      <c r="X35" s="594"/>
      <c r="Y35" s="439">
        <f>((W35/19.32)*10)</f>
        <v>0</v>
      </c>
      <c r="Z35" s="440"/>
      <c r="AA35" s="593"/>
      <c r="AB35" s="594"/>
      <c r="AC35" s="439">
        <f>(AA35/19.32)*10</f>
        <v>0</v>
      </c>
      <c r="AD35" s="440"/>
      <c r="AE35" s="593"/>
      <c r="AF35" s="594"/>
      <c r="AG35" s="443">
        <f>((AE35/19.32)*10)</f>
        <v>0</v>
      </c>
      <c r="AH35" s="104"/>
    </row>
    <row r="36" spans="1:40" ht="20.100000000000001" customHeight="1" thickBot="1" x14ac:dyDescent="0.3">
      <c r="A36" s="103"/>
      <c r="B36" s="639" t="s">
        <v>71</v>
      </c>
      <c r="C36" s="640"/>
      <c r="D36" s="640"/>
      <c r="E36" s="130" t="e">
        <f>E25/E24</f>
        <v>#DIV/0!</v>
      </c>
      <c r="F36" s="130" t="e">
        <f>F25/F24</f>
        <v>#DIV/0!</v>
      </c>
      <c r="G36" s="130" t="e">
        <f>G25/G24</f>
        <v>#DIV/0!</v>
      </c>
      <c r="H36" s="131" t="e">
        <f>H25/H24</f>
        <v>#DIV/0!</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row>
    <row r="37" spans="1:40" ht="24.95" customHeight="1" thickBot="1" x14ac:dyDescent="0.3">
      <c r="A37" s="103"/>
      <c r="B37" s="602" t="s">
        <v>72</v>
      </c>
      <c r="C37" s="603"/>
      <c r="D37" s="603"/>
      <c r="E37" s="122" t="e">
        <f>E36/(1+E34/100)</f>
        <v>#DIV/0!</v>
      </c>
      <c r="F37" s="122" t="e">
        <f>F36/(1+F34/100)</f>
        <v>#DIV/0!</v>
      </c>
      <c r="G37" s="122" t="e">
        <f>G36/(1+G34/100)</f>
        <v>#DIV/0!</v>
      </c>
      <c r="H37" s="123" t="e">
        <f>H36/(1+H34/100)</f>
        <v>#DIV/0!</v>
      </c>
      <c r="I37" s="174"/>
      <c r="J37" s="641" t="s">
        <v>139</v>
      </c>
      <c r="K37" s="641"/>
      <c r="L37" s="643" t="s">
        <v>121</v>
      </c>
      <c r="M37" s="433" t="str">
        <f>IF(F74="","",(M42^2*F74+M42*F75+F76))</f>
        <v/>
      </c>
      <c r="N37" s="101"/>
      <c r="O37" s="576" t="s">
        <v>28</v>
      </c>
      <c r="P37" s="577"/>
      <c r="Q37" s="150"/>
      <c r="R37" s="150"/>
      <c r="S37" s="151"/>
      <c r="T37" s="174"/>
      <c r="U37" s="132">
        <v>0.5</v>
      </c>
      <c r="V37" s="133">
        <f>U37*25.4</f>
        <v>12.7</v>
      </c>
      <c r="W37" s="637"/>
      <c r="X37" s="638"/>
      <c r="Y37" s="431">
        <f>((W37/19.32)*10)</f>
        <v>0</v>
      </c>
      <c r="Z37" s="432"/>
      <c r="AA37" s="637"/>
      <c r="AB37" s="638"/>
      <c r="AC37" s="431">
        <f>((AA37/19.32)*10)</f>
        <v>0</v>
      </c>
      <c r="AD37" s="432"/>
      <c r="AE37" s="637"/>
      <c r="AF37" s="638"/>
      <c r="AG37" s="134">
        <f>((AE37/19.32)*10)</f>
        <v>0</v>
      </c>
      <c r="AH37" s="104"/>
    </row>
    <row r="38" spans="1:40" ht="7.5" customHeight="1" thickBot="1" x14ac:dyDescent="0.3">
      <c r="A38" s="103"/>
      <c r="B38" s="174"/>
      <c r="C38" s="174"/>
      <c r="D38" s="174"/>
      <c r="E38" s="174"/>
      <c r="F38" s="174"/>
      <c r="G38" s="174"/>
      <c r="H38" s="174"/>
      <c r="I38" s="174"/>
      <c r="J38" s="642"/>
      <c r="K38" s="642"/>
      <c r="L38" s="644"/>
      <c r="M38" s="434"/>
      <c r="N38" s="136"/>
      <c r="O38" s="576" t="s">
        <v>29</v>
      </c>
      <c r="P38" s="577"/>
      <c r="Q38" s="647"/>
      <c r="R38" s="647"/>
      <c r="S38" s="648"/>
      <c r="T38" s="174"/>
      <c r="U38" s="174"/>
      <c r="V38" s="174"/>
      <c r="W38" s="174"/>
      <c r="X38" s="174"/>
      <c r="Y38" s="174"/>
      <c r="Z38" s="174"/>
      <c r="AA38" s="174"/>
      <c r="AB38" s="174"/>
      <c r="AC38" s="174"/>
      <c r="AD38" s="174"/>
      <c r="AE38" s="174"/>
      <c r="AF38" s="174"/>
      <c r="AG38" s="174"/>
      <c r="AH38" s="104"/>
    </row>
    <row r="39" spans="1:40"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10</v>
      </c>
      <c r="X39" s="635"/>
      <c r="Y39" s="635"/>
      <c r="Z39" s="635"/>
      <c r="AA39" s="634">
        <f>R19</f>
        <v>25</v>
      </c>
      <c r="AB39" s="635"/>
      <c r="AC39" s="636"/>
      <c r="AD39" s="635">
        <f>S19</f>
        <v>56</v>
      </c>
      <c r="AE39" s="635"/>
      <c r="AF39" s="635"/>
      <c r="AG39" s="636"/>
      <c r="AH39" s="194"/>
    </row>
    <row r="40" spans="1:40" ht="27" customHeight="1" thickBot="1" x14ac:dyDescent="0.3">
      <c r="A40" s="103"/>
      <c r="B40" s="174"/>
      <c r="C40" s="174"/>
      <c r="D40" s="174"/>
      <c r="E40" s="174"/>
      <c r="F40" s="174"/>
      <c r="G40" s="174"/>
      <c r="H40" s="174"/>
      <c r="I40" s="174"/>
      <c r="J40" s="597" t="s">
        <v>141</v>
      </c>
      <c r="K40" s="597"/>
      <c r="L40" s="178" t="s">
        <v>169</v>
      </c>
      <c r="M40" s="137" t="e">
        <f>M37*1000*9.81/1000</f>
        <v>#VALUE!</v>
      </c>
      <c r="N40" s="103"/>
      <c r="O40" s="628" t="s">
        <v>10</v>
      </c>
      <c r="P40" s="629"/>
      <c r="Q40" s="125" t="e">
        <f>((Q35-Q37)/(Q37-Q38))*100</f>
        <v>#DIV/0!</v>
      </c>
      <c r="R40" s="125" t="e">
        <f>((R35-R37)/(R37-R38))*100</f>
        <v>#DIV/0!</v>
      </c>
      <c r="S40" s="126" t="e">
        <f>((S35-S37)/(S37-S38))*100</f>
        <v>#DIV/0!</v>
      </c>
      <c r="T40" s="174"/>
      <c r="U40" s="645" t="s">
        <v>151</v>
      </c>
      <c r="V40" s="646"/>
      <c r="W40" s="423">
        <f>(AM79/6.9)*100</f>
        <v>0</v>
      </c>
      <c r="X40" s="423"/>
      <c r="Y40" s="423"/>
      <c r="Z40" s="424"/>
      <c r="AA40" s="425">
        <f>(AO79/6.9)*100</f>
        <v>0</v>
      </c>
      <c r="AB40" s="426"/>
      <c r="AC40" s="427"/>
      <c r="AD40" s="425">
        <f>(AQ79/6.9)*100</f>
        <v>0</v>
      </c>
      <c r="AE40" s="426"/>
      <c r="AF40" s="426"/>
      <c r="AG40" s="428"/>
      <c r="AH40" s="195"/>
      <c r="AI40" s="42" t="s">
        <v>201</v>
      </c>
      <c r="AJ40" s="42">
        <v>12630</v>
      </c>
    </row>
    <row r="41" spans="1:40"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0</v>
      </c>
      <c r="X41" s="418"/>
      <c r="Y41" s="418"/>
      <c r="Z41" s="419"/>
      <c r="AA41" s="420">
        <f>(AO83/10.3)*100</f>
        <v>0</v>
      </c>
      <c r="AB41" s="421"/>
      <c r="AC41" s="418"/>
      <c r="AD41" s="420">
        <f>(AQ83/10.3)*100</f>
        <v>0</v>
      </c>
      <c r="AE41" s="421"/>
      <c r="AF41" s="421"/>
      <c r="AG41" s="422"/>
      <c r="AH41" s="195"/>
      <c r="AI41" s="42" t="s">
        <v>202</v>
      </c>
      <c r="AJ41" s="42">
        <v>380.4</v>
      </c>
      <c r="AK41" s="42">
        <f>AJ44*100/AJ42</f>
        <v>22.71094566353187</v>
      </c>
    </row>
    <row r="42" spans="1:40" ht="27" customHeight="1" thickBot="1" x14ac:dyDescent="0.3">
      <c r="A42" s="103"/>
      <c r="B42" s="174"/>
      <c r="C42" s="174"/>
      <c r="D42" s="174"/>
      <c r="E42" s="174"/>
      <c r="F42" s="174"/>
      <c r="G42" s="174"/>
      <c r="H42" s="174"/>
      <c r="I42" s="174"/>
      <c r="J42" s="597" t="s">
        <v>123</v>
      </c>
      <c r="K42" s="597"/>
      <c r="L42" s="178" t="s">
        <v>41</v>
      </c>
      <c r="M42" s="139" t="str">
        <f>IF(F74="","",((-F75)/(2*F74)))</f>
        <v/>
      </c>
      <c r="N42" s="103"/>
      <c r="O42" s="639" t="s">
        <v>9</v>
      </c>
      <c r="P42" s="640"/>
      <c r="Q42" s="148"/>
      <c r="R42" s="148"/>
      <c r="S42" s="149"/>
      <c r="T42" s="174"/>
      <c r="U42" s="651" t="s">
        <v>42</v>
      </c>
      <c r="V42" s="652"/>
      <c r="W42" s="413">
        <f>IF(W40&lt;W41,W40,W41)</f>
        <v>0</v>
      </c>
      <c r="X42" s="414"/>
      <c r="Y42" s="414"/>
      <c r="Z42" s="415"/>
      <c r="AA42" s="416">
        <f>IF(AA40&lt;AA41,AA40,AA41)</f>
        <v>0</v>
      </c>
      <c r="AB42" s="414"/>
      <c r="AC42" s="415"/>
      <c r="AD42" s="416">
        <f>IF(AD40&lt;AD41,AD40,AD41)</f>
        <v>0</v>
      </c>
      <c r="AE42" s="414"/>
      <c r="AF42" s="414"/>
      <c r="AG42" s="417"/>
      <c r="AH42" s="196"/>
      <c r="AI42" s="42" t="s">
        <v>199</v>
      </c>
      <c r="AJ42" s="42">
        <f>AJ40-AJ41</f>
        <v>12249.6</v>
      </c>
    </row>
    <row r="43" spans="1:40"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c r="R43" s="608"/>
      <c r="S43" s="610"/>
      <c r="T43" s="174"/>
      <c r="U43" s="215"/>
      <c r="V43" s="215"/>
      <c r="W43" s="216"/>
      <c r="X43" s="216"/>
      <c r="Y43" s="216"/>
      <c r="Z43" s="216"/>
      <c r="AA43" s="216"/>
      <c r="AB43" s="216"/>
      <c r="AC43" s="216"/>
      <c r="AD43" s="216"/>
      <c r="AE43" s="216"/>
      <c r="AF43" s="216"/>
      <c r="AG43" s="216"/>
      <c r="AH43" s="197"/>
    </row>
    <row r="44" spans="1:40"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I44" s="42" t="s">
        <v>200</v>
      </c>
      <c r="AJ44" s="727">
        <f>AI45+AI46+AI47+AI48+AI50+AI51</f>
        <v>2782</v>
      </c>
      <c r="AK44" s="727"/>
      <c r="AL44" s="727"/>
      <c r="AM44" s="727"/>
      <c r="AN44" s="727"/>
    </row>
    <row r="45" spans="1:40" ht="29.25" customHeight="1" thickBot="1" x14ac:dyDescent="0.3">
      <c r="A45" s="103"/>
      <c r="B45" s="174"/>
      <c r="C45" s="174"/>
      <c r="D45" s="174"/>
      <c r="E45" s="174"/>
      <c r="F45" s="174"/>
      <c r="G45" s="174"/>
      <c r="H45" s="174"/>
      <c r="I45" s="174"/>
      <c r="J45" s="174"/>
      <c r="K45" s="174"/>
      <c r="L45" s="174"/>
      <c r="M45" s="104"/>
      <c r="N45" s="103"/>
      <c r="O45" s="576" t="s">
        <v>28</v>
      </c>
      <c r="P45" s="577"/>
      <c r="Q45" s="150"/>
      <c r="R45" s="150"/>
      <c r="S45" s="151"/>
      <c r="T45" s="174"/>
      <c r="U45" s="656" t="s">
        <v>139</v>
      </c>
      <c r="V45" s="656"/>
      <c r="W45" s="179" t="s">
        <v>121</v>
      </c>
      <c r="X45" s="406">
        <f>MAX(M37:M39)</f>
        <v>0</v>
      </c>
      <c r="Y45" s="406"/>
      <c r="Z45" s="406"/>
      <c r="AA45" s="174"/>
      <c r="AB45" s="657" t="s">
        <v>31</v>
      </c>
      <c r="AC45" s="658"/>
      <c r="AD45" s="658"/>
      <c r="AE45" s="658"/>
      <c r="AF45" s="148">
        <v>0.1</v>
      </c>
      <c r="AG45" s="148"/>
      <c r="AH45" s="149"/>
      <c r="AI45" s="42">
        <v>1405.2</v>
      </c>
      <c r="AL45" s="172"/>
      <c r="AM45" s="172"/>
      <c r="AN45" s="172"/>
    </row>
    <row r="46" spans="1:40" ht="29.25" customHeight="1" thickBot="1" x14ac:dyDescent="0.3">
      <c r="A46" s="103"/>
      <c r="B46" s="174"/>
      <c r="C46" s="174"/>
      <c r="D46" s="174"/>
      <c r="E46" s="174"/>
      <c r="F46" s="174"/>
      <c r="G46" s="174"/>
      <c r="H46" s="174"/>
      <c r="I46" s="174"/>
      <c r="J46" s="659" t="s">
        <v>176</v>
      </c>
      <c r="K46" s="659"/>
      <c r="L46" s="659"/>
      <c r="M46" s="104"/>
      <c r="N46" s="103"/>
      <c r="O46" s="576" t="s">
        <v>29</v>
      </c>
      <c r="P46" s="577"/>
      <c r="Q46" s="150"/>
      <c r="R46" s="150"/>
      <c r="S46" s="151"/>
      <c r="T46" s="174"/>
      <c r="U46" s="555" t="s">
        <v>123</v>
      </c>
      <c r="V46" s="555"/>
      <c r="W46" s="179" t="s">
        <v>41</v>
      </c>
      <c r="X46" s="401">
        <f>MIN(M42:M44)</f>
        <v>0</v>
      </c>
      <c r="Y46" s="401"/>
      <c r="Z46" s="401"/>
      <c r="AA46" s="174"/>
      <c r="AB46" s="660" t="s">
        <v>32</v>
      </c>
      <c r="AC46" s="661"/>
      <c r="AD46" s="661"/>
      <c r="AE46" s="661"/>
      <c r="AF46" s="150">
        <v>0.5</v>
      </c>
      <c r="AG46" s="150"/>
      <c r="AH46" s="151"/>
      <c r="AI46" s="42">
        <v>1376.8</v>
      </c>
      <c r="AL46" s="172"/>
      <c r="AM46" s="172"/>
      <c r="AN46" s="172"/>
    </row>
    <row r="47" spans="1:40" ht="27" customHeight="1" thickBot="1" x14ac:dyDescent="0.3">
      <c r="A47" s="103"/>
      <c r="B47" s="174"/>
      <c r="C47" s="174"/>
      <c r="D47" s="174"/>
      <c r="E47" s="174"/>
      <c r="F47" s="174"/>
      <c r="G47" s="174"/>
      <c r="H47" s="174"/>
      <c r="I47" s="174"/>
      <c r="J47" s="203"/>
      <c r="K47" s="202"/>
      <c r="L47" s="174"/>
      <c r="M47" s="104"/>
      <c r="N47" s="103"/>
      <c r="O47" s="602" t="s">
        <v>10</v>
      </c>
      <c r="P47" s="603"/>
      <c r="Q47" s="125" t="e">
        <f>((Q44-Q45)/(Q45-Q46))*100</f>
        <v>#DIV/0!</v>
      </c>
      <c r="R47" s="125" t="e">
        <f>((R44-R45)/(R45-R46))*100</f>
        <v>#DIV/0!</v>
      </c>
      <c r="S47" s="126" t="e">
        <f>((S44-S45)/(S45-S46))*100</f>
        <v>#DIV/0!</v>
      </c>
      <c r="T47" s="174"/>
      <c r="U47" s="555" t="s">
        <v>162</v>
      </c>
      <c r="V47" s="555"/>
      <c r="W47" s="179" t="s">
        <v>41</v>
      </c>
      <c r="X47" s="402">
        <f>IF(L25=D103,"-",IF(L25=D102,"-",IF(L25=D101,M25)))</f>
        <v>0</v>
      </c>
      <c r="Y47" s="402"/>
      <c r="Z47" s="402"/>
      <c r="AA47" s="174"/>
      <c r="AB47" s="662" t="s">
        <v>33</v>
      </c>
      <c r="AC47" s="663"/>
      <c r="AD47" s="663"/>
      <c r="AE47" s="663"/>
      <c r="AF47" s="140">
        <f>(AF46-AF45)*2.54</f>
        <v>1.016</v>
      </c>
      <c r="AG47" s="140">
        <f>(AG46-AG45)*2.54</f>
        <v>0</v>
      </c>
      <c r="AH47" s="141">
        <f>(AH46-AH45)*2.54</f>
        <v>0</v>
      </c>
      <c r="AI47" s="42">
        <v>0</v>
      </c>
    </row>
    <row r="48" spans="1:40"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t="str">
        <f>IF(AF47&lt;&gt;"",IF(Q24&lt;&gt;"",AF47/Q24*100,""),"")</f>
        <v/>
      </c>
      <c r="AG48" s="142" t="str">
        <f>IF(AG47&lt;&gt;"",IF(R24&lt;&gt;"",AG47/R24*100,""),"")</f>
        <v/>
      </c>
      <c r="AH48" s="173" t="str">
        <f>IF(AH47&lt;&gt;"",IF(S24&lt;&gt;"",AH47/S24*100,""),"")</f>
        <v/>
      </c>
      <c r="AI48" s="42">
        <v>0</v>
      </c>
    </row>
    <row r="49" spans="1:34"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4"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634" t="s">
        <v>161</v>
      </c>
      <c r="AC50" s="635"/>
      <c r="AD50" s="635"/>
      <c r="AE50" s="635"/>
      <c r="AF50" s="636"/>
      <c r="AG50" s="678" t="s">
        <v>168</v>
      </c>
      <c r="AH50" s="679"/>
    </row>
    <row r="51" spans="1:34"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606" t="str">
        <f>W19</f>
        <v xml:space="preserve">10  GOLPES </v>
      </c>
      <c r="AC51" s="681"/>
      <c r="AD51" s="681"/>
      <c r="AE51" s="607"/>
      <c r="AF51" s="150"/>
      <c r="AG51" s="740"/>
      <c r="AH51" s="741"/>
    </row>
    <row r="52" spans="1:34"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5" t="str">
        <f>AA19</f>
        <v xml:space="preserve">25  GOLPES </v>
      </c>
      <c r="AC52" s="665"/>
      <c r="AD52" s="665"/>
      <c r="AE52" s="586"/>
      <c r="AF52" s="150"/>
      <c r="AG52" s="742"/>
      <c r="AH52" s="743"/>
    </row>
    <row r="53" spans="1:34"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625" t="str">
        <f>AE19</f>
        <v xml:space="preserve">56  GOLPES </v>
      </c>
      <c r="AC53" s="668"/>
      <c r="AD53" s="668"/>
      <c r="AE53" s="626"/>
      <c r="AF53" s="207"/>
      <c r="AG53" s="744"/>
      <c r="AH53" s="745"/>
    </row>
    <row r="54" spans="1:34"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2" t="s">
        <v>177</v>
      </c>
      <c r="AG54" s="672"/>
      <c r="AH54" s="673"/>
    </row>
    <row r="55" spans="1:34"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row>
    <row r="56" spans="1:34"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row>
    <row r="57" spans="1:34"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row>
    <row r="58" spans="1:34" ht="15.75" x14ac:dyDescent="0.25">
      <c r="A58" s="103"/>
      <c r="B58" s="174"/>
      <c r="C58" s="174"/>
      <c r="D58" s="174"/>
      <c r="E58" s="174"/>
      <c r="F58" s="174"/>
      <c r="G58" s="174"/>
      <c r="H58" s="174"/>
      <c r="I58" s="174"/>
      <c r="J58" s="689" t="s">
        <v>178</v>
      </c>
      <c r="K58" s="689"/>
      <c r="L58" s="689"/>
      <c r="M58" s="26"/>
      <c r="N58" s="103"/>
      <c r="O58" s="174"/>
      <c r="P58" s="174"/>
      <c r="Q58" s="174"/>
      <c r="R58" s="174"/>
      <c r="S58" s="174"/>
      <c r="T58" s="174"/>
      <c r="U58" s="174"/>
      <c r="V58" s="174"/>
      <c r="W58" s="174"/>
      <c r="X58" s="174"/>
      <c r="Y58" s="174"/>
      <c r="Z58" s="174"/>
      <c r="AA58" s="203"/>
      <c r="AB58" s="202"/>
      <c r="AC58" s="202"/>
      <c r="AF58" s="203"/>
      <c r="AG58" s="203"/>
      <c r="AH58" s="198"/>
    </row>
    <row r="59" spans="1:34"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row>
    <row r="60" spans="1:34"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178</v>
      </c>
      <c r="AG60" s="689"/>
      <c r="AH60" s="690"/>
    </row>
    <row r="61" spans="1:34"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row>
    <row r="62" spans="1:34"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4"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4" ht="15.75" x14ac:dyDescent="0.25">
      <c r="A64" s="103"/>
      <c r="B64" s="684" t="s">
        <v>171</v>
      </c>
      <c r="C64" s="684"/>
      <c r="D64" s="684"/>
      <c r="E64" s="684"/>
      <c r="F64" s="684"/>
      <c r="G64" s="684"/>
      <c r="H64" s="684"/>
      <c r="I64" s="684"/>
      <c r="J64" s="684"/>
      <c r="K64" s="684"/>
      <c r="L64" s="684"/>
      <c r="M64" s="685"/>
      <c r="N64" s="103"/>
      <c r="O64" s="598" t="s">
        <v>171</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170</v>
      </c>
      <c r="C65" s="687"/>
      <c r="D65" s="687"/>
      <c r="E65" s="687"/>
      <c r="F65" s="687"/>
      <c r="G65" s="687"/>
      <c r="H65" s="687"/>
      <c r="I65" s="687"/>
      <c r="J65" s="687"/>
      <c r="K65" s="687"/>
      <c r="L65" s="687"/>
      <c r="M65" s="688"/>
      <c r="N65" s="103"/>
      <c r="O65" s="687" t="s">
        <v>170</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c r="G74" s="75">
        <v>-0.12509999999999999</v>
      </c>
      <c r="J74" s="701"/>
      <c r="K74" s="702"/>
      <c r="L74" s="44"/>
      <c r="M74" s="44"/>
      <c r="N74" s="44"/>
    </row>
    <row r="75" spans="1:94" ht="26.25" customHeight="1" thickBot="1" x14ac:dyDescent="0.3">
      <c r="A75" s="11"/>
      <c r="B75" s="377" t="s">
        <v>113</v>
      </c>
      <c r="C75" s="377"/>
      <c r="D75" s="19"/>
      <c r="E75" s="54" t="s">
        <v>12</v>
      </c>
      <c r="F75" s="55"/>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2">((AL75/19.32)*10)</f>
        <v>0</v>
      </c>
      <c r="AN75" s="5">
        <f>AA22</f>
        <v>0</v>
      </c>
      <c r="AO75" s="3">
        <f>((AN75/19.32)*10)</f>
        <v>0</v>
      </c>
      <c r="AP75" s="5">
        <f>AE22</f>
        <v>0</v>
      </c>
      <c r="AQ75" s="161">
        <f t="shared" ref="AQ75:AQ84" si="3">((AP75/19.32)*10)</f>
        <v>0</v>
      </c>
    </row>
    <row r="76" spans="1:94" ht="26.25" customHeight="1" thickBot="1" x14ac:dyDescent="0.3">
      <c r="A76" s="11"/>
      <c r="B76" s="377" t="s">
        <v>114</v>
      </c>
      <c r="C76" s="377"/>
      <c r="D76" s="20"/>
      <c r="E76" s="56" t="s">
        <v>13</v>
      </c>
      <c r="F76" s="57"/>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4">AJ76*25.4</f>
        <v>0.63500000000000001</v>
      </c>
      <c r="AL76" s="5">
        <f>W23</f>
        <v>0</v>
      </c>
      <c r="AM76" s="3">
        <f t="shared" si="2"/>
        <v>0</v>
      </c>
      <c r="AN76" s="5">
        <f>AA23</f>
        <v>0</v>
      </c>
      <c r="AO76" s="3">
        <f t="shared" ref="AO76:AO86" si="5">((AN76/19.32)*10)</f>
        <v>0</v>
      </c>
      <c r="AP76" s="5">
        <f>AE23</f>
        <v>0</v>
      </c>
      <c r="AQ76" s="161">
        <f t="shared" si="3"/>
        <v>0</v>
      </c>
    </row>
    <row r="77" spans="1:94" ht="26.25" customHeight="1" thickTop="1" thickBot="1" x14ac:dyDescent="0.3">
      <c r="A77" s="11"/>
      <c r="B77" s="377" t="s">
        <v>115</v>
      </c>
      <c r="C77" s="377"/>
      <c r="D77" s="15"/>
      <c r="J77" s="380"/>
      <c r="K77" s="381"/>
      <c r="U77" s="44"/>
      <c r="AB77" s="44"/>
      <c r="AC77" s="44"/>
      <c r="AD77" s="44"/>
      <c r="AE77" s="44"/>
      <c r="AJ77" s="160">
        <f>U24</f>
        <v>0.05</v>
      </c>
      <c r="AK77" s="3">
        <f t="shared" si="4"/>
        <v>1.27</v>
      </c>
      <c r="AL77" s="5">
        <f>W24</f>
        <v>0</v>
      </c>
      <c r="AM77" s="3">
        <f t="shared" si="2"/>
        <v>0</v>
      </c>
      <c r="AN77" s="5">
        <f>AA24</f>
        <v>0</v>
      </c>
      <c r="AO77" s="3">
        <f t="shared" si="5"/>
        <v>0</v>
      </c>
      <c r="AP77" s="5">
        <f>AE24</f>
        <v>0</v>
      </c>
      <c r="AQ77" s="161">
        <f t="shared" si="3"/>
        <v>0</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4"/>
        <v>1.9049999999999998</v>
      </c>
      <c r="AL78" s="5">
        <f>W25</f>
        <v>0</v>
      </c>
      <c r="AM78" s="3">
        <f t="shared" si="2"/>
        <v>0</v>
      </c>
      <c r="AN78" s="5">
        <f>AA25</f>
        <v>0</v>
      </c>
      <c r="AO78" s="3">
        <f t="shared" si="5"/>
        <v>0</v>
      </c>
      <c r="AP78" s="5">
        <f>AE25</f>
        <v>0</v>
      </c>
      <c r="AQ78" s="161">
        <f t="shared" si="3"/>
        <v>0</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4"/>
        <v>2.54</v>
      </c>
      <c r="AL79" s="5">
        <f>W26</f>
        <v>0</v>
      </c>
      <c r="AM79" s="4">
        <f t="shared" si="2"/>
        <v>0</v>
      </c>
      <c r="AN79" s="5">
        <f>AA26</f>
        <v>0</v>
      </c>
      <c r="AO79" s="4">
        <f t="shared" si="5"/>
        <v>0</v>
      </c>
      <c r="AP79" s="5">
        <f>AE26</f>
        <v>0</v>
      </c>
      <c r="AQ79" s="162">
        <f t="shared" si="3"/>
        <v>0</v>
      </c>
      <c r="BB79" s="12">
        <v>17</v>
      </c>
      <c r="BC79" s="12">
        <v>18</v>
      </c>
    </row>
    <row r="80" spans="1:94" ht="42" customHeight="1" thickTop="1" thickBot="1" x14ac:dyDescent="0.3">
      <c r="D80" s="49"/>
      <c r="H80" s="711" t="s">
        <v>105</v>
      </c>
      <c r="I80" s="712"/>
      <c r="J80" s="58"/>
      <c r="AJ80" s="160">
        <f>U28</f>
        <v>0.125</v>
      </c>
      <c r="AK80" s="3">
        <f t="shared" si="4"/>
        <v>3.1749999999999998</v>
      </c>
      <c r="AL80" s="5">
        <f>W28</f>
        <v>0</v>
      </c>
      <c r="AM80" s="3">
        <f t="shared" si="2"/>
        <v>0</v>
      </c>
      <c r="AN80" s="5">
        <f>AA28</f>
        <v>0</v>
      </c>
      <c r="AO80" s="3">
        <f t="shared" si="5"/>
        <v>0</v>
      </c>
      <c r="AP80" s="5">
        <f>AE28</f>
        <v>0</v>
      </c>
      <c r="AQ80" s="161">
        <f t="shared" si="3"/>
        <v>0</v>
      </c>
      <c r="BC80" s="45">
        <v>0.99880400000000003</v>
      </c>
      <c r="BD80" s="45">
        <v>0.99862499999999998</v>
      </c>
    </row>
    <row r="81" spans="2:43" ht="15.75" customHeight="1" x14ac:dyDescent="0.25">
      <c r="AJ81" s="160">
        <f>U30</f>
        <v>0.15</v>
      </c>
      <c r="AK81" s="3">
        <f t="shared" si="4"/>
        <v>3.8099999999999996</v>
      </c>
      <c r="AL81" s="5">
        <f>W30</f>
        <v>0</v>
      </c>
      <c r="AM81" s="3">
        <f t="shared" si="2"/>
        <v>0</v>
      </c>
      <c r="AN81" s="5">
        <f>AA30</f>
        <v>0</v>
      </c>
      <c r="AO81" s="3">
        <f t="shared" si="5"/>
        <v>0</v>
      </c>
      <c r="AP81" s="5">
        <f>AE30</f>
        <v>0</v>
      </c>
      <c r="AQ81" s="161">
        <f t="shared" si="3"/>
        <v>0</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4"/>
        <v>4.4449999999999994</v>
      </c>
      <c r="AL82" s="5">
        <f>W31</f>
        <v>0</v>
      </c>
      <c r="AM82" s="3">
        <f t="shared" si="2"/>
        <v>0</v>
      </c>
      <c r="AN82" s="5">
        <f>AA31</f>
        <v>0</v>
      </c>
      <c r="AO82" s="3">
        <f t="shared" si="5"/>
        <v>0</v>
      </c>
      <c r="AP82" s="5">
        <f>AE31</f>
        <v>0</v>
      </c>
      <c r="AQ82" s="161">
        <f t="shared" si="3"/>
        <v>0</v>
      </c>
    </row>
    <row r="83" spans="2:43" ht="15" customHeight="1" x14ac:dyDescent="0.25">
      <c r="B83" s="49"/>
      <c r="C83" s="49"/>
      <c r="D83" s="49">
        <v>0</v>
      </c>
      <c r="E83" s="50" t="str">
        <f>M42</f>
        <v/>
      </c>
      <c r="F83" s="49"/>
      <c r="G83" s="43" t="e">
        <f>G84/10</f>
        <v>#VALUE!</v>
      </c>
      <c r="H83" s="43" t="e">
        <f>H84/10</f>
        <v>#VALUE!</v>
      </c>
      <c r="I83" s="43" t="e">
        <f>I84/10</f>
        <v>#VALUE!</v>
      </c>
      <c r="J83" s="43" t="e">
        <f>J84/10</f>
        <v>#VALUE!</v>
      </c>
      <c r="K83" s="43"/>
      <c r="L83" s="42">
        <v>0</v>
      </c>
      <c r="O83" s="706"/>
      <c r="P83" s="706"/>
      <c r="Q83" s="706"/>
      <c r="R83" s="706"/>
      <c r="S83" s="707"/>
      <c r="W83" s="112"/>
      <c r="AJ83" s="160">
        <f>U33</f>
        <v>0.2</v>
      </c>
      <c r="AK83" s="4">
        <f t="shared" si="4"/>
        <v>5.08</v>
      </c>
      <c r="AL83" s="5">
        <f>W33</f>
        <v>0</v>
      </c>
      <c r="AM83" s="4">
        <f t="shared" si="2"/>
        <v>0</v>
      </c>
      <c r="AN83" s="5">
        <f>AA33</f>
        <v>0</v>
      </c>
      <c r="AO83" s="4">
        <f t="shared" si="5"/>
        <v>0</v>
      </c>
      <c r="AP83" s="5">
        <f>AE33</f>
        <v>0</v>
      </c>
      <c r="AQ83" s="162">
        <f t="shared" si="3"/>
        <v>0</v>
      </c>
    </row>
    <row r="84" spans="2:43" ht="15" customHeight="1" x14ac:dyDescent="0.25">
      <c r="C84" s="94"/>
      <c r="D84" s="94"/>
      <c r="E84" s="94"/>
      <c r="F84" s="49"/>
      <c r="G84" s="43" t="e">
        <f>($M$34/(1+(E34*$M$34/100)))*($O$73)</f>
        <v>#VALUE!</v>
      </c>
      <c r="H84" s="43" t="e">
        <f>($M$34/(1+(F34*$M$34/100)))*($O$73)</f>
        <v>#VALUE!</v>
      </c>
      <c r="I84" s="43" t="e">
        <f>($M$34/(1+(G34*$M$34/100)))*($O$73)</f>
        <v>#VALUE!</v>
      </c>
      <c r="J84" s="43" t="e">
        <f>($M$34/(1+(H34*$M$34/100)))*($O$73)</f>
        <v>#VALUE!</v>
      </c>
      <c r="K84" s="43"/>
      <c r="O84" s="706" t="s">
        <v>146</v>
      </c>
      <c r="P84" s="706"/>
      <c r="Q84" s="706"/>
      <c r="R84" s="706"/>
      <c r="S84" s="707">
        <v>2240</v>
      </c>
      <c r="W84" s="112"/>
      <c r="AJ84" s="160">
        <f>U34</f>
        <v>0.3</v>
      </c>
      <c r="AK84" s="3">
        <f t="shared" si="4"/>
        <v>7.6199999999999992</v>
      </c>
      <c r="AL84" s="5">
        <f>W34</f>
        <v>0</v>
      </c>
      <c r="AM84" s="3">
        <f t="shared" si="2"/>
        <v>0</v>
      </c>
      <c r="AN84" s="5">
        <f>AA34</f>
        <v>0</v>
      </c>
      <c r="AO84" s="3">
        <f t="shared" si="5"/>
        <v>0</v>
      </c>
      <c r="AP84" s="5">
        <f>AE34</f>
        <v>0</v>
      </c>
      <c r="AQ84" s="161">
        <f t="shared" si="3"/>
        <v>0</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0</v>
      </c>
      <c r="AM85" s="3">
        <f t="shared" si="2"/>
        <v>0</v>
      </c>
      <c r="AN85" s="5">
        <f>AA35</f>
        <v>0</v>
      </c>
      <c r="AO85" s="3">
        <f t="shared" si="5"/>
        <v>0</v>
      </c>
      <c r="AP85" s="5">
        <f>AE35</f>
        <v>0</v>
      </c>
      <c r="AQ85" s="161">
        <f>((AP85/19.32)*10)</f>
        <v>0</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0</v>
      </c>
      <c r="AM86" s="164">
        <f t="shared" si="2"/>
        <v>0</v>
      </c>
      <c r="AN86" s="165">
        <f>AA37</f>
        <v>0</v>
      </c>
      <c r="AO86" s="164">
        <f t="shared" si="5"/>
        <v>0</v>
      </c>
      <c r="AP86" s="165">
        <f>AE37</f>
        <v>0</v>
      </c>
      <c r="AQ86" s="166">
        <f>((AP86/19.32)*10)</f>
        <v>0</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10  GOLPES </v>
      </c>
      <c r="AK90" s="7" t="str">
        <f>AA19</f>
        <v xml:space="preserve">25  GOLPES </v>
      </c>
      <c r="AL90" s="2" t="str">
        <f>AE19</f>
        <v xml:space="preserve">56  GOLPES </v>
      </c>
    </row>
    <row r="91" spans="2:43" ht="21" customHeight="1" thickBot="1" x14ac:dyDescent="0.3">
      <c r="B91" s="92" t="s">
        <v>66</v>
      </c>
      <c r="C91" s="93"/>
      <c r="D91" s="93"/>
      <c r="E91" s="93"/>
      <c r="F91" s="49"/>
      <c r="G91" s="722" t="s">
        <v>48</v>
      </c>
      <c r="H91" s="723"/>
      <c r="I91" s="724"/>
      <c r="J91" s="38"/>
      <c r="W91" s="120"/>
      <c r="AJ91" s="8" t="e">
        <f>Q31</f>
        <v>#DIV/0!</v>
      </c>
      <c r="AK91" s="9" t="e">
        <f>R31</f>
        <v>#DIV/0!</v>
      </c>
      <c r="AL91" s="10" t="e">
        <f>S31</f>
        <v>#DIV/0!</v>
      </c>
    </row>
    <row r="92" spans="2:43" ht="21" customHeight="1" thickBot="1" x14ac:dyDescent="0.3">
      <c r="B92" s="92"/>
      <c r="C92" s="93"/>
      <c r="D92" s="93"/>
      <c r="E92" s="93"/>
      <c r="F92" s="62"/>
      <c r="G92" s="63"/>
      <c r="H92" s="49"/>
      <c r="I92" s="49"/>
      <c r="O92" s="725" t="s">
        <v>147</v>
      </c>
      <c r="P92" s="726"/>
      <c r="Q92" s="726"/>
      <c r="R92" s="726"/>
      <c r="S92" s="61" t="str">
        <f>M42</f>
        <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0</v>
      </c>
      <c r="AK94" s="158">
        <f>AA42</f>
        <v>0</v>
      </c>
      <c r="AL94" s="158">
        <f>AD42</f>
        <v>0</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5">
    <mergeCell ref="O93:R93"/>
    <mergeCell ref="W96:W97"/>
    <mergeCell ref="AE24:AF24"/>
    <mergeCell ref="AE25:AF25"/>
    <mergeCell ref="AE26:AF27"/>
    <mergeCell ref="AE28:AF29"/>
    <mergeCell ref="AE30:AF30"/>
    <mergeCell ref="AE31:AF32"/>
    <mergeCell ref="AE33:AF33"/>
    <mergeCell ref="AE34:AF34"/>
    <mergeCell ref="W87:W88"/>
    <mergeCell ref="AD40:AG40"/>
    <mergeCell ref="AD41:AG41"/>
    <mergeCell ref="AD42:AG42"/>
    <mergeCell ref="AG26:AG27"/>
    <mergeCell ref="AG28:AG29"/>
    <mergeCell ref="AG31:AG32"/>
    <mergeCell ref="AG35:AG36"/>
    <mergeCell ref="AE35:AF36"/>
    <mergeCell ref="W41:Z41"/>
    <mergeCell ref="AA28:AB29"/>
    <mergeCell ref="AA30:AB30"/>
    <mergeCell ref="AA37:AB37"/>
    <mergeCell ref="O64:AH64"/>
    <mergeCell ref="B64:M64"/>
    <mergeCell ref="AJ93:AL93"/>
    <mergeCell ref="AA31:AB32"/>
    <mergeCell ref="AA33:AB33"/>
    <mergeCell ref="AA34:AB34"/>
    <mergeCell ref="AC28:AD29"/>
    <mergeCell ref="AC30:AD30"/>
    <mergeCell ref="AC31:AD32"/>
    <mergeCell ref="AC33:AD33"/>
    <mergeCell ref="AC34:AD34"/>
    <mergeCell ref="AB48:AE48"/>
    <mergeCell ref="AB51:AE51"/>
    <mergeCell ref="AB52:AE52"/>
    <mergeCell ref="AB53:AE53"/>
    <mergeCell ref="AB50:AF50"/>
    <mergeCell ref="O65:AH66"/>
    <mergeCell ref="O67:AH67"/>
    <mergeCell ref="AG50:AH50"/>
    <mergeCell ref="AG51:AH51"/>
    <mergeCell ref="AG52:AH52"/>
    <mergeCell ref="AG53:AH53"/>
    <mergeCell ref="W89:W90"/>
    <mergeCell ref="W92:W93"/>
    <mergeCell ref="O92:R92"/>
    <mergeCell ref="J23:M24"/>
    <mergeCell ref="J36:M36"/>
    <mergeCell ref="M37:M38"/>
    <mergeCell ref="B27:H27"/>
    <mergeCell ref="B29:D30"/>
    <mergeCell ref="E29:E30"/>
    <mergeCell ref="F29:F30"/>
    <mergeCell ref="G29:G30"/>
    <mergeCell ref="G32:G33"/>
    <mergeCell ref="H32:H33"/>
    <mergeCell ref="F82:K82"/>
    <mergeCell ref="B69:C69"/>
    <mergeCell ref="B34:D34"/>
    <mergeCell ref="B36:D36"/>
    <mergeCell ref="B37:D37"/>
    <mergeCell ref="A67:M67"/>
    <mergeCell ref="B65:M66"/>
    <mergeCell ref="C62:H62"/>
    <mergeCell ref="C63:H63"/>
    <mergeCell ref="J37:K38"/>
    <mergeCell ref="L37:L38"/>
    <mergeCell ref="J39:K39"/>
    <mergeCell ref="J40:K40"/>
    <mergeCell ref="J41:K41"/>
    <mergeCell ref="J42:K42"/>
    <mergeCell ref="J34:K34"/>
    <mergeCell ref="M43:M44"/>
    <mergeCell ref="H80:I80"/>
    <mergeCell ref="J73:K75"/>
    <mergeCell ref="J76:K77"/>
    <mergeCell ref="H79:J79"/>
    <mergeCell ref="B71:C71"/>
    <mergeCell ref="L43:L44"/>
    <mergeCell ref="J43:K44"/>
    <mergeCell ref="B100:B102"/>
    <mergeCell ref="C100:C102"/>
    <mergeCell ref="D82:E82"/>
    <mergeCell ref="B72:C72"/>
    <mergeCell ref="B73:C73"/>
    <mergeCell ref="B74:C74"/>
    <mergeCell ref="B75:C75"/>
    <mergeCell ref="B76:C76"/>
    <mergeCell ref="B77:C77"/>
    <mergeCell ref="B78:C78"/>
    <mergeCell ref="B82:C82"/>
    <mergeCell ref="G91:I91"/>
    <mergeCell ref="A15:M15"/>
    <mergeCell ref="B28:D28"/>
    <mergeCell ref="B31:D31"/>
    <mergeCell ref="B19:H19"/>
    <mergeCell ref="E16:F16"/>
    <mergeCell ref="B13:C13"/>
    <mergeCell ref="D13:M13"/>
    <mergeCell ref="J21:L21"/>
    <mergeCell ref="B16:C16"/>
    <mergeCell ref="B17:C17"/>
    <mergeCell ref="B20:D20"/>
    <mergeCell ref="B21:D21"/>
    <mergeCell ref="B22:D22"/>
    <mergeCell ref="B23:D23"/>
    <mergeCell ref="B25:D25"/>
    <mergeCell ref="B24:D24"/>
    <mergeCell ref="J20:L20"/>
    <mergeCell ref="J22:L22"/>
    <mergeCell ref="J19:L19"/>
    <mergeCell ref="H29:H30"/>
    <mergeCell ref="B32:D33"/>
    <mergeCell ref="E32:E33"/>
    <mergeCell ref="F32:F33"/>
    <mergeCell ref="B11:L11"/>
    <mergeCell ref="O11:AH11"/>
    <mergeCell ref="B12:C12"/>
    <mergeCell ref="D12:E12"/>
    <mergeCell ref="I12:J12"/>
    <mergeCell ref="B10:C10"/>
    <mergeCell ref="D10:H10"/>
    <mergeCell ref="I10:J10"/>
    <mergeCell ref="K10:M10"/>
    <mergeCell ref="W10:AA10"/>
    <mergeCell ref="I8:J8"/>
    <mergeCell ref="K8:M8"/>
    <mergeCell ref="B9:C9"/>
    <mergeCell ref="D9:H9"/>
    <mergeCell ref="I9:J9"/>
    <mergeCell ref="AB8:AF8"/>
    <mergeCell ref="AB6:AF6"/>
    <mergeCell ref="B7:C7"/>
    <mergeCell ref="D7:H7"/>
    <mergeCell ref="I7:J7"/>
    <mergeCell ref="K7:M7"/>
    <mergeCell ref="AB7:AF7"/>
    <mergeCell ref="B6:C6"/>
    <mergeCell ref="D6:H6"/>
    <mergeCell ref="I6:J6"/>
    <mergeCell ref="K6:M6"/>
    <mergeCell ref="B8:C8"/>
    <mergeCell ref="D8:H8"/>
    <mergeCell ref="Q6:V6"/>
    <mergeCell ref="W6:AA6"/>
    <mergeCell ref="W7:AA7"/>
    <mergeCell ref="W8:AA8"/>
    <mergeCell ref="W9:AA9"/>
    <mergeCell ref="O6:P6"/>
    <mergeCell ref="AF4:AH4"/>
    <mergeCell ref="B5:L5"/>
    <mergeCell ref="O5:AH5"/>
    <mergeCell ref="B1:D4"/>
    <mergeCell ref="E1:K1"/>
    <mergeCell ref="O1:Q4"/>
    <mergeCell ref="AF1:AH1"/>
    <mergeCell ref="E2:K4"/>
    <mergeCell ref="R2:AE4"/>
    <mergeCell ref="R1:AE1"/>
    <mergeCell ref="AF2:AH2"/>
    <mergeCell ref="L1:M1"/>
    <mergeCell ref="L2:M2"/>
    <mergeCell ref="L3:M3"/>
    <mergeCell ref="L4:M4"/>
    <mergeCell ref="O94:R94"/>
    <mergeCell ref="O95:R95"/>
    <mergeCell ref="S82:S83"/>
    <mergeCell ref="O82:R83"/>
    <mergeCell ref="O84:R85"/>
    <mergeCell ref="S84:S85"/>
    <mergeCell ref="S86:S87"/>
    <mergeCell ref="O86:R87"/>
    <mergeCell ref="O16:P16"/>
    <mergeCell ref="O17:P17"/>
    <mergeCell ref="O19:P19"/>
    <mergeCell ref="O20:P20"/>
    <mergeCell ref="R16:U16"/>
    <mergeCell ref="R17:U17"/>
    <mergeCell ref="O45:P45"/>
    <mergeCell ref="O46:P46"/>
    <mergeCell ref="O47:P47"/>
    <mergeCell ref="O37:P37"/>
    <mergeCell ref="R38:R39"/>
    <mergeCell ref="S38:S39"/>
    <mergeCell ref="O40:P40"/>
    <mergeCell ref="O35:P36"/>
    <mergeCell ref="Q35:Q36"/>
    <mergeCell ref="R35:R36"/>
    <mergeCell ref="O7:P7"/>
    <mergeCell ref="O8:P8"/>
    <mergeCell ref="O9:P9"/>
    <mergeCell ref="O10:P10"/>
    <mergeCell ref="Q7:V7"/>
    <mergeCell ref="O12:P12"/>
    <mergeCell ref="O13:P13"/>
    <mergeCell ref="Q8:V8"/>
    <mergeCell ref="Q9:V9"/>
    <mergeCell ref="Q10:V10"/>
    <mergeCell ref="Q12:S12"/>
    <mergeCell ref="T12:U12"/>
    <mergeCell ref="Q13:AH13"/>
    <mergeCell ref="W12:AB12"/>
    <mergeCell ref="AD12:AE12"/>
    <mergeCell ref="AB9:AF9"/>
    <mergeCell ref="AB10:AF10"/>
    <mergeCell ref="AJ44:AN44"/>
    <mergeCell ref="AC37:AD37"/>
    <mergeCell ref="AE37:AF37"/>
    <mergeCell ref="W39:Z39"/>
    <mergeCell ref="W40:Z40"/>
    <mergeCell ref="AB46:AE46"/>
    <mergeCell ref="AB47:AE47"/>
    <mergeCell ref="U46:V46"/>
    <mergeCell ref="U47:V47"/>
    <mergeCell ref="X46:Z46"/>
    <mergeCell ref="X47:Z47"/>
    <mergeCell ref="U45:V45"/>
    <mergeCell ref="X45:Z45"/>
    <mergeCell ref="AA39:AC39"/>
    <mergeCell ref="AA40:AC40"/>
    <mergeCell ref="AA41:AC41"/>
    <mergeCell ref="AA42:AC42"/>
    <mergeCell ref="AD39:AG39"/>
    <mergeCell ref="AB45:AE45"/>
    <mergeCell ref="U41:V41"/>
    <mergeCell ref="S35:S36"/>
    <mergeCell ref="O21:P21"/>
    <mergeCell ref="O31:P31"/>
    <mergeCell ref="O30:P30"/>
    <mergeCell ref="O27:P27"/>
    <mergeCell ref="S25:S26"/>
    <mergeCell ref="R25:R26"/>
    <mergeCell ref="Q25:Q26"/>
    <mergeCell ref="O25:P26"/>
    <mergeCell ref="O22:P22"/>
    <mergeCell ref="O23:P23"/>
    <mergeCell ref="O24:P24"/>
    <mergeCell ref="O28:P28"/>
    <mergeCell ref="U19:V20"/>
    <mergeCell ref="W19:Z19"/>
    <mergeCell ref="U31:U32"/>
    <mergeCell ref="V31:V32"/>
    <mergeCell ref="U28:U29"/>
    <mergeCell ref="V28:V29"/>
    <mergeCell ref="O33:S33"/>
    <mergeCell ref="J31:K32"/>
    <mergeCell ref="L31:L32"/>
    <mergeCell ref="M31:M32"/>
    <mergeCell ref="J33:K33"/>
    <mergeCell ref="J26:K27"/>
    <mergeCell ref="L26:L27"/>
    <mergeCell ref="M26:M27"/>
    <mergeCell ref="J28:K29"/>
    <mergeCell ref="L28:L29"/>
    <mergeCell ref="M28:M29"/>
    <mergeCell ref="W24:X24"/>
    <mergeCell ref="W25:X25"/>
    <mergeCell ref="W26:X27"/>
    <mergeCell ref="W28:X29"/>
    <mergeCell ref="W30:X30"/>
    <mergeCell ref="Y20:Z20"/>
    <mergeCell ref="W31:X32"/>
    <mergeCell ref="W33:X33"/>
    <mergeCell ref="W34:X34"/>
    <mergeCell ref="AC26:AD27"/>
    <mergeCell ref="O43:P44"/>
    <mergeCell ref="Q43:Q44"/>
    <mergeCell ref="R43:R44"/>
    <mergeCell ref="S43:S44"/>
    <mergeCell ref="U44:Z44"/>
    <mergeCell ref="W35:X36"/>
    <mergeCell ref="W37:X37"/>
    <mergeCell ref="Y35:Z36"/>
    <mergeCell ref="Y37:Z37"/>
    <mergeCell ref="O41:S41"/>
    <mergeCell ref="O42:P42"/>
    <mergeCell ref="U42:V42"/>
    <mergeCell ref="W42:Z42"/>
    <mergeCell ref="AB44:AH44"/>
    <mergeCell ref="U26:U27"/>
    <mergeCell ref="V26:V27"/>
    <mergeCell ref="U40:V40"/>
    <mergeCell ref="U35:U36"/>
    <mergeCell ref="V35:V36"/>
    <mergeCell ref="U39:V39"/>
    <mergeCell ref="O34:P34"/>
    <mergeCell ref="O38:P39"/>
    <mergeCell ref="Q38:Q39"/>
    <mergeCell ref="W16:Z16"/>
    <mergeCell ref="W17:Z17"/>
    <mergeCell ref="AA16:AC16"/>
    <mergeCell ref="AA17:AC17"/>
    <mergeCell ref="AD16:AG16"/>
    <mergeCell ref="AD17:AG17"/>
    <mergeCell ref="AE22:AF22"/>
    <mergeCell ref="AE23:AF23"/>
    <mergeCell ref="AC22:AD22"/>
    <mergeCell ref="AA23:AB23"/>
    <mergeCell ref="AE19:AG19"/>
    <mergeCell ref="AA19:AD19"/>
    <mergeCell ref="AE20:AF20"/>
    <mergeCell ref="AE21:AF21"/>
    <mergeCell ref="AC20:AD20"/>
    <mergeCell ref="AC21:AD21"/>
    <mergeCell ref="AA20:AB20"/>
    <mergeCell ref="W20:X20"/>
    <mergeCell ref="W21:X21"/>
    <mergeCell ref="W22:X22"/>
    <mergeCell ref="W23:X23"/>
    <mergeCell ref="AA21:AB21"/>
    <mergeCell ref="J46:L46"/>
    <mergeCell ref="J51:L51"/>
    <mergeCell ref="J52:L52"/>
    <mergeCell ref="J50:L50"/>
    <mergeCell ref="AC23:AD23"/>
    <mergeCell ref="AA22:AB22"/>
    <mergeCell ref="Y21:Z21"/>
    <mergeCell ref="Y22:Z22"/>
    <mergeCell ref="Y23:Z23"/>
    <mergeCell ref="AA35:AB36"/>
    <mergeCell ref="AC35:AD36"/>
    <mergeCell ref="Y24:Z24"/>
    <mergeCell ref="Y25:Z25"/>
    <mergeCell ref="Y26:Z27"/>
    <mergeCell ref="Y28:Z29"/>
    <mergeCell ref="Y34:Z34"/>
    <mergeCell ref="Y31:Z32"/>
    <mergeCell ref="Y33:Z33"/>
    <mergeCell ref="Y30:Z30"/>
    <mergeCell ref="AA24:AB24"/>
    <mergeCell ref="AC24:AD24"/>
    <mergeCell ref="AA25:AB25"/>
    <mergeCell ref="AC25:AD25"/>
    <mergeCell ref="AA26:AB27"/>
    <mergeCell ref="AA54:AD55"/>
    <mergeCell ref="AF54:AH55"/>
    <mergeCell ref="AA60:AD60"/>
    <mergeCell ref="AA61:AD62"/>
    <mergeCell ref="AF60:AH60"/>
    <mergeCell ref="AF61:AH62"/>
    <mergeCell ref="J54:L54"/>
    <mergeCell ref="J58:L58"/>
    <mergeCell ref="J59:L59"/>
  </mergeCells>
  <phoneticPr fontId="12" type="noConversion"/>
  <conditionalFormatting sqref="B6:B10 B12:B13 D6:D10 D12 F12:M12 L9:M9 D13:M13 I6:K6 I7:J10 K7:K8">
    <cfRule type="containsBlanks" dxfId="2526" priority="38">
      <formula>LEN(TRIM(B6))=0</formula>
    </cfRule>
  </conditionalFormatting>
  <conditionalFormatting sqref="D6:H10 W22:W26 W28 W30:W31 W33:W35 W37">
    <cfRule type="containsBlanks" dxfId="2525" priority="36">
      <formula>LEN(TRIM(D6))=0</formula>
    </cfRule>
  </conditionalFormatting>
  <conditionalFormatting sqref="M19">
    <cfRule type="containsBlanks" dxfId="2524" priority="35">
      <formula>LEN(TRIM(M19))=0</formula>
    </cfRule>
  </conditionalFormatting>
  <conditionalFormatting sqref="CP70">
    <cfRule type="containsBlanks" dxfId="2523" priority="34">
      <formula>LEN(TRIM(CP70))=0</formula>
    </cfRule>
  </conditionalFormatting>
  <conditionalFormatting sqref="M21">
    <cfRule type="containsBlanks" dxfId="2522" priority="33">
      <formula>LEN(TRIM(M21))=0</formula>
    </cfRule>
  </conditionalFormatting>
  <conditionalFormatting sqref="K6:M6">
    <cfRule type="containsBlanks" dxfId="2521" priority="32">
      <formula>LEN(TRIM(K6))=0</formula>
    </cfRule>
  </conditionalFormatting>
  <conditionalFormatting sqref="K7:M8">
    <cfRule type="containsBlanks" dxfId="2520" priority="31">
      <formula>LEN(TRIM(K7))=0</formula>
    </cfRule>
  </conditionalFormatting>
  <conditionalFormatting sqref="D12:M13">
    <cfRule type="containsBlanks" dxfId="2519" priority="30">
      <formula>LEN(TRIM(D12))=0</formula>
    </cfRule>
  </conditionalFormatting>
  <conditionalFormatting sqref="L9:M9">
    <cfRule type="containsBlanks" dxfId="2518" priority="29">
      <formula>LEN(TRIM(L9))=0</formula>
    </cfRule>
  </conditionalFormatting>
  <conditionalFormatting sqref="L25">
    <cfRule type="containsBlanks" dxfId="2517" priority="27">
      <formula>LEN(TRIM(L25))=0</formula>
    </cfRule>
  </conditionalFormatting>
  <conditionalFormatting sqref="Q20:S26">
    <cfRule type="containsBlanks" dxfId="2516" priority="13">
      <formula>LEN(TRIM(Q20))=0</formula>
    </cfRule>
    <cfRule type="containsBlanks" dxfId="2515" priority="26">
      <formula>LEN(TRIM(Q20))=0</formula>
    </cfRule>
  </conditionalFormatting>
  <conditionalFormatting sqref="U26:V27 AC33 AC26">
    <cfRule type="cellIs" dxfId="2514" priority="24" operator="between">
      <formula>0</formula>
      <formula>500</formula>
    </cfRule>
  </conditionalFormatting>
  <conditionalFormatting sqref="U33:V33">
    <cfRule type="cellIs" dxfId="2513" priority="23" operator="between">
      <formula>0</formula>
      <formula>500</formula>
    </cfRule>
  </conditionalFormatting>
  <conditionalFormatting sqref="AA22:AA26 AA28 AA30:AA31 AA33:AA35 AA37">
    <cfRule type="containsBlanks" dxfId="2512" priority="21">
      <formula>LEN(TRIM(AA22))=0</formula>
    </cfRule>
  </conditionalFormatting>
  <conditionalFormatting sqref="AE22:AE26 AE28 AE30 AE34">
    <cfRule type="containsBlanks" dxfId="2511" priority="20">
      <formula>LEN(TRIM(AE22))=0</formula>
    </cfRule>
  </conditionalFormatting>
  <conditionalFormatting sqref="AF45:AH46">
    <cfRule type="containsBlanks" dxfId="2510" priority="19">
      <formula>LEN(TRIM(AF45))=0</formula>
    </cfRule>
  </conditionalFormatting>
  <conditionalFormatting sqref="AF51:AG53">
    <cfRule type="containsBlanks" dxfId="2509" priority="18">
      <formula>LEN(TRIM(AF51))=0</formula>
    </cfRule>
  </conditionalFormatting>
  <conditionalFormatting sqref="E20:H24">
    <cfRule type="containsBlanks" dxfId="2508" priority="17">
      <formula>LEN(TRIM(E20))=0</formula>
    </cfRule>
  </conditionalFormatting>
  <conditionalFormatting sqref="E28:H33">
    <cfRule type="containsBlanks" dxfId="2507" priority="16">
      <formula>LEN(TRIM(E28))=0</formula>
    </cfRule>
  </conditionalFormatting>
  <conditionalFormatting sqref="Q42:S46">
    <cfRule type="containsBlanks" dxfId="2506" priority="15">
      <formula>LEN(TRIM(Q42))=0</formula>
    </cfRule>
  </conditionalFormatting>
  <conditionalFormatting sqref="Q34:S39">
    <cfRule type="containsBlanks" dxfId="2505" priority="14">
      <formula>LEN(TRIM(Q34))=0</formula>
    </cfRule>
  </conditionalFormatting>
  <conditionalFormatting sqref="AE37 W37 AA37 W22:W26 W28 W30:W31 W33:W35 AA22:AA26 AA28 AA30:AA31 AA33:AA35 AE22:AE26 AE28 AE30:AE31 AE33:AE35">
    <cfRule type="containsBlanks" dxfId="2504" priority="12">
      <formula>LEN(TRIM(W22))=0</formula>
    </cfRule>
  </conditionalFormatting>
  <conditionalFormatting sqref="M25">
    <cfRule type="containsBlanks" dxfId="2503" priority="11">
      <formula>LEN(TRIM(M25))=0</formula>
    </cfRule>
  </conditionalFormatting>
  <conditionalFormatting sqref="U26:AG27">
    <cfRule type="containsBlanks" dxfId="2502" priority="9">
      <formula>LEN(TRIM(U26))=0</formula>
    </cfRule>
    <cfRule type="cellIs" dxfId="2501" priority="10" operator="between">
      <formula>0</formula>
      <formula>1000</formula>
    </cfRule>
  </conditionalFormatting>
  <conditionalFormatting sqref="W87:W88">
    <cfRule type="cellIs" dxfId="2500" priority="8" operator="between">
      <formula>0</formula>
      <formula>500</formula>
    </cfRule>
  </conditionalFormatting>
  <conditionalFormatting sqref="W94">
    <cfRule type="cellIs" dxfId="2499" priority="7" operator="between">
      <formula>0</formula>
      <formula>500</formula>
    </cfRule>
  </conditionalFormatting>
  <conditionalFormatting sqref="W87:W88">
    <cfRule type="containsBlanks" dxfId="2498" priority="5">
      <formula>LEN(TRIM(W87))=0</formula>
    </cfRule>
    <cfRule type="cellIs" dxfId="2497" priority="6" operator="between">
      <formula>0</formula>
      <formula>1000</formula>
    </cfRule>
  </conditionalFormatting>
  <conditionalFormatting sqref="U33:AG33">
    <cfRule type="cellIs" dxfId="2496" priority="4" operator="between">
      <formula>0</formula>
      <formula>1000</formula>
    </cfRule>
  </conditionalFormatting>
  <conditionalFormatting sqref="W22:X37 AA22:AB37 AE22:AF37">
    <cfRule type="containsBlanks" dxfId="2495" priority="3">
      <formula>LEN(TRIM(W22))=0</formula>
    </cfRule>
  </conditionalFormatting>
  <conditionalFormatting sqref="Q27:S27">
    <cfRule type="containsBlanks" dxfId="2494" priority="1">
      <formula>LEN(TRIM(Q27))=0</formula>
    </cfRule>
    <cfRule type="containsBlanks" dxfId="2493" priority="2">
      <formula>LEN(TRIM(Q27))=0</formula>
    </cfRule>
  </conditionalFormatting>
  <dataValidations count="5">
    <dataValidation type="list" allowBlank="1" showInputMessage="1" showErrorMessage="1" sqref="L25" xr:uid="{00000000-0002-0000-0100-000000000000}">
      <formula1>$D$101:$D$104</formula1>
    </dataValidation>
    <dataValidation type="list" allowBlank="1" showInputMessage="1" showErrorMessage="1" sqref="M21" xr:uid="{00000000-0002-0000-0100-000001000000}">
      <formula1>$AX$3:$AX$4</formula1>
    </dataValidation>
    <dataValidation type="list" allowBlank="1" showInputMessage="1" showErrorMessage="1" sqref="M19" xr:uid="{00000000-0002-0000-0100-000002000000}">
      <formula1>$AX$3:$AX$5</formula1>
    </dataValidation>
    <dataValidation type="list" allowBlank="1" showInputMessage="1" showErrorMessage="1" sqref="CP70" xr:uid="{00000000-0002-0000-0100-000003000000}">
      <formula1>$BA$3:$BA$5</formula1>
    </dataValidation>
    <dataValidation type="list" allowBlank="1" showInputMessage="1" showErrorMessage="1" sqref="D12:E12" xr:uid="{00000000-0002-0000-0100-000004000000}">
      <formula1>$B$87:$B$94</formula1>
    </dataValidation>
  </dataValidations>
  <hyperlinks>
    <hyperlink ref="D8" r:id="rId1" xr:uid="{00000000-0004-0000-01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5124" r:id="rId5" name="Check Box 4">
              <controlPr defaultSize="0" autoFill="0" autoLine="0" autoPict="0">
                <anchor moveWithCells="1">
                  <from>
                    <xdr:col>1</xdr:col>
                    <xdr:colOff>1962150</xdr:colOff>
                    <xdr:row>16</xdr:row>
                    <xdr:rowOff>0</xdr:rowOff>
                  </from>
                  <to>
                    <xdr:col>2</xdr:col>
                    <xdr:colOff>161925</xdr:colOff>
                    <xdr:row>16</xdr:row>
                    <xdr:rowOff>285750</xdr:rowOff>
                  </to>
                </anchor>
              </controlPr>
            </control>
          </mc:Choice>
        </mc:AlternateContent>
        <mc:AlternateContent xmlns:mc="http://schemas.openxmlformats.org/markup-compatibility/2006">
          <mc:Choice Requires="x14">
            <control shapeId="5125" r:id="rId6" name="Check Box 5">
              <controlPr defaultSize="0" autoFill="0" autoLine="0" autoPict="0">
                <anchor moveWithCells="1">
                  <from>
                    <xdr:col>2</xdr:col>
                    <xdr:colOff>609600</xdr:colOff>
                    <xdr:row>16</xdr:row>
                    <xdr:rowOff>9525</xdr:rowOff>
                  </from>
                  <to>
                    <xdr:col>2</xdr:col>
                    <xdr:colOff>1104900</xdr:colOff>
                    <xdr:row>16</xdr:row>
                    <xdr:rowOff>285750</xdr:rowOff>
                  </to>
                </anchor>
              </controlPr>
            </control>
          </mc:Choice>
        </mc:AlternateContent>
        <mc:AlternateContent xmlns:mc="http://schemas.openxmlformats.org/markup-compatibility/2006">
          <mc:Choice Requires="x14">
            <control shapeId="5126" r:id="rId7" name="Check Box 6">
              <controlPr defaultSize="0" autoFill="0" autoLine="0" autoPict="0">
                <anchor moveWithCells="1">
                  <from>
                    <xdr:col>1</xdr:col>
                    <xdr:colOff>1038225</xdr:colOff>
                    <xdr:row>16</xdr:row>
                    <xdr:rowOff>9525</xdr:rowOff>
                  </from>
                  <to>
                    <xdr:col>1</xdr:col>
                    <xdr:colOff>1533525</xdr:colOff>
                    <xdr:row>16</xdr:row>
                    <xdr:rowOff>285750</xdr:rowOff>
                  </to>
                </anchor>
              </controlPr>
            </control>
          </mc:Choice>
        </mc:AlternateContent>
        <mc:AlternateContent xmlns:mc="http://schemas.openxmlformats.org/markup-compatibility/2006">
          <mc:Choice Requires="x14">
            <control shapeId="5127" r:id="rId8" name="Check Box 7">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5128" r:id="rId9" name="Check Box 8">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5133" r:id="rId10" name="Check Box 13">
              <controlPr defaultSize="0" autoFill="0" autoLine="0" autoPict="0">
                <anchor moveWithCells="1">
                  <from>
                    <xdr:col>15</xdr:col>
                    <xdr:colOff>466725</xdr:colOff>
                    <xdr:row>15</xdr:row>
                    <xdr:rowOff>228600</xdr:rowOff>
                  </from>
                  <to>
                    <xdr:col>15</xdr:col>
                    <xdr:colOff>962025</xdr:colOff>
                    <xdr:row>16</xdr:row>
                    <xdr:rowOff>285750</xdr:rowOff>
                  </to>
                </anchor>
              </controlPr>
            </control>
          </mc:Choice>
        </mc:AlternateContent>
        <mc:AlternateContent xmlns:mc="http://schemas.openxmlformats.org/markup-compatibility/2006">
          <mc:Choice Requires="x14">
            <control shapeId="5134" r:id="rId11" name="Check Box 14">
              <controlPr defaultSize="0" autoFill="0" autoLine="0" autoPict="0">
                <anchor moveWithCells="1">
                  <from>
                    <xdr:col>14</xdr:col>
                    <xdr:colOff>1552575</xdr:colOff>
                    <xdr:row>15</xdr:row>
                    <xdr:rowOff>238125</xdr:rowOff>
                  </from>
                  <to>
                    <xdr:col>15</xdr:col>
                    <xdr:colOff>0</xdr:colOff>
                    <xdr:row>16</xdr:row>
                    <xdr:rowOff>285750</xdr:rowOff>
                  </to>
                </anchor>
              </controlPr>
            </control>
          </mc:Choice>
        </mc:AlternateContent>
        <mc:AlternateContent xmlns:mc="http://schemas.openxmlformats.org/markup-compatibility/2006">
          <mc:Choice Requires="x14">
            <control shapeId="5135" r:id="rId12" name="Check Box 15">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5136" r:id="rId13" name="Check Box 16">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5137" r:id="rId14" name="Check Box 17">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9">
    <tabColor rgb="FF92D050"/>
  </sheetPr>
  <dimension ref="A1:CP153"/>
  <sheetViews>
    <sheetView view="pageBreakPreview" zoomScale="70" zoomScaleNormal="100" zoomScaleSheetLayoutView="70"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2"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3" t="s">
        <v>188</v>
      </c>
      <c r="F2" s="513"/>
      <c r="G2" s="513"/>
      <c r="H2" s="513"/>
      <c r="I2" s="513"/>
      <c r="J2" s="513"/>
      <c r="K2" s="514"/>
      <c r="L2" s="488" t="s">
        <v>187</v>
      </c>
      <c r="M2" s="489"/>
      <c r="N2" s="190"/>
      <c r="O2" s="503"/>
      <c r="P2" s="503"/>
      <c r="Q2" s="509"/>
      <c r="R2" s="513" t="s">
        <v>50</v>
      </c>
      <c r="S2" s="513"/>
      <c r="T2" s="513"/>
      <c r="U2" s="513"/>
      <c r="V2" s="513"/>
      <c r="W2" s="513"/>
      <c r="X2" s="513"/>
      <c r="Y2" s="513"/>
      <c r="Z2" s="513"/>
      <c r="AA2" s="513"/>
      <c r="AB2" s="513"/>
      <c r="AC2" s="513"/>
      <c r="AD2" s="513"/>
      <c r="AE2" s="514"/>
      <c r="AF2" s="488" t="s">
        <v>187</v>
      </c>
      <c r="AG2" s="518"/>
      <c r="AH2" s="489"/>
      <c r="AS2" s="24"/>
      <c r="AT2" s="24"/>
      <c r="AU2" s="24"/>
      <c r="AV2" s="24"/>
      <c r="AX2" s="24"/>
      <c r="AY2" s="24"/>
      <c r="AZ2" s="24"/>
      <c r="BA2" s="24"/>
      <c r="BB2" s="24"/>
      <c r="BC2" s="24"/>
    </row>
    <row r="3" spans="1:57" s="22" customFormat="1" ht="20.25" customHeight="1" x14ac:dyDescent="0.25">
      <c r="A3" s="90"/>
      <c r="B3" s="503"/>
      <c r="C3" s="503"/>
      <c r="D3" s="503"/>
      <c r="E3" s="513"/>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6"/>
      <c r="F4" s="516"/>
      <c r="G4" s="516"/>
      <c r="H4" s="516"/>
      <c r="I4" s="516"/>
      <c r="J4" s="516"/>
      <c r="K4" s="517"/>
      <c r="L4" s="490" t="s">
        <v>174</v>
      </c>
      <c r="M4" s="491"/>
      <c r="N4" s="191"/>
      <c r="O4" s="504"/>
      <c r="P4" s="504"/>
      <c r="Q4" s="510"/>
      <c r="R4" s="516"/>
      <c r="S4" s="516"/>
      <c r="T4" s="516"/>
      <c r="U4" s="516"/>
      <c r="V4" s="516"/>
      <c r="W4" s="516"/>
      <c r="X4" s="516"/>
      <c r="Y4" s="516"/>
      <c r="Z4" s="516"/>
      <c r="AA4" s="516"/>
      <c r="AB4" s="516"/>
      <c r="AC4" s="516"/>
      <c r="AD4" s="516"/>
      <c r="AE4" s="517"/>
      <c r="AF4" s="490" t="s">
        <v>174</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496" t="s">
        <v>1</v>
      </c>
      <c r="C6" s="496"/>
      <c r="D6" s="497" t="s">
        <v>180</v>
      </c>
      <c r="E6" s="497"/>
      <c r="F6" s="497"/>
      <c r="G6" s="497"/>
      <c r="H6" s="497"/>
      <c r="I6" s="498" t="s">
        <v>53</v>
      </c>
      <c r="J6" s="498"/>
      <c r="K6" s="733">
        <v>45775</v>
      </c>
      <c r="L6" s="733"/>
      <c r="M6" s="734"/>
      <c r="N6" s="88"/>
      <c r="O6" s="501" t="str">
        <f>B6</f>
        <v>CLIENTE:</v>
      </c>
      <c r="P6" s="501"/>
      <c r="Q6" s="519" t="str">
        <f>+D6</f>
        <v>TPF GETINSA EURO ESTUDIOS COLOMBIA</v>
      </c>
      <c r="R6" s="519"/>
      <c r="S6" s="519"/>
      <c r="T6" s="519"/>
      <c r="U6" s="519"/>
      <c r="V6" s="519"/>
      <c r="W6" s="520" t="str">
        <f>I6</f>
        <v>FECHA DE RECEPCIÓN:</v>
      </c>
      <c r="X6" s="520"/>
      <c r="Y6" s="520"/>
      <c r="Z6" s="520"/>
      <c r="AA6" s="520"/>
      <c r="AB6" s="521">
        <f>K6</f>
        <v>45775</v>
      </c>
      <c r="AC6" s="521"/>
      <c r="AD6" s="521"/>
      <c r="AE6" s="521"/>
      <c r="AF6" s="521"/>
      <c r="AG6" s="87"/>
      <c r="AH6" s="21"/>
      <c r="AR6" s="24"/>
      <c r="AS6" s="24"/>
      <c r="AT6" s="24"/>
      <c r="AV6" s="24"/>
      <c r="AW6" s="24"/>
      <c r="AX6" s="24"/>
      <c r="AY6" s="25"/>
      <c r="AZ6" s="24"/>
      <c r="BA6" s="24"/>
      <c r="BB6" s="24"/>
      <c r="BE6" s="23" t="s">
        <v>54</v>
      </c>
    </row>
    <row r="7" spans="1:57" s="22" customFormat="1" ht="51" customHeight="1" x14ac:dyDescent="0.25">
      <c r="A7" s="90"/>
      <c r="B7" s="522" t="s">
        <v>2</v>
      </c>
      <c r="C7" s="522"/>
      <c r="D7" s="479" t="s">
        <v>191</v>
      </c>
      <c r="E7" s="479"/>
      <c r="F7" s="479"/>
      <c r="G7" s="479"/>
      <c r="H7" s="479"/>
      <c r="I7" s="523" t="s">
        <v>55</v>
      </c>
      <c r="J7" s="523"/>
      <c r="K7" s="730">
        <v>45796</v>
      </c>
      <c r="L7" s="730"/>
      <c r="M7" s="731"/>
      <c r="N7" s="89"/>
      <c r="O7" s="526" t="str">
        <f>B7</f>
        <v>PROYECTO:</v>
      </c>
      <c r="P7" s="526"/>
      <c r="Q7" s="527" t="str">
        <f>D7</f>
        <v>ESTUDIO DE ESTRUCTURA EXISTENTE CONFORMADA PARA LA CONSTRUCCIÓN DEL SISTEMA DE ESPACIO PUBLICO, COMPUESTO POR VÍAS, ANDENES, ALAMEDAS, CICLO RUTA Y DEMAS ESTABILIZADOS DENTRO DEL CONTRATO DE CONSULTORÍA No C.CONSUL-002-2024</v>
      </c>
      <c r="R7" s="527"/>
      <c r="S7" s="527"/>
      <c r="T7" s="527"/>
      <c r="U7" s="527"/>
      <c r="V7" s="527"/>
      <c r="W7" s="528" t="str">
        <f>I7</f>
        <v xml:space="preserve">FECHA DE EJECUCIÓN: </v>
      </c>
      <c r="X7" s="528"/>
      <c r="Y7" s="528"/>
      <c r="Z7" s="528"/>
      <c r="AA7" s="528"/>
      <c r="AB7" s="529">
        <f>K7</f>
        <v>45796</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522" t="s">
        <v>57</v>
      </c>
      <c r="C8" s="522"/>
      <c r="D8" s="752" t="s">
        <v>192</v>
      </c>
      <c r="E8" s="482"/>
      <c r="F8" s="482"/>
      <c r="G8" s="482"/>
      <c r="H8" s="482"/>
      <c r="I8" s="523" t="s">
        <v>58</v>
      </c>
      <c r="J8" s="523"/>
      <c r="K8" s="730">
        <v>45803</v>
      </c>
      <c r="L8" s="730"/>
      <c r="M8" s="731"/>
      <c r="N8" s="89"/>
      <c r="O8" s="526" t="str">
        <f>B8</f>
        <v>CORREO ELECTRÓNICO:</v>
      </c>
      <c r="P8" s="526"/>
      <c r="Q8" s="531" t="str">
        <f>D8</f>
        <v>utvias25@gmail.com</v>
      </c>
      <c r="R8" s="531"/>
      <c r="S8" s="531"/>
      <c r="T8" s="531"/>
      <c r="U8" s="531"/>
      <c r="V8" s="531"/>
      <c r="W8" s="528" t="str">
        <f>I8</f>
        <v>FECHA DE EMISIÓN:</v>
      </c>
      <c r="X8" s="528"/>
      <c r="Y8" s="528"/>
      <c r="Z8" s="528"/>
      <c r="AA8" s="528"/>
      <c r="AB8" s="529">
        <f>K8</f>
        <v>45803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522" t="s">
        <v>60</v>
      </c>
      <c r="C9" s="522"/>
      <c r="D9" s="482" t="s">
        <v>193</v>
      </c>
      <c r="E9" s="482"/>
      <c r="F9" s="482"/>
      <c r="G9" s="482"/>
      <c r="H9" s="482"/>
      <c r="I9" s="523" t="s">
        <v>61</v>
      </c>
      <c r="J9" s="523"/>
      <c r="K9" s="27" t="s">
        <v>62</v>
      </c>
      <c r="L9" s="28" t="s">
        <v>194</v>
      </c>
      <c r="M9" s="97" t="s">
        <v>195</v>
      </c>
      <c r="N9" s="89"/>
      <c r="O9" s="526" t="str">
        <f>B9</f>
        <v>LOCALIZACIÓN:</v>
      </c>
      <c r="P9" s="526"/>
      <c r="Q9" s="531" t="str">
        <f>D9</f>
        <v>MOSQUERA CUNDINAMARCA-EL DORADO</v>
      </c>
      <c r="R9" s="531"/>
      <c r="S9" s="531"/>
      <c r="T9" s="531"/>
      <c r="U9" s="531"/>
      <c r="V9" s="531"/>
      <c r="W9" s="528" t="str">
        <f>I9</f>
        <v xml:space="preserve">ORDEN INTERNA: </v>
      </c>
      <c r="X9" s="528"/>
      <c r="Y9" s="528"/>
      <c r="Z9" s="528"/>
      <c r="AA9" s="528"/>
      <c r="AB9" s="529" t="str">
        <f>_xlfn.CONCAT(K9," "," ",L9," ","-"," ",M9)</f>
        <v>GDA  053 - 25</v>
      </c>
      <c r="AC9" s="529"/>
      <c r="AD9" s="529"/>
      <c r="AE9" s="529"/>
      <c r="AF9" s="529"/>
      <c r="AG9" s="212"/>
      <c r="AH9" s="26"/>
      <c r="AR9" s="24"/>
      <c r="AS9" s="24"/>
      <c r="AT9" s="24"/>
      <c r="AU9" s="24"/>
      <c r="AV9" s="24"/>
      <c r="AW9" s="24"/>
      <c r="AX9" s="24"/>
      <c r="AY9" s="24"/>
      <c r="AZ9" s="24"/>
      <c r="BA9" s="24"/>
      <c r="BB9" s="24"/>
      <c r="BE9" s="23" t="s">
        <v>63</v>
      </c>
    </row>
    <row r="10" spans="1:57" s="22" customFormat="1" ht="22.5" customHeight="1" thickBot="1" x14ac:dyDescent="0.3">
      <c r="A10" s="90"/>
      <c r="B10" s="534" t="s">
        <v>64</v>
      </c>
      <c r="C10" s="534"/>
      <c r="D10" s="482" t="s">
        <v>184</v>
      </c>
      <c r="E10" s="482"/>
      <c r="F10" s="482"/>
      <c r="G10" s="482"/>
      <c r="H10" s="482"/>
      <c r="I10" s="535" t="s">
        <v>65</v>
      </c>
      <c r="J10" s="535"/>
      <c r="K10" s="536" t="str">
        <f>CONCATENATE(L9,," ",M9,"-",F12,,"-",H12)</f>
        <v>053 25-1-2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41" t="str">
        <f>K10</f>
        <v>053 25-1-2</v>
      </c>
      <c r="AC10" s="541"/>
      <c r="AD10" s="541"/>
      <c r="AE10" s="541"/>
      <c r="AF10" s="541"/>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496" t="s">
        <v>3</v>
      </c>
      <c r="C12" s="496"/>
      <c r="D12" s="545" t="s">
        <v>56</v>
      </c>
      <c r="E12" s="545"/>
      <c r="F12" s="145">
        <v>1</v>
      </c>
      <c r="G12" s="31" t="s">
        <v>4</v>
      </c>
      <c r="H12" s="146">
        <v>2</v>
      </c>
      <c r="I12" s="546" t="s">
        <v>5</v>
      </c>
      <c r="J12" s="546"/>
      <c r="K12" s="209">
        <v>0.18</v>
      </c>
      <c r="L12" s="32" t="s">
        <v>6</v>
      </c>
      <c r="M12" s="147">
        <v>0.6</v>
      </c>
      <c r="N12" s="78"/>
      <c r="O12" s="501" t="s">
        <v>3</v>
      </c>
      <c r="P12" s="501"/>
      <c r="Q12" s="519" t="str">
        <f>_xlfn.CONCAT(D12," "," ",F12)</f>
        <v>APIQUE  1</v>
      </c>
      <c r="R12" s="519"/>
      <c r="S12" s="519"/>
      <c r="T12" s="502" t="s">
        <v>4</v>
      </c>
      <c r="U12" s="502"/>
      <c r="V12" s="33">
        <f>+H12</f>
        <v>2</v>
      </c>
      <c r="W12" s="547" t="s">
        <v>5</v>
      </c>
      <c r="X12" s="547"/>
      <c r="Y12" s="547"/>
      <c r="Z12" s="547"/>
      <c r="AA12" s="547"/>
      <c r="AB12" s="547"/>
      <c r="AC12" s="34">
        <f>K12</f>
        <v>0.18</v>
      </c>
      <c r="AD12" s="548" t="s">
        <v>6</v>
      </c>
      <c r="AE12" s="548"/>
      <c r="AF12" s="35">
        <f>+M12</f>
        <v>0.6</v>
      </c>
      <c r="AG12" s="37"/>
      <c r="AH12" s="21"/>
      <c r="AT12" s="23"/>
      <c r="AU12" s="24"/>
      <c r="AV12" s="24"/>
      <c r="AW12" s="24"/>
      <c r="AX12" s="24"/>
      <c r="AY12" s="24"/>
      <c r="AZ12" s="24"/>
      <c r="BA12" s="24"/>
      <c r="BB12" s="24"/>
      <c r="BC12" s="24"/>
      <c r="BD12" s="24"/>
      <c r="BE12" s="24"/>
    </row>
    <row r="13" spans="1:57" s="22" customFormat="1" ht="22.5" customHeight="1" x14ac:dyDescent="0.25">
      <c r="A13" s="90"/>
      <c r="B13" s="522" t="s">
        <v>130</v>
      </c>
      <c r="C13" s="522"/>
      <c r="D13" s="482" t="s">
        <v>203</v>
      </c>
      <c r="E13" s="482"/>
      <c r="F13" s="482"/>
      <c r="G13" s="482"/>
      <c r="H13" s="482"/>
      <c r="I13" s="482"/>
      <c r="J13" s="482"/>
      <c r="K13" s="482"/>
      <c r="L13" s="482"/>
      <c r="M13" s="484"/>
      <c r="N13" s="188"/>
      <c r="O13" s="526" t="s">
        <v>130</v>
      </c>
      <c r="P13" s="526"/>
      <c r="Q13" s="527" t="str">
        <f>D13</f>
        <v>GRAVA BIEN GRADADA DE FORMA ANGULOSA, CON FINOS ARENO LIMOSOS, COLOR AMARILLO OSCURO, CEMENTACIÓN DÉBIL,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15"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7"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569"/>
      <c r="Q19" s="105">
        <v>56</v>
      </c>
      <c r="R19" s="106">
        <v>25</v>
      </c>
      <c r="S19" s="107">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531</v>
      </c>
      <c r="R20" s="148">
        <v>430</v>
      </c>
      <c r="S20" s="149">
        <v>382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7332</v>
      </c>
      <c r="F22" s="150">
        <v>7555</v>
      </c>
      <c r="G22" s="150">
        <v>7755</v>
      </c>
      <c r="H22" s="151">
        <v>7715</v>
      </c>
      <c r="I22" s="174"/>
      <c r="J22" s="578"/>
      <c r="K22" s="578"/>
      <c r="L22" s="578"/>
      <c r="M22" s="104"/>
      <c r="N22" s="103"/>
      <c r="O22" s="579" t="s">
        <v>132</v>
      </c>
      <c r="P22" s="580"/>
      <c r="Q22" s="150">
        <v>8600</v>
      </c>
      <c r="R22" s="150">
        <v>8463</v>
      </c>
      <c r="S22" s="208">
        <v>7973</v>
      </c>
      <c r="T22" s="174"/>
      <c r="U22" s="112">
        <v>5.0000000000000001E-3</v>
      </c>
      <c r="V22" s="113">
        <f>U22*25.4</f>
        <v>0.127</v>
      </c>
      <c r="W22" s="581">
        <f>AK22</f>
        <v>0.214</v>
      </c>
      <c r="X22" s="582"/>
      <c r="Y22" s="449">
        <f>((W22/19.32)*10)</f>
        <v>0.11076604554865424</v>
      </c>
      <c r="Z22" s="450"/>
      <c r="AA22" s="581">
        <f>AO22</f>
        <v>0.17398373983739837</v>
      </c>
      <c r="AB22" s="582"/>
      <c r="AC22" s="449">
        <f>((AA22/19.32)*10)</f>
        <v>9.0053695568011585E-2</v>
      </c>
      <c r="AD22" s="450"/>
      <c r="AE22" s="581">
        <f>AS22</f>
        <v>0.14145019498975478</v>
      </c>
      <c r="AF22" s="582"/>
      <c r="AG22" s="114">
        <f>((AE22/19.32)*10)</f>
        <v>7.3214386640659823E-2</v>
      </c>
      <c r="AH22" s="104"/>
      <c r="AK22" s="42">
        <v>0.214</v>
      </c>
      <c r="AO22" s="42">
        <f>AK22/1.23</f>
        <v>0.17398373983739837</v>
      </c>
      <c r="AS22" s="42">
        <f>AO22/1.23</f>
        <v>0.14145019498975478</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3794</v>
      </c>
      <c r="R23" s="150">
        <v>3860</v>
      </c>
      <c r="S23" s="151">
        <v>3802</v>
      </c>
      <c r="T23" s="174"/>
      <c r="U23" s="112">
        <v>2.5000000000000001E-2</v>
      </c>
      <c r="V23" s="113">
        <f>U23*25.4</f>
        <v>0.63500000000000001</v>
      </c>
      <c r="W23" s="581">
        <f>AK23</f>
        <v>0.49299999999999999</v>
      </c>
      <c r="X23" s="582"/>
      <c r="Y23" s="449">
        <f>((W23/19.32)*10)</f>
        <v>0.25517598343685299</v>
      </c>
      <c r="Z23" s="450"/>
      <c r="AA23" s="581">
        <f>AO23</f>
        <v>0.40081300813008131</v>
      </c>
      <c r="AB23" s="582"/>
      <c r="AC23" s="449">
        <f>((AA23/19.32)*10)</f>
        <v>0.20746014913565286</v>
      </c>
      <c r="AD23" s="450"/>
      <c r="AE23" s="581">
        <f>AS23</f>
        <v>0.32586423425209865</v>
      </c>
      <c r="AF23" s="582"/>
      <c r="AG23" s="114">
        <f>((AE23/19.32)*10)</f>
        <v>0.16866678791516493</v>
      </c>
      <c r="AH23" s="104"/>
      <c r="AK23" s="42">
        <v>0.49299999999999999</v>
      </c>
      <c r="AO23" s="42">
        <f t="shared" ref="AO23:AO33" si="2">AK23/1.23</f>
        <v>0.40081300813008131</v>
      </c>
      <c r="AS23" s="42">
        <f t="shared" ref="AS23:AS37" si="3">AO23/1.23</f>
        <v>0.32586423425209865</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11.62</v>
      </c>
      <c r="R24" s="150">
        <v>11.62</v>
      </c>
      <c r="S24" s="151">
        <v>11.65</v>
      </c>
      <c r="T24" s="174"/>
      <c r="U24" s="112">
        <v>0.05</v>
      </c>
      <c r="V24" s="113">
        <f>U24*25.4</f>
        <v>1.27</v>
      </c>
      <c r="W24" s="581">
        <f>AK24</f>
        <v>1.319</v>
      </c>
      <c r="X24" s="582"/>
      <c r="Y24" s="449">
        <f>((W24/19.32)*10)</f>
        <v>0.68271221532091098</v>
      </c>
      <c r="Z24" s="450"/>
      <c r="AA24" s="581">
        <f>AO24</f>
        <v>1.0723577235772357</v>
      </c>
      <c r="AB24" s="582"/>
      <c r="AC24" s="449">
        <f>((AA24/19.32)*10)</f>
        <v>0.55505058156171616</v>
      </c>
      <c r="AD24" s="450"/>
      <c r="AE24" s="581">
        <f>AS24</f>
        <v>0.87183554762376891</v>
      </c>
      <c r="AF24" s="582"/>
      <c r="AG24" s="114">
        <f>((AE24/19.32)*10)</f>
        <v>0.45126063541602945</v>
      </c>
      <c r="AH24" s="104"/>
      <c r="AK24" s="42">
        <v>1.319</v>
      </c>
      <c r="AO24" s="42">
        <f t="shared" si="2"/>
        <v>1.0723577235772357</v>
      </c>
      <c r="AS24" s="42">
        <f t="shared" si="3"/>
        <v>0.87183554762376891</v>
      </c>
    </row>
    <row r="25" spans="1:45" ht="24.95" customHeight="1" thickBot="1" x14ac:dyDescent="0.3">
      <c r="A25" s="103"/>
      <c r="B25" s="602" t="s">
        <v>69</v>
      </c>
      <c r="C25" s="603"/>
      <c r="D25" s="603"/>
      <c r="E25" s="115">
        <f>E22-E23</f>
        <v>4448</v>
      </c>
      <c r="F25" s="115">
        <f>F22-F23</f>
        <v>4671</v>
      </c>
      <c r="G25" s="115">
        <f>G22-G23</f>
        <v>4871</v>
      </c>
      <c r="H25" s="116">
        <f>H22-H23</f>
        <v>4831</v>
      </c>
      <c r="I25" s="174"/>
      <c r="J25" s="174" t="s">
        <v>127</v>
      </c>
      <c r="K25" s="174"/>
      <c r="L25" s="218" t="s">
        <v>128</v>
      </c>
      <c r="M25" s="155">
        <v>0</v>
      </c>
      <c r="N25" s="103"/>
      <c r="O25" s="604" t="s">
        <v>46</v>
      </c>
      <c r="P25" s="605"/>
      <c r="Q25" s="608">
        <v>15.26</v>
      </c>
      <c r="R25" s="608">
        <v>15.25</v>
      </c>
      <c r="S25" s="610">
        <v>15.26</v>
      </c>
      <c r="T25" s="174"/>
      <c r="U25" s="112">
        <v>7.4999999999999997E-2</v>
      </c>
      <c r="V25" s="113">
        <f>U25*25.4</f>
        <v>1.9049999999999998</v>
      </c>
      <c r="W25" s="581">
        <f>AK25</f>
        <v>2.9769999999999999</v>
      </c>
      <c r="X25" s="582"/>
      <c r="Y25" s="449">
        <f>((W25/19.32)*10)</f>
        <v>1.5408902691511386</v>
      </c>
      <c r="Z25" s="450"/>
      <c r="AA25" s="581">
        <f>AO25</f>
        <v>2.4203252032520326</v>
      </c>
      <c r="AB25" s="582"/>
      <c r="AC25" s="449">
        <f>((AA25/19.32)*10)</f>
        <v>1.2527563163830395</v>
      </c>
      <c r="AD25" s="450"/>
      <c r="AE25" s="581">
        <f>AS25</f>
        <v>1.9677440676845794</v>
      </c>
      <c r="AF25" s="582"/>
      <c r="AG25" s="114">
        <f>((AE25/19.32)*10)</f>
        <v>1.0185010702301136</v>
      </c>
      <c r="AH25" s="104"/>
      <c r="AI25" s="42" t="s">
        <v>190</v>
      </c>
      <c r="AK25" s="42">
        <v>2.9769999999999999</v>
      </c>
      <c r="AO25" s="42">
        <f t="shared" si="2"/>
        <v>2.4203252032520326</v>
      </c>
      <c r="AS25" s="42">
        <f t="shared" si="3"/>
        <v>1.9677440676845794</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593">
        <f>AK26</f>
        <v>5.2450000000000001</v>
      </c>
      <c r="X26" s="594"/>
      <c r="Y26" s="439">
        <f>((W26/19.32)*10)</f>
        <v>2.7148033126293996</v>
      </c>
      <c r="Z26" s="440"/>
      <c r="AA26" s="593">
        <f>AO26</f>
        <v>4.2642276422764231</v>
      </c>
      <c r="AB26" s="594"/>
      <c r="AC26" s="439">
        <f>((AA26/19.32)*10)</f>
        <v>2.2071571647393498</v>
      </c>
      <c r="AD26" s="440"/>
      <c r="AE26" s="593">
        <f>AS26</f>
        <v>3.4668517416881488</v>
      </c>
      <c r="AF26" s="594"/>
      <c r="AG26" s="469">
        <f>((AE26/19.32)*10)</f>
        <v>1.7944367193002841</v>
      </c>
      <c r="AH26" s="104"/>
      <c r="AK26" s="42">
        <v>5.2450000000000001</v>
      </c>
      <c r="AO26" s="42">
        <f t="shared" si="2"/>
        <v>4.2642276422764231</v>
      </c>
      <c r="AS26" s="42">
        <f t="shared" si="3"/>
        <v>3.4668517416881488</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2125.2257858224461</v>
      </c>
      <c r="R27" s="152">
        <f>(PI()*((R25^2)/4)*R24)</f>
        <v>2122.4413435588835</v>
      </c>
      <c r="S27" s="153">
        <f>(PI()*((S25^2)/4)*S24)</f>
        <v>2130.7125993830891</v>
      </c>
      <c r="T27" s="174"/>
      <c r="U27" s="600"/>
      <c r="V27" s="601"/>
      <c r="W27" s="595"/>
      <c r="X27" s="596"/>
      <c r="Y27" s="441"/>
      <c r="Z27" s="442"/>
      <c r="AA27" s="595"/>
      <c r="AB27" s="596"/>
      <c r="AC27" s="441"/>
      <c r="AD27" s="442"/>
      <c r="AE27" s="595"/>
      <c r="AF27" s="596"/>
      <c r="AG27" s="470"/>
      <c r="AH27" s="193"/>
      <c r="AK27" s="42">
        <v>7.9509999999999996</v>
      </c>
      <c r="AO27" s="42">
        <f t="shared" si="2"/>
        <v>6.4642276422764224</v>
      </c>
      <c r="AS27" s="42">
        <f t="shared" si="3"/>
        <v>5.2554696278670106</v>
      </c>
    </row>
    <row r="28" spans="1:45" ht="24.95" customHeight="1" thickBot="1" x14ac:dyDescent="0.3">
      <c r="A28" s="103"/>
      <c r="B28" s="560" t="s">
        <v>9</v>
      </c>
      <c r="C28" s="561"/>
      <c r="D28" s="561"/>
      <c r="E28" s="148">
        <v>650</v>
      </c>
      <c r="F28" s="148">
        <v>648</v>
      </c>
      <c r="G28" s="148">
        <v>715</v>
      </c>
      <c r="H28" s="149">
        <v>621</v>
      </c>
      <c r="I28" s="174"/>
      <c r="J28" s="597" t="s">
        <v>107</v>
      </c>
      <c r="K28" s="597"/>
      <c r="L28" s="562" t="s">
        <v>119</v>
      </c>
      <c r="M28" s="459">
        <f>IF(M26="","",(100-M26))</f>
        <v>100</v>
      </c>
      <c r="N28" s="103"/>
      <c r="O28" s="625" t="s">
        <v>136</v>
      </c>
      <c r="P28" s="626"/>
      <c r="Q28" s="115">
        <f>Q22-Q23</f>
        <v>4806</v>
      </c>
      <c r="R28" s="115">
        <f>R22-R23</f>
        <v>4603</v>
      </c>
      <c r="S28" s="116">
        <f>S22-S23</f>
        <v>4171</v>
      </c>
      <c r="T28" s="174"/>
      <c r="U28" s="627">
        <v>0.125</v>
      </c>
      <c r="V28" s="624">
        <f>U28*25.4</f>
        <v>3.1749999999999998</v>
      </c>
      <c r="W28" s="593">
        <f>AK27</f>
        <v>7.9509999999999996</v>
      </c>
      <c r="X28" s="594"/>
      <c r="Y28" s="439">
        <f>((W28/19.32)*10)</f>
        <v>4.1154244306418217</v>
      </c>
      <c r="Z28" s="440"/>
      <c r="AA28" s="593">
        <f>AO27</f>
        <v>6.4642276422764224</v>
      </c>
      <c r="AB28" s="594"/>
      <c r="AC28" s="439">
        <f>((AA28/19.32)*10)</f>
        <v>3.3458735208470096</v>
      </c>
      <c r="AD28" s="440"/>
      <c r="AE28" s="593">
        <f>AS27</f>
        <v>5.2554696278670106</v>
      </c>
      <c r="AF28" s="594"/>
      <c r="AG28" s="443">
        <f>((AE28/19.32)*10)</f>
        <v>2.7202223746723657</v>
      </c>
      <c r="AH28" s="104"/>
      <c r="AK28" s="42">
        <v>11.929</v>
      </c>
      <c r="AO28" s="42">
        <f t="shared" si="2"/>
        <v>9.6983739837398382</v>
      </c>
      <c r="AS28" s="42">
        <f t="shared" si="3"/>
        <v>7.8848568973494624</v>
      </c>
    </row>
    <row r="29" spans="1:45" ht="5.0999999999999996" customHeight="1" thickBot="1" x14ac:dyDescent="0.3">
      <c r="A29" s="103"/>
      <c r="B29" s="612" t="s">
        <v>73</v>
      </c>
      <c r="C29" s="613"/>
      <c r="D29" s="614"/>
      <c r="E29" s="618">
        <v>960.4</v>
      </c>
      <c r="F29" s="618">
        <v>902.8</v>
      </c>
      <c r="G29" s="618">
        <v>999.8</v>
      </c>
      <c r="H29" s="620">
        <v>968.4</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K29" s="42">
        <v>16.960999999999999</v>
      </c>
      <c r="AO29" s="42">
        <f t="shared" si="2"/>
        <v>13.789430894308943</v>
      </c>
      <c r="AS29" s="42">
        <f t="shared" si="3"/>
        <v>11.210919426267433</v>
      </c>
    </row>
    <row r="30" spans="1:45" ht="24.95" customHeight="1" thickBot="1" x14ac:dyDescent="0.3">
      <c r="A30" s="103"/>
      <c r="B30" s="615"/>
      <c r="C30" s="616"/>
      <c r="D30" s="617"/>
      <c r="E30" s="619"/>
      <c r="F30" s="619"/>
      <c r="G30" s="619"/>
      <c r="H30" s="621"/>
      <c r="I30" s="174"/>
      <c r="J30" s="174" t="s">
        <v>108</v>
      </c>
      <c r="K30" s="174"/>
      <c r="L30" s="180" t="s">
        <v>137</v>
      </c>
      <c r="M30" s="119">
        <f>IF(M25="","",(M37*1000*9.81/1000))</f>
        <v>20.359708488281253</v>
      </c>
      <c r="N30" s="103"/>
      <c r="O30" s="622" t="s">
        <v>134</v>
      </c>
      <c r="P30" s="623"/>
      <c r="Q30" s="130">
        <f>Q28/Q27</f>
        <v>2.2614067794872508</v>
      </c>
      <c r="R30" s="130">
        <f>R28/R27</f>
        <v>2.1687289563827221</v>
      </c>
      <c r="S30" s="131">
        <f>S28/S27</f>
        <v>1.9575610531460885</v>
      </c>
      <c r="T30" s="174"/>
      <c r="U30" s="120">
        <v>0.15</v>
      </c>
      <c r="V30" s="113">
        <f>U30*25.4</f>
        <v>3.8099999999999996</v>
      </c>
      <c r="W30" s="581">
        <f>AK28</f>
        <v>11.929</v>
      </c>
      <c r="X30" s="582"/>
      <c r="Y30" s="449">
        <f>((W30/19.32)*10)</f>
        <v>6.1744306418219459</v>
      </c>
      <c r="Z30" s="450"/>
      <c r="AA30" s="581">
        <f>AO28</f>
        <v>9.6983739837398382</v>
      </c>
      <c r="AB30" s="582"/>
      <c r="AC30" s="449">
        <f>((AA30/19.32)*10)</f>
        <v>5.0198623104243465</v>
      </c>
      <c r="AD30" s="450"/>
      <c r="AE30" s="581">
        <f>AS28</f>
        <v>7.8848568973494624</v>
      </c>
      <c r="AF30" s="582"/>
      <c r="AG30" s="114">
        <f>((AE30/19.32)*10)</f>
        <v>4.0811888702636967</v>
      </c>
      <c r="AH30" s="104"/>
      <c r="AK30" s="42">
        <v>21.489000000000001</v>
      </c>
      <c r="AO30" s="42">
        <f t="shared" si="2"/>
        <v>17.470731707317075</v>
      </c>
      <c r="AS30" s="42">
        <f t="shared" si="3"/>
        <v>14.203846916517948</v>
      </c>
    </row>
    <row r="31" spans="1:45" ht="24.95" customHeight="1" thickBot="1" x14ac:dyDescent="0.3">
      <c r="A31" s="103"/>
      <c r="B31" s="576" t="s">
        <v>74</v>
      </c>
      <c r="C31" s="577"/>
      <c r="D31" s="577"/>
      <c r="E31" s="152">
        <v>925.6</v>
      </c>
      <c r="F31" s="152">
        <v>854.5</v>
      </c>
      <c r="G31" s="152">
        <v>931</v>
      </c>
      <c r="H31" s="153">
        <v>886</v>
      </c>
      <c r="I31" s="174"/>
      <c r="J31" s="597" t="s">
        <v>138</v>
      </c>
      <c r="K31" s="597"/>
      <c r="L31" s="562" t="s">
        <v>116</v>
      </c>
      <c r="M31" s="457">
        <f>IF(M25="","",S82)</f>
        <v>2.7120000000000002</v>
      </c>
      <c r="N31" s="121"/>
      <c r="O31" s="628" t="s">
        <v>135</v>
      </c>
      <c r="P31" s="629"/>
      <c r="Q31" s="122">
        <f>Q30/(1+Q40/100)</f>
        <v>2.0904349399801889</v>
      </c>
      <c r="R31" s="122">
        <f>R30/(1+R40/100)</f>
        <v>2.0024228394735029</v>
      </c>
      <c r="S31" s="123">
        <f>S30/(1+S40/100)</f>
        <v>1.8092196065339023</v>
      </c>
      <c r="T31" s="174"/>
      <c r="U31" s="627">
        <v>0.17499999999999999</v>
      </c>
      <c r="V31" s="624">
        <f>U31*25.4</f>
        <v>4.4449999999999994</v>
      </c>
      <c r="W31" s="593">
        <f>AK29</f>
        <v>16.960999999999999</v>
      </c>
      <c r="X31" s="594"/>
      <c r="Y31" s="439">
        <f>((W31/19.32)*10)</f>
        <v>8.7789855072463769</v>
      </c>
      <c r="Z31" s="440"/>
      <c r="AA31" s="593">
        <f>AO29</f>
        <v>13.789430894308943</v>
      </c>
      <c r="AB31" s="594"/>
      <c r="AC31" s="439">
        <f>((AA31/19.32)*10)</f>
        <v>7.1373865912572168</v>
      </c>
      <c r="AD31" s="440"/>
      <c r="AE31" s="593">
        <f>AS29</f>
        <v>11.210919426267433</v>
      </c>
      <c r="AF31" s="594"/>
      <c r="AG31" s="443">
        <f>((AE31/19.32)*10)</f>
        <v>5.8027533262253792</v>
      </c>
      <c r="AH31" s="104"/>
      <c r="AK31" s="42">
        <v>37.832000000000001</v>
      </c>
      <c r="AO31" s="42">
        <f t="shared" si="2"/>
        <v>30.757723577235772</v>
      </c>
      <c r="AS31" s="42">
        <f t="shared" si="3"/>
        <v>25.006279331085995</v>
      </c>
    </row>
    <row r="32" spans="1:45" ht="5.0999999999999996" customHeight="1" thickBot="1" x14ac:dyDescent="0.3">
      <c r="A32" s="103"/>
      <c r="B32" s="612" t="s">
        <v>75</v>
      </c>
      <c r="C32" s="613"/>
      <c r="D32" s="614"/>
      <c r="E32" s="618">
        <v>96.8</v>
      </c>
      <c r="F32" s="618">
        <v>100.1</v>
      </c>
      <c r="G32" s="618">
        <v>102.4</v>
      </c>
      <c r="H32" s="620">
        <v>101.7</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K32" s="42">
        <v>50.110999999999997</v>
      </c>
      <c r="AO32" s="42">
        <f t="shared" si="2"/>
        <v>40.740650406504066</v>
      </c>
      <c r="AS32" s="42">
        <f t="shared" si="3"/>
        <v>33.122480005287862</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AK30</f>
        <v>21.489000000000001</v>
      </c>
      <c r="X33" s="582"/>
      <c r="Y33" s="449">
        <f>((W33/19.32)*10)</f>
        <v>11.122670807453417</v>
      </c>
      <c r="Z33" s="450"/>
      <c r="AA33" s="581">
        <f>AO30</f>
        <v>17.470731707317075</v>
      </c>
      <c r="AB33" s="582"/>
      <c r="AC33" s="449">
        <f>((AA33/19.32)*10)</f>
        <v>9.0428217946775753</v>
      </c>
      <c r="AD33" s="450"/>
      <c r="AE33" s="581">
        <f>AS30</f>
        <v>14.203846916517948</v>
      </c>
      <c r="AF33" s="582"/>
      <c r="AG33" s="144">
        <f>((AE33/19.32)*10)</f>
        <v>7.3518876379492486</v>
      </c>
      <c r="AH33" s="104"/>
      <c r="AK33" s="42">
        <v>50.110999999999997</v>
      </c>
      <c r="AO33" s="42">
        <f t="shared" si="2"/>
        <v>40.740650406504066</v>
      </c>
      <c r="AS33" s="42">
        <f t="shared" si="3"/>
        <v>33.122480005287862</v>
      </c>
    </row>
    <row r="34" spans="1:45" ht="24.95" customHeight="1" thickBot="1" x14ac:dyDescent="0.3">
      <c r="A34" s="103"/>
      <c r="B34" s="602" t="s">
        <v>10</v>
      </c>
      <c r="C34" s="603"/>
      <c r="D34" s="603"/>
      <c r="E34" s="125">
        <f>((E29-E31)/(E31-E32))*100</f>
        <v>4.1988416988416937</v>
      </c>
      <c r="F34" s="125">
        <f>((F29-F31)/(F31-F32))*100</f>
        <v>6.4024390243902385</v>
      </c>
      <c r="G34" s="125">
        <f>((G29-G31)/(G31-G32))*100</f>
        <v>8.3031619599324102</v>
      </c>
      <c r="H34" s="126">
        <f>((H29-H31)/(H31-H32))*100</f>
        <v>10.506183858217517</v>
      </c>
      <c r="I34" s="174"/>
      <c r="J34" s="630" t="s">
        <v>125</v>
      </c>
      <c r="K34" s="630"/>
      <c r="L34" s="184" t="s">
        <v>126</v>
      </c>
      <c r="M34" s="127">
        <v>2.7</v>
      </c>
      <c r="N34" s="128"/>
      <c r="O34" s="631" t="s">
        <v>9</v>
      </c>
      <c r="P34" s="632"/>
      <c r="Q34" s="156">
        <v>347</v>
      </c>
      <c r="R34" s="156">
        <v>445</v>
      </c>
      <c r="S34" s="157">
        <v>406</v>
      </c>
      <c r="T34" s="174"/>
      <c r="U34" s="120">
        <v>0.3</v>
      </c>
      <c r="V34" s="113">
        <f>U34*25.4</f>
        <v>7.6199999999999992</v>
      </c>
      <c r="W34" s="581">
        <f>AK31</f>
        <v>37.832000000000001</v>
      </c>
      <c r="X34" s="582"/>
      <c r="Y34" s="449">
        <f>((W34/19.32)*10)</f>
        <v>19.581780538302279</v>
      </c>
      <c r="Z34" s="450"/>
      <c r="AA34" s="581">
        <f>AO31</f>
        <v>30.757723577235772</v>
      </c>
      <c r="AB34" s="582"/>
      <c r="AC34" s="449">
        <f>((AA34/19.32)*10)</f>
        <v>15.920146779107542</v>
      </c>
      <c r="AD34" s="450"/>
      <c r="AE34" s="581">
        <f>AS31</f>
        <v>25.006279331085995</v>
      </c>
      <c r="AF34" s="582"/>
      <c r="AG34" s="114">
        <f>((AE34/19.32)*10)</f>
        <v>12.943208763502067</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978.4</v>
      </c>
      <c r="R35" s="608">
        <v>903.4</v>
      </c>
      <c r="S35" s="610">
        <v>960.2</v>
      </c>
      <c r="T35" s="174"/>
      <c r="U35" s="627">
        <v>0.4</v>
      </c>
      <c r="V35" s="624">
        <f>U35*25.4</f>
        <v>10.16</v>
      </c>
      <c r="W35" s="593">
        <v>50</v>
      </c>
      <c r="X35" s="594"/>
      <c r="Y35" s="439">
        <f>((W35/19.32)*10)</f>
        <v>25.879917184265011</v>
      </c>
      <c r="Z35" s="440"/>
      <c r="AA35" s="593">
        <v>37.789000000000001</v>
      </c>
      <c r="AB35" s="594"/>
      <c r="AC35" s="439">
        <f>(AA35/19.32)*10</f>
        <v>19.55952380952381</v>
      </c>
      <c r="AD35" s="440"/>
      <c r="AE35" s="593">
        <v>32.697000000000003</v>
      </c>
      <c r="AF35" s="594"/>
      <c r="AG35" s="443">
        <f>((AE35/19.32)*10)</f>
        <v>16.923913043478262</v>
      </c>
      <c r="AH35" s="104"/>
      <c r="AS35" s="42">
        <f t="shared" si="3"/>
        <v>0</v>
      </c>
    </row>
    <row r="36" spans="1:45" ht="20.100000000000001" customHeight="1" thickBot="1" x14ac:dyDescent="0.3">
      <c r="A36" s="103"/>
      <c r="B36" s="639" t="s">
        <v>71</v>
      </c>
      <c r="C36" s="640"/>
      <c r="D36" s="640"/>
      <c r="E36" s="130">
        <f>E25/E24</f>
        <v>2.0707635009310987</v>
      </c>
      <c r="F36" s="130">
        <f>F25/F24</f>
        <v>2.1745810055865924</v>
      </c>
      <c r="G36" s="130">
        <f>G25/G24</f>
        <v>2.2676908752327747</v>
      </c>
      <c r="H36" s="131">
        <f>H25/H24</f>
        <v>2.2490689013035383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1.9873191171511053</v>
      </c>
      <c r="F37" s="122">
        <f>F36/(1+F34/100)</f>
        <v>2.043732291783388</v>
      </c>
      <c r="G37" s="122">
        <f>G36/(1+G34/100)</f>
        <v>2.0938362594360118</v>
      </c>
      <c r="H37" s="123">
        <f>H36/(1+H34/100)</f>
        <v>2.0352425744690956</v>
      </c>
      <c r="I37" s="174"/>
      <c r="J37" s="641" t="s">
        <v>139</v>
      </c>
      <c r="K37" s="641"/>
      <c r="L37" s="643" t="s">
        <v>121</v>
      </c>
      <c r="M37" s="433">
        <f>IF(F74="","",(M42^2*F74+M42*F75+F76))</f>
        <v>2.0754035156250001</v>
      </c>
      <c r="N37" s="101"/>
      <c r="O37" s="576" t="s">
        <v>28</v>
      </c>
      <c r="P37" s="577"/>
      <c r="Q37" s="150">
        <v>912.08</v>
      </c>
      <c r="R37" s="150">
        <v>841.8</v>
      </c>
      <c r="S37" s="151">
        <v>895</v>
      </c>
      <c r="T37" s="174"/>
      <c r="U37" s="132">
        <v>0.5</v>
      </c>
      <c r="V37" s="133">
        <f>U37*25.4</f>
        <v>12.7</v>
      </c>
      <c r="W37" s="637">
        <v>50</v>
      </c>
      <c r="X37" s="638"/>
      <c r="Y37" s="431">
        <f>((W37/19.32)*10)</f>
        <v>25.879917184265011</v>
      </c>
      <c r="Z37" s="432"/>
      <c r="AA37" s="637">
        <v>41.677999999999997</v>
      </c>
      <c r="AB37" s="638"/>
      <c r="AC37" s="431">
        <f>((AA37/19.32)*10)</f>
        <v>21.572463768115941</v>
      </c>
      <c r="AD37" s="432"/>
      <c r="AE37" s="637">
        <v>34.567</v>
      </c>
      <c r="AF37" s="638"/>
      <c r="AG37" s="134">
        <f>((AE37/19.32)*10)</f>
        <v>17.891821946169774</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101.2</v>
      </c>
      <c r="R38" s="647">
        <v>100.1</v>
      </c>
      <c r="S38" s="648">
        <v>99.8</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20.359708488281253</v>
      </c>
      <c r="N40" s="103"/>
      <c r="O40" s="628" t="s">
        <v>10</v>
      </c>
      <c r="P40" s="629"/>
      <c r="Q40" s="125">
        <f>((Q35-Q37)/(Q37-Q38))*100</f>
        <v>8.1787687450670798</v>
      </c>
      <c r="R40" s="125">
        <f>((R35-R37)/(R37-R38))*100</f>
        <v>8.305244708103011</v>
      </c>
      <c r="S40" s="126">
        <f>((S35-S37)/(S37-S38))*100</f>
        <v>8.1991951710261617</v>
      </c>
      <c r="T40" s="174"/>
      <c r="U40" s="645" t="s">
        <v>151</v>
      </c>
      <c r="V40" s="646"/>
      <c r="W40" s="423">
        <f>(AM79/6.9)*100</f>
        <v>39.34497554535362</v>
      </c>
      <c r="X40" s="423"/>
      <c r="Y40" s="423"/>
      <c r="Z40" s="424"/>
      <c r="AA40" s="425">
        <f>(AO79/6.9)*100</f>
        <v>31.987784996222459</v>
      </c>
      <c r="AB40" s="426"/>
      <c r="AC40" s="427"/>
      <c r="AD40" s="425">
        <f>(AQ79/6.9)*100</f>
        <v>26.006329265221506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107.98709521799435</v>
      </c>
      <c r="X41" s="418"/>
      <c r="Y41" s="418"/>
      <c r="Z41" s="419"/>
      <c r="AA41" s="420">
        <f>(AO83/10.3)*100</f>
        <v>87.794386356092957</v>
      </c>
      <c r="AB41" s="421"/>
      <c r="AC41" s="418"/>
      <c r="AD41" s="420">
        <f>(AQ83/10.3)*100</f>
        <v>71.377549883002416</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8.0234375</v>
      </c>
      <c r="N42" s="103"/>
      <c r="O42" s="639" t="s">
        <v>9</v>
      </c>
      <c r="P42" s="640"/>
      <c r="Q42" s="148">
        <v>726</v>
      </c>
      <c r="R42" s="148">
        <v>780</v>
      </c>
      <c r="S42" s="149">
        <v>762</v>
      </c>
      <c r="T42" s="174"/>
      <c r="U42" s="651" t="s">
        <v>42</v>
      </c>
      <c r="V42" s="652"/>
      <c r="W42" s="413">
        <f>IF(W40&lt;W41,W40,W41)</f>
        <v>39.34497554535362</v>
      </c>
      <c r="X42" s="414"/>
      <c r="Y42" s="414"/>
      <c r="Z42" s="415"/>
      <c r="AA42" s="416">
        <f>IF(AA40&lt;AA41,AA40,AA41)</f>
        <v>31.987784996222459</v>
      </c>
      <c r="AB42" s="414"/>
      <c r="AC42" s="415"/>
      <c r="AD42" s="416">
        <f>IF(AD40&lt;AD41,AD40,AD41)</f>
        <v>26.006329265221506</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685.1</v>
      </c>
      <c r="R43" s="608">
        <v>660.2</v>
      </c>
      <c r="S43" s="610">
        <v>670.6</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x14ac:dyDescent="0.25">
      <c r="A45" s="103"/>
      <c r="B45" s="174"/>
      <c r="C45" s="174"/>
      <c r="D45" s="174"/>
      <c r="E45" s="174"/>
      <c r="F45" s="174"/>
      <c r="G45" s="174"/>
      <c r="H45" s="174"/>
      <c r="I45" s="174"/>
      <c r="J45" s="174"/>
      <c r="K45" s="174"/>
      <c r="L45" s="174"/>
      <c r="M45" s="104"/>
      <c r="N45" s="103"/>
      <c r="O45" s="576" t="s">
        <v>28</v>
      </c>
      <c r="P45" s="577"/>
      <c r="Q45" s="150">
        <v>632.20000000000005</v>
      </c>
      <c r="R45" s="150">
        <v>602.4</v>
      </c>
      <c r="S45" s="151">
        <v>604.79999999999995</v>
      </c>
      <c r="T45" s="174"/>
      <c r="U45" s="656" t="s">
        <v>139</v>
      </c>
      <c r="V45" s="656"/>
      <c r="W45" s="179" t="s">
        <v>121</v>
      </c>
      <c r="X45" s="753">
        <f>MAX(M37:M39)</f>
        <v>2.0754035156250001</v>
      </c>
      <c r="Y45" s="753"/>
      <c r="Z45" s="753"/>
      <c r="AA45" s="174"/>
      <c r="AB45" s="657" t="s">
        <v>31</v>
      </c>
      <c r="AC45" s="658"/>
      <c r="AD45" s="658"/>
      <c r="AE45" s="658"/>
      <c r="AF45" s="148">
        <v>0.10100000000000001</v>
      </c>
      <c r="AG45" s="148">
        <v>0.1009</v>
      </c>
      <c r="AH45" s="149">
        <v>0.1028</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46.21</v>
      </c>
      <c r="R46" s="150">
        <v>47.1</v>
      </c>
      <c r="S46" s="151">
        <v>46.8</v>
      </c>
      <c r="T46" s="174"/>
      <c r="U46" s="555" t="s">
        <v>123</v>
      </c>
      <c r="V46" s="555"/>
      <c r="W46" s="179" t="s">
        <v>41</v>
      </c>
      <c r="X46" s="754">
        <f>MIN(M42:M44)</f>
        <v>8.0234375</v>
      </c>
      <c r="Y46" s="754"/>
      <c r="Z46" s="754"/>
      <c r="AA46" s="174"/>
      <c r="AB46" s="660" t="s">
        <v>32</v>
      </c>
      <c r="AC46" s="661"/>
      <c r="AD46" s="661"/>
      <c r="AE46" s="661"/>
      <c r="AF46" s="150">
        <v>9.8000000000000004E-2</v>
      </c>
      <c r="AG46" s="150">
        <v>0.10290000000000001</v>
      </c>
      <c r="AH46" s="151">
        <v>0.1053</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9.0274578064472042</v>
      </c>
      <c r="R47" s="125">
        <f>((R43-R45)/(R45-R46))*100</f>
        <v>10.408788042499562</v>
      </c>
      <c r="S47" s="126">
        <f>((S43-S45)/(S45-S46))*100</f>
        <v>11.792114695340514</v>
      </c>
      <c r="T47" s="174"/>
      <c r="U47" s="555" t="s">
        <v>162</v>
      </c>
      <c r="V47" s="555"/>
      <c r="W47" s="179" t="s">
        <v>41</v>
      </c>
      <c r="X47" s="402">
        <f>IF(L25=D103,"-",IF(L25=D102,"-",IF(L25=D101,M25)))</f>
        <v>0</v>
      </c>
      <c r="Y47" s="402"/>
      <c r="Z47" s="402"/>
      <c r="AA47" s="174"/>
      <c r="AB47" s="662" t="s">
        <v>33</v>
      </c>
      <c r="AC47" s="663"/>
      <c r="AD47" s="663"/>
      <c r="AE47" s="663"/>
      <c r="AF47" s="140">
        <f>(AF46-AF45)*2.54</f>
        <v>-7.620000000000007E-3</v>
      </c>
      <c r="AG47" s="140">
        <f>(AG46-AG45)*2.54</f>
        <v>5.0800000000000047E-3</v>
      </c>
      <c r="AH47" s="141">
        <f>(AH46-AH45)*2.54</f>
        <v>6.3500000000000058E-3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-6.5576592082616236E-2</v>
      </c>
      <c r="AG48" s="142">
        <f>IF(AG47&lt;&gt;"",IF(R24&lt;&gt;"",AG47/R24*100,""),"")</f>
        <v>4.3717728055077495E-2</v>
      </c>
      <c r="AH48" s="173">
        <f>IF(AH47&lt;&gt;"",IF(S24&lt;&gt;"",AH47/S24*100,""),"")</f>
        <v>5.4506437768240393E-2</v>
      </c>
    </row>
    <row r="49" spans="1:34"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4"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634" t="s">
        <v>161</v>
      </c>
      <c r="AC50" s="635"/>
      <c r="AD50" s="635"/>
      <c r="AE50" s="635"/>
      <c r="AF50" s="636"/>
      <c r="AG50" s="678" t="s">
        <v>168</v>
      </c>
      <c r="AH50" s="679"/>
    </row>
    <row r="51" spans="1:34"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606" t="str">
        <f>W19</f>
        <v xml:space="preserve">56  GOLPES </v>
      </c>
      <c r="AC51" s="681"/>
      <c r="AD51" s="681"/>
      <c r="AE51" s="607"/>
      <c r="AF51" s="150">
        <v>4556</v>
      </c>
      <c r="AG51" s="682">
        <v>4</v>
      </c>
      <c r="AH51" s="683"/>
    </row>
    <row r="52" spans="1:34"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5" t="str">
        <f>AA19</f>
        <v xml:space="preserve">25  GOLPES </v>
      </c>
      <c r="AC52" s="665"/>
      <c r="AD52" s="665"/>
      <c r="AE52" s="586"/>
      <c r="AF52" s="150">
        <v>4556</v>
      </c>
      <c r="AG52" s="755">
        <v>4</v>
      </c>
      <c r="AH52" s="756"/>
    </row>
    <row r="53" spans="1:34"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625" t="str">
        <f>AE19</f>
        <v xml:space="preserve">10  GOLPES </v>
      </c>
      <c r="AC53" s="668"/>
      <c r="AD53" s="668"/>
      <c r="AE53" s="626"/>
      <c r="AF53" s="150">
        <v>4556</v>
      </c>
      <c r="AG53" s="669">
        <v>4</v>
      </c>
      <c r="AH53" s="670"/>
    </row>
    <row r="54" spans="1:34"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2" t="s">
        <v>177</v>
      </c>
      <c r="AG54" s="672"/>
      <c r="AH54" s="673"/>
    </row>
    <row r="55" spans="1:34"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row>
    <row r="56" spans="1:34"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row>
    <row r="57" spans="1:34"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row>
    <row r="58" spans="1:34"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row>
    <row r="59" spans="1:34"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row>
    <row r="60" spans="1:34"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row>
    <row r="61" spans="1:34"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row>
    <row r="62" spans="1:34"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4"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4"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-6.4000000000000003E-3</v>
      </c>
      <c r="G74" s="75">
        <v>-0.12509999999999999</v>
      </c>
      <c r="J74" s="701"/>
      <c r="K74" s="702"/>
      <c r="L74" s="44"/>
      <c r="M74" s="44"/>
      <c r="N74" s="44"/>
    </row>
    <row r="75" spans="1:94" ht="26.25" customHeight="1" thickBot="1" x14ac:dyDescent="0.3">
      <c r="A75" s="11"/>
      <c r="B75" s="377" t="s">
        <v>113</v>
      </c>
      <c r="C75" s="377"/>
      <c r="D75" s="19"/>
      <c r="E75" s="54" t="s">
        <v>12</v>
      </c>
      <c r="F75" s="55">
        <v>0.1027</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0.214</v>
      </c>
      <c r="AM75" s="3">
        <f t="shared" ref="AM75:AM86" si="4">((AL75/19.32)*10)</f>
        <v>0.11076604554865424</v>
      </c>
      <c r="AN75" s="5">
        <f>AA22</f>
        <v>0.17398373983739837</v>
      </c>
      <c r="AO75" s="3">
        <f>((AN75/19.32)*10)</f>
        <v>9.0053695568011585E-2</v>
      </c>
      <c r="AP75" s="5">
        <f>AE22</f>
        <v>0.14145019498975478</v>
      </c>
      <c r="AQ75" s="161">
        <f t="shared" ref="AQ75:AQ84" si="5">((AP75/19.32)*10)</f>
        <v>7.3214386640659823E-2</v>
      </c>
    </row>
    <row r="76" spans="1:94" ht="26.25" customHeight="1" thickBot="1" x14ac:dyDescent="0.3">
      <c r="A76" s="11"/>
      <c r="B76" s="377" t="s">
        <v>114</v>
      </c>
      <c r="C76" s="377"/>
      <c r="D76" s="20"/>
      <c r="E76" s="56" t="s">
        <v>13</v>
      </c>
      <c r="F76" s="57">
        <v>1.6634</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0.49299999999999999</v>
      </c>
      <c r="AM76" s="3">
        <f t="shared" si="4"/>
        <v>0.25517598343685299</v>
      </c>
      <c r="AN76" s="5">
        <f>AA23</f>
        <v>0.40081300813008131</v>
      </c>
      <c r="AO76" s="3">
        <f t="shared" ref="AO76:AO86" si="7">((AN76/19.32)*10)</f>
        <v>0.20746014913565286</v>
      </c>
      <c r="AP76" s="5">
        <f>AE23</f>
        <v>0.32586423425209865</v>
      </c>
      <c r="AQ76" s="161">
        <f t="shared" si="5"/>
        <v>0.16866678791516493</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1.319</v>
      </c>
      <c r="AM77" s="3">
        <f t="shared" si="4"/>
        <v>0.68271221532091098</v>
      </c>
      <c r="AN77" s="5">
        <f>AA24</f>
        <v>1.0723577235772357</v>
      </c>
      <c r="AO77" s="3">
        <f t="shared" si="7"/>
        <v>0.55505058156171616</v>
      </c>
      <c r="AP77" s="5">
        <f>AE24</f>
        <v>0.87183554762376891</v>
      </c>
      <c r="AQ77" s="161">
        <f t="shared" si="5"/>
        <v>0.45126063541602945</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2.9769999999999999</v>
      </c>
      <c r="AM78" s="3">
        <f t="shared" si="4"/>
        <v>1.5408902691511386</v>
      </c>
      <c r="AN78" s="5">
        <f>AA25</f>
        <v>2.4203252032520326</v>
      </c>
      <c r="AO78" s="3">
        <f t="shared" si="7"/>
        <v>1.2527563163830395</v>
      </c>
      <c r="AP78" s="5">
        <f>AE25</f>
        <v>1.9677440676845794</v>
      </c>
      <c r="AQ78" s="161">
        <f t="shared" si="5"/>
        <v>1.0185010702301136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5.2450000000000001</v>
      </c>
      <c r="AM79" s="4">
        <f t="shared" si="4"/>
        <v>2.7148033126293996</v>
      </c>
      <c r="AN79" s="5">
        <f>AA26</f>
        <v>4.2642276422764231</v>
      </c>
      <c r="AO79" s="4">
        <f t="shared" si="7"/>
        <v>2.2071571647393498</v>
      </c>
      <c r="AP79" s="5">
        <f>AE26</f>
        <v>3.4668517416881488</v>
      </c>
      <c r="AQ79" s="162">
        <f t="shared" si="5"/>
        <v>1.7944367193002841</v>
      </c>
      <c r="BB79" s="12">
        <v>17</v>
      </c>
      <c r="BC79" s="12">
        <v>18</v>
      </c>
    </row>
    <row r="80" spans="1:94" ht="42" customHeight="1" thickTop="1" thickBot="1" x14ac:dyDescent="0.3">
      <c r="D80" s="49"/>
      <c r="H80" s="711" t="s">
        <v>105</v>
      </c>
      <c r="I80" s="712"/>
      <c r="J80" s="58"/>
      <c r="AJ80" s="160">
        <f>U28</f>
        <v>0.125</v>
      </c>
      <c r="AK80" s="3">
        <f t="shared" si="6"/>
        <v>3.1749999999999998</v>
      </c>
      <c r="AL80" s="5">
        <f>W28</f>
        <v>7.9509999999999996</v>
      </c>
      <c r="AM80" s="3">
        <f t="shared" si="4"/>
        <v>4.1154244306418217</v>
      </c>
      <c r="AN80" s="5">
        <f>AA28</f>
        <v>6.4642276422764224</v>
      </c>
      <c r="AO80" s="3">
        <f t="shared" si="7"/>
        <v>3.3458735208470096</v>
      </c>
      <c r="AP80" s="5">
        <f>AE28</f>
        <v>5.2554696278670106</v>
      </c>
      <c r="AQ80" s="161">
        <f t="shared" si="5"/>
        <v>2.7202223746723657</v>
      </c>
      <c r="BC80" s="45">
        <v>0.99880400000000003</v>
      </c>
      <c r="BD80" s="45">
        <v>0.99862499999999998</v>
      </c>
    </row>
    <row r="81" spans="2:43" ht="15.75" customHeight="1" x14ac:dyDescent="0.25">
      <c r="AJ81" s="160">
        <f>U30</f>
        <v>0.15</v>
      </c>
      <c r="AK81" s="3">
        <f t="shared" si="6"/>
        <v>3.8099999999999996</v>
      </c>
      <c r="AL81" s="5">
        <f>W30</f>
        <v>11.929</v>
      </c>
      <c r="AM81" s="3">
        <f t="shared" si="4"/>
        <v>6.1744306418219459</v>
      </c>
      <c r="AN81" s="5">
        <f>AA30</f>
        <v>9.6983739837398382</v>
      </c>
      <c r="AO81" s="3">
        <f t="shared" si="7"/>
        <v>5.0198623104243465</v>
      </c>
      <c r="AP81" s="5">
        <f>AE30</f>
        <v>7.8848568973494624</v>
      </c>
      <c r="AQ81" s="161">
        <f t="shared" si="5"/>
        <v>4.0811888702636967</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16.960999999999999</v>
      </c>
      <c r="AM82" s="3">
        <f t="shared" si="4"/>
        <v>8.7789855072463769</v>
      </c>
      <c r="AN82" s="5">
        <f>AA31</f>
        <v>13.789430894308943</v>
      </c>
      <c r="AO82" s="3">
        <f t="shared" si="7"/>
        <v>7.1373865912572168</v>
      </c>
      <c r="AP82" s="5">
        <f>AE31</f>
        <v>11.210919426267433</v>
      </c>
      <c r="AQ82" s="161">
        <f t="shared" si="5"/>
        <v>5.8027533262253792</v>
      </c>
    </row>
    <row r="83" spans="2:43" ht="15" customHeight="1" x14ac:dyDescent="0.25">
      <c r="B83" s="49"/>
      <c r="C83" s="49"/>
      <c r="D83" s="49">
        <v>0</v>
      </c>
      <c r="E83" s="50">
        <f>M42</f>
        <v>8.0234375</v>
      </c>
      <c r="F83" s="49"/>
      <c r="G83" s="43">
        <f>G84/10</f>
        <v>2.3789962287051893</v>
      </c>
      <c r="H83" s="43">
        <f>H84/10</f>
        <v>2.2583145308032235</v>
      </c>
      <c r="I83" s="43">
        <f>I84/10</f>
        <v>2.1636429078433697</v>
      </c>
      <c r="J83" s="43">
        <f>J84/10</f>
        <v>2.0633856552573553</v>
      </c>
      <c r="K83" s="43"/>
      <c r="L83" s="42">
        <v>0</v>
      </c>
      <c r="O83" s="706"/>
      <c r="P83" s="706"/>
      <c r="Q83" s="706"/>
      <c r="R83" s="706"/>
      <c r="S83" s="707"/>
      <c r="W83" s="112"/>
      <c r="AJ83" s="160">
        <f>U33</f>
        <v>0.2</v>
      </c>
      <c r="AK83" s="4">
        <f t="shared" si="6"/>
        <v>5.08</v>
      </c>
      <c r="AL83" s="5">
        <f>W33</f>
        <v>21.489000000000001</v>
      </c>
      <c r="AM83" s="4">
        <f t="shared" si="4"/>
        <v>11.122670807453417</v>
      </c>
      <c r="AN83" s="5">
        <f>AA33</f>
        <v>17.470731707317075</v>
      </c>
      <c r="AO83" s="4">
        <f t="shared" si="7"/>
        <v>9.0428217946775753</v>
      </c>
      <c r="AP83" s="5">
        <f>AE33</f>
        <v>14.203846916517948</v>
      </c>
      <c r="AQ83" s="162">
        <f t="shared" si="5"/>
        <v>7.3518876379492486</v>
      </c>
    </row>
    <row r="84" spans="2:43" ht="15" customHeight="1" x14ac:dyDescent="0.25">
      <c r="C84" s="94"/>
      <c r="D84" s="94"/>
      <c r="E84" s="94"/>
      <c r="F84" s="49"/>
      <c r="G84" s="43">
        <f>($M$34/(1+(E34*$M$34/100)))*($O$73)</f>
        <v>23.789962287051893</v>
      </c>
      <c r="H84" s="43">
        <f>($M$34/(1+(F34*$M$34/100)))*($O$73)</f>
        <v>22.583145308032236</v>
      </c>
      <c r="I84" s="43">
        <f>($M$34/(1+(G34*$M$34/100)))*($O$73)</f>
        <v>21.636429078433697</v>
      </c>
      <c r="J84" s="43">
        <f>($M$34/(1+(H34*$M$34/100)))*($O$73)</f>
        <v>20.633856552573551</v>
      </c>
      <c r="K84" s="43"/>
      <c r="O84" s="706" t="s">
        <v>146</v>
      </c>
      <c r="P84" s="706"/>
      <c r="Q84" s="706"/>
      <c r="R84" s="706"/>
      <c r="S84" s="707">
        <v>2240</v>
      </c>
      <c r="W84" s="112"/>
      <c r="AJ84" s="160">
        <f>U34</f>
        <v>0.3</v>
      </c>
      <c r="AK84" s="3">
        <f t="shared" si="6"/>
        <v>7.6199999999999992</v>
      </c>
      <c r="AL84" s="5">
        <f>W34</f>
        <v>37.832000000000001</v>
      </c>
      <c r="AM84" s="3">
        <f t="shared" si="4"/>
        <v>19.581780538302279</v>
      </c>
      <c r="AN84" s="5">
        <f>AA34</f>
        <v>30.757723577235772</v>
      </c>
      <c r="AO84" s="3">
        <f t="shared" si="7"/>
        <v>15.920146779107542</v>
      </c>
      <c r="AP84" s="5">
        <f>AE34</f>
        <v>25.006279331085995</v>
      </c>
      <c r="AQ84" s="161">
        <f t="shared" si="5"/>
        <v>12.943208763502067</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50</v>
      </c>
      <c r="AM85" s="3">
        <f t="shared" si="4"/>
        <v>25.879917184265011</v>
      </c>
      <c r="AN85" s="5">
        <f>AA35</f>
        <v>37.789000000000001</v>
      </c>
      <c r="AO85" s="3">
        <f t="shared" si="7"/>
        <v>19.55952380952381</v>
      </c>
      <c r="AP85" s="5">
        <f>AE35</f>
        <v>32.697000000000003</v>
      </c>
      <c r="AQ85" s="161">
        <f>((AP85/19.32)*10)</f>
        <v>16.923913043478262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50</v>
      </c>
      <c r="AM86" s="164">
        <f t="shared" si="4"/>
        <v>25.879917184265011</v>
      </c>
      <c r="AN86" s="165">
        <f>AA37</f>
        <v>41.677999999999997</v>
      </c>
      <c r="AO86" s="164">
        <f t="shared" si="7"/>
        <v>21.572463768115941</v>
      </c>
      <c r="AP86" s="165">
        <f>AE37</f>
        <v>34.567</v>
      </c>
      <c r="AQ86" s="166">
        <f>((AP86/19.32)*10)</f>
        <v>17.891821946169774</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2.0904349399801889</v>
      </c>
      <c r="AK91" s="9">
        <f>R31</f>
        <v>2.0024228394735029</v>
      </c>
      <c r="AL91" s="10">
        <f>S31</f>
        <v>1.8092196065339023</v>
      </c>
    </row>
    <row r="92" spans="2:43" ht="21" customHeight="1" thickBot="1" x14ac:dyDescent="0.3">
      <c r="B92" s="92"/>
      <c r="C92" s="93"/>
      <c r="D92" s="93"/>
      <c r="E92" s="93"/>
      <c r="F92" s="62"/>
      <c r="G92" s="63"/>
      <c r="H92" s="49"/>
      <c r="I92" s="49"/>
      <c r="O92" s="725" t="s">
        <v>147</v>
      </c>
      <c r="P92" s="726"/>
      <c r="Q92" s="726"/>
      <c r="R92" s="726"/>
      <c r="S92" s="61">
        <f>M42</f>
        <v>8.0234375</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39.34497554535362</v>
      </c>
      <c r="AK94" s="158">
        <f>AA42</f>
        <v>31.987784996222459</v>
      </c>
      <c r="AL94" s="158">
        <f>AD42</f>
        <v>26.006329265221506</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5">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Q12:S12"/>
    <mergeCell ref="T12:U12"/>
    <mergeCell ref="W12:AB12"/>
    <mergeCell ref="AD12:AE12"/>
    <mergeCell ref="AB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B6:B10 B12:B13 D6:D10 D12 F12:M12 L9:M9 D13:M13 I6:K6 I7:J10 K7:K8">
    <cfRule type="containsBlanks" dxfId="2492" priority="52">
      <formula>LEN(TRIM(B6))=0</formula>
    </cfRule>
  </conditionalFormatting>
  <conditionalFormatting sqref="D6:H10">
    <cfRule type="containsBlanks" dxfId="2491" priority="51">
      <formula>LEN(TRIM(D6))=0</formula>
    </cfRule>
  </conditionalFormatting>
  <conditionalFormatting sqref="M19">
    <cfRule type="containsBlanks" dxfId="2490" priority="50">
      <formula>LEN(TRIM(M19))=0</formula>
    </cfRule>
  </conditionalFormatting>
  <conditionalFormatting sqref="CP70">
    <cfRule type="containsBlanks" dxfId="2489" priority="49">
      <formula>LEN(TRIM(CP70))=0</formula>
    </cfRule>
  </conditionalFormatting>
  <conditionalFormatting sqref="M21">
    <cfRule type="containsBlanks" dxfId="2488" priority="48">
      <formula>LEN(TRIM(M21))=0</formula>
    </cfRule>
  </conditionalFormatting>
  <conditionalFormatting sqref="K6:M6">
    <cfRule type="containsBlanks" dxfId="2487" priority="47">
      <formula>LEN(TRIM(K6))=0</formula>
    </cfRule>
  </conditionalFormatting>
  <conditionalFormatting sqref="K7:M8">
    <cfRule type="containsBlanks" dxfId="2486" priority="46">
      <formula>LEN(TRIM(K7))=0</formula>
    </cfRule>
  </conditionalFormatting>
  <conditionalFormatting sqref="D12:M13">
    <cfRule type="containsBlanks" dxfId="2485" priority="45">
      <formula>LEN(TRIM(D12))=0</formula>
    </cfRule>
  </conditionalFormatting>
  <conditionalFormatting sqref="L9:M9">
    <cfRule type="containsBlanks" dxfId="2484" priority="44">
      <formula>LEN(TRIM(L9))=0</formula>
    </cfRule>
  </conditionalFormatting>
  <conditionalFormatting sqref="L25">
    <cfRule type="containsBlanks" dxfId="2483" priority="43">
      <formula>LEN(TRIM(L25))=0</formula>
    </cfRule>
  </conditionalFormatting>
  <conditionalFormatting sqref="Q20:S26">
    <cfRule type="containsBlanks" dxfId="2482" priority="31">
      <formula>LEN(TRIM(Q20))=0</formula>
    </cfRule>
    <cfRule type="containsBlanks" dxfId="2481" priority="42">
      <formula>LEN(TRIM(Q20))=0</formula>
    </cfRule>
  </conditionalFormatting>
  <conditionalFormatting sqref="U26:V27 AC33 AC26">
    <cfRule type="cellIs" dxfId="2480" priority="41" operator="between">
      <formula>0</formula>
      <formula>500</formula>
    </cfRule>
  </conditionalFormatting>
  <conditionalFormatting sqref="U33:V33">
    <cfRule type="cellIs" dxfId="2479" priority="40" operator="between">
      <formula>0</formula>
      <formula>500</formula>
    </cfRule>
  </conditionalFormatting>
  <conditionalFormatting sqref="AF45:AH46">
    <cfRule type="containsBlanks" dxfId="2478" priority="37">
      <formula>LEN(TRIM(AF45))=0</formula>
    </cfRule>
  </conditionalFormatting>
  <conditionalFormatting sqref="AF51:AG53">
    <cfRule type="containsBlanks" dxfId="2477" priority="36">
      <formula>LEN(TRIM(AF51))=0</formula>
    </cfRule>
  </conditionalFormatting>
  <conditionalFormatting sqref="E20:H24">
    <cfRule type="containsBlanks" dxfId="2476" priority="35">
      <formula>LEN(TRIM(E20))=0</formula>
    </cfRule>
  </conditionalFormatting>
  <conditionalFormatting sqref="E28:H33">
    <cfRule type="containsBlanks" dxfId="2475" priority="34">
      <formula>LEN(TRIM(E28))=0</formula>
    </cfRule>
  </conditionalFormatting>
  <conditionalFormatting sqref="Q42:S46">
    <cfRule type="containsBlanks" dxfId="2474" priority="33">
      <formula>LEN(TRIM(Q42))=0</formula>
    </cfRule>
  </conditionalFormatting>
  <conditionalFormatting sqref="Q34:S39">
    <cfRule type="containsBlanks" dxfId="2473" priority="32">
      <formula>LEN(TRIM(Q34))=0</formula>
    </cfRule>
  </conditionalFormatting>
  <conditionalFormatting sqref="M25">
    <cfRule type="containsBlanks" dxfId="2472" priority="29">
      <formula>LEN(TRIM(M25))=0</formula>
    </cfRule>
  </conditionalFormatting>
  <conditionalFormatting sqref="U26:V27 Y26:Z27 AC26:AD27 AG26:AG27">
    <cfRule type="containsBlanks" dxfId="2471" priority="27">
      <formula>LEN(TRIM(U26))=0</formula>
    </cfRule>
    <cfRule type="cellIs" dxfId="2470" priority="28" operator="between">
      <formula>0</formula>
      <formula>1000</formula>
    </cfRule>
  </conditionalFormatting>
  <conditionalFormatting sqref="W87:W88">
    <cfRule type="cellIs" dxfId="2469" priority="26" operator="between">
      <formula>0</formula>
      <formula>500</formula>
    </cfRule>
  </conditionalFormatting>
  <conditionalFormatting sqref="W94">
    <cfRule type="cellIs" dxfId="2468" priority="25" operator="between">
      <formula>0</formula>
      <formula>500</formula>
    </cfRule>
  </conditionalFormatting>
  <conditionalFormatting sqref="W87:W88">
    <cfRule type="containsBlanks" dxfId="2467" priority="23">
      <formula>LEN(TRIM(W87))=0</formula>
    </cfRule>
    <cfRule type="cellIs" dxfId="2466" priority="24" operator="between">
      <formula>0</formula>
      <formula>1000</formula>
    </cfRule>
  </conditionalFormatting>
  <conditionalFormatting sqref="U33:V33 Y33:Z33 AC33:AD33 AG33">
    <cfRule type="cellIs" dxfId="2465" priority="22" operator="between">
      <formula>0</formula>
      <formula>1000</formula>
    </cfRule>
  </conditionalFormatting>
  <conditionalFormatting sqref="Q27:S27">
    <cfRule type="containsBlanks" dxfId="2464" priority="19">
      <formula>LEN(TRIM(Q27))=0</formula>
    </cfRule>
    <cfRule type="containsBlanks" dxfId="2463" priority="20">
      <formula>LEN(TRIM(Q27))=0</formula>
    </cfRule>
  </conditionalFormatting>
  <conditionalFormatting sqref="W22:W26 W28 W30:W31 W33:W35 W37">
    <cfRule type="containsBlanks" dxfId="2462" priority="18">
      <formula>LEN(TRIM(W22))=0</formula>
    </cfRule>
  </conditionalFormatting>
  <conditionalFormatting sqref="W37 W22:W26 W28 W30:W31 W33:W35">
    <cfRule type="containsBlanks" dxfId="2461" priority="17">
      <formula>LEN(TRIM(W22))=0</formula>
    </cfRule>
  </conditionalFormatting>
  <conditionalFormatting sqref="W26:X27">
    <cfRule type="containsBlanks" dxfId="2460" priority="15">
      <formula>LEN(TRIM(W26))=0</formula>
    </cfRule>
    <cfRule type="cellIs" dxfId="2459" priority="16" operator="between">
      <formula>0</formula>
      <formula>1000</formula>
    </cfRule>
  </conditionalFormatting>
  <conditionalFormatting sqref="W33:X33">
    <cfRule type="cellIs" dxfId="2458" priority="14" operator="between">
      <formula>0</formula>
      <formula>1000</formula>
    </cfRule>
  </conditionalFormatting>
  <conditionalFormatting sqref="W22:X37">
    <cfRule type="containsBlanks" dxfId="2457" priority="13">
      <formula>LEN(TRIM(W22))=0</formula>
    </cfRule>
  </conditionalFormatting>
  <conditionalFormatting sqref="AA22:AA26 AA28 AA30:AA31 AA33:AA35 AA37">
    <cfRule type="containsBlanks" dxfId="2456" priority="12">
      <formula>LEN(TRIM(AA22))=0</formula>
    </cfRule>
  </conditionalFormatting>
  <conditionalFormatting sqref="AA37 AA22:AA26 AA28 AA30:AA31 AA33:AA35">
    <cfRule type="containsBlanks" dxfId="2455" priority="11">
      <formula>LEN(TRIM(AA22))=0</formula>
    </cfRule>
  </conditionalFormatting>
  <conditionalFormatting sqref="AA26:AB27">
    <cfRule type="containsBlanks" dxfId="2454" priority="9">
      <formula>LEN(TRIM(AA26))=0</formula>
    </cfRule>
    <cfRule type="cellIs" dxfId="2453" priority="10" operator="between">
      <formula>0</formula>
      <formula>1000</formula>
    </cfRule>
  </conditionalFormatting>
  <conditionalFormatting sqref="AA33:AB33">
    <cfRule type="cellIs" dxfId="2452" priority="8" operator="between">
      <formula>0</formula>
      <formula>1000</formula>
    </cfRule>
  </conditionalFormatting>
  <conditionalFormatting sqref="AA22:AB37">
    <cfRule type="containsBlanks" dxfId="2451" priority="7">
      <formula>LEN(TRIM(AA22))=0</formula>
    </cfRule>
  </conditionalFormatting>
  <conditionalFormatting sqref="AE22:AE26 AE28 AE30:AE31 AE33:AE35 AE37">
    <cfRule type="containsBlanks" dxfId="2450" priority="6">
      <formula>LEN(TRIM(AE22))=0</formula>
    </cfRule>
  </conditionalFormatting>
  <conditionalFormatting sqref="AE37 AE22:AE26 AE28 AE30:AE31 AE33:AE35">
    <cfRule type="containsBlanks" dxfId="2449" priority="5">
      <formula>LEN(TRIM(AE22))=0</formula>
    </cfRule>
  </conditionalFormatting>
  <conditionalFormatting sqref="AE26:AF27">
    <cfRule type="containsBlanks" dxfId="2448" priority="3">
      <formula>LEN(TRIM(AE26))=0</formula>
    </cfRule>
    <cfRule type="cellIs" dxfId="2447" priority="4" operator="between">
      <formula>0</formula>
      <formula>1000</formula>
    </cfRule>
  </conditionalFormatting>
  <conditionalFormatting sqref="AE33:AF33">
    <cfRule type="cellIs" dxfId="2446" priority="2" operator="between">
      <formula>0</formula>
      <formula>1000</formula>
    </cfRule>
  </conditionalFormatting>
  <conditionalFormatting sqref="AE22:AF37">
    <cfRule type="containsBlanks" dxfId="2445" priority="1">
      <formula>LEN(TRIM(AE22))=0</formula>
    </cfRule>
  </conditionalFormatting>
  <dataValidations count="5">
    <dataValidation type="list" allowBlank="1" showInputMessage="1" showErrorMessage="1" sqref="D12:E12" xr:uid="{00000000-0002-0000-0200-000000000000}">
      <formula1>$B$87:$B$94</formula1>
    </dataValidation>
    <dataValidation type="list" allowBlank="1" showInputMessage="1" showErrorMessage="1" sqref="CP70" xr:uid="{00000000-0002-0000-0200-000001000000}">
      <formula1>$BA$3:$BA$5</formula1>
    </dataValidation>
    <dataValidation type="list" allowBlank="1" showInputMessage="1" showErrorMessage="1" sqref="M19" xr:uid="{00000000-0002-0000-0200-000002000000}">
      <formula1>$AX$3:$AX$5</formula1>
    </dataValidation>
    <dataValidation type="list" allowBlank="1" showInputMessage="1" showErrorMessage="1" sqref="M21" xr:uid="{00000000-0002-0000-0200-000003000000}">
      <formula1>$AX$3:$AX$4</formula1>
    </dataValidation>
    <dataValidation type="list" allowBlank="1" showInputMessage="1" showErrorMessage="1" sqref="L25" xr:uid="{00000000-0002-0000-0200-000004000000}">
      <formula1>$D$101:$D$104</formula1>
    </dataValidation>
  </dataValidations>
  <hyperlinks>
    <hyperlink ref="D8" r:id="rId1" xr:uid="{00000000-0004-0000-02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33793" r:id="rId5" name="Check Box 1">
              <controlPr defaultSize="0" autoFill="0" autoLine="0" autoPict="0">
                <anchor moveWithCells="1">
                  <from>
                    <xdr:col>1</xdr:col>
                    <xdr:colOff>1962150</xdr:colOff>
                    <xdr:row>16</xdr:row>
                    <xdr:rowOff>0</xdr:rowOff>
                  </from>
                  <to>
                    <xdr:col>2</xdr:col>
                    <xdr:colOff>161925</xdr:colOff>
                    <xdr:row>16</xdr:row>
                    <xdr:rowOff>285750</xdr:rowOff>
                  </to>
                </anchor>
              </controlPr>
            </control>
          </mc:Choice>
        </mc:AlternateContent>
        <mc:AlternateContent xmlns:mc="http://schemas.openxmlformats.org/markup-compatibility/2006">
          <mc:Choice Requires="x14">
            <control shapeId="33794" r:id="rId6" name="Check Box 2">
              <controlPr defaultSize="0" autoFill="0" autoLine="0" autoPict="0">
                <anchor moveWithCells="1">
                  <from>
                    <xdr:col>2</xdr:col>
                    <xdr:colOff>609600</xdr:colOff>
                    <xdr:row>16</xdr:row>
                    <xdr:rowOff>9525</xdr:rowOff>
                  </from>
                  <to>
                    <xdr:col>2</xdr:col>
                    <xdr:colOff>1104900</xdr:colOff>
                    <xdr:row>16</xdr:row>
                    <xdr:rowOff>285750</xdr:rowOff>
                  </to>
                </anchor>
              </controlPr>
            </control>
          </mc:Choice>
        </mc:AlternateContent>
        <mc:AlternateContent xmlns:mc="http://schemas.openxmlformats.org/markup-compatibility/2006">
          <mc:Choice Requires="x14">
            <control shapeId="33795" r:id="rId7" name="Check Box 3">
              <controlPr defaultSize="0" autoFill="0" autoLine="0" autoPict="0">
                <anchor moveWithCells="1">
                  <from>
                    <xdr:col>1</xdr:col>
                    <xdr:colOff>1038225</xdr:colOff>
                    <xdr:row>16</xdr:row>
                    <xdr:rowOff>9525</xdr:rowOff>
                  </from>
                  <to>
                    <xdr:col>1</xdr:col>
                    <xdr:colOff>1533525</xdr:colOff>
                    <xdr:row>16</xdr:row>
                    <xdr:rowOff>285750</xdr:rowOff>
                  </to>
                </anchor>
              </controlPr>
            </control>
          </mc:Choice>
        </mc:AlternateContent>
        <mc:AlternateContent xmlns:mc="http://schemas.openxmlformats.org/markup-compatibility/2006">
          <mc:Choice Requires="x14">
            <control shapeId="33796" r:id="rId8" name="Check Box 4">
              <controlPr defaultSize="0" autoFill="0" autoLine="0" autoPict="0">
                <anchor moveWithCells="1">
                  <from>
                    <xdr:col>4</xdr:col>
                    <xdr:colOff>923925</xdr:colOff>
                    <xdr:row>15</xdr:row>
                    <xdr:rowOff>238125</xdr:rowOff>
                  </from>
                  <to>
                    <xdr:col>4</xdr:col>
                    <xdr:colOff>1400175</xdr:colOff>
                    <xdr:row>16</xdr:row>
                    <xdr:rowOff>314325</xdr:rowOff>
                  </to>
                </anchor>
              </controlPr>
            </control>
          </mc:Choice>
        </mc:AlternateContent>
        <mc:AlternateContent xmlns:mc="http://schemas.openxmlformats.org/markup-compatibility/2006">
          <mc:Choice Requires="x14">
            <control shapeId="33797" r:id="rId9" name="Check Box 5">
              <controlPr defaultSize="0" autoFill="0" autoLine="0" autoPict="0">
                <anchor moveWithCells="1">
                  <from>
                    <xdr:col>5</xdr:col>
                    <xdr:colOff>1123950</xdr:colOff>
                    <xdr:row>15</xdr:row>
                    <xdr:rowOff>238125</xdr:rowOff>
                  </from>
                  <to>
                    <xdr:col>6</xdr:col>
                    <xdr:colOff>28575</xdr:colOff>
                    <xdr:row>16</xdr:row>
                    <xdr:rowOff>314325</xdr:rowOff>
                  </to>
                </anchor>
              </controlPr>
            </control>
          </mc:Choice>
        </mc:AlternateContent>
        <mc:AlternateContent xmlns:mc="http://schemas.openxmlformats.org/markup-compatibility/2006">
          <mc:Choice Requires="x14">
            <control shapeId="33798" r:id="rId10" name="Check Box 6">
              <controlPr defaultSize="0" autoFill="0" autoLine="0" autoPict="0">
                <anchor moveWithCells="1">
                  <from>
                    <xdr:col>15</xdr:col>
                    <xdr:colOff>466725</xdr:colOff>
                    <xdr:row>15</xdr:row>
                    <xdr:rowOff>228600</xdr:rowOff>
                  </from>
                  <to>
                    <xdr:col>15</xdr:col>
                    <xdr:colOff>962025</xdr:colOff>
                    <xdr:row>16</xdr:row>
                    <xdr:rowOff>304800</xdr:rowOff>
                  </to>
                </anchor>
              </controlPr>
            </control>
          </mc:Choice>
        </mc:AlternateContent>
        <mc:AlternateContent xmlns:mc="http://schemas.openxmlformats.org/markup-compatibility/2006">
          <mc:Choice Requires="x14">
            <control shapeId="33799"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33800" r:id="rId12" name="Check Box 8">
              <controlPr defaultSize="0" autoFill="0" autoLine="0" autoPict="0">
                <anchor moveWithCells="1">
                  <from>
                    <xdr:col>14</xdr:col>
                    <xdr:colOff>657225</xdr:colOff>
                    <xdr:row>15</xdr:row>
                    <xdr:rowOff>238125</xdr:rowOff>
                  </from>
                  <to>
                    <xdr:col>14</xdr:col>
                    <xdr:colOff>1152525</xdr:colOff>
                    <xdr:row>16</xdr:row>
                    <xdr:rowOff>314325</xdr:rowOff>
                  </to>
                </anchor>
              </controlPr>
            </control>
          </mc:Choice>
        </mc:AlternateContent>
        <mc:AlternateContent xmlns:mc="http://schemas.openxmlformats.org/markup-compatibility/2006">
          <mc:Choice Requires="x14">
            <control shapeId="33801" r:id="rId13" name="Check Box 9">
              <controlPr defaultSize="0" autoFill="0" autoLine="0" autoPict="0">
                <anchor moveWithCells="1">
                  <from>
                    <xdr:col>18</xdr:col>
                    <xdr:colOff>495300</xdr:colOff>
                    <xdr:row>15</xdr:row>
                    <xdr:rowOff>238125</xdr:rowOff>
                  </from>
                  <to>
                    <xdr:col>18</xdr:col>
                    <xdr:colOff>962025</xdr:colOff>
                    <xdr:row>16</xdr:row>
                    <xdr:rowOff>285750</xdr:rowOff>
                  </to>
                </anchor>
              </controlPr>
            </control>
          </mc:Choice>
        </mc:AlternateContent>
        <mc:AlternateContent xmlns:mc="http://schemas.openxmlformats.org/markup-compatibility/2006">
          <mc:Choice Requires="x14">
            <control shapeId="33802" r:id="rId14" name="Check Box 10">
              <controlPr defaultSize="0" autoFill="0" autoLine="0" autoPict="0">
                <anchor moveWithCells="1">
                  <from>
                    <xdr:col>20</xdr:col>
                    <xdr:colOff>866775</xdr:colOff>
                    <xdr:row>15</xdr:row>
                    <xdr:rowOff>238125</xdr:rowOff>
                  </from>
                  <to>
                    <xdr:col>20</xdr:col>
                    <xdr:colOff>1343025</xdr:colOff>
                    <xdr:row>16</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1">
    <tabColor rgb="FF92D050"/>
  </sheetPr>
  <dimension ref="A1:CP153"/>
  <sheetViews>
    <sheetView view="pageBreakPreview" zoomScale="75" zoomScaleNormal="100" zoomScaleSheetLayoutView="75"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496" t="s">
        <v>1</v>
      </c>
      <c r="C6" s="496"/>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522" t="s">
        <v>2</v>
      </c>
      <c r="C7" s="522"/>
      <c r="D7" s="479" t="s">
        <v>209</v>
      </c>
      <c r="E7" s="479"/>
      <c r="F7" s="479"/>
      <c r="G7" s="479"/>
      <c r="H7" s="479"/>
      <c r="I7" s="523" t="s">
        <v>55</v>
      </c>
      <c r="J7" s="523"/>
      <c r="K7" s="524">
        <v>45894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45894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522" t="s">
        <v>57</v>
      </c>
      <c r="C8" s="522"/>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522" t="s">
        <v>60</v>
      </c>
      <c r="C9" s="522"/>
      <c r="D9" s="482" t="s">
        <v>211</v>
      </c>
      <c r="E9" s="482"/>
      <c r="F9" s="482"/>
      <c r="G9" s="482"/>
      <c r="H9" s="482"/>
      <c r="I9" s="523" t="s">
        <v>61</v>
      </c>
      <c r="J9" s="523"/>
      <c r="K9" s="27" t="s">
        <v>62</v>
      </c>
      <c r="L9" s="28" t="s">
        <v>204</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3" t="s">
        <v>62</v>
      </c>
      <c r="AC9" s="222" t="s">
        <v>204</v>
      </c>
      <c r="AD9" s="222" t="s">
        <v>195</v>
      </c>
      <c r="AE9" s="532" t="s">
        <v>195</v>
      </c>
      <c r="AF9" s="533"/>
      <c r="AG9" s="212"/>
      <c r="AH9" s="26"/>
      <c r="AR9" s="24"/>
      <c r="AS9" s="24"/>
      <c r="AT9" s="24"/>
      <c r="AU9" s="24"/>
      <c r="AV9" s="24"/>
      <c r="AW9" s="24"/>
      <c r="AX9" s="24"/>
      <c r="AY9" s="24"/>
      <c r="AZ9" s="24"/>
      <c r="BA9" s="24"/>
      <c r="BB9" s="24"/>
      <c r="BE9" s="23" t="s">
        <v>63</v>
      </c>
    </row>
    <row r="10" spans="1:57" s="22" customFormat="1" ht="22.5" customHeight="1" thickBot="1" x14ac:dyDescent="0.3">
      <c r="A10" s="90"/>
      <c r="B10" s="534" t="s">
        <v>64</v>
      </c>
      <c r="C10" s="534"/>
      <c r="D10" s="482" t="s">
        <v>184</v>
      </c>
      <c r="E10" s="482"/>
      <c r="F10" s="482"/>
      <c r="G10" s="482"/>
      <c r="H10" s="482"/>
      <c r="I10" s="535" t="s">
        <v>65</v>
      </c>
      <c r="J10" s="535"/>
      <c r="K10" s="536" t="str">
        <f>CONCATENATE(L9,," ",M9,"-",F12,,"-",H12)</f>
        <v>054 25-CAV-S2-AP3-2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41" t="str">
        <f>K10</f>
        <v>054 25-CAV-S2-AP3-2</v>
      </c>
      <c r="AC10" s="541"/>
      <c r="AD10" s="541"/>
      <c r="AE10" s="541"/>
      <c r="AF10" s="541"/>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496" t="s">
        <v>3</v>
      </c>
      <c r="C12" s="496"/>
      <c r="D12" s="545" t="s">
        <v>56</v>
      </c>
      <c r="E12" s="545"/>
      <c r="F12" s="145" t="s">
        <v>207</v>
      </c>
      <c r="G12" s="31" t="s">
        <v>4</v>
      </c>
      <c r="H12" s="227">
        <v>2</v>
      </c>
      <c r="I12" s="546" t="s">
        <v>5</v>
      </c>
      <c r="J12" s="546"/>
      <c r="K12" s="209">
        <v>1</v>
      </c>
      <c r="L12" s="32" t="s">
        <v>6</v>
      </c>
      <c r="M12" s="147">
        <v>2</v>
      </c>
      <c r="N12" s="78"/>
      <c r="O12" s="501" t="s">
        <v>3</v>
      </c>
      <c r="P12" s="501"/>
      <c r="Q12" s="225" t="s">
        <v>56</v>
      </c>
      <c r="R12" s="224" t="str">
        <f>F12</f>
        <v>CAV-S2-AP3</v>
      </c>
      <c r="S12" s="224"/>
      <c r="T12" s="502" t="s">
        <v>4</v>
      </c>
      <c r="U12" s="502"/>
      <c r="V12" s="33">
        <f>+H12</f>
        <v>2</v>
      </c>
      <c r="W12" s="547" t="s">
        <v>5</v>
      </c>
      <c r="X12" s="547"/>
      <c r="Y12" s="547"/>
      <c r="Z12" s="547"/>
      <c r="AA12" s="547"/>
      <c r="AB12" s="547"/>
      <c r="AC12" s="34">
        <f>K12</f>
        <v>1</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522" t="s">
        <v>130</v>
      </c>
      <c r="C13" s="522"/>
      <c r="D13" s="757"/>
      <c r="E13" s="757"/>
      <c r="F13" s="757"/>
      <c r="G13" s="757"/>
      <c r="H13" s="757"/>
      <c r="I13" s="757"/>
      <c r="J13" s="757"/>
      <c r="K13" s="757"/>
      <c r="L13" s="757"/>
      <c r="M13" s="758"/>
      <c r="N13" s="188"/>
      <c r="O13" s="526" t="s">
        <v>130</v>
      </c>
      <c r="P13" s="526"/>
      <c r="Q13" s="527">
        <f>D13</f>
        <v>0</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569"/>
      <c r="Q19" s="105">
        <v>56</v>
      </c>
      <c r="R19" s="106">
        <v>25</v>
      </c>
      <c r="S19" s="107">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48">
        <v>601</v>
      </c>
      <c r="R20" s="148">
        <v>540</v>
      </c>
      <c r="S20" s="149">
        <v>602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11743-250</f>
        <v>11493</v>
      </c>
      <c r="F22" s="150">
        <f>12358-250</f>
        <v>12108</v>
      </c>
      <c r="G22" s="150">
        <f>12516-250</f>
        <v>12266</v>
      </c>
      <c r="H22" s="151">
        <f>12096-250</f>
        <v>11846</v>
      </c>
      <c r="I22" s="174"/>
      <c r="J22" s="578"/>
      <c r="K22" s="578"/>
      <c r="L22" s="578"/>
      <c r="M22" s="104"/>
      <c r="N22" s="103"/>
      <c r="O22" s="579" t="s">
        <v>132</v>
      </c>
      <c r="P22" s="580"/>
      <c r="Q22" s="219">
        <v>8646</v>
      </c>
      <c r="R22" s="219">
        <v>8518</v>
      </c>
      <c r="S22" s="208">
        <v>8274</v>
      </c>
      <c r="T22" s="174"/>
      <c r="U22" s="112">
        <v>5.0000000000000001E-3</v>
      </c>
      <c r="V22" s="113">
        <f>U22*25.4</f>
        <v>0.127</v>
      </c>
      <c r="W22" s="581">
        <f>AJ50*1.2</f>
        <v>0.24360000000000001</v>
      </c>
      <c r="X22" s="582"/>
      <c r="Y22" s="449">
        <f>((W22/19.32)*10)</f>
        <v>0.12608695652173912</v>
      </c>
      <c r="Z22" s="450"/>
      <c r="AA22" s="581">
        <v>0.20300000000000001</v>
      </c>
      <c r="AB22" s="582"/>
      <c r="AC22" s="449">
        <f>((AA22/19.32)*10)</f>
        <v>0.10507246376811595</v>
      </c>
      <c r="AD22" s="450"/>
      <c r="AE22" s="581">
        <f>AK22/1.09</f>
        <v>8.5793112618002931E-2</v>
      </c>
      <c r="AF22" s="582"/>
      <c r="AG22" s="114">
        <f>((AE22/19.32)*10)</f>
        <v>4.4406372990684749E-2</v>
      </c>
      <c r="AH22" s="104"/>
      <c r="AI22" s="42">
        <v>0.35639999999999999</v>
      </c>
      <c r="AJ22" s="42">
        <v>0.10507246376811595</v>
      </c>
      <c r="AK22" s="42">
        <f>AJ22*0.89</f>
        <v>9.3514492753623196E-2</v>
      </c>
      <c r="AO22" s="42">
        <f>AK22/1.19</f>
        <v>7.8583607355985879E-2</v>
      </c>
      <c r="AS22" s="42">
        <f>AO22/1.23</f>
        <v>6.388911167153323E-2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3884</v>
      </c>
      <c r="R23" s="150">
        <v>3994</v>
      </c>
      <c r="S23" s="151">
        <v>3844</v>
      </c>
      <c r="T23" s="174"/>
      <c r="U23" s="112">
        <v>2.5000000000000001E-2</v>
      </c>
      <c r="V23" s="113">
        <f>U23*25.4</f>
        <v>0.63500000000000001</v>
      </c>
      <c r="W23" s="581">
        <f>AJ51*1.2</f>
        <v>1.0427999999999999</v>
      </c>
      <c r="X23" s="582"/>
      <c r="Y23" s="449">
        <f>((W23/19.32)*10)</f>
        <v>0.53975155279503106</v>
      </c>
      <c r="Z23" s="450"/>
      <c r="AA23" s="581">
        <v>0.86899999999999999</v>
      </c>
      <c r="AB23" s="582"/>
      <c r="AC23" s="449">
        <f>((AA23/19.32)*10)</f>
        <v>0.44979296066252589</v>
      </c>
      <c r="AD23" s="450"/>
      <c r="AE23" s="581">
        <f>AK23/1.09</f>
        <v>0.36726214219233766</v>
      </c>
      <c r="AF23" s="582"/>
      <c r="AG23" s="114">
        <f>((AE23/19.32)*10)</f>
        <v>0.1900942764970692</v>
      </c>
      <c r="AH23" s="104"/>
      <c r="AI23" s="42">
        <v>4.5650000000000004</v>
      </c>
      <c r="AJ23" s="42">
        <v>0.44979296066252589</v>
      </c>
      <c r="AK23" s="42">
        <f t="shared" ref="AK23:AK37" si="0">AJ23*0.89</f>
        <v>0.40031573498964806</v>
      </c>
      <c r="AO23" s="42">
        <f t="shared" ref="AO23:AO33" si="1">AK23/1.19</f>
        <v>0.33639977730222526</v>
      </c>
      <c r="AS23" s="42">
        <f t="shared" ref="AS23:AS37" si="2">AO23/1.23</f>
        <v>0.27349575390424818</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11.25</v>
      </c>
      <c r="R24" s="152">
        <v>11.3</v>
      </c>
      <c r="S24" s="153">
        <v>11.28</v>
      </c>
      <c r="T24" s="174"/>
      <c r="U24" s="112">
        <v>0.05</v>
      </c>
      <c r="V24" s="113">
        <f>U24*25.4</f>
        <v>1.27</v>
      </c>
      <c r="W24" s="581">
        <f>AJ52*1.2</f>
        <v>2.8488000000000002</v>
      </c>
      <c r="X24" s="582"/>
      <c r="Y24" s="449">
        <f>((W24/19.32)*10)</f>
        <v>1.4745341614906835</v>
      </c>
      <c r="Z24" s="450"/>
      <c r="AA24" s="581">
        <v>2.3740000000000001</v>
      </c>
      <c r="AB24" s="582"/>
      <c r="AC24" s="449">
        <f>((AA24/19.32)*10)</f>
        <v>1.2287784679089027</v>
      </c>
      <c r="AD24" s="450"/>
      <c r="AE24" s="581">
        <f>AK24/1.09</f>
        <v>1.0033145288430489</v>
      </c>
      <c r="AF24" s="582"/>
      <c r="AG24" s="114">
        <f>((AE24/19.32)*10)</f>
        <v>0.51931393832455952</v>
      </c>
      <c r="AH24" s="104"/>
      <c r="AI24" s="42">
        <v>10.9133</v>
      </c>
      <c r="AJ24" s="42">
        <v>1.2287784679089027</v>
      </c>
      <c r="AK24" s="42">
        <f t="shared" si="0"/>
        <v>1.0936128364389235</v>
      </c>
      <c r="AO24" s="42">
        <f t="shared" si="1"/>
        <v>0.91900238356212061</v>
      </c>
      <c r="AS24" s="42">
        <f t="shared" si="2"/>
        <v>0.74715640940009809</v>
      </c>
    </row>
    <row r="25" spans="1:45" ht="24.95" customHeight="1" thickBot="1" x14ac:dyDescent="0.3">
      <c r="A25" s="103"/>
      <c r="B25" s="602" t="s">
        <v>69</v>
      </c>
      <c r="C25" s="603"/>
      <c r="D25" s="603"/>
      <c r="E25" s="115">
        <f>E22-E23</f>
        <v>4181</v>
      </c>
      <c r="F25" s="115">
        <f>F22-F23</f>
        <v>4796</v>
      </c>
      <c r="G25" s="115">
        <f>G22-G23</f>
        <v>4954</v>
      </c>
      <c r="H25" s="116">
        <f>H22-H23</f>
        <v>4534</v>
      </c>
      <c r="I25" s="174"/>
      <c r="J25" s="174" t="s">
        <v>127</v>
      </c>
      <c r="K25" s="174"/>
      <c r="L25" s="218" t="s">
        <v>128</v>
      </c>
      <c r="M25" s="226">
        <v>0</v>
      </c>
      <c r="N25" s="103"/>
      <c r="O25" s="604" t="s">
        <v>46</v>
      </c>
      <c r="P25" s="605"/>
      <c r="Q25" s="608">
        <v>15.2</v>
      </c>
      <c r="R25" s="608">
        <v>15.18</v>
      </c>
      <c r="S25" s="610">
        <v>15.22</v>
      </c>
      <c r="T25" s="174"/>
      <c r="U25" s="112">
        <v>7.4999999999999997E-2</v>
      </c>
      <c r="V25" s="113">
        <f>U25*25.4</f>
        <v>1.9049999999999998</v>
      </c>
      <c r="W25" s="581">
        <f>AJ53*1.2</f>
        <v>4.8635999999999999</v>
      </c>
      <c r="X25" s="582"/>
      <c r="Y25" s="449">
        <f>((W25/19.32)*10)</f>
        <v>2.517391304347826</v>
      </c>
      <c r="Z25" s="450"/>
      <c r="AA25" s="581">
        <v>4.0529999999999999</v>
      </c>
      <c r="AB25" s="582"/>
      <c r="AC25" s="449">
        <f>((AA25/19.32)*10)</f>
        <v>2.0978260869565215</v>
      </c>
      <c r="AD25" s="450"/>
      <c r="AE25" s="581">
        <f>AK25/1.09</f>
        <v>1.7129038691663341</v>
      </c>
      <c r="AF25" s="582"/>
      <c r="AG25" s="114">
        <f>((AE25/19.32)*10)</f>
        <v>0.88659620557263674</v>
      </c>
      <c r="AH25" s="104"/>
      <c r="AI25" s="42">
        <v>19.794</v>
      </c>
      <c r="AJ25" s="42">
        <v>2.0978260869565215</v>
      </c>
      <c r="AK25" s="42">
        <f t="shared" si="0"/>
        <v>1.8670652173913043</v>
      </c>
      <c r="AO25" s="42">
        <f t="shared" si="1"/>
        <v>1.5689623675557181</v>
      </c>
      <c r="AS25" s="42">
        <f t="shared" si="2"/>
        <v>1.2755791606144049</v>
      </c>
    </row>
    <row r="26" spans="1:45" ht="5.0999999999999996" customHeight="1" thickBot="1" x14ac:dyDescent="0.3">
      <c r="A26" s="103"/>
      <c r="B26" s="174"/>
      <c r="C26" s="174"/>
      <c r="D26" s="174"/>
      <c r="E26" s="174"/>
      <c r="F26" s="174"/>
      <c r="G26" s="174"/>
      <c r="H26" s="174"/>
      <c r="I26" s="174"/>
      <c r="J26" s="597" t="s">
        <v>106</v>
      </c>
      <c r="K26" s="597"/>
      <c r="L26" s="598" t="s">
        <v>120</v>
      </c>
      <c r="M26" s="759">
        <v>0</v>
      </c>
      <c r="N26" s="103"/>
      <c r="O26" s="606"/>
      <c r="P26" s="607"/>
      <c r="Q26" s="609"/>
      <c r="R26" s="609"/>
      <c r="S26" s="611"/>
      <c r="T26" s="174"/>
      <c r="U26" s="600">
        <v>0.1</v>
      </c>
      <c r="V26" s="601">
        <f>U26*25.4</f>
        <v>2.54</v>
      </c>
      <c r="W26" s="593">
        <f>5.929*1.2</f>
        <v>7.1147999999999998</v>
      </c>
      <c r="X26" s="594"/>
      <c r="Y26" s="439">
        <f>((W26/19.32)*10)</f>
        <v>3.6826086956521737</v>
      </c>
      <c r="Z26" s="440"/>
      <c r="AA26" s="593">
        <v>5.9290000000000003</v>
      </c>
      <c r="AB26" s="594"/>
      <c r="AC26" s="439">
        <f>((AA26/19.32)*10)</f>
        <v>3.0688405797101446</v>
      </c>
      <c r="AD26" s="440"/>
      <c r="AE26" s="593">
        <f>AK26/1.09</f>
        <v>2.5057505650844298</v>
      </c>
      <c r="AF26" s="594"/>
      <c r="AG26" s="469">
        <f>((AE26/19.32)*10)</f>
        <v>1.2969723421762058</v>
      </c>
      <c r="AH26" s="104"/>
      <c r="AI26" s="42">
        <v>29.794</v>
      </c>
      <c r="AJ26" s="42">
        <v>3.0688405797101446</v>
      </c>
      <c r="AK26" s="42">
        <f t="shared" si="0"/>
        <v>2.7312681159420289</v>
      </c>
      <c r="AO26" s="42">
        <f t="shared" si="1"/>
        <v>2.2951832907075875</v>
      </c>
      <c r="AS26" s="42">
        <f t="shared" si="2"/>
        <v>1.8660026753720225</v>
      </c>
    </row>
    <row r="27" spans="1:45" ht="20.100000000000001" customHeight="1" thickBot="1" x14ac:dyDescent="0.3">
      <c r="A27" s="103"/>
      <c r="B27" s="565" t="s">
        <v>25</v>
      </c>
      <c r="C27" s="566"/>
      <c r="D27" s="566"/>
      <c r="E27" s="566"/>
      <c r="F27" s="566"/>
      <c r="G27" s="566"/>
      <c r="H27" s="567"/>
      <c r="I27" s="174"/>
      <c r="J27" s="597"/>
      <c r="K27" s="597"/>
      <c r="L27" s="598"/>
      <c r="M27" s="760"/>
      <c r="N27" s="103"/>
      <c r="O27" s="585" t="s">
        <v>133</v>
      </c>
      <c r="P27" s="586"/>
      <c r="Q27" s="152">
        <f>(PI()*((Q25^2)/4)*Q24)</f>
        <v>2041.4069063026475</v>
      </c>
      <c r="R27" s="152">
        <f>(PI()*((R25^2)/4)*R24)</f>
        <v>2045.0873763441077</v>
      </c>
      <c r="S27" s="153">
        <f>(PI()*((S25^2)/4)*S24)</f>
        <v>2052.2406508694398</v>
      </c>
      <c r="T27" s="174"/>
      <c r="U27" s="600"/>
      <c r="V27" s="601"/>
      <c r="W27" s="595"/>
      <c r="X27" s="596"/>
      <c r="Y27" s="441"/>
      <c r="Z27" s="442"/>
      <c r="AA27" s="595"/>
      <c r="AB27" s="596"/>
      <c r="AC27" s="441"/>
      <c r="AD27" s="442"/>
      <c r="AE27" s="595"/>
      <c r="AF27" s="596"/>
      <c r="AG27" s="470"/>
      <c r="AH27" s="193"/>
      <c r="AK27" s="42">
        <f t="shared" si="0"/>
        <v>0</v>
      </c>
      <c r="AO27" s="42">
        <f t="shared" si="1"/>
        <v>0</v>
      </c>
      <c r="AS27" s="42">
        <f t="shared" si="2"/>
        <v>0</v>
      </c>
    </row>
    <row r="28" spans="1:45" ht="24.95" customHeight="1" thickBot="1" x14ac:dyDescent="0.3">
      <c r="A28" s="103"/>
      <c r="B28" s="560" t="s">
        <v>9</v>
      </c>
      <c r="C28" s="561"/>
      <c r="D28" s="561"/>
      <c r="E28" s="148">
        <v>367</v>
      </c>
      <c r="F28" s="148">
        <v>614</v>
      </c>
      <c r="G28" s="148">
        <v>355</v>
      </c>
      <c r="H28" s="149">
        <v>311</v>
      </c>
      <c r="I28" s="174"/>
      <c r="J28" s="597" t="s">
        <v>107</v>
      </c>
      <c r="K28" s="597"/>
      <c r="L28" s="562" t="s">
        <v>119</v>
      </c>
      <c r="M28" s="459">
        <f>IF(M26="","",(100-M26))</f>
        <v>100</v>
      </c>
      <c r="N28" s="103"/>
      <c r="O28" s="625" t="s">
        <v>136</v>
      </c>
      <c r="P28" s="626"/>
      <c r="Q28" s="115">
        <f>Q22-Q23</f>
        <v>4762</v>
      </c>
      <c r="R28" s="220">
        <f>R22-R23</f>
        <v>4524</v>
      </c>
      <c r="S28" s="221">
        <f>S22-S23</f>
        <v>4430</v>
      </c>
      <c r="T28" s="174"/>
      <c r="U28" s="627">
        <v>0.125</v>
      </c>
      <c r="V28" s="624">
        <f>U28*25.4</f>
        <v>3.1749999999999998</v>
      </c>
      <c r="W28" s="593">
        <f>AJ56*1.21</f>
        <v>8.1505599999999987</v>
      </c>
      <c r="X28" s="594"/>
      <c r="Y28" s="439">
        <f>((W28/19.32)*10)</f>
        <v>4.2187163561076595</v>
      </c>
      <c r="Z28" s="440"/>
      <c r="AA28" s="593">
        <v>6.7359999999999998</v>
      </c>
      <c r="AB28" s="594"/>
      <c r="AC28" s="439">
        <f>((AA28/19.32)*10)</f>
        <v>3.4865424430641823</v>
      </c>
      <c r="AD28" s="440"/>
      <c r="AE28" s="593">
        <f>AK28/1.09</f>
        <v>2.8468098847037817</v>
      </c>
      <c r="AF28" s="594"/>
      <c r="AG28" s="443">
        <f>((AE28/19.32)*10)</f>
        <v>1.4735040811096178</v>
      </c>
      <c r="AH28" s="104"/>
      <c r="AI28" s="42">
        <v>39.564</v>
      </c>
      <c r="AJ28" s="42">
        <v>3.4865424430641823</v>
      </c>
      <c r="AK28" s="42">
        <f t="shared" si="0"/>
        <v>3.1030227743271221</v>
      </c>
      <c r="AO28" s="42">
        <f t="shared" si="1"/>
        <v>2.6075821633001026</v>
      </c>
      <c r="AS28" s="42">
        <f t="shared" si="2"/>
        <v>2.1199854986179698</v>
      </c>
    </row>
    <row r="29" spans="1:45" ht="5.0999999999999996" customHeight="1" thickBot="1" x14ac:dyDescent="0.3">
      <c r="A29" s="103"/>
      <c r="B29" s="612" t="s">
        <v>73</v>
      </c>
      <c r="C29" s="613"/>
      <c r="D29" s="614"/>
      <c r="E29" s="618">
        <v>912.92</v>
      </c>
      <c r="F29" s="618">
        <v>866.41</v>
      </c>
      <c r="G29" s="618">
        <v>941.33</v>
      </c>
      <c r="H29" s="620">
        <v>979.12</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K29" s="42">
        <f t="shared" si="0"/>
        <v>0</v>
      </c>
      <c r="AO29" s="42">
        <f t="shared" si="1"/>
        <v>0</v>
      </c>
      <c r="AS29" s="42">
        <f t="shared" si="2"/>
        <v>0</v>
      </c>
    </row>
    <row r="30" spans="1:45" ht="24.95" customHeight="1" thickBot="1" x14ac:dyDescent="0.3">
      <c r="A30" s="103"/>
      <c r="B30" s="615"/>
      <c r="C30" s="616"/>
      <c r="D30" s="617"/>
      <c r="E30" s="619"/>
      <c r="F30" s="619"/>
      <c r="G30" s="619"/>
      <c r="H30" s="621"/>
      <c r="I30" s="174"/>
      <c r="J30" s="174" t="s">
        <v>108</v>
      </c>
      <c r="K30" s="174"/>
      <c r="L30" s="180" t="s">
        <v>137</v>
      </c>
      <c r="M30" s="119">
        <f>IF(M25="","",(M37*1000*9.81/1000))</f>
        <v>21.038659539267019</v>
      </c>
      <c r="N30" s="103"/>
      <c r="O30" s="622" t="s">
        <v>134</v>
      </c>
      <c r="P30" s="623"/>
      <c r="Q30" s="130">
        <f>Q28/Q27</f>
        <v>2.3327049523041108</v>
      </c>
      <c r="R30" s="130">
        <f>R28/R27</f>
        <v>2.2121304215799866</v>
      </c>
      <c r="S30" s="131">
        <f>S28/S27</f>
        <v>2.158616241288863</v>
      </c>
      <c r="T30" s="174"/>
      <c r="U30" s="120">
        <v>0.15</v>
      </c>
      <c r="V30" s="113">
        <f>U30*25.4</f>
        <v>3.8099999999999996</v>
      </c>
      <c r="W30" s="581">
        <f>6.736*1.3</f>
        <v>8.7568000000000001</v>
      </c>
      <c r="X30" s="582"/>
      <c r="Y30" s="449">
        <f>((W30/19.32)*10)</f>
        <v>4.5325051759834363</v>
      </c>
      <c r="Z30" s="450"/>
      <c r="AA30" s="581">
        <v>6.9960000000000004</v>
      </c>
      <c r="AB30" s="582"/>
      <c r="AC30" s="449">
        <f>((AA30/19.32)*10)</f>
        <v>3.6211180124223601</v>
      </c>
      <c r="AD30" s="450"/>
      <c r="AE30" s="581">
        <f>AK30/1.09</f>
        <v>2.8468098847037817</v>
      </c>
      <c r="AF30" s="582"/>
      <c r="AG30" s="114">
        <f>((AE30/19.32)*10)</f>
        <v>1.4735040811096178</v>
      </c>
      <c r="AH30" s="104"/>
      <c r="AI30" s="42">
        <v>45.564999999999998</v>
      </c>
      <c r="AJ30" s="42">
        <v>3.4865424430641823</v>
      </c>
      <c r="AK30" s="42">
        <f t="shared" si="0"/>
        <v>3.1030227743271221</v>
      </c>
      <c r="AO30" s="42">
        <f t="shared" si="1"/>
        <v>2.6075821633001026</v>
      </c>
      <c r="AS30" s="42">
        <f t="shared" si="2"/>
        <v>2.1199854986179698</v>
      </c>
    </row>
    <row r="31" spans="1:45" ht="24.95" customHeight="1" thickBot="1" x14ac:dyDescent="0.3">
      <c r="A31" s="103"/>
      <c r="B31" s="576" t="s">
        <v>74</v>
      </c>
      <c r="C31" s="577"/>
      <c r="D31" s="577"/>
      <c r="E31" s="152">
        <v>885.41</v>
      </c>
      <c r="F31" s="152">
        <v>819.68</v>
      </c>
      <c r="G31" s="152">
        <v>878.02</v>
      </c>
      <c r="H31" s="153">
        <v>894.24</v>
      </c>
      <c r="I31" s="174"/>
      <c r="J31" s="597" t="s">
        <v>138</v>
      </c>
      <c r="K31" s="597"/>
      <c r="L31" s="562" t="s">
        <v>116</v>
      </c>
      <c r="M31" s="457">
        <f>IF(M25="","",S82)</f>
        <v>2.7120000000000002</v>
      </c>
      <c r="N31" s="121"/>
      <c r="O31" s="628" t="s">
        <v>135</v>
      </c>
      <c r="P31" s="629"/>
      <c r="Q31" s="122">
        <f>Q30/(1+Q40/100)</f>
        <v>2.1824115440756784</v>
      </c>
      <c r="R31" s="122">
        <f>R30/(1+R40/100)</f>
        <v>2.0730724989949056</v>
      </c>
      <c r="S31" s="123">
        <f>S30/(1+S40/100)</f>
        <v>2.0269233661327792</v>
      </c>
      <c r="T31" s="174"/>
      <c r="U31" s="627">
        <v>0.17499999999999999</v>
      </c>
      <c r="V31" s="624">
        <f>U31*25.4</f>
        <v>4.4449999999999994</v>
      </c>
      <c r="W31" s="593">
        <f>7.483*1.25</f>
        <v>9.3537499999999998</v>
      </c>
      <c r="X31" s="594"/>
      <c r="Y31" s="439">
        <f>((W31/19.32)*10)</f>
        <v>4.8414855072463761</v>
      </c>
      <c r="Z31" s="440"/>
      <c r="AA31" s="593">
        <v>7.4829999999999997</v>
      </c>
      <c r="AB31" s="594"/>
      <c r="AC31" s="439">
        <f>((AA31/19.32)*10)</f>
        <v>3.8731884057971011</v>
      </c>
      <c r="AD31" s="440"/>
      <c r="AE31" s="593">
        <f>AK31/1.09</f>
        <v>3.1625116340912109</v>
      </c>
      <c r="AF31" s="594"/>
      <c r="AG31" s="443">
        <f>((AE31/19.32)*10)</f>
        <v>1.636910783691103</v>
      </c>
      <c r="AH31" s="104"/>
      <c r="AI31" s="42">
        <v>49.155999999999999</v>
      </c>
      <c r="AJ31" s="42">
        <v>3.8731884057971011</v>
      </c>
      <c r="AK31" s="42">
        <f t="shared" si="0"/>
        <v>3.4471376811594201</v>
      </c>
      <c r="AO31" s="42">
        <f t="shared" si="1"/>
        <v>2.8967543539154792</v>
      </c>
      <c r="AS31" s="42">
        <f t="shared" si="2"/>
        <v>2.3550848405816907</v>
      </c>
    </row>
    <row r="32" spans="1:45" ht="5.0999999999999996" customHeight="1" thickBot="1" x14ac:dyDescent="0.3">
      <c r="A32" s="103"/>
      <c r="B32" s="612" t="s">
        <v>75</v>
      </c>
      <c r="C32" s="613"/>
      <c r="D32" s="614"/>
      <c r="E32" s="618">
        <v>99.36</v>
      </c>
      <c r="F32" s="618">
        <v>41.46</v>
      </c>
      <c r="G32" s="618">
        <v>105.56</v>
      </c>
      <c r="H32" s="620">
        <v>101.04</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K32" s="42">
        <f t="shared" si="0"/>
        <v>0</v>
      </c>
      <c r="AO32" s="42">
        <f t="shared" si="1"/>
        <v>0</v>
      </c>
      <c r="AS32" s="42">
        <f t="shared" si="2"/>
        <v>0</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8.086*1.23</f>
        <v>9.945780000000001</v>
      </c>
      <c r="X33" s="582"/>
      <c r="Y33" s="449">
        <f>((W33/19.32)*10)</f>
        <v>5.147919254658385</v>
      </c>
      <c r="Z33" s="450"/>
      <c r="AA33" s="581">
        <v>8.0860000000000003</v>
      </c>
      <c r="AB33" s="582"/>
      <c r="AC33" s="449">
        <f>((AA33/19.32)*10)</f>
        <v>4.1853002070393375</v>
      </c>
      <c r="AD33" s="450"/>
      <c r="AE33" s="581">
        <f>AK33/1.09</f>
        <v>3.4173552149220274</v>
      </c>
      <c r="AF33" s="582"/>
      <c r="AG33" s="144">
        <f>((AE33/19.32)*10)</f>
        <v>1.7688173990279645</v>
      </c>
      <c r="AH33" s="104"/>
      <c r="AI33" s="42">
        <v>50</v>
      </c>
      <c r="AJ33" s="42">
        <v>4.1853002070393375</v>
      </c>
      <c r="AK33" s="42">
        <f t="shared" si="0"/>
        <v>3.7249171842650104</v>
      </c>
      <c r="AO33" s="42">
        <f t="shared" si="1"/>
        <v>3.1301825077857233</v>
      </c>
      <c r="AS33" s="42">
        <f t="shared" si="2"/>
        <v>2.5448638274680677</v>
      </c>
    </row>
    <row r="34" spans="1:45" ht="24.95" customHeight="1" thickBot="1" x14ac:dyDescent="0.3">
      <c r="A34" s="103"/>
      <c r="B34" s="602" t="s">
        <v>10</v>
      </c>
      <c r="C34" s="603"/>
      <c r="D34" s="603"/>
      <c r="E34" s="125">
        <f>((E29-E31)/(E31-E32))*100</f>
        <v>3.4997773678519168</v>
      </c>
      <c r="F34" s="125">
        <f>((F29-F31)/(F31-F32))*100</f>
        <v>6.0047287399450058</v>
      </c>
      <c r="G34" s="125">
        <f>((G29-G31)/(G31-G32))*100</f>
        <v>8.1958936385055612</v>
      </c>
      <c r="H34" s="126">
        <f>((H29-H31)/(H31-H32))*100</f>
        <v>10.70095814422592</v>
      </c>
      <c r="I34" s="174"/>
      <c r="J34" s="630" t="s">
        <v>125</v>
      </c>
      <c r="K34" s="630"/>
      <c r="L34" s="184" t="s">
        <v>126</v>
      </c>
      <c r="M34" s="127">
        <v>2.69</v>
      </c>
      <c r="N34" s="128"/>
      <c r="O34" s="631" t="s">
        <v>9</v>
      </c>
      <c r="P34" s="632"/>
      <c r="Q34" s="156">
        <v>342</v>
      </c>
      <c r="R34" s="156">
        <v>614</v>
      </c>
      <c r="S34" s="157">
        <v>704</v>
      </c>
      <c r="T34" s="174"/>
      <c r="U34" s="120">
        <v>0.3</v>
      </c>
      <c r="V34" s="113">
        <f>U34*25.4</f>
        <v>7.6199999999999992</v>
      </c>
      <c r="W34" s="581">
        <f>9.941*1.24122</f>
        <v>12.338968020000001</v>
      </c>
      <c r="X34" s="582"/>
      <c r="Y34" s="449">
        <f>((W34/19.32)*10)</f>
        <v>6.3866294099378882</v>
      </c>
      <c r="Z34" s="450"/>
      <c r="AA34" s="581">
        <v>9.9410000000000007</v>
      </c>
      <c r="AB34" s="582"/>
      <c r="AC34" s="449">
        <f>((AA34/19.32)*10)</f>
        <v>5.145445134575569</v>
      </c>
      <c r="AD34" s="450"/>
      <c r="AE34" s="581">
        <f>AK34/1.09</f>
        <v>4.2013267612589509</v>
      </c>
      <c r="AF34" s="582"/>
      <c r="AG34" s="114">
        <f>((AE34/19.32)*10)</f>
        <v>2.1745997729083597</v>
      </c>
      <c r="AH34" s="104"/>
      <c r="AI34" s="42">
        <v>50</v>
      </c>
      <c r="AJ34" s="42">
        <v>5.145445134575569</v>
      </c>
      <c r="AK34" s="42">
        <f t="shared" si="0"/>
        <v>4.5794461697722566</v>
      </c>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755.16</v>
      </c>
      <c r="R35" s="608">
        <v>717.39</v>
      </c>
      <c r="S35" s="610">
        <v>581.02</v>
      </c>
      <c r="T35" s="174"/>
      <c r="U35" s="627">
        <v>0.4</v>
      </c>
      <c r="V35" s="624">
        <f>U35*25.4</f>
        <v>10.16</v>
      </c>
      <c r="W35" s="593">
        <f>11.39*1.321</f>
        <v>15.046190000000001</v>
      </c>
      <c r="X35" s="594"/>
      <c r="Y35" s="439">
        <f>((W35/19.32)*10)</f>
        <v>7.7878830227743281</v>
      </c>
      <c r="Z35" s="440"/>
      <c r="AA35" s="593">
        <v>10.798</v>
      </c>
      <c r="AB35" s="594"/>
      <c r="AC35" s="439">
        <f>(AA35/19.32)*10</f>
        <v>5.5890269151138714</v>
      </c>
      <c r="AD35" s="440"/>
      <c r="AE35" s="593">
        <f>AK35/1.09</f>
        <v>4.8137120823598689</v>
      </c>
      <c r="AF35" s="594"/>
      <c r="AG35" s="443">
        <f>((AE35/19.32)*10)</f>
        <v>2.4915694008073856</v>
      </c>
      <c r="AH35" s="104"/>
      <c r="AI35" s="42">
        <v>50</v>
      </c>
      <c r="AJ35" s="42">
        <v>5.8954451345755698</v>
      </c>
      <c r="AK35" s="42">
        <f t="shared" si="0"/>
        <v>5.246946169772257</v>
      </c>
      <c r="AS35" s="42">
        <f t="shared" si="2"/>
        <v>0</v>
      </c>
    </row>
    <row r="36" spans="1:45" ht="20.100000000000001" customHeight="1" thickBot="1" x14ac:dyDescent="0.3">
      <c r="A36" s="103"/>
      <c r="B36" s="639" t="s">
        <v>71</v>
      </c>
      <c r="C36" s="640"/>
      <c r="D36" s="640"/>
      <c r="E36" s="130">
        <f>E25/E24</f>
        <v>1.9464618249534451</v>
      </c>
      <c r="F36" s="130">
        <f>F25/F24</f>
        <v>2.2327746741154564</v>
      </c>
      <c r="G36" s="130">
        <f>G25/G24</f>
        <v>2.3063314711359406</v>
      </c>
      <c r="H36" s="131">
        <f>H25/H24</f>
        <v>2.110800744878957</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K36" s="42">
        <f t="shared" si="0"/>
        <v>0</v>
      </c>
      <c r="AS36" s="42">
        <f t="shared" si="2"/>
        <v>0</v>
      </c>
    </row>
    <row r="37" spans="1:45" ht="24.95" customHeight="1" thickBot="1" x14ac:dyDescent="0.3">
      <c r="A37" s="103"/>
      <c r="B37" s="602" t="s">
        <v>72</v>
      </c>
      <c r="C37" s="603"/>
      <c r="D37" s="603"/>
      <c r="E37" s="122">
        <f>E36/(1+E34/100)</f>
        <v>1.8806434897298976</v>
      </c>
      <c r="F37" s="122">
        <f>F36/(1+F34/100)</f>
        <v>2.1062972384873393</v>
      </c>
      <c r="G37" s="122">
        <f>G36/(1+G34/100)</f>
        <v>2.1316256962964313</v>
      </c>
      <c r="H37" s="123">
        <f>H36/(1+H34/100)</f>
        <v>1.9067592370148378</v>
      </c>
      <c r="I37" s="174"/>
      <c r="J37" s="641" t="s">
        <v>139</v>
      </c>
      <c r="K37" s="641"/>
      <c r="L37" s="643" t="s">
        <v>121</v>
      </c>
      <c r="M37" s="433">
        <f>IF(F74="","",(M42^2*F74+M42*F75+F76))</f>
        <v>2.1446136125654451</v>
      </c>
      <c r="N37" s="101"/>
      <c r="O37" s="576" t="s">
        <v>28</v>
      </c>
      <c r="P37" s="577"/>
      <c r="Q37" s="150">
        <v>713.03</v>
      </c>
      <c r="R37" s="150">
        <v>674.9</v>
      </c>
      <c r="S37" s="151">
        <v>548.41</v>
      </c>
      <c r="T37" s="174"/>
      <c r="U37" s="132">
        <v>0.5</v>
      </c>
      <c r="V37" s="133">
        <f>U37*25.4</f>
        <v>12.7</v>
      </c>
      <c r="W37" s="637">
        <f>12.545*1.345</f>
        <v>16.873024999999998</v>
      </c>
      <c r="X37" s="638"/>
      <c r="Y37" s="431">
        <f>((W37/19.32)*10)</f>
        <v>8.7334497929606609</v>
      </c>
      <c r="Z37" s="432"/>
      <c r="AA37" s="637">
        <v>11.298</v>
      </c>
      <c r="AB37" s="638"/>
      <c r="AC37" s="431">
        <f>((AA37/19.32)*10)</f>
        <v>5.8478260869565215</v>
      </c>
      <c r="AD37" s="432"/>
      <c r="AE37" s="637">
        <f>AK37/1.09</f>
        <v>5.3018453093243672</v>
      </c>
      <c r="AF37" s="638"/>
      <c r="AG37" s="134">
        <f>((AE37/19.32)*10)</f>
        <v>2.7442263505819704</v>
      </c>
      <c r="AH37" s="104"/>
      <c r="AI37" s="42">
        <v>50</v>
      </c>
      <c r="AJ37" s="42">
        <v>6.4932712215320905</v>
      </c>
      <c r="AK37" s="42">
        <f t="shared" si="0"/>
        <v>5.7790113871635604</v>
      </c>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101.26</v>
      </c>
      <c r="R38" s="647">
        <v>41.46</v>
      </c>
      <c r="S38" s="648">
        <v>46.5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21.038659539267019</v>
      </c>
      <c r="N40" s="103"/>
      <c r="O40" s="628" t="s">
        <v>10</v>
      </c>
      <c r="P40" s="629"/>
      <c r="Q40" s="125">
        <f>((Q35-Q37)/(Q37-Q38))*100</f>
        <v>6.8865750200238649</v>
      </c>
      <c r="R40" s="125">
        <f>((R35-R37)/(R37-R38))*100</f>
        <v>6.7078176307148301</v>
      </c>
      <c r="S40" s="126">
        <f>((S35-S37)/(S37-S38))*100</f>
        <v>6.4971807694606625</v>
      </c>
      <c r="T40" s="174"/>
      <c r="U40" s="645" t="s">
        <v>151</v>
      </c>
      <c r="V40" s="646"/>
      <c r="W40" s="423">
        <f>(AM79/6.9)*100</f>
        <v>53.371140516698169</v>
      </c>
      <c r="X40" s="423"/>
      <c r="Y40" s="423"/>
      <c r="Z40" s="424"/>
      <c r="AA40" s="425">
        <f>(AO79/6.9)*100</f>
        <v>44.475950430581804</v>
      </c>
      <c r="AB40" s="426"/>
      <c r="AC40" s="427"/>
      <c r="AD40" s="425">
        <f>(AQ79/6.9)*100</f>
        <v>18.79670061124936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49.97979858891636</v>
      </c>
      <c r="X41" s="418"/>
      <c r="Y41" s="418"/>
      <c r="Z41" s="419"/>
      <c r="AA41" s="420">
        <f>(AO83/10.3)*100</f>
        <v>40.633982592614927</v>
      </c>
      <c r="AB41" s="421"/>
      <c r="AC41" s="418"/>
      <c r="AD41" s="420">
        <f>(AQ83/10.3)*100</f>
        <v>17.172984456582181</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7.2303664921465973</v>
      </c>
      <c r="N42" s="103"/>
      <c r="O42" s="639" t="s">
        <v>9</v>
      </c>
      <c r="P42" s="640"/>
      <c r="Q42" s="148">
        <v>208</v>
      </c>
      <c r="R42" s="148">
        <v>355</v>
      </c>
      <c r="S42" s="149">
        <v>219</v>
      </c>
      <c r="T42" s="174"/>
      <c r="U42" s="651" t="s">
        <v>42</v>
      </c>
      <c r="V42" s="652"/>
      <c r="W42" s="413">
        <f>IF(W40&lt;W41,W40,W41)</f>
        <v>49.97979858891636</v>
      </c>
      <c r="X42" s="414"/>
      <c r="Y42" s="414"/>
      <c r="Z42" s="415"/>
      <c r="AA42" s="416">
        <f>IF(AA40&lt;AA41,AA40,AA41)</f>
        <v>40.633982592614927</v>
      </c>
      <c r="AB42" s="414"/>
      <c r="AC42" s="415"/>
      <c r="AD42" s="416">
        <f>IF(AD40&lt;AD41,AD40,AD41)</f>
        <v>17.172984456582181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1091.1300000000001</v>
      </c>
      <c r="R43" s="608">
        <v>944.9</v>
      </c>
      <c r="S43" s="610">
        <v>991.43</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1005.24</v>
      </c>
      <c r="R45" s="150">
        <v>865.7</v>
      </c>
      <c r="S45" s="151">
        <v>882.83</v>
      </c>
      <c r="T45" s="174"/>
      <c r="U45" s="656" t="s">
        <v>139</v>
      </c>
      <c r="V45" s="656"/>
      <c r="W45" s="179" t="s">
        <v>121</v>
      </c>
      <c r="X45" s="406">
        <f>MAX(M37:M39)</f>
        <v>2.1446136125654451</v>
      </c>
      <c r="Y45" s="406"/>
      <c r="Z45" s="406"/>
      <c r="AA45" s="174"/>
      <c r="AB45" s="657" t="s">
        <v>31</v>
      </c>
      <c r="AC45" s="658"/>
      <c r="AD45" s="658"/>
      <c r="AE45" s="658"/>
      <c r="AF45" s="228">
        <v>0.35149999999999998</v>
      </c>
      <c r="AG45" s="228">
        <v>0.1855</v>
      </c>
      <c r="AH45" s="236">
        <v>0.25900000000000001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60.51</v>
      </c>
      <c r="R46" s="150">
        <v>105.56</v>
      </c>
      <c r="S46" s="151">
        <v>59.48</v>
      </c>
      <c r="T46" s="174"/>
      <c r="U46" s="555" t="s">
        <v>123</v>
      </c>
      <c r="V46" s="555"/>
      <c r="W46" s="179" t="s">
        <v>41</v>
      </c>
      <c r="X46" s="401">
        <f>MIN(M42:M44)</f>
        <v>7.2303664921465973</v>
      </c>
      <c r="Y46" s="401"/>
      <c r="Z46" s="401"/>
      <c r="AA46" s="174"/>
      <c r="AB46" s="660" t="s">
        <v>32</v>
      </c>
      <c r="AC46" s="661"/>
      <c r="AD46" s="661"/>
      <c r="AE46" s="661"/>
      <c r="AF46" s="237">
        <v>0.36749999999999999</v>
      </c>
      <c r="AG46" s="237">
        <v>0.20050000000000001</v>
      </c>
      <c r="AH46" s="238">
        <v>0.26900000000000002</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9.0914864564478854</v>
      </c>
      <c r="R47" s="125">
        <f>((R43-R45)/(R45-R46))*100</f>
        <v>10.419133317546757</v>
      </c>
      <c r="S47" s="126">
        <f>((S43-S45)/(S45-S46))*100</f>
        <v>13.190016396429211</v>
      </c>
      <c r="T47" s="174"/>
      <c r="U47" s="555" t="s">
        <v>162</v>
      </c>
      <c r="V47" s="555"/>
      <c r="W47" s="179" t="s">
        <v>41</v>
      </c>
      <c r="X47" s="402">
        <f>IF(L25=D103,"-",IF(L25=D102,"-",IF(L25=D101,M25)))</f>
        <v>0</v>
      </c>
      <c r="Y47" s="402"/>
      <c r="Z47" s="402"/>
      <c r="AA47" s="174"/>
      <c r="AB47" s="662" t="s">
        <v>33</v>
      </c>
      <c r="AC47" s="663"/>
      <c r="AD47" s="663"/>
      <c r="AE47" s="663"/>
      <c r="AF47" s="140">
        <f>(AF46-AF45)*2.54</f>
        <v>4.0640000000000037E-2</v>
      </c>
      <c r="AG47" s="140">
        <f>(AG46-AG45)*2.54</f>
        <v>3.8100000000000037E-2</v>
      </c>
      <c r="AH47" s="141">
        <f>(AH46-AH45)*2.54</f>
        <v>2.5400000000000023E-2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0.36124444444444476</v>
      </c>
      <c r="AG48" s="142">
        <f>IF(AG47&lt;&gt;"",IF(R24&lt;&gt;"",AG47/R24*100,""),"")</f>
        <v>0.33716814159292063</v>
      </c>
      <c r="AH48" s="173">
        <f>IF(AH47&lt;&gt;"",IF(S24&lt;&gt;"",AH47/S24*100,""),"")</f>
        <v>0.22517730496453922</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634" t="s">
        <v>161</v>
      </c>
      <c r="AC50" s="635"/>
      <c r="AD50" s="635"/>
      <c r="AE50" s="635"/>
      <c r="AF50" s="636"/>
      <c r="AG50" s="678" t="s">
        <v>168</v>
      </c>
      <c r="AH50" s="679"/>
      <c r="AJ50" s="42">
        <v>0.20300000000000001</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606" t="str">
        <f>W19</f>
        <v xml:space="preserve">56  GOLPES </v>
      </c>
      <c r="AC51" s="681"/>
      <c r="AD51" s="681"/>
      <c r="AE51" s="607"/>
      <c r="AF51" s="150">
        <v>4556</v>
      </c>
      <c r="AG51" s="682">
        <v>4</v>
      </c>
      <c r="AH51" s="683"/>
      <c r="AJ51" s="42">
        <v>0.86899999999999999</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5" t="str">
        <f>AA19</f>
        <v xml:space="preserve">25  GOLPES </v>
      </c>
      <c r="AC52" s="665"/>
      <c r="AD52" s="665"/>
      <c r="AE52" s="586"/>
      <c r="AF52" s="150">
        <v>4555</v>
      </c>
      <c r="AG52" s="666">
        <v>4</v>
      </c>
      <c r="AH52" s="667"/>
      <c r="AJ52" s="42">
        <v>2.3740000000000001</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625" t="str">
        <f>AE19</f>
        <v xml:space="preserve">10  GOLPES </v>
      </c>
      <c r="AC53" s="668"/>
      <c r="AD53" s="668"/>
      <c r="AE53" s="626"/>
      <c r="AF53" s="150">
        <v>4555</v>
      </c>
      <c r="AG53" s="669">
        <v>4</v>
      </c>
      <c r="AH53" s="670"/>
      <c r="AJ53" s="42">
        <v>4.0529999999999999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2" t="s">
        <v>177</v>
      </c>
      <c r="AG54" s="672"/>
      <c r="AH54" s="673"/>
      <c r="AJ54" s="42">
        <v>5.0039999999999996</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5.9290000000000003</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6.7359999999999998</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7.4829999999999997</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8.0860000000000003</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9.9410000000000007</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11.39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12.547000000000001</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-1.9099999999999999E-2</v>
      </c>
      <c r="G74" s="75">
        <v>-0.12509999999999999</v>
      </c>
      <c r="J74" s="701"/>
      <c r="K74" s="702"/>
      <c r="L74" s="44"/>
      <c r="M74" s="44"/>
      <c r="N74" s="44"/>
    </row>
    <row r="75" spans="1:94" ht="26.25" customHeight="1" thickBot="1" x14ac:dyDescent="0.3">
      <c r="A75" s="11"/>
      <c r="B75" s="377" t="s">
        <v>113</v>
      </c>
      <c r="C75" s="377"/>
      <c r="D75" s="19"/>
      <c r="E75" s="54" t="s">
        <v>12</v>
      </c>
      <c r="F75" s="55">
        <v>0.2762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0.24360000000000001</v>
      </c>
      <c r="AM75" s="3">
        <f t="shared" ref="AM75:AM86" si="3">((AL75/19.32)*10)</f>
        <v>0.12608695652173912</v>
      </c>
      <c r="AN75" s="5">
        <f>AA22</f>
        <v>0.20300000000000001</v>
      </c>
      <c r="AO75" s="3">
        <f>((AN75/19.32)*10)</f>
        <v>0.10507246376811595</v>
      </c>
      <c r="AP75" s="5">
        <f>AE22</f>
        <v>8.5793112618002931E-2</v>
      </c>
      <c r="AQ75" s="161">
        <f t="shared" ref="AQ75:AQ84" si="4">((AP75/19.32)*10)</f>
        <v>4.4406372990684749E-2</v>
      </c>
    </row>
    <row r="76" spans="1:94" ht="26.25" customHeight="1" thickBot="1" x14ac:dyDescent="0.3">
      <c r="A76" s="11"/>
      <c r="B76" s="377" t="s">
        <v>114</v>
      </c>
      <c r="C76" s="377"/>
      <c r="D76" s="20"/>
      <c r="E76" s="56" t="s">
        <v>13</v>
      </c>
      <c r="F76" s="57">
        <v>1.1460999999999999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5">AJ76*25.4</f>
        <v>0.63500000000000001</v>
      </c>
      <c r="AL76" s="5">
        <f>W23</f>
        <v>1.0427999999999999</v>
      </c>
      <c r="AM76" s="3">
        <f t="shared" si="3"/>
        <v>0.53975155279503106</v>
      </c>
      <c r="AN76" s="5">
        <f>AA23</f>
        <v>0.86899999999999999</v>
      </c>
      <c r="AO76" s="3">
        <f t="shared" ref="AO76:AO86" si="6">((AN76/19.32)*10)</f>
        <v>0.44979296066252589</v>
      </c>
      <c r="AP76" s="5">
        <f>AE23</f>
        <v>0.36726214219233766</v>
      </c>
      <c r="AQ76" s="161">
        <f t="shared" si="4"/>
        <v>0.1900942764970692</v>
      </c>
    </row>
    <row r="77" spans="1:94" ht="26.25" customHeight="1" thickTop="1" thickBot="1" x14ac:dyDescent="0.3">
      <c r="A77" s="11"/>
      <c r="B77" s="377" t="s">
        <v>115</v>
      </c>
      <c r="C77" s="377"/>
      <c r="D77" s="15"/>
      <c r="J77" s="380"/>
      <c r="K77" s="381"/>
      <c r="U77" s="44"/>
      <c r="AB77" s="44"/>
      <c r="AC77" s="44"/>
      <c r="AD77" s="44"/>
      <c r="AE77" s="44"/>
      <c r="AJ77" s="160">
        <f>U24</f>
        <v>0.05</v>
      </c>
      <c r="AK77" s="3">
        <f t="shared" si="5"/>
        <v>1.27</v>
      </c>
      <c r="AL77" s="5">
        <f>W24</f>
        <v>2.8488000000000002</v>
      </c>
      <c r="AM77" s="3">
        <f t="shared" si="3"/>
        <v>1.4745341614906835</v>
      </c>
      <c r="AN77" s="5">
        <f>AA24</f>
        <v>2.3740000000000001</v>
      </c>
      <c r="AO77" s="3">
        <f t="shared" si="6"/>
        <v>1.2287784679089027</v>
      </c>
      <c r="AP77" s="5">
        <f>AE24</f>
        <v>1.0033145288430489</v>
      </c>
      <c r="AQ77" s="161">
        <f t="shared" si="4"/>
        <v>0.51931393832455952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5"/>
        <v>1.9049999999999998</v>
      </c>
      <c r="AL78" s="5">
        <f>W25</f>
        <v>4.8635999999999999</v>
      </c>
      <c r="AM78" s="3">
        <f t="shared" si="3"/>
        <v>2.517391304347826</v>
      </c>
      <c r="AN78" s="5">
        <f>AA25</f>
        <v>4.0529999999999999</v>
      </c>
      <c r="AO78" s="3">
        <f t="shared" si="6"/>
        <v>2.0978260869565215</v>
      </c>
      <c r="AP78" s="5">
        <f>AE25</f>
        <v>1.7129038691663341</v>
      </c>
      <c r="AQ78" s="161">
        <f t="shared" si="4"/>
        <v>0.88659620557263674</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5"/>
        <v>2.54</v>
      </c>
      <c r="AL79" s="5">
        <f>W26</f>
        <v>7.1147999999999998</v>
      </c>
      <c r="AM79" s="4">
        <f t="shared" si="3"/>
        <v>3.6826086956521737</v>
      </c>
      <c r="AN79" s="5">
        <f>AA26</f>
        <v>5.9290000000000003</v>
      </c>
      <c r="AO79" s="4">
        <f t="shared" si="6"/>
        <v>3.0688405797101446</v>
      </c>
      <c r="AP79" s="5">
        <f>AE26</f>
        <v>2.5057505650844298</v>
      </c>
      <c r="AQ79" s="162">
        <f t="shared" si="4"/>
        <v>1.2969723421762058</v>
      </c>
      <c r="BB79" s="12">
        <v>17</v>
      </c>
      <c r="BC79" s="12">
        <v>18</v>
      </c>
    </row>
    <row r="80" spans="1:94" ht="42" customHeight="1" thickTop="1" thickBot="1" x14ac:dyDescent="0.3">
      <c r="D80" s="49"/>
      <c r="H80" s="711" t="s">
        <v>105</v>
      </c>
      <c r="I80" s="712"/>
      <c r="J80" s="58"/>
      <c r="AJ80" s="160">
        <f>U28</f>
        <v>0.125</v>
      </c>
      <c r="AK80" s="3">
        <f t="shared" si="5"/>
        <v>3.1749999999999998</v>
      </c>
      <c r="AL80" s="5">
        <f>W28</f>
        <v>8.1505599999999987</v>
      </c>
      <c r="AM80" s="3">
        <f t="shared" si="3"/>
        <v>4.2187163561076595</v>
      </c>
      <c r="AN80" s="5">
        <f>AA28</f>
        <v>6.7359999999999998</v>
      </c>
      <c r="AO80" s="3">
        <f t="shared" si="6"/>
        <v>3.4865424430641823</v>
      </c>
      <c r="AP80" s="5">
        <f>AE28</f>
        <v>2.8468098847037817</v>
      </c>
      <c r="AQ80" s="161">
        <f t="shared" si="4"/>
        <v>1.4735040811096178</v>
      </c>
      <c r="BC80" s="45">
        <v>0.99880400000000003</v>
      </c>
      <c r="BD80" s="45">
        <v>0.99862499999999998</v>
      </c>
    </row>
    <row r="81" spans="2:43" ht="15.75" customHeight="1" x14ac:dyDescent="0.25">
      <c r="AJ81" s="160">
        <f>U30</f>
        <v>0.15</v>
      </c>
      <c r="AK81" s="3">
        <f t="shared" si="5"/>
        <v>3.8099999999999996</v>
      </c>
      <c r="AL81" s="5">
        <f>W30</f>
        <v>8.7568000000000001</v>
      </c>
      <c r="AM81" s="3">
        <f t="shared" si="3"/>
        <v>4.5325051759834363</v>
      </c>
      <c r="AN81" s="5">
        <f>AA30</f>
        <v>6.9960000000000004</v>
      </c>
      <c r="AO81" s="3">
        <f t="shared" si="6"/>
        <v>3.6211180124223601</v>
      </c>
      <c r="AP81" s="5">
        <f>AE30</f>
        <v>2.8468098847037817</v>
      </c>
      <c r="AQ81" s="161">
        <f t="shared" si="4"/>
        <v>1.4735040811096178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5"/>
        <v>4.4449999999999994</v>
      </c>
      <c r="AL82" s="5">
        <f>W31</f>
        <v>9.3537499999999998</v>
      </c>
      <c r="AM82" s="3">
        <f t="shared" si="3"/>
        <v>4.8414855072463761</v>
      </c>
      <c r="AN82" s="5">
        <f>AA31</f>
        <v>7.4829999999999997</v>
      </c>
      <c r="AO82" s="3">
        <f t="shared" si="6"/>
        <v>3.8731884057971011</v>
      </c>
      <c r="AP82" s="5">
        <f>AE31</f>
        <v>3.1625116340912109</v>
      </c>
      <c r="AQ82" s="161">
        <f t="shared" si="4"/>
        <v>1.636910783691103</v>
      </c>
    </row>
    <row r="83" spans="2:43" ht="15" customHeight="1" x14ac:dyDescent="0.25">
      <c r="B83" s="49"/>
      <c r="C83" s="49"/>
      <c r="D83" s="49">
        <v>0</v>
      </c>
      <c r="E83" s="50">
        <f>M42</f>
        <v>7.2303664921465973</v>
      </c>
      <c r="F83" s="49"/>
      <c r="G83" s="43">
        <f>G84/10</f>
        <v>2.4118305935955728</v>
      </c>
      <c r="H83" s="43">
        <f>H84/10</f>
        <v>2.2719140739423027</v>
      </c>
      <c r="I83" s="43">
        <f>I84/10</f>
        <v>2.1621924316363828</v>
      </c>
      <c r="J83" s="43">
        <f>J84/10</f>
        <v>2.0490570862919757</v>
      </c>
      <c r="K83" s="43"/>
      <c r="L83" s="42">
        <v>0</v>
      </c>
      <c r="O83" s="706"/>
      <c r="P83" s="706"/>
      <c r="Q83" s="706"/>
      <c r="R83" s="706"/>
      <c r="S83" s="707"/>
      <c r="W83" s="112"/>
      <c r="AJ83" s="160">
        <f>U33</f>
        <v>0.2</v>
      </c>
      <c r="AK83" s="4">
        <f t="shared" si="5"/>
        <v>5.08</v>
      </c>
      <c r="AL83" s="5">
        <f>W33</f>
        <v>9.945780000000001</v>
      </c>
      <c r="AM83" s="4">
        <f t="shared" si="3"/>
        <v>5.147919254658385</v>
      </c>
      <c r="AN83" s="5">
        <f>AA33</f>
        <v>8.0860000000000003</v>
      </c>
      <c r="AO83" s="4">
        <f t="shared" si="6"/>
        <v>4.1853002070393375</v>
      </c>
      <c r="AP83" s="5">
        <f>AE33</f>
        <v>3.4173552149220274</v>
      </c>
      <c r="AQ83" s="162">
        <f t="shared" si="4"/>
        <v>1.7688173990279645</v>
      </c>
    </row>
    <row r="84" spans="2:43" ht="15" customHeight="1" x14ac:dyDescent="0.25">
      <c r="C84" s="94"/>
      <c r="D84" s="94"/>
      <c r="E84" s="94"/>
      <c r="F84" s="49"/>
      <c r="G84" s="43">
        <f>($M$34/(1+(E34*$M$34/100)))*($O$73)</f>
        <v>24.118305935955728</v>
      </c>
      <c r="H84" s="43">
        <f>($M$34/(1+(F34*$M$34/100)))*($O$73)</f>
        <v>22.719140739423025</v>
      </c>
      <c r="I84" s="43">
        <f>($M$34/(1+(G34*$M$34/100)))*($O$73)</f>
        <v>21.621924316363828</v>
      </c>
      <c r="J84" s="43">
        <f>($M$34/(1+(H34*$M$34/100)))*($O$73)</f>
        <v>20.490570862919757</v>
      </c>
      <c r="K84" s="43"/>
      <c r="O84" s="706" t="s">
        <v>146</v>
      </c>
      <c r="P84" s="706"/>
      <c r="Q84" s="706"/>
      <c r="R84" s="706"/>
      <c r="S84" s="707">
        <v>2240</v>
      </c>
      <c r="W84" s="112"/>
      <c r="AJ84" s="160">
        <f>U34</f>
        <v>0.3</v>
      </c>
      <c r="AK84" s="3">
        <f t="shared" si="5"/>
        <v>7.6199999999999992</v>
      </c>
      <c r="AL84" s="5">
        <f>W34</f>
        <v>12.338968020000001</v>
      </c>
      <c r="AM84" s="3">
        <f t="shared" si="3"/>
        <v>6.3866294099378882</v>
      </c>
      <c r="AN84" s="5">
        <f>AA34</f>
        <v>9.9410000000000007</v>
      </c>
      <c r="AO84" s="3">
        <f t="shared" si="6"/>
        <v>5.145445134575569</v>
      </c>
      <c r="AP84" s="5">
        <f>AE34</f>
        <v>4.2013267612589509</v>
      </c>
      <c r="AQ84" s="161">
        <f t="shared" si="4"/>
        <v>2.1745997729083597</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15.046190000000001</v>
      </c>
      <c r="AM85" s="3">
        <f t="shared" si="3"/>
        <v>7.7878830227743281</v>
      </c>
      <c r="AN85" s="5">
        <f>AA35</f>
        <v>10.798</v>
      </c>
      <c r="AO85" s="3">
        <f t="shared" si="6"/>
        <v>5.5890269151138714</v>
      </c>
      <c r="AP85" s="5">
        <f>AE35</f>
        <v>4.8137120823598689</v>
      </c>
      <c r="AQ85" s="161">
        <f>((AP85/19.32)*10)</f>
        <v>2.4915694008073856</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16.873024999999998</v>
      </c>
      <c r="AM86" s="164">
        <f t="shared" si="3"/>
        <v>8.7334497929606609</v>
      </c>
      <c r="AN86" s="165">
        <f>AA37</f>
        <v>11.298</v>
      </c>
      <c r="AO86" s="164">
        <f t="shared" si="6"/>
        <v>5.8478260869565215</v>
      </c>
      <c r="AP86" s="165">
        <f>AE37</f>
        <v>5.3018453093243672</v>
      </c>
      <c r="AQ86" s="166">
        <f>((AP86/19.32)*10)</f>
        <v>2.7442263505819704</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2.1824115440756784</v>
      </c>
      <c r="AK91" s="9">
        <f>R31</f>
        <v>2.0730724989949056</v>
      </c>
      <c r="AL91" s="10">
        <f>S31</f>
        <v>2.0269233661327792</v>
      </c>
    </row>
    <row r="92" spans="2:43" ht="21" customHeight="1" thickBot="1" x14ac:dyDescent="0.3">
      <c r="B92" s="92"/>
      <c r="C92" s="93"/>
      <c r="D92" s="93"/>
      <c r="E92" s="93"/>
      <c r="F92" s="62"/>
      <c r="G92" s="63"/>
      <c r="H92" s="49"/>
      <c r="I92" s="49"/>
      <c r="O92" s="725" t="s">
        <v>147</v>
      </c>
      <c r="P92" s="726"/>
      <c r="Q92" s="726"/>
      <c r="R92" s="726"/>
      <c r="S92" s="61">
        <f>M42</f>
        <v>7.2303664921465973</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49.97979858891636</v>
      </c>
      <c r="AK94" s="158">
        <f>AA42</f>
        <v>40.633982592614927</v>
      </c>
      <c r="AL94" s="158">
        <f>AD42</f>
        <v>17.172984456582181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AE9:AF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B6:B10 B12:B13 D6:D10 D12 F12:M12 L9:M9 I6:J10">
    <cfRule type="containsBlanks" dxfId="2444" priority="49">
      <formula>LEN(TRIM(B6))=0</formula>
    </cfRule>
  </conditionalFormatting>
  <conditionalFormatting sqref="D6:H10">
    <cfRule type="containsBlanks" dxfId="2443" priority="48">
      <formula>LEN(TRIM(D6))=0</formula>
    </cfRule>
  </conditionalFormatting>
  <conditionalFormatting sqref="M19">
    <cfRule type="containsBlanks" dxfId="2442" priority="47">
      <formula>LEN(TRIM(M19))=0</formula>
    </cfRule>
  </conditionalFormatting>
  <conditionalFormatting sqref="CP70">
    <cfRule type="containsBlanks" dxfId="2441" priority="46">
      <formula>LEN(TRIM(CP70))=0</formula>
    </cfRule>
  </conditionalFormatting>
  <conditionalFormatting sqref="M21">
    <cfRule type="containsBlanks" dxfId="2440" priority="45">
      <formula>LEN(TRIM(M21))=0</formula>
    </cfRule>
  </conditionalFormatting>
  <conditionalFormatting sqref="D12:M12">
    <cfRule type="containsBlanks" dxfId="2439" priority="44">
      <formula>LEN(TRIM(D12))=0</formula>
    </cfRule>
  </conditionalFormatting>
  <conditionalFormatting sqref="L9:M9">
    <cfRule type="containsBlanks" dxfId="2438" priority="43">
      <formula>LEN(TRIM(L9))=0</formula>
    </cfRule>
  </conditionalFormatting>
  <conditionalFormatting sqref="L25">
    <cfRule type="containsBlanks" dxfId="2437" priority="42">
      <formula>LEN(TRIM(L25))=0</formula>
    </cfRule>
  </conditionalFormatting>
  <conditionalFormatting sqref="Q20:S26">
    <cfRule type="containsBlanks" dxfId="2436" priority="32">
      <formula>LEN(TRIM(Q20))=0</formula>
    </cfRule>
    <cfRule type="containsBlanks" dxfId="2435" priority="41">
      <formula>LEN(TRIM(Q20))=0</formula>
    </cfRule>
  </conditionalFormatting>
  <conditionalFormatting sqref="U26:V27 AC33 AC26">
    <cfRule type="cellIs" dxfId="2434" priority="40" operator="between">
      <formula>0</formula>
      <formula>500</formula>
    </cfRule>
  </conditionalFormatting>
  <conditionalFormatting sqref="U33:V33">
    <cfRule type="cellIs" dxfId="2433" priority="39" operator="between">
      <formula>0</formula>
      <formula>500</formula>
    </cfRule>
  </conditionalFormatting>
  <conditionalFormatting sqref="AF45:AH46">
    <cfRule type="containsBlanks" dxfId="2432" priority="38">
      <formula>LEN(TRIM(AF45))=0</formula>
    </cfRule>
  </conditionalFormatting>
  <conditionalFormatting sqref="AF51:AG53">
    <cfRule type="containsBlanks" dxfId="2431" priority="37">
      <formula>LEN(TRIM(AF51))=0</formula>
    </cfRule>
  </conditionalFormatting>
  <conditionalFormatting sqref="E20:H24">
    <cfRule type="containsBlanks" dxfId="2430" priority="36">
      <formula>LEN(TRIM(E20))=0</formula>
    </cfRule>
  </conditionalFormatting>
  <conditionalFormatting sqref="E28:H33">
    <cfRule type="containsBlanks" dxfId="2429" priority="35">
      <formula>LEN(TRIM(E28))=0</formula>
    </cfRule>
  </conditionalFormatting>
  <conditionalFormatting sqref="Q42:S46">
    <cfRule type="containsBlanks" dxfId="2428" priority="34">
      <formula>LEN(TRIM(Q42))=0</formula>
    </cfRule>
  </conditionalFormatting>
  <conditionalFormatting sqref="Q34:S39">
    <cfRule type="containsBlanks" dxfId="2427" priority="33">
      <formula>LEN(TRIM(Q34))=0</formula>
    </cfRule>
  </conditionalFormatting>
  <conditionalFormatting sqref="M25">
    <cfRule type="containsBlanks" dxfId="2426" priority="31">
      <formula>LEN(TRIM(M25))=0</formula>
    </cfRule>
  </conditionalFormatting>
  <conditionalFormatting sqref="U26:V27 Y26:Z27 AC26:AD27 AG26:AG27">
    <cfRule type="containsBlanks" dxfId="2425" priority="29">
      <formula>LEN(TRIM(U26))=0</formula>
    </cfRule>
    <cfRule type="cellIs" dxfId="2424" priority="30" operator="between">
      <formula>0</formula>
      <formula>1000</formula>
    </cfRule>
  </conditionalFormatting>
  <conditionalFormatting sqref="W87:W88">
    <cfRule type="cellIs" dxfId="2423" priority="28" operator="between">
      <formula>0</formula>
      <formula>500</formula>
    </cfRule>
  </conditionalFormatting>
  <conditionalFormatting sqref="W94">
    <cfRule type="cellIs" dxfId="2422" priority="27" operator="between">
      <formula>0</formula>
      <formula>500</formula>
    </cfRule>
  </conditionalFormatting>
  <conditionalFormatting sqref="W87:W88">
    <cfRule type="containsBlanks" dxfId="2421" priority="25">
      <formula>LEN(TRIM(W87))=0</formula>
    </cfRule>
    <cfRule type="cellIs" dxfId="2420" priority="26" operator="between">
      <formula>0</formula>
      <formula>1000</formula>
    </cfRule>
  </conditionalFormatting>
  <conditionalFormatting sqref="U33:V33 Y33:Z33 AC33:AD33 AG33">
    <cfRule type="cellIs" dxfId="2419" priority="24" operator="between">
      <formula>0</formula>
      <formula>1000</formula>
    </cfRule>
  </conditionalFormatting>
  <conditionalFormatting sqref="Q27:S27">
    <cfRule type="containsBlanks" dxfId="2418" priority="22">
      <formula>LEN(TRIM(Q27))=0</formula>
    </cfRule>
    <cfRule type="containsBlanks" dxfId="2417" priority="23">
      <formula>LEN(TRIM(Q27))=0</formula>
    </cfRule>
  </conditionalFormatting>
  <conditionalFormatting sqref="W30:W31 W33:W35 W37 W22:W26 W28">
    <cfRule type="containsBlanks" dxfId="2416" priority="21">
      <formula>LEN(TRIM(W22))=0</formula>
    </cfRule>
  </conditionalFormatting>
  <conditionalFormatting sqref="W37 W30:W31 W33:W35 W22:W26 W28">
    <cfRule type="containsBlanks" dxfId="2415" priority="20">
      <formula>LEN(TRIM(W22))=0</formula>
    </cfRule>
  </conditionalFormatting>
  <conditionalFormatting sqref="W33:X33">
    <cfRule type="cellIs" dxfId="2414" priority="17" operator="between">
      <formula>0</formula>
      <formula>1000</formula>
    </cfRule>
  </conditionalFormatting>
  <conditionalFormatting sqref="W30:X37 W22:X25 W26 W28">
    <cfRule type="containsBlanks" dxfId="2413" priority="16">
      <formula>LEN(TRIM(W22))=0</formula>
    </cfRule>
  </conditionalFormatting>
  <conditionalFormatting sqref="AA37 AA30:AA31 AA33:AA35 AA22:AA26 AA28">
    <cfRule type="containsBlanks" dxfId="2412" priority="15">
      <formula>LEN(TRIM(AA22))=0</formula>
    </cfRule>
  </conditionalFormatting>
  <conditionalFormatting sqref="AA37 AA30:AA31 AA33:AA35 AA22:AA26 AA28">
    <cfRule type="containsBlanks" dxfId="2411" priority="14">
      <formula>LEN(TRIM(AA22))=0</formula>
    </cfRule>
  </conditionalFormatting>
  <conditionalFormatting sqref="AA33:AB34">
    <cfRule type="cellIs" dxfId="2410" priority="11" operator="between">
      <formula>0</formula>
      <formula>1000</formula>
    </cfRule>
  </conditionalFormatting>
  <conditionalFormatting sqref="AA30:AB30 AA31 AA33:AB37 AA22:AB25 AA26 AA28">
    <cfRule type="containsBlanks" dxfId="2409" priority="10">
      <formula>LEN(TRIM(AA22))=0</formula>
    </cfRule>
  </conditionalFormatting>
  <conditionalFormatting sqref="AE37 AE22:AE26 AE28 AE30:AE31 AE33:AE35">
    <cfRule type="containsBlanks" dxfId="2408" priority="9">
      <formula>LEN(TRIM(AE22))=0</formula>
    </cfRule>
  </conditionalFormatting>
  <conditionalFormatting sqref="AE37 AE22:AE26 AE28 AE30:AE31 AE33:AE35">
    <cfRule type="containsBlanks" dxfId="2407" priority="8">
      <formula>LEN(TRIM(AE22))=0</formula>
    </cfRule>
  </conditionalFormatting>
  <conditionalFormatting sqref="AE33:AF33">
    <cfRule type="cellIs" dxfId="2406" priority="7" operator="between">
      <formula>0</formula>
      <formula>1000</formula>
    </cfRule>
  </conditionalFormatting>
  <conditionalFormatting sqref="AE33:AF37 AE22:AF25 AE26 AE28 AE30:AE31">
    <cfRule type="containsBlanks" dxfId="2405" priority="6">
      <formula>LEN(TRIM(AE22))=0</formula>
    </cfRule>
  </conditionalFormatting>
  <conditionalFormatting sqref="K6:M6">
    <cfRule type="containsBlanks" dxfId="2404" priority="5">
      <formula>LEN(TRIM(K6))=0</formula>
    </cfRule>
  </conditionalFormatting>
  <conditionalFormatting sqref="K7:K8">
    <cfRule type="containsBlanks" dxfId="2403" priority="4">
      <formula>LEN(TRIM(K7))=0</formula>
    </cfRule>
  </conditionalFormatting>
  <conditionalFormatting sqref="D13:M13">
    <cfRule type="containsBlanks" dxfId="2402" priority="1">
      <formula>LEN(TRIM(D13))=0</formula>
    </cfRule>
  </conditionalFormatting>
  <dataValidations count="5">
    <dataValidation type="list" allowBlank="1" showInputMessage="1" showErrorMessage="1" sqref="L25" xr:uid="{00000000-0002-0000-0300-000000000000}">
      <formula1>$D$101:$D$104</formula1>
    </dataValidation>
    <dataValidation type="list" allowBlank="1" showInputMessage="1" showErrorMessage="1" sqref="M21" xr:uid="{00000000-0002-0000-0300-000001000000}">
      <formula1>$AX$3:$AX$4</formula1>
    </dataValidation>
    <dataValidation type="list" allowBlank="1" showInputMessage="1" showErrorMessage="1" sqref="M19" xr:uid="{00000000-0002-0000-0300-000002000000}">
      <formula1>$AX$3:$AX$5</formula1>
    </dataValidation>
    <dataValidation type="list" allowBlank="1" showInputMessage="1" showErrorMessage="1" sqref="CP70" xr:uid="{00000000-0002-0000-0300-000003000000}">
      <formula1>$BA$3:$BA$5</formula1>
    </dataValidation>
    <dataValidation type="list" allowBlank="1" showInputMessage="1" showErrorMessage="1" sqref="D12:E12" xr:uid="{00000000-0002-0000-0300-000004000000}">
      <formula1>$B$87:$B$94</formula1>
    </dataValidation>
  </dataValidations>
  <hyperlinks>
    <hyperlink ref="D8" r:id="rId1" xr:uid="{00000000-0004-0000-03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00353" r:id="rId5" name="Check Box 1">
              <controlPr defaultSize="0" autoFill="0" autoLine="0" autoPict="0">
                <anchor moveWithCells="1">
                  <from>
                    <xdr:col>1</xdr:col>
                    <xdr:colOff>1962150</xdr:colOff>
                    <xdr:row>16</xdr:row>
                    <xdr:rowOff>0</xdr:rowOff>
                  </from>
                  <to>
                    <xdr:col>2</xdr:col>
                    <xdr:colOff>161925</xdr:colOff>
                    <xdr:row>16</xdr:row>
                    <xdr:rowOff>285750</xdr:rowOff>
                  </to>
                </anchor>
              </controlPr>
            </control>
          </mc:Choice>
        </mc:AlternateContent>
        <mc:AlternateContent xmlns:mc="http://schemas.openxmlformats.org/markup-compatibility/2006">
          <mc:Choice Requires="x14">
            <control shapeId="100354" r:id="rId6" name="Check Box 2">
              <controlPr defaultSize="0" autoFill="0" autoLine="0" autoPict="0">
                <anchor moveWithCells="1">
                  <from>
                    <xdr:col>2</xdr:col>
                    <xdr:colOff>609600</xdr:colOff>
                    <xdr:row>16</xdr:row>
                    <xdr:rowOff>9525</xdr:rowOff>
                  </from>
                  <to>
                    <xdr:col>2</xdr:col>
                    <xdr:colOff>1104900</xdr:colOff>
                    <xdr:row>16</xdr:row>
                    <xdr:rowOff>285750</xdr:rowOff>
                  </to>
                </anchor>
              </controlPr>
            </control>
          </mc:Choice>
        </mc:AlternateContent>
        <mc:AlternateContent xmlns:mc="http://schemas.openxmlformats.org/markup-compatibility/2006">
          <mc:Choice Requires="x14">
            <control shapeId="100355" r:id="rId7" name="Check Box 3">
              <controlPr defaultSize="0" autoFill="0" autoLine="0" autoPict="0">
                <anchor moveWithCells="1">
                  <from>
                    <xdr:col>1</xdr:col>
                    <xdr:colOff>1038225</xdr:colOff>
                    <xdr:row>16</xdr:row>
                    <xdr:rowOff>9525</xdr:rowOff>
                  </from>
                  <to>
                    <xdr:col>1</xdr:col>
                    <xdr:colOff>1533525</xdr:colOff>
                    <xdr:row>16</xdr:row>
                    <xdr:rowOff>285750</xdr:rowOff>
                  </to>
                </anchor>
              </controlPr>
            </control>
          </mc:Choice>
        </mc:AlternateContent>
        <mc:AlternateContent xmlns:mc="http://schemas.openxmlformats.org/markup-compatibility/2006">
          <mc:Choice Requires="x14">
            <control shapeId="10035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0035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00358" r:id="rId10" name="Check Box 6">
              <controlPr defaultSize="0" autoFill="0" autoLine="0" autoPict="0">
                <anchor moveWithCells="1">
                  <from>
                    <xdr:col>15</xdr:col>
                    <xdr:colOff>466725</xdr:colOff>
                    <xdr:row>15</xdr:row>
                    <xdr:rowOff>228600</xdr:rowOff>
                  </from>
                  <to>
                    <xdr:col>15</xdr:col>
                    <xdr:colOff>962025</xdr:colOff>
                    <xdr:row>16</xdr:row>
                    <xdr:rowOff>285750</xdr:rowOff>
                  </to>
                </anchor>
              </controlPr>
            </control>
          </mc:Choice>
        </mc:AlternateContent>
        <mc:AlternateContent xmlns:mc="http://schemas.openxmlformats.org/markup-compatibility/2006">
          <mc:Choice Requires="x14">
            <control shapeId="100359" r:id="rId11" name="Check Box 7">
              <controlPr defaultSize="0" autoFill="0" autoLine="0" autoPict="0">
                <anchor moveWithCells="1">
                  <from>
                    <xdr:col>14</xdr:col>
                    <xdr:colOff>1552575</xdr:colOff>
                    <xdr:row>15</xdr:row>
                    <xdr:rowOff>238125</xdr:rowOff>
                  </from>
                  <to>
                    <xdr:col>15</xdr:col>
                    <xdr:colOff>0</xdr:colOff>
                    <xdr:row>16</xdr:row>
                    <xdr:rowOff>285750</xdr:rowOff>
                  </to>
                </anchor>
              </controlPr>
            </control>
          </mc:Choice>
        </mc:AlternateContent>
        <mc:AlternateContent xmlns:mc="http://schemas.openxmlformats.org/markup-compatibility/2006">
          <mc:Choice Requires="x14">
            <control shapeId="10036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0036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0036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4">
    <tabColor rgb="FF92D050"/>
  </sheetPr>
  <dimension ref="A1:CP153"/>
  <sheetViews>
    <sheetView view="pageBreakPreview" zoomScale="95" zoomScaleNormal="100" zoomScaleSheetLayoutView="95"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45894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45894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221</v>
      </c>
      <c r="AD9" s="222"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25-CAV-S1-AP1-2</v>
      </c>
      <c r="L10" s="536"/>
      <c r="M10" s="537"/>
      <c r="N10" s="80"/>
      <c r="O10" s="538" t="s">
        <v>64</v>
      </c>
      <c r="P10" s="538"/>
      <c r="Q10" s="539" t="str">
        <f>D10</f>
        <v>CLIENTE</v>
      </c>
      <c r="R10" s="539"/>
      <c r="S10" s="539"/>
      <c r="T10" s="539"/>
      <c r="U10" s="539"/>
      <c r="V10" s="539"/>
      <c r="W10" s="540" t="str">
        <f>I10</f>
        <v>INFORME ID No:</v>
      </c>
      <c r="X10" s="540"/>
      <c r="Y10" s="540"/>
      <c r="Z10" s="540"/>
      <c r="AA10" s="540"/>
      <c r="AB10" s="539" t="str">
        <f>K10</f>
        <v>056 25-CAV-S1-AP1-2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214</v>
      </c>
      <c r="G12" s="31" t="s">
        <v>4</v>
      </c>
      <c r="H12" s="146">
        <v>2</v>
      </c>
      <c r="I12" s="546" t="s">
        <v>5</v>
      </c>
      <c r="J12" s="546"/>
      <c r="K12" s="209">
        <v>1</v>
      </c>
      <c r="L12" s="32" t="s">
        <v>6</v>
      </c>
      <c r="M12" s="147">
        <v>2</v>
      </c>
      <c r="N12" s="78"/>
      <c r="O12" s="501" t="s">
        <v>3</v>
      </c>
      <c r="P12" s="501"/>
      <c r="Q12" s="225" t="s">
        <v>56</v>
      </c>
      <c r="R12" s="224" t="str">
        <f>F12</f>
        <v>CAV-S1-AP1</v>
      </c>
      <c r="S12" s="224"/>
      <c r="T12" s="502" t="s">
        <v>4</v>
      </c>
      <c r="U12" s="502"/>
      <c r="V12" s="33">
        <f>+H12</f>
        <v>2</v>
      </c>
      <c r="W12" s="547" t="s">
        <v>5</v>
      </c>
      <c r="X12" s="547"/>
      <c r="Y12" s="547"/>
      <c r="Z12" s="547"/>
      <c r="AA12" s="547"/>
      <c r="AB12" s="547"/>
      <c r="AC12" s="34">
        <f>K12</f>
        <v>1</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215</v>
      </c>
      <c r="E13" s="479"/>
      <c r="F13" s="479"/>
      <c r="G13" s="479"/>
      <c r="H13" s="479"/>
      <c r="I13" s="479"/>
      <c r="J13" s="479"/>
      <c r="K13" s="479"/>
      <c r="L13" s="479"/>
      <c r="M13" s="480"/>
      <c r="N13" s="188"/>
      <c r="O13" s="526" t="s">
        <v>130</v>
      </c>
      <c r="P13" s="526"/>
      <c r="Q13" s="527" t="str">
        <f>D13</f>
        <v>GRAVAS FINAS CON ARENA Y LIMO, COLOR GRIS, DE COMPACIDAD SUELTA,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504</v>
      </c>
      <c r="R20" s="156">
        <v>503</v>
      </c>
      <c r="S20" s="157">
        <v>540</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12040-700</f>
        <v>11340</v>
      </c>
      <c r="F22" s="150">
        <f>12636-700</f>
        <v>11936</v>
      </c>
      <c r="G22" s="150">
        <f>12731-700</f>
        <v>12031</v>
      </c>
      <c r="H22" s="151">
        <f>12221-700</f>
        <v>11521</v>
      </c>
      <c r="I22" s="174"/>
      <c r="J22" s="578"/>
      <c r="K22" s="578"/>
      <c r="L22" s="578"/>
      <c r="M22" s="104"/>
      <c r="N22" s="103"/>
      <c r="O22" s="579" t="s">
        <v>132</v>
      </c>
      <c r="P22" s="580"/>
      <c r="Q22" s="219">
        <v>8448</v>
      </c>
      <c r="R22" s="219">
        <v>8366</v>
      </c>
      <c r="S22" s="208">
        <v>8019</v>
      </c>
      <c r="T22" s="174"/>
      <c r="U22" s="112">
        <v>5.0000000000000001E-3</v>
      </c>
      <c r="V22" s="113">
        <f>U22*25.4</f>
        <v>0.127</v>
      </c>
      <c r="W22" s="581">
        <f>AI22</f>
        <v>8.9230000000000004E-2</v>
      </c>
      <c r="X22" s="582"/>
      <c r="Y22" s="449">
        <f>((W22/19.32)*10)</f>
        <v>4.6185300207039343E-2</v>
      </c>
      <c r="Z22" s="450"/>
      <c r="AA22" s="581">
        <f>AJ22</f>
        <v>6.6000000000000003E-2</v>
      </c>
      <c r="AB22" s="582"/>
      <c r="AC22" s="449">
        <f>((AA22/19.32)*10)</f>
        <v>3.4161490683229816E-2</v>
      </c>
      <c r="AD22" s="450"/>
      <c r="AE22" s="581">
        <f>AK22</f>
        <v>5.2010000000000001E-2</v>
      </c>
      <c r="AF22" s="582"/>
      <c r="AG22" s="114">
        <f>((AE22/19.32)*10)</f>
        <v>2.6920289855072464E-2</v>
      </c>
      <c r="AH22" s="104"/>
      <c r="AI22" s="42">
        <v>8.9230000000000004E-2</v>
      </c>
      <c r="AJ22" s="42">
        <f t="shared" ref="AJ22:AJ33" si="0">AJ50</f>
        <v>6.6000000000000003E-2</v>
      </c>
      <c r="AK22" s="42">
        <v>5.2010000000000001E-2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3788</v>
      </c>
      <c r="R23" s="150">
        <v>3852</v>
      </c>
      <c r="S23" s="151">
        <v>3794</v>
      </c>
      <c r="T23" s="174"/>
      <c r="U23" s="112">
        <v>2.5000000000000001E-2</v>
      </c>
      <c r="V23" s="113">
        <f>U23*25.4</f>
        <v>0.63500000000000001</v>
      </c>
      <c r="W23" s="581">
        <f>AI23</f>
        <v>0.281335</v>
      </c>
      <c r="X23" s="582"/>
      <c r="Y23" s="449">
        <f>((W23/19.32)*10)</f>
        <v>0.14561853002070393</v>
      </c>
      <c r="Z23" s="450"/>
      <c r="AA23" s="581">
        <f>AJ23</f>
        <v>0.188</v>
      </c>
      <c r="AB23" s="582"/>
      <c r="AC23" s="449">
        <f>((AA23/19.32)*10)</f>
        <v>9.7308488612836433E-2</v>
      </c>
      <c r="AD23" s="450"/>
      <c r="AE23" s="581">
        <f>AK23</f>
        <v>0.13997999999999999</v>
      </c>
      <c r="AF23" s="582"/>
      <c r="AG23" s="114">
        <f>((AE23/19.32)*10)</f>
        <v>7.245341614906832E-2</v>
      </c>
      <c r="AH23" s="104"/>
      <c r="AI23" s="42">
        <v>0.281335</v>
      </c>
      <c r="AJ23" s="42">
        <f t="shared" si="0"/>
        <v>0.188</v>
      </c>
      <c r="AK23" s="42">
        <v>0.13997999999999999</v>
      </c>
      <c r="AO23" s="42">
        <v>0.247</v>
      </c>
      <c r="AS23" s="42">
        <f t="shared" ref="AS23:AS37" si="1">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11.62</v>
      </c>
      <c r="S24" s="153">
        <v>11.55</v>
      </c>
      <c r="T24" s="174"/>
      <c r="U24" s="112">
        <v>0.05</v>
      </c>
      <c r="V24" s="113">
        <f>U24*25.4</f>
        <v>1.27</v>
      </c>
      <c r="W24" s="581">
        <f>AI24</f>
        <v>0.58725000000000005</v>
      </c>
      <c r="X24" s="582"/>
      <c r="Y24" s="449">
        <f>((W24/19.32)*10)</f>
        <v>0.30395962732919257</v>
      </c>
      <c r="Z24" s="450"/>
      <c r="AA24" s="581">
        <f>AJ24</f>
        <v>0.40500000000000003</v>
      </c>
      <c r="AB24" s="582"/>
      <c r="AC24" s="449">
        <f>((AA24/19.32)*10)</f>
        <v>0.20962732919254659</v>
      </c>
      <c r="AD24" s="450"/>
      <c r="AE24" s="581">
        <f>AK24</f>
        <v>0.30919999999999997</v>
      </c>
      <c r="AF24" s="582"/>
      <c r="AG24" s="114">
        <f>((AE24/19.32)*10)</f>
        <v>0.16004140786749482</v>
      </c>
      <c r="AH24" s="104"/>
      <c r="AI24" s="42">
        <f>AJ24*1.45</f>
        <v>0.58725000000000005</v>
      </c>
      <c r="AJ24" s="42">
        <f t="shared" si="0"/>
        <v>0.40500000000000003</v>
      </c>
      <c r="AK24" s="42">
        <v>0.30919999999999997</v>
      </c>
      <c r="AO24" s="42">
        <v>0.68400000000000005</v>
      </c>
      <c r="AS24" s="42">
        <f t="shared" si="1"/>
        <v>0.55609756097560981</v>
      </c>
    </row>
    <row r="25" spans="1:45" ht="24.95" customHeight="1" thickBot="1" x14ac:dyDescent="0.3">
      <c r="A25" s="103"/>
      <c r="B25" s="602" t="s">
        <v>69</v>
      </c>
      <c r="C25" s="603"/>
      <c r="D25" s="603"/>
      <c r="E25" s="115">
        <f>E22-E23</f>
        <v>4028</v>
      </c>
      <c r="F25" s="115">
        <f>F22-F23</f>
        <v>4624</v>
      </c>
      <c r="G25" s="115">
        <f>G22-G23</f>
        <v>4719</v>
      </c>
      <c r="H25" s="116">
        <f>H22-H23</f>
        <v>4209</v>
      </c>
      <c r="I25" s="174"/>
      <c r="J25" s="174" t="s">
        <v>127</v>
      </c>
      <c r="K25" s="174"/>
      <c r="L25" s="218" t="s">
        <v>128</v>
      </c>
      <c r="M25" s="155">
        <v>10.28</v>
      </c>
      <c r="N25" s="103"/>
      <c r="O25" s="604" t="s">
        <v>46</v>
      </c>
      <c r="P25" s="605"/>
      <c r="Q25" s="608">
        <v>15.25</v>
      </c>
      <c r="R25" s="608">
        <v>15.3</v>
      </c>
      <c r="S25" s="610">
        <v>15.3</v>
      </c>
      <c r="T25" s="174"/>
      <c r="U25" s="112">
        <v>7.4999999999999997E-2</v>
      </c>
      <c r="V25" s="113">
        <f>U25*25.4</f>
        <v>1.9049999999999998</v>
      </c>
      <c r="W25" s="581">
        <f>AI25</f>
        <v>1.0004999999999999</v>
      </c>
      <c r="X25" s="582"/>
      <c r="Y25" s="449">
        <f>((W25/19.32)*10)</f>
        <v>0.51785714285714279</v>
      </c>
      <c r="Z25" s="450"/>
      <c r="AA25" s="581">
        <f>AJ25</f>
        <v>0.69</v>
      </c>
      <c r="AB25" s="582"/>
      <c r="AC25" s="449">
        <f>((AA25/19.32)*10)</f>
        <v>0.3571428571428571</v>
      </c>
      <c r="AD25" s="450"/>
      <c r="AE25" s="581">
        <f>AK25</f>
        <v>0.52980000000000005</v>
      </c>
      <c r="AF25" s="582"/>
      <c r="AG25" s="114">
        <f>((AE25/19.32)*10)</f>
        <v>0.27422360248447208</v>
      </c>
      <c r="AH25" s="104"/>
      <c r="AI25" s="42">
        <f>AJ25*1.45</f>
        <v>1.0004999999999999</v>
      </c>
      <c r="AJ25" s="42">
        <f t="shared" si="0"/>
        <v>0.69</v>
      </c>
      <c r="AK25" s="42">
        <v>0.52980000000000005</v>
      </c>
      <c r="AO25" s="42">
        <v>1.3149999999999999</v>
      </c>
      <c r="AS25" s="42">
        <f t="shared" si="1"/>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593">
        <f>AI26</f>
        <v>1.4152</v>
      </c>
      <c r="X26" s="594"/>
      <c r="Y26" s="439">
        <f>((W26/19.32)*10)</f>
        <v>0.73250517598343678</v>
      </c>
      <c r="Z26" s="440"/>
      <c r="AA26" s="593">
        <f>AJ26</f>
        <v>0.97599999999999998</v>
      </c>
      <c r="AB26" s="594"/>
      <c r="AC26" s="439">
        <f>((AA26/19.32)*10)</f>
        <v>0.50517598343685299</v>
      </c>
      <c r="AD26" s="440"/>
      <c r="AE26" s="593">
        <f>AK26</f>
        <v>0.76127999999999996</v>
      </c>
      <c r="AF26" s="594"/>
      <c r="AG26" s="469">
        <f>((AE26/19.32)*10)</f>
        <v>0.39403726708074527</v>
      </c>
      <c r="AH26" s="104"/>
      <c r="AI26" s="42">
        <f>AJ26*1.45</f>
        <v>1.4152</v>
      </c>
      <c r="AJ26" s="42">
        <f t="shared" si="0"/>
        <v>0.97599999999999998</v>
      </c>
      <c r="AK26" s="42">
        <f t="shared" ref="AK26:AK32" si="2">AJ26*0.78</f>
        <v>0.76127999999999996</v>
      </c>
      <c r="AO26" s="42">
        <v>1.875</v>
      </c>
      <c r="AS26" s="42">
        <f t="shared" si="1"/>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2136.3818075300146</v>
      </c>
      <c r="S27" s="153">
        <f>(PI()*((S25^2)/4)*S24)</f>
        <v>2123.5120376051354</v>
      </c>
      <c r="T27" s="174"/>
      <c r="U27" s="600"/>
      <c r="V27" s="601"/>
      <c r="W27" s="595"/>
      <c r="X27" s="596"/>
      <c r="Y27" s="441"/>
      <c r="Z27" s="442"/>
      <c r="AA27" s="595"/>
      <c r="AB27" s="596"/>
      <c r="AC27" s="441"/>
      <c r="AD27" s="442"/>
      <c r="AE27" s="595"/>
      <c r="AF27" s="596"/>
      <c r="AG27" s="470"/>
      <c r="AH27" s="193"/>
      <c r="AI27" s="42">
        <v>1.802</v>
      </c>
      <c r="AJ27" s="42">
        <f t="shared" si="0"/>
        <v>1.226</v>
      </c>
      <c r="AK27" s="42">
        <f>AJ27*0.78</f>
        <v>0.95628000000000002</v>
      </c>
      <c r="AO27" s="42">
        <v>2.387</v>
      </c>
      <c r="AS27" s="42">
        <f t="shared" si="1"/>
        <v>1.9406504065040651</v>
      </c>
    </row>
    <row r="28" spans="1:45" ht="24.95" customHeight="1" thickBot="1" x14ac:dyDescent="0.3">
      <c r="A28" s="103"/>
      <c r="B28" s="560" t="s">
        <v>9</v>
      </c>
      <c r="C28" s="561"/>
      <c r="D28" s="561"/>
      <c r="E28" s="148">
        <v>372</v>
      </c>
      <c r="F28" s="148">
        <v>350</v>
      </c>
      <c r="G28" s="148">
        <v>347</v>
      </c>
      <c r="H28" s="149">
        <v>356</v>
      </c>
      <c r="I28" s="174"/>
      <c r="J28" s="597" t="s">
        <v>107</v>
      </c>
      <c r="K28" s="597"/>
      <c r="L28" s="562" t="s">
        <v>119</v>
      </c>
      <c r="M28" s="459">
        <f>IF(M26="","",(100-M26))</f>
        <v>100</v>
      </c>
      <c r="N28" s="103"/>
      <c r="O28" s="625" t="s">
        <v>136</v>
      </c>
      <c r="P28" s="626"/>
      <c r="Q28" s="115">
        <f>Q22-Q23</f>
        <v>4660</v>
      </c>
      <c r="R28" s="220">
        <f>R22-R23</f>
        <v>4514</v>
      </c>
      <c r="S28" s="221">
        <f>S22-S23</f>
        <v>4225</v>
      </c>
      <c r="T28" s="174"/>
      <c r="U28" s="627">
        <v>0.125</v>
      </c>
      <c r="V28" s="624">
        <f>U28*25.4</f>
        <v>3.1749999999999998</v>
      </c>
      <c r="W28" s="593">
        <f>AI27</f>
        <v>1.802</v>
      </c>
      <c r="X28" s="594"/>
      <c r="Y28" s="439">
        <f>((W28/19.32)*10)</f>
        <v>0.93271221532091098</v>
      </c>
      <c r="Z28" s="440"/>
      <c r="AA28" s="593">
        <f>AJ27</f>
        <v>1.226</v>
      </c>
      <c r="AB28" s="594"/>
      <c r="AC28" s="439">
        <f>((AA28/19.32)*10)</f>
        <v>0.63457556935817794</v>
      </c>
      <c r="AD28" s="440"/>
      <c r="AE28" s="593">
        <f>AK27</f>
        <v>0.95628000000000002</v>
      </c>
      <c r="AF28" s="594"/>
      <c r="AG28" s="443">
        <f>((AE28/19.32)*10)</f>
        <v>0.49496894409937886</v>
      </c>
      <c r="AH28" s="104"/>
      <c r="AI28" s="42">
        <v>2.2356539999999998</v>
      </c>
      <c r="AJ28" s="42">
        <f t="shared" si="0"/>
        <v>1.462</v>
      </c>
      <c r="AK28" s="42">
        <f t="shared" si="2"/>
        <v>1.14036</v>
      </c>
      <c r="AO28" s="42">
        <v>2.8959999999999999</v>
      </c>
      <c r="AS28" s="42">
        <f t="shared" si="1"/>
        <v>2.3544715447154472</v>
      </c>
    </row>
    <row r="29" spans="1:45" ht="5.0999999999999996" customHeight="1" thickBot="1" x14ac:dyDescent="0.3">
      <c r="A29" s="103"/>
      <c r="B29" s="612" t="s">
        <v>73</v>
      </c>
      <c r="C29" s="613"/>
      <c r="D29" s="614"/>
      <c r="E29" s="618">
        <v>841.75</v>
      </c>
      <c r="F29" s="618">
        <v>889.12</v>
      </c>
      <c r="G29" s="618">
        <v>905.38</v>
      </c>
      <c r="H29" s="620">
        <v>987.28</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v>2.569</v>
      </c>
      <c r="AJ29" s="42">
        <f t="shared" si="0"/>
        <v>1.667</v>
      </c>
      <c r="AK29" s="42">
        <f t="shared" si="2"/>
        <v>1.30026</v>
      </c>
      <c r="AO29" s="42">
        <v>3.3879999999999999</v>
      </c>
      <c r="AS29" s="42">
        <f t="shared" si="1"/>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19.219763147727271</v>
      </c>
      <c r="N30" s="103"/>
      <c r="O30" s="622" t="s">
        <v>134</v>
      </c>
      <c r="P30" s="623"/>
      <c r="Q30" s="229">
        <f>Q28/Q27</f>
        <v>2.1993703133069005</v>
      </c>
      <c r="R30" s="229">
        <f>R28/R27</f>
        <v>2.1129181984651315</v>
      </c>
      <c r="S30" s="131">
        <f>S28/S27</f>
        <v>1.9896284669828812</v>
      </c>
      <c r="T30" s="174"/>
      <c r="U30" s="120">
        <v>0.15</v>
      </c>
      <c r="V30" s="113">
        <f>U30*25.4</f>
        <v>3.8099999999999996</v>
      </c>
      <c r="W30" s="581">
        <f>AI28</f>
        <v>2.2356539999999998</v>
      </c>
      <c r="X30" s="582"/>
      <c r="Y30" s="449">
        <f>((W30/19.32)*10)</f>
        <v>1.1571708074534162</v>
      </c>
      <c r="Z30" s="450"/>
      <c r="AA30" s="581">
        <f>AJ28</f>
        <v>1.462</v>
      </c>
      <c r="AB30" s="582"/>
      <c r="AC30" s="449">
        <f>((AA30/19.32)*10)</f>
        <v>0.75672877846790887</v>
      </c>
      <c r="AD30" s="450"/>
      <c r="AE30" s="581">
        <f>AK28</f>
        <v>1.14036</v>
      </c>
      <c r="AF30" s="582"/>
      <c r="AG30" s="114">
        <f>((AE30/19.32)*10)</f>
        <v>0.59024844720496894</v>
      </c>
      <c r="AH30" s="104"/>
      <c r="AI30" s="42">
        <v>2.8763200000000002</v>
      </c>
      <c r="AJ30" s="42">
        <f t="shared" si="0"/>
        <v>1.8460000000000001</v>
      </c>
      <c r="AK30" s="42">
        <f t="shared" si="2"/>
        <v>1.43988</v>
      </c>
      <c r="AO30" s="42">
        <v>3.8439999999999999</v>
      </c>
      <c r="AS30" s="42">
        <f t="shared" si="1"/>
        <v>3.1252032520325201</v>
      </c>
    </row>
    <row r="31" spans="1:45" ht="24.95" customHeight="1" thickBot="1" x14ac:dyDescent="0.3">
      <c r="A31" s="103"/>
      <c r="B31" s="576" t="s">
        <v>74</v>
      </c>
      <c r="C31" s="577"/>
      <c r="D31" s="577"/>
      <c r="E31" s="152">
        <v>778.69</v>
      </c>
      <c r="F31" s="152">
        <v>806.01</v>
      </c>
      <c r="G31" s="152">
        <v>804.83</v>
      </c>
      <c r="H31" s="153">
        <v>862.1</v>
      </c>
      <c r="I31" s="174"/>
      <c r="J31" s="597" t="s">
        <v>138</v>
      </c>
      <c r="K31" s="597"/>
      <c r="L31" s="562" t="s">
        <v>116</v>
      </c>
      <c r="M31" s="457">
        <f>IF(M25="","",S82)</f>
        <v>2.7120000000000002</v>
      </c>
      <c r="N31" s="121"/>
      <c r="O31" s="628" t="s">
        <v>135</v>
      </c>
      <c r="P31" s="629"/>
      <c r="Q31" s="122">
        <f>Q30/(1+Q40/100)</f>
        <v>1.9445269691012697</v>
      </c>
      <c r="R31" s="122">
        <f>R30/(1+R40/100)</f>
        <v>1.86817988049984</v>
      </c>
      <c r="S31" s="123">
        <f>S30/(1+S40/100)</f>
        <v>1.7561274397709115</v>
      </c>
      <c r="T31" s="174"/>
      <c r="U31" s="627">
        <v>0.17499999999999999</v>
      </c>
      <c r="V31" s="624">
        <f>U31*25.4</f>
        <v>4.4449999999999994</v>
      </c>
      <c r="W31" s="593">
        <f>AI29</f>
        <v>2.569</v>
      </c>
      <c r="X31" s="594"/>
      <c r="Y31" s="439">
        <f>((W31/19.32)*10)</f>
        <v>1.3297101449275361</v>
      </c>
      <c r="Z31" s="440"/>
      <c r="AA31" s="593">
        <f>AJ29</f>
        <v>1.667</v>
      </c>
      <c r="AB31" s="594"/>
      <c r="AC31" s="439">
        <f>((AA31/19.32)*10)</f>
        <v>0.86283643892339545</v>
      </c>
      <c r="AD31" s="440"/>
      <c r="AE31" s="593">
        <f>AK29</f>
        <v>1.30026</v>
      </c>
      <c r="AF31" s="594"/>
      <c r="AG31" s="443">
        <f>((AE31/19.32)*10)</f>
        <v>0.67301242236024839</v>
      </c>
      <c r="AH31" s="104"/>
      <c r="AI31" s="42">
        <v>3.692221</v>
      </c>
      <c r="AJ31" s="42">
        <f t="shared" si="0"/>
        <v>2.3980000000000001</v>
      </c>
      <c r="AK31" s="42">
        <f t="shared" si="2"/>
        <v>1.8704400000000001</v>
      </c>
      <c r="AO31" s="42">
        <v>5.516</v>
      </c>
      <c r="AS31" s="42">
        <f t="shared" si="1"/>
        <v>4.4845528455284551</v>
      </c>
    </row>
    <row r="32" spans="1:45" ht="5.0999999999999996" customHeight="1" thickBot="1" x14ac:dyDescent="0.3">
      <c r="A32" s="103"/>
      <c r="B32" s="612" t="s">
        <v>75</v>
      </c>
      <c r="C32" s="613"/>
      <c r="D32" s="614"/>
      <c r="E32" s="618">
        <v>101.33</v>
      </c>
      <c r="F32" s="618">
        <v>101.92</v>
      </c>
      <c r="G32" s="618">
        <v>101.24</v>
      </c>
      <c r="H32" s="620">
        <v>103.3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v>4.2450000000000001</v>
      </c>
      <c r="AJ32" s="42">
        <f t="shared" si="0"/>
        <v>2.8679999999999999</v>
      </c>
      <c r="AK32" s="42">
        <f t="shared" si="2"/>
        <v>2.2370399999999999</v>
      </c>
      <c r="AO32" s="42">
        <v>6.7220000000000004</v>
      </c>
      <c r="AS32" s="42">
        <f t="shared" si="1"/>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2.8763200000000002</v>
      </c>
      <c r="X33" s="582"/>
      <c r="Y33" s="449">
        <f>((W33/19.32)*10)</f>
        <v>1.4887784679089027</v>
      </c>
      <c r="Z33" s="450"/>
      <c r="AA33" s="581">
        <f>AJ30</f>
        <v>1.8460000000000001</v>
      </c>
      <c r="AB33" s="582"/>
      <c r="AC33" s="449">
        <f>((AA33/19.32)*10)</f>
        <v>0.95548654244306419</v>
      </c>
      <c r="AD33" s="450"/>
      <c r="AE33" s="581">
        <f>AK30</f>
        <v>1.43988</v>
      </c>
      <c r="AF33" s="582"/>
      <c r="AG33" s="144">
        <f>((AE33/19.32)*10)</f>
        <v>0.7452795031055901</v>
      </c>
      <c r="AH33" s="104"/>
      <c r="AI33" s="42">
        <v>4.7611999999999997</v>
      </c>
      <c r="AJ33" s="42">
        <f t="shared" si="0"/>
        <v>3.3889999999999998</v>
      </c>
      <c r="AK33" s="42">
        <v>2.4561999999999999</v>
      </c>
      <c r="AO33" s="42">
        <v>7.7720000000000002</v>
      </c>
      <c r="AS33" s="42">
        <f t="shared" si="1"/>
        <v>6.3186991869918705</v>
      </c>
    </row>
    <row r="34" spans="1:45" ht="24.95" customHeight="1" thickBot="1" x14ac:dyDescent="0.3">
      <c r="A34" s="103"/>
      <c r="B34" s="602" t="s">
        <v>10</v>
      </c>
      <c r="C34" s="603"/>
      <c r="D34" s="603"/>
      <c r="E34" s="125">
        <f>((E29-E31)/(E31-E32))*100</f>
        <v>9.3096728475256789</v>
      </c>
      <c r="F34" s="125">
        <f>((F29-F31)/(F31-F32))*100</f>
        <v>11.803888707409566</v>
      </c>
      <c r="G34" s="125">
        <f>((G29-G31)/(G31-G32))*100</f>
        <v>14.290993334186094</v>
      </c>
      <c r="H34" s="126">
        <f>((H29-H31)/(H31-H32))*100</f>
        <v>16.497100685292558</v>
      </c>
      <c r="I34" s="174"/>
      <c r="J34" s="630" t="s">
        <v>125</v>
      </c>
      <c r="K34" s="630"/>
      <c r="L34" s="184" t="s">
        <v>126</v>
      </c>
      <c r="M34" s="127">
        <v>2.72</v>
      </c>
      <c r="N34" s="128"/>
      <c r="O34" s="631" t="s">
        <v>9</v>
      </c>
      <c r="P34" s="632"/>
      <c r="Q34" s="156">
        <v>329</v>
      </c>
      <c r="R34" s="156">
        <v>372</v>
      </c>
      <c r="S34" s="157">
        <v>308</v>
      </c>
      <c r="T34" s="174"/>
      <c r="U34" s="120">
        <v>0.3</v>
      </c>
      <c r="V34" s="113">
        <f>U34*25.4</f>
        <v>7.6199999999999992</v>
      </c>
      <c r="W34" s="581">
        <f>AI31</f>
        <v>3.692221</v>
      </c>
      <c r="X34" s="582"/>
      <c r="Y34" s="449">
        <f>((W34/19.32)*10)</f>
        <v>1.911087474120083</v>
      </c>
      <c r="Z34" s="450"/>
      <c r="AA34" s="581">
        <f>AJ31</f>
        <v>2.3980000000000001</v>
      </c>
      <c r="AB34" s="582"/>
      <c r="AC34" s="449">
        <f>((AA34/19.32)*10)</f>
        <v>1.2412008281573499</v>
      </c>
      <c r="AD34" s="450"/>
      <c r="AE34" s="581">
        <f>AK31</f>
        <v>1.8704400000000001</v>
      </c>
      <c r="AF34" s="582"/>
      <c r="AG34" s="114">
        <f>((AE34/19.32)*10)</f>
        <v>0.96813664596273297</v>
      </c>
      <c r="AH34" s="104"/>
      <c r="AS34" s="42">
        <f t="shared" si="1"/>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931.43</v>
      </c>
      <c r="R35" s="608">
        <v>955.43</v>
      </c>
      <c r="S35" s="610">
        <v>990.02</v>
      </c>
      <c r="T35" s="174"/>
      <c r="U35" s="627">
        <v>0.4</v>
      </c>
      <c r="V35" s="624">
        <f>U35*25.4</f>
        <v>10.16</v>
      </c>
      <c r="W35" s="593">
        <f>AI32</f>
        <v>4.2450000000000001</v>
      </c>
      <c r="X35" s="594"/>
      <c r="Y35" s="439">
        <f>((W35/19.32)*10)</f>
        <v>2.1972049689440993</v>
      </c>
      <c r="Z35" s="440"/>
      <c r="AA35" s="593">
        <f>AJ32</f>
        <v>2.8679999999999999</v>
      </c>
      <c r="AB35" s="594"/>
      <c r="AC35" s="439">
        <f>(AA35/19.32)*10</f>
        <v>1.4844720496894408</v>
      </c>
      <c r="AD35" s="440"/>
      <c r="AE35" s="593">
        <f>AK32</f>
        <v>2.2370399999999999</v>
      </c>
      <c r="AF35" s="594"/>
      <c r="AG35" s="443">
        <f>((AE35/19.32)*10)</f>
        <v>1.1578881987577641</v>
      </c>
      <c r="AH35" s="104"/>
      <c r="AS35" s="42">
        <f t="shared" si="1"/>
        <v>0</v>
      </c>
    </row>
    <row r="36" spans="1:45" ht="20.100000000000001" customHeight="1" thickBot="1" x14ac:dyDescent="0.3">
      <c r="A36" s="103"/>
      <c r="B36" s="639" t="s">
        <v>71</v>
      </c>
      <c r="C36" s="640"/>
      <c r="D36" s="640"/>
      <c r="E36" s="130">
        <f>E25/E24</f>
        <v>1.8752327746741155</v>
      </c>
      <c r="F36" s="130">
        <f>F25/F24</f>
        <v>2.1527001862197395</v>
      </c>
      <c r="G36" s="130">
        <f>G25/G24</f>
        <v>2.196927374301676</v>
      </c>
      <c r="H36" s="131">
        <f>H25/H24</f>
        <v>1.9594972067039107</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1"/>
        <v>0</v>
      </c>
    </row>
    <row r="37" spans="1:45" ht="24.95" customHeight="1" thickBot="1" x14ac:dyDescent="0.3">
      <c r="A37" s="103"/>
      <c r="B37" s="602" t="s">
        <v>72</v>
      </c>
      <c r="C37" s="603"/>
      <c r="D37" s="603"/>
      <c r="E37" s="122">
        <f>E36/(1+E34/100)</f>
        <v>1.7155231790784404</v>
      </c>
      <c r="F37" s="230">
        <f>F36/(1+F34/100)</f>
        <v>1.9254251449637403</v>
      </c>
      <c r="G37" s="230">
        <f>G36/(1+G34/100)</f>
        <v>1.9222226618311693</v>
      </c>
      <c r="H37" s="123">
        <f>H36/(1+H34/100)</f>
        <v>1.6820137112230227</v>
      </c>
      <c r="I37" s="174"/>
      <c r="J37" s="641" t="s">
        <v>139</v>
      </c>
      <c r="K37" s="641"/>
      <c r="L37" s="643" t="s">
        <v>121</v>
      </c>
      <c r="M37" s="433">
        <f>IF(F74="","",(M42^2*F74+M42*F75+F76))</f>
        <v>1.9592011363636359</v>
      </c>
      <c r="N37" s="101"/>
      <c r="O37" s="576" t="s">
        <v>28</v>
      </c>
      <c r="P37" s="577"/>
      <c r="Q37" s="150">
        <v>835.14</v>
      </c>
      <c r="R37" s="150">
        <v>856.5</v>
      </c>
      <c r="S37" s="151">
        <v>885.73</v>
      </c>
      <c r="T37" s="174"/>
      <c r="U37" s="132">
        <v>0.5</v>
      </c>
      <c r="V37" s="133">
        <f>U37*25.4</f>
        <v>12.7</v>
      </c>
      <c r="W37" s="637">
        <f>AI33</f>
        <v>4.7611999999999997</v>
      </c>
      <c r="X37" s="638"/>
      <c r="Y37" s="431">
        <f>((W37/19.32)*10)</f>
        <v>2.4643892339544511</v>
      </c>
      <c r="Z37" s="432"/>
      <c r="AA37" s="637">
        <f>AJ33</f>
        <v>3.3889999999999998</v>
      </c>
      <c r="AB37" s="638"/>
      <c r="AC37" s="431">
        <f>((AA37/19.32)*10)</f>
        <v>1.7541407867494825</v>
      </c>
      <c r="AD37" s="432"/>
      <c r="AE37" s="637">
        <f>AK33</f>
        <v>2.4561999999999999</v>
      </c>
      <c r="AF37" s="638"/>
      <c r="AG37" s="134">
        <f>((AE37/19.32)*10)</f>
        <v>1.2713250517598342</v>
      </c>
      <c r="AH37" s="104"/>
      <c r="AS37" s="42">
        <f t="shared" si="1"/>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100.42</v>
      </c>
      <c r="R38" s="647">
        <v>101.33</v>
      </c>
      <c r="S38" s="648">
        <v>101.38</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1.9592011363636361</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19.219763147727271</v>
      </c>
      <c r="N40" s="103"/>
      <c r="O40" s="628" t="s">
        <v>10</v>
      </c>
      <c r="P40" s="629"/>
      <c r="Q40" s="125">
        <f>((Q35-Q37)/(Q37-Q38))*100</f>
        <v>13.105672909407659</v>
      </c>
      <c r="R40" s="125">
        <f>((R35-R37)/(R37-R38))*100</f>
        <v>13.100361508004815</v>
      </c>
      <c r="S40" s="126">
        <f>((S35-S37)/(S37-S38))*100</f>
        <v>13.29636004334799</v>
      </c>
      <c r="T40" s="174"/>
      <c r="U40" s="645" t="s">
        <v>151</v>
      </c>
      <c r="V40" s="646"/>
      <c r="W40" s="423">
        <f>(AM79/6.9)*100</f>
        <v>10.616017043238214</v>
      </c>
      <c r="X40" s="423"/>
      <c r="Y40" s="423"/>
      <c r="Z40" s="424"/>
      <c r="AA40" s="425">
        <f>(AO79/6.9)*100</f>
        <v>7.3213910643022171</v>
      </c>
      <c r="AB40" s="426"/>
      <c r="AC40" s="427"/>
      <c r="AD40" s="425">
        <f>(AQ79/6.9)*100</f>
        <v>5.7106850301557284</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19.219763147727271</v>
      </c>
      <c r="N41" s="138"/>
      <c r="O41" s="565" t="s">
        <v>36</v>
      </c>
      <c r="P41" s="566"/>
      <c r="Q41" s="566"/>
      <c r="R41" s="566"/>
      <c r="S41" s="567"/>
      <c r="T41" s="174"/>
      <c r="U41" s="653" t="s">
        <v>152</v>
      </c>
      <c r="V41" s="654"/>
      <c r="W41" s="418">
        <f>(AM83/10.3)*100</f>
        <v>14.454159882610703</v>
      </c>
      <c r="X41" s="418"/>
      <c r="Y41" s="418"/>
      <c r="Z41" s="419"/>
      <c r="AA41" s="420">
        <f>(AO83/10.3)*100</f>
        <v>9.2765683732336317</v>
      </c>
      <c r="AB41" s="421"/>
      <c r="AC41" s="418"/>
      <c r="AD41" s="420">
        <f>(AQ83/10.3)*100</f>
        <v>7.2357233311222329</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12.825757575757574</v>
      </c>
      <c r="N42" s="103"/>
      <c r="O42" s="639" t="s">
        <v>9</v>
      </c>
      <c r="P42" s="640"/>
      <c r="Q42" s="148">
        <v>373</v>
      </c>
      <c r="R42" s="148">
        <v>355</v>
      </c>
      <c r="S42" s="149">
        <v>364</v>
      </c>
      <c r="T42" s="174"/>
      <c r="U42" s="651" t="s">
        <v>42</v>
      </c>
      <c r="V42" s="652"/>
      <c r="W42" s="413">
        <f>IF(W40&lt;W41,W40,W41)</f>
        <v>10.616017043238214</v>
      </c>
      <c r="X42" s="414"/>
      <c r="Y42" s="414"/>
      <c r="Z42" s="415"/>
      <c r="AA42" s="416">
        <f>IF(AA40&lt;AA41,AA40,AA41)</f>
        <v>7.3213910643022171</v>
      </c>
      <c r="AB42" s="414"/>
      <c r="AC42" s="415"/>
      <c r="AD42" s="416">
        <f>IF(AD40&lt;AD41,AD40,AD41)</f>
        <v>5.7106850301557284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9.9693181818181795</v>
      </c>
      <c r="N43" s="103"/>
      <c r="O43" s="612" t="s">
        <v>49</v>
      </c>
      <c r="P43" s="614"/>
      <c r="Q43" s="608">
        <v>911.37</v>
      </c>
      <c r="R43" s="608">
        <v>1041.3800000000001</v>
      </c>
      <c r="S43" s="610">
        <v>1120.0899999999999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790.45</v>
      </c>
      <c r="R45" s="150">
        <v>892.02</v>
      </c>
      <c r="S45" s="151">
        <v>948.24</v>
      </c>
      <c r="T45" s="174"/>
      <c r="U45" s="656" t="s">
        <v>139</v>
      </c>
      <c r="V45" s="656"/>
      <c r="W45" s="179" t="s">
        <v>121</v>
      </c>
      <c r="X45" s="406">
        <f>MAX(M37:M39)</f>
        <v>1.9592011363636361</v>
      </c>
      <c r="Y45" s="406"/>
      <c r="Z45" s="406"/>
      <c r="AA45" s="174"/>
      <c r="AB45" s="657" t="s">
        <v>31</v>
      </c>
      <c r="AC45" s="658"/>
      <c r="AD45" s="658"/>
      <c r="AE45" s="658"/>
      <c r="AF45" s="231">
        <v>0.1915</v>
      </c>
      <c r="AG45" s="231">
        <v>0.1198</v>
      </c>
      <c r="AH45" s="233">
        <v>0.14549999999999999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116.15</v>
      </c>
      <c r="R46" s="150">
        <v>105.56</v>
      </c>
      <c r="S46" s="151">
        <v>101.05</v>
      </c>
      <c r="T46" s="174"/>
      <c r="U46" s="555" t="s">
        <v>123</v>
      </c>
      <c r="V46" s="555"/>
      <c r="W46" s="179" t="s">
        <v>41</v>
      </c>
      <c r="X46" s="401">
        <f>MIN(M42:M44)</f>
        <v>9.9693181818181795</v>
      </c>
      <c r="Y46" s="401"/>
      <c r="Z46" s="401"/>
      <c r="AA46" s="174"/>
      <c r="AB46" s="660" t="s">
        <v>32</v>
      </c>
      <c r="AC46" s="661"/>
      <c r="AD46" s="661"/>
      <c r="AE46" s="661"/>
      <c r="AF46" s="234">
        <v>0.35149999999999998</v>
      </c>
      <c r="AG46" s="234">
        <v>0.24979999999999999</v>
      </c>
      <c r="AH46" s="235">
        <v>0.25530000000000003</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17.932670917989018</v>
      </c>
      <c r="R47" s="125">
        <f>((R43-R45)/(R45-R46))*100</f>
        <v>18.991429951936542</v>
      </c>
      <c r="S47" s="126">
        <f>((S43-S45)/(S45-S46))*100</f>
        <v>20.284705910126405</v>
      </c>
      <c r="T47" s="174"/>
      <c r="U47" s="555" t="s">
        <v>162</v>
      </c>
      <c r="V47" s="555"/>
      <c r="W47" s="179" t="s">
        <v>41</v>
      </c>
      <c r="X47" s="402">
        <f>IF(L25=D103,"-",IF(L25=D102,"-",IF(L25=D101,M25)))</f>
        <v>10.28</v>
      </c>
      <c r="Y47" s="402"/>
      <c r="Z47" s="402"/>
      <c r="AA47" s="174"/>
      <c r="AB47" s="662" t="s">
        <v>33</v>
      </c>
      <c r="AC47" s="663"/>
      <c r="AD47" s="663"/>
      <c r="AE47" s="663"/>
      <c r="AF47" s="232">
        <f>(AF46-AF45)*2.54</f>
        <v>0.40639999999999993</v>
      </c>
      <c r="AG47" s="140">
        <f>(AG46-AG45)*2.54</f>
        <v>0.33019999999999999</v>
      </c>
      <c r="AH47" s="141">
        <f>(AH46-AH45)*2.54</f>
        <v>0.27889200000000008</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3.5034482758620684</v>
      </c>
      <c r="AG48" s="142">
        <f>IF(AG47&lt;&gt;"",IF(R24&lt;&gt;"",AG47/R24*100,""),"")</f>
        <v>2.8416523235800346</v>
      </c>
      <c r="AH48" s="173">
        <f>IF(AH47&lt;&gt;"",IF(S24&lt;&gt;"",AH47/S24*100,""),"")</f>
        <v>2.4146493506493512</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6.6000000000000003E-2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60" t="str">
        <f>W19</f>
        <v xml:space="preserve">56  GOLPES </v>
      </c>
      <c r="AC51" s="561"/>
      <c r="AD51" s="561"/>
      <c r="AE51" s="561"/>
      <c r="AF51" s="148">
        <v>4556</v>
      </c>
      <c r="AG51" s="765">
        <v>4</v>
      </c>
      <c r="AH51" s="766"/>
      <c r="AJ51" s="42">
        <v>0.188</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0.40500000000000003</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0.69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0.97599999999999998</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1.226</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1.462</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1.667</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1.8460000000000001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2.3980000000000001</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2.8679999999999999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3.3889999999999998</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-1.9800000000000002E-2</v>
      </c>
      <c r="G74" s="75">
        <v>-0.12509999999999999</v>
      </c>
      <c r="J74" s="701"/>
      <c r="K74" s="702"/>
      <c r="L74" s="44"/>
      <c r="M74" s="44"/>
      <c r="N74" s="44"/>
    </row>
    <row r="75" spans="1:94" ht="26.25" customHeight="1" thickBot="1" x14ac:dyDescent="0.3">
      <c r="A75" s="11"/>
      <c r="B75" s="377" t="s">
        <v>113</v>
      </c>
      <c r="C75" s="377"/>
      <c r="D75" s="19"/>
      <c r="E75" s="54" t="s">
        <v>12</v>
      </c>
      <c r="F75" s="55">
        <v>0.50790000000000002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8.9230000000000004E-2</v>
      </c>
      <c r="AM75" s="3">
        <f t="shared" ref="AM75:AM86" si="3">((AL75/19.32)*10)</f>
        <v>4.6185300207039343E-2</v>
      </c>
      <c r="AN75" s="5">
        <f>AA22</f>
        <v>6.6000000000000003E-2</v>
      </c>
      <c r="AO75" s="3">
        <f>((AN75/19.32)*10)</f>
        <v>3.4161490683229816E-2</v>
      </c>
      <c r="AP75" s="5">
        <f>AE22</f>
        <v>5.2010000000000001E-2</v>
      </c>
      <c r="AQ75" s="161">
        <f t="shared" ref="AQ75:AQ84" si="4">((AP75/19.32)*10)</f>
        <v>2.6920289855072464E-2</v>
      </c>
    </row>
    <row r="76" spans="1:94" ht="26.25" customHeight="1" thickBot="1" x14ac:dyDescent="0.3">
      <c r="A76" s="11"/>
      <c r="B76" s="377" t="s">
        <v>114</v>
      </c>
      <c r="C76" s="377"/>
      <c r="D76" s="20"/>
      <c r="E76" s="56" t="s">
        <v>13</v>
      </c>
      <c r="F76" s="57">
        <v>-1.2979000000000001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5">AJ76*25.4</f>
        <v>0.63500000000000001</v>
      </c>
      <c r="AL76" s="5">
        <f>W23</f>
        <v>0.281335</v>
      </c>
      <c r="AM76" s="3">
        <f t="shared" si="3"/>
        <v>0.14561853002070393</v>
      </c>
      <c r="AN76" s="5">
        <f>AA23</f>
        <v>0.188</v>
      </c>
      <c r="AO76" s="3">
        <f t="shared" ref="AO76:AO86" si="6">((AN76/19.32)*10)</f>
        <v>9.7308488612836433E-2</v>
      </c>
      <c r="AP76" s="5">
        <f>AE23</f>
        <v>0.13997999999999999</v>
      </c>
      <c r="AQ76" s="161">
        <f t="shared" si="4"/>
        <v>7.245341614906832E-2</v>
      </c>
    </row>
    <row r="77" spans="1:94" ht="26.25" customHeight="1" thickTop="1" thickBot="1" x14ac:dyDescent="0.3">
      <c r="A77" s="11"/>
      <c r="B77" s="377" t="s">
        <v>115</v>
      </c>
      <c r="C77" s="377"/>
      <c r="D77" s="15"/>
      <c r="J77" s="380"/>
      <c r="K77" s="381"/>
      <c r="U77" s="44"/>
      <c r="AB77" s="44"/>
      <c r="AC77" s="44"/>
      <c r="AD77" s="44"/>
      <c r="AE77" s="44"/>
      <c r="AJ77" s="160">
        <f>U24</f>
        <v>0.05</v>
      </c>
      <c r="AK77" s="3">
        <f t="shared" si="5"/>
        <v>1.27</v>
      </c>
      <c r="AL77" s="5">
        <f>W24</f>
        <v>0.58725000000000005</v>
      </c>
      <c r="AM77" s="3">
        <f t="shared" si="3"/>
        <v>0.30395962732919257</v>
      </c>
      <c r="AN77" s="5">
        <f>AA24</f>
        <v>0.40500000000000003</v>
      </c>
      <c r="AO77" s="3">
        <f t="shared" si="6"/>
        <v>0.20962732919254659</v>
      </c>
      <c r="AP77" s="5">
        <f>AE24</f>
        <v>0.30919999999999997</v>
      </c>
      <c r="AQ77" s="161">
        <f t="shared" si="4"/>
        <v>0.16004140786749482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5"/>
        <v>1.9049999999999998</v>
      </c>
      <c r="AL78" s="5">
        <f>W25</f>
        <v>1.0004999999999999</v>
      </c>
      <c r="AM78" s="3">
        <f t="shared" si="3"/>
        <v>0.51785714285714279</v>
      </c>
      <c r="AN78" s="5">
        <f>AA25</f>
        <v>0.69</v>
      </c>
      <c r="AO78" s="3">
        <f t="shared" si="6"/>
        <v>0.3571428571428571</v>
      </c>
      <c r="AP78" s="5">
        <f>AE25</f>
        <v>0.52980000000000005</v>
      </c>
      <c r="AQ78" s="161">
        <f t="shared" si="4"/>
        <v>0.27422360248447208</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5"/>
        <v>2.54</v>
      </c>
      <c r="AL79" s="5">
        <f>W26</f>
        <v>1.4152</v>
      </c>
      <c r="AM79" s="4">
        <f t="shared" si="3"/>
        <v>0.73250517598343678</v>
      </c>
      <c r="AN79" s="5">
        <f>AA26</f>
        <v>0.97599999999999998</v>
      </c>
      <c r="AO79" s="4">
        <f t="shared" si="6"/>
        <v>0.50517598343685299</v>
      </c>
      <c r="AP79" s="5">
        <f>AE26</f>
        <v>0.76127999999999996</v>
      </c>
      <c r="AQ79" s="162">
        <f t="shared" si="4"/>
        <v>0.39403726708074527</v>
      </c>
      <c r="BB79" s="12">
        <v>17</v>
      </c>
      <c r="BC79" s="12">
        <v>18</v>
      </c>
    </row>
    <row r="80" spans="1:94" ht="42" customHeight="1" thickTop="1" thickBot="1" x14ac:dyDescent="0.3">
      <c r="D80" s="49"/>
      <c r="H80" s="711" t="s">
        <v>105</v>
      </c>
      <c r="I80" s="712"/>
      <c r="J80" s="58"/>
      <c r="AJ80" s="160">
        <f>U28</f>
        <v>0.125</v>
      </c>
      <c r="AK80" s="3">
        <f t="shared" si="5"/>
        <v>3.1749999999999998</v>
      </c>
      <c r="AL80" s="5">
        <f>W28</f>
        <v>1.802</v>
      </c>
      <c r="AM80" s="3">
        <f t="shared" si="3"/>
        <v>0.93271221532091098</v>
      </c>
      <c r="AN80" s="5">
        <f>AA28</f>
        <v>1.226</v>
      </c>
      <c r="AO80" s="3">
        <f t="shared" si="6"/>
        <v>0.63457556935817794</v>
      </c>
      <c r="AP80" s="5">
        <f>AE28</f>
        <v>0.95628000000000002</v>
      </c>
      <c r="AQ80" s="161">
        <f t="shared" si="4"/>
        <v>0.49496894409937886</v>
      </c>
      <c r="BC80" s="45">
        <v>0.99880400000000003</v>
      </c>
      <c r="BD80" s="45">
        <v>0.99862499999999998</v>
      </c>
    </row>
    <row r="81" spans="2:43" ht="15.75" customHeight="1" x14ac:dyDescent="0.25">
      <c r="AJ81" s="160">
        <f>U30</f>
        <v>0.15</v>
      </c>
      <c r="AK81" s="3">
        <f t="shared" si="5"/>
        <v>3.8099999999999996</v>
      </c>
      <c r="AL81" s="5">
        <f>W30</f>
        <v>2.2356539999999998</v>
      </c>
      <c r="AM81" s="3">
        <f t="shared" si="3"/>
        <v>1.1571708074534162</v>
      </c>
      <c r="AN81" s="5">
        <f>AA30</f>
        <v>1.462</v>
      </c>
      <c r="AO81" s="3">
        <f t="shared" si="6"/>
        <v>0.75672877846790887</v>
      </c>
      <c r="AP81" s="5">
        <f>AE30</f>
        <v>1.14036</v>
      </c>
      <c r="AQ81" s="161">
        <f t="shared" si="4"/>
        <v>0.59024844720496894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5"/>
        <v>4.4449999999999994</v>
      </c>
      <c r="AL82" s="5">
        <f>W31</f>
        <v>2.569</v>
      </c>
      <c r="AM82" s="3">
        <f t="shared" si="3"/>
        <v>1.3297101449275361</v>
      </c>
      <c r="AN82" s="5">
        <f>AA31</f>
        <v>1.667</v>
      </c>
      <c r="AO82" s="3">
        <f t="shared" si="6"/>
        <v>0.86283643892339545</v>
      </c>
      <c r="AP82" s="5">
        <f>AE31</f>
        <v>1.30026</v>
      </c>
      <c r="AQ82" s="161">
        <f t="shared" si="4"/>
        <v>0.67301242236024839</v>
      </c>
    </row>
    <row r="83" spans="2:43" ht="15" customHeight="1" x14ac:dyDescent="0.25">
      <c r="B83" s="49"/>
      <c r="C83" s="49"/>
      <c r="D83" s="49">
        <v>0</v>
      </c>
      <c r="E83" s="50">
        <f>M42</f>
        <v>12.825757575757574</v>
      </c>
      <c r="F83" s="49"/>
      <c r="G83" s="43">
        <f>G84/10</f>
        <v>2.1291659856149829</v>
      </c>
      <c r="H83" s="43">
        <f>H84/10</f>
        <v>2.0198237323646575</v>
      </c>
      <c r="I83" s="43">
        <f>I84/10</f>
        <v>1.9214309372972291</v>
      </c>
      <c r="J83" s="43">
        <f>J84/10</f>
        <v>1.8418451479937594</v>
      </c>
      <c r="K83" s="43"/>
      <c r="L83" s="42">
        <v>0</v>
      </c>
      <c r="O83" s="706"/>
      <c r="P83" s="706"/>
      <c r="Q83" s="706"/>
      <c r="R83" s="706"/>
      <c r="S83" s="707"/>
      <c r="W83" s="112"/>
      <c r="AJ83" s="160">
        <f>U33</f>
        <v>0.2</v>
      </c>
      <c r="AK83" s="4">
        <f t="shared" si="5"/>
        <v>5.08</v>
      </c>
      <c r="AL83" s="5">
        <f>W33</f>
        <v>2.8763200000000002</v>
      </c>
      <c r="AM83" s="4">
        <f t="shared" si="3"/>
        <v>1.4887784679089027</v>
      </c>
      <c r="AN83" s="5">
        <f>AA33</f>
        <v>1.8460000000000001</v>
      </c>
      <c r="AO83" s="4">
        <f t="shared" si="6"/>
        <v>0.95548654244306419</v>
      </c>
      <c r="AP83" s="5">
        <f>AE33</f>
        <v>1.43988</v>
      </c>
      <c r="AQ83" s="162">
        <f t="shared" si="4"/>
        <v>0.7452795031055901</v>
      </c>
    </row>
    <row r="84" spans="2:43" ht="15" customHeight="1" x14ac:dyDescent="0.25">
      <c r="C84" s="94"/>
      <c r="D84" s="94"/>
      <c r="E84" s="94"/>
      <c r="F84" s="49"/>
      <c r="G84" s="43">
        <f>($M$34/(1+(E34*$M$34/100)))*($O$73)</f>
        <v>21.291659856149828</v>
      </c>
      <c r="H84" s="43">
        <f>($M$34/(1+(F34*$M$34/100)))*($O$73)</f>
        <v>20.198237323646573</v>
      </c>
      <c r="I84" s="43">
        <f>($M$34/(1+(G34*$M$34/100)))*($O$73)</f>
        <v>19.214309372972291</v>
      </c>
      <c r="J84" s="43">
        <f>($M$34/(1+(H34*$M$34/100)))*($O$73)</f>
        <v>18.418451479937595</v>
      </c>
      <c r="K84" s="43"/>
      <c r="O84" s="706" t="s">
        <v>146</v>
      </c>
      <c r="P84" s="706"/>
      <c r="Q84" s="706"/>
      <c r="R84" s="706"/>
      <c r="S84" s="707">
        <v>2240</v>
      </c>
      <c r="W84" s="112"/>
      <c r="AJ84" s="160">
        <f>U34</f>
        <v>0.3</v>
      </c>
      <c r="AK84" s="3">
        <f t="shared" si="5"/>
        <v>7.6199999999999992</v>
      </c>
      <c r="AL84" s="5">
        <f>W34</f>
        <v>3.692221</v>
      </c>
      <c r="AM84" s="3">
        <f t="shared" si="3"/>
        <v>1.911087474120083</v>
      </c>
      <c r="AN84" s="5">
        <f>AA34</f>
        <v>2.3980000000000001</v>
      </c>
      <c r="AO84" s="3">
        <f t="shared" si="6"/>
        <v>1.2412008281573499</v>
      </c>
      <c r="AP84" s="5">
        <f>AE34</f>
        <v>1.8704400000000001</v>
      </c>
      <c r="AQ84" s="161">
        <f t="shared" si="4"/>
        <v>0.96813664596273297</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4.2450000000000001</v>
      </c>
      <c r="AM85" s="3">
        <f t="shared" si="3"/>
        <v>2.1972049689440993</v>
      </c>
      <c r="AN85" s="5">
        <f>AA35</f>
        <v>2.8679999999999999</v>
      </c>
      <c r="AO85" s="3">
        <f t="shared" si="6"/>
        <v>1.4844720496894408</v>
      </c>
      <c r="AP85" s="5">
        <f>AE35</f>
        <v>2.2370399999999999</v>
      </c>
      <c r="AQ85" s="161">
        <f>((AP85/19.32)*10)</f>
        <v>1.1578881987577641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4.7611999999999997</v>
      </c>
      <c r="AM86" s="164">
        <f t="shared" si="3"/>
        <v>2.4643892339544511</v>
      </c>
      <c r="AN86" s="165">
        <f>AA37</f>
        <v>3.3889999999999998</v>
      </c>
      <c r="AO86" s="164">
        <f t="shared" si="6"/>
        <v>1.7541407867494825</v>
      </c>
      <c r="AP86" s="165">
        <f>AE37</f>
        <v>2.4561999999999999</v>
      </c>
      <c r="AQ86" s="166">
        <f>((AP86/19.32)*10)</f>
        <v>1.2713250517598342</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1.9445269691012697</v>
      </c>
      <c r="AK91" s="9">
        <f>R31</f>
        <v>1.86817988049984</v>
      </c>
      <c r="AL91" s="10">
        <f>S31</f>
        <v>1.7561274397709115</v>
      </c>
    </row>
    <row r="92" spans="2:43" ht="21" customHeight="1" thickBot="1" x14ac:dyDescent="0.3">
      <c r="B92" s="92"/>
      <c r="C92" s="93"/>
      <c r="D92" s="93"/>
      <c r="E92" s="93"/>
      <c r="F92" s="62"/>
      <c r="G92" s="63"/>
      <c r="H92" s="49"/>
      <c r="I92" s="49"/>
      <c r="O92" s="725" t="s">
        <v>147</v>
      </c>
      <c r="P92" s="726"/>
      <c r="Q92" s="726"/>
      <c r="R92" s="726"/>
      <c r="S92" s="61">
        <f>M42</f>
        <v>12.825757575757574</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10.616017043238214</v>
      </c>
      <c r="AK94" s="158">
        <f>AA42</f>
        <v>7.3213910643022171</v>
      </c>
      <c r="AL94" s="158">
        <f>AD42</f>
        <v>5.7106850301557284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B6:B10 B12:B13 D6:D10 D12 F12:M12 L9:M9 I6:J10">
    <cfRule type="containsBlanks" dxfId="2401" priority="43">
      <formula>LEN(TRIM(B6))=0</formula>
    </cfRule>
  </conditionalFormatting>
  <conditionalFormatting sqref="D6:H10">
    <cfRule type="containsBlanks" dxfId="2400" priority="42">
      <formula>LEN(TRIM(D6))=0</formula>
    </cfRule>
  </conditionalFormatting>
  <conditionalFormatting sqref="M19">
    <cfRule type="containsBlanks" dxfId="2399" priority="41">
      <formula>LEN(TRIM(M19))=0</formula>
    </cfRule>
  </conditionalFormatting>
  <conditionalFormatting sqref="CP70">
    <cfRule type="containsBlanks" dxfId="2398" priority="40">
      <formula>LEN(TRIM(CP70))=0</formula>
    </cfRule>
  </conditionalFormatting>
  <conditionalFormatting sqref="M21">
    <cfRule type="containsBlanks" dxfId="2397" priority="39">
      <formula>LEN(TRIM(M21))=0</formula>
    </cfRule>
  </conditionalFormatting>
  <conditionalFormatting sqref="D12:M12">
    <cfRule type="containsBlanks" dxfId="2396" priority="38">
      <formula>LEN(TRIM(D12))=0</formula>
    </cfRule>
  </conditionalFormatting>
  <conditionalFormatting sqref="L9:M9">
    <cfRule type="containsBlanks" dxfId="2395" priority="37">
      <formula>LEN(TRIM(L9))=0</formula>
    </cfRule>
  </conditionalFormatting>
  <conditionalFormatting sqref="L25">
    <cfRule type="containsBlanks" dxfId="2394" priority="36">
      <formula>LEN(TRIM(L25))=0</formula>
    </cfRule>
  </conditionalFormatting>
  <conditionalFormatting sqref="Q20:S26">
    <cfRule type="containsBlanks" dxfId="2393" priority="26">
      <formula>LEN(TRIM(Q20))=0</formula>
    </cfRule>
    <cfRule type="containsBlanks" dxfId="2392" priority="35">
      <formula>LEN(TRIM(Q20))=0</formula>
    </cfRule>
  </conditionalFormatting>
  <conditionalFormatting sqref="U26:V27 AC33 AC26">
    <cfRule type="cellIs" dxfId="2391" priority="34" operator="between">
      <formula>0</formula>
      <formula>500</formula>
    </cfRule>
  </conditionalFormatting>
  <conditionalFormatting sqref="U33:V33">
    <cfRule type="cellIs" dxfId="2390" priority="33" operator="between">
      <formula>0</formula>
      <formula>500</formula>
    </cfRule>
  </conditionalFormatting>
  <conditionalFormatting sqref="AF45:AH46">
    <cfRule type="containsBlanks" dxfId="2389" priority="32">
      <formula>LEN(TRIM(AF45))=0</formula>
    </cfRule>
  </conditionalFormatting>
  <conditionalFormatting sqref="AF51:AG53">
    <cfRule type="containsBlanks" dxfId="2388" priority="31">
      <formula>LEN(TRIM(AF51))=0</formula>
    </cfRule>
  </conditionalFormatting>
  <conditionalFormatting sqref="E20:H24">
    <cfRule type="containsBlanks" dxfId="2387" priority="30">
      <formula>LEN(TRIM(E20))=0</formula>
    </cfRule>
  </conditionalFormatting>
  <conditionalFormatting sqref="E28:H33">
    <cfRule type="containsBlanks" dxfId="2386" priority="29">
      <formula>LEN(TRIM(E28))=0</formula>
    </cfRule>
  </conditionalFormatting>
  <conditionalFormatting sqref="Q42:S46">
    <cfRule type="containsBlanks" dxfId="2385" priority="28">
      <formula>LEN(TRIM(Q42))=0</formula>
    </cfRule>
  </conditionalFormatting>
  <conditionalFormatting sqref="Q34:S39">
    <cfRule type="containsBlanks" dxfId="2384" priority="27">
      <formula>LEN(TRIM(Q34))=0</formula>
    </cfRule>
  </conditionalFormatting>
  <conditionalFormatting sqref="M25">
    <cfRule type="containsBlanks" dxfId="2383" priority="25">
      <formula>LEN(TRIM(M25))=0</formula>
    </cfRule>
  </conditionalFormatting>
  <conditionalFormatting sqref="U26:V27 Y26:Z27 AC26:AD27 AG26:AG27">
    <cfRule type="containsBlanks" dxfId="2382" priority="23">
      <formula>LEN(TRIM(U26))=0</formula>
    </cfRule>
    <cfRule type="cellIs" dxfId="2381" priority="24" operator="between">
      <formula>0</formula>
      <formula>1000</formula>
    </cfRule>
  </conditionalFormatting>
  <conditionalFormatting sqref="W87:W88">
    <cfRule type="cellIs" dxfId="2380" priority="22" operator="between">
      <formula>0</formula>
      <formula>500</formula>
    </cfRule>
  </conditionalFormatting>
  <conditionalFormatting sqref="W94">
    <cfRule type="cellIs" dxfId="2379" priority="21" operator="between">
      <formula>0</formula>
      <formula>500</formula>
    </cfRule>
  </conditionalFormatting>
  <conditionalFormatting sqref="W87:W88">
    <cfRule type="containsBlanks" dxfId="2378" priority="19">
      <formula>LEN(TRIM(W87))=0</formula>
    </cfRule>
    <cfRule type="cellIs" dxfId="2377" priority="20" operator="between">
      <formula>0</formula>
      <formula>1000</formula>
    </cfRule>
  </conditionalFormatting>
  <conditionalFormatting sqref="U33:V33 Y33:Z33 AC33:AD33 AG33">
    <cfRule type="cellIs" dxfId="2376" priority="18" operator="between">
      <formula>0</formula>
      <formula>1000</formula>
    </cfRule>
  </conditionalFormatting>
  <conditionalFormatting sqref="Q27:S27">
    <cfRule type="containsBlanks" dxfId="2375" priority="16">
      <formula>LEN(TRIM(Q27))=0</formula>
    </cfRule>
    <cfRule type="containsBlanks" dxfId="2374" priority="17">
      <formula>LEN(TRIM(Q27))=0</formula>
    </cfRule>
  </conditionalFormatting>
  <conditionalFormatting sqref="W37 W22:W26 W28 W30:W31 W33:W35">
    <cfRule type="containsBlanks" dxfId="2373" priority="15">
      <formula>LEN(TRIM(W22))=0</formula>
    </cfRule>
  </conditionalFormatting>
  <conditionalFormatting sqref="W37 W22:W26 W28 W30:W31 W33:W35">
    <cfRule type="containsBlanks" dxfId="2372" priority="14">
      <formula>LEN(TRIM(W22))=0</formula>
    </cfRule>
  </conditionalFormatting>
  <conditionalFormatting sqref="W33:X33">
    <cfRule type="cellIs" dxfId="2371" priority="13" operator="between">
      <formula>0</formula>
      <formula>1000</formula>
    </cfRule>
  </conditionalFormatting>
  <conditionalFormatting sqref="W26 W22:X25 W28 W30:X30 W33:X37 W31">
    <cfRule type="containsBlanks" dxfId="2370" priority="12">
      <formula>LEN(TRIM(W22))=0</formula>
    </cfRule>
  </conditionalFormatting>
  <conditionalFormatting sqref="AA37 AA30:AA31 AA33:AA35 AA22:AA26 AA28">
    <cfRule type="containsBlanks" dxfId="2369" priority="11">
      <formula>LEN(TRIM(AA22))=0</formula>
    </cfRule>
  </conditionalFormatting>
  <conditionalFormatting sqref="AA37 AA30:AA31 AA33:AA35 AA22:AA26 AA28">
    <cfRule type="containsBlanks" dxfId="2368" priority="10">
      <formula>LEN(TRIM(AA22))=0</formula>
    </cfRule>
  </conditionalFormatting>
  <conditionalFormatting sqref="AA33:AB34">
    <cfRule type="cellIs" dxfId="2367" priority="9" operator="between">
      <formula>0</formula>
      <formula>1000</formula>
    </cfRule>
  </conditionalFormatting>
  <conditionalFormatting sqref="AA30:AB30 AA31 AA33:AB37 AA22:AB25 AA26 AA28">
    <cfRule type="containsBlanks" dxfId="2366" priority="8">
      <formula>LEN(TRIM(AA22))=0</formula>
    </cfRule>
  </conditionalFormatting>
  <conditionalFormatting sqref="AE37 AE28 AE30:AE31 AE22:AE26 AE33:AE35">
    <cfRule type="containsBlanks" dxfId="2365" priority="7">
      <formula>LEN(TRIM(AE22))=0</formula>
    </cfRule>
  </conditionalFormatting>
  <conditionalFormatting sqref="AE37 AE28 AE30:AE31 AE22:AE26 AE33:AE35">
    <cfRule type="containsBlanks" dxfId="2364" priority="6">
      <formula>LEN(TRIM(AE22))=0</formula>
    </cfRule>
  </conditionalFormatting>
  <conditionalFormatting sqref="AE33:AF34">
    <cfRule type="cellIs" dxfId="2363" priority="5" operator="between">
      <formula>0</formula>
      <formula>1000</formula>
    </cfRule>
  </conditionalFormatting>
  <conditionalFormatting sqref="AE26 AE28 AE30:AE31 AE22:AF25 AE33:AF37">
    <cfRule type="containsBlanks" dxfId="2362" priority="4">
      <formula>LEN(TRIM(AE22))=0</formula>
    </cfRule>
  </conditionalFormatting>
  <conditionalFormatting sqref="K6:M6">
    <cfRule type="containsBlanks" dxfId="2361" priority="3">
      <formula>LEN(TRIM(K6))=0</formula>
    </cfRule>
  </conditionalFormatting>
  <conditionalFormatting sqref="K7:K8">
    <cfRule type="containsBlanks" dxfId="2360" priority="2">
      <formula>LEN(TRIM(K7))=0</formula>
    </cfRule>
  </conditionalFormatting>
  <conditionalFormatting sqref="D13:M13">
    <cfRule type="containsBlanks" dxfId="2359" priority="1">
      <formula>LEN(TRIM(D13))=0</formula>
    </cfRule>
  </conditionalFormatting>
  <dataValidations count="5">
    <dataValidation type="list" allowBlank="1" showInputMessage="1" showErrorMessage="1" sqref="D12:E12" xr:uid="{00000000-0002-0000-0400-000000000000}">
      <formula1>$B$87:$B$94</formula1>
    </dataValidation>
    <dataValidation type="list" allowBlank="1" showInputMessage="1" showErrorMessage="1" sqref="CP70" xr:uid="{00000000-0002-0000-0400-000001000000}">
      <formula1>$BA$3:$BA$5</formula1>
    </dataValidation>
    <dataValidation type="list" allowBlank="1" showInputMessage="1" showErrorMessage="1" sqref="M19" xr:uid="{00000000-0002-0000-0400-000002000000}">
      <formula1>$AX$3:$AX$5</formula1>
    </dataValidation>
    <dataValidation type="list" allowBlank="1" showInputMessage="1" showErrorMessage="1" sqref="M21" xr:uid="{00000000-0002-0000-0400-000003000000}">
      <formula1>$AX$3:$AX$4</formula1>
    </dataValidation>
    <dataValidation type="list" allowBlank="1" showInputMessage="1" showErrorMessage="1" sqref="L25" xr:uid="{00000000-0002-0000-0400-000004000000}">
      <formula1>$D$101:$D$104</formula1>
    </dataValidation>
  </dataValidations>
  <hyperlinks>
    <hyperlink ref="D8" r:id="rId1" xr:uid="{00000000-0004-0000-04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03425"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03426"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03427"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0342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0342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03430"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03431"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0343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0343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0343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2">
    <tabColor rgb="FF92D050"/>
  </sheetPr>
  <dimension ref="A1:CP153"/>
  <sheetViews>
    <sheetView view="pageBreakPreview" topLeftCell="J30" zoomScaleNormal="100" zoomScaleSheetLayoutView="100"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45894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45894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221</v>
      </c>
      <c r="AD9" s="222"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25-CAV-S1-AP2-3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25-CAV-S1-AP2-3</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212</v>
      </c>
      <c r="G12" s="31" t="s">
        <v>4</v>
      </c>
      <c r="H12" s="146">
        <v>3</v>
      </c>
      <c r="I12" s="546" t="s">
        <v>5</v>
      </c>
      <c r="J12" s="546"/>
      <c r="K12" s="209">
        <v>1.7</v>
      </c>
      <c r="L12" s="32" t="s">
        <v>6</v>
      </c>
      <c r="M12" s="147">
        <v>2</v>
      </c>
      <c r="N12" s="78"/>
      <c r="O12" s="501" t="s">
        <v>3</v>
      </c>
      <c r="P12" s="501"/>
      <c r="Q12" s="225" t="s">
        <v>56</v>
      </c>
      <c r="R12" s="224" t="str">
        <f>F12</f>
        <v>CAV-S1-AP2</v>
      </c>
      <c r="S12" s="224"/>
      <c r="T12" s="502" t="s">
        <v>4</v>
      </c>
      <c r="U12" s="502"/>
      <c r="V12" s="33">
        <f>+H12</f>
        <v>3</v>
      </c>
      <c r="W12" s="547" t="s">
        <v>5</v>
      </c>
      <c r="X12" s="547"/>
      <c r="Y12" s="547"/>
      <c r="Z12" s="547"/>
      <c r="AA12" s="547"/>
      <c r="AB12" s="547"/>
      <c r="AC12" s="34">
        <f>K12</f>
        <v>1.7</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216</v>
      </c>
      <c r="E13" s="479"/>
      <c r="F13" s="479"/>
      <c r="G13" s="479"/>
      <c r="H13" s="479"/>
      <c r="I13" s="479"/>
      <c r="J13" s="479"/>
      <c r="K13" s="479"/>
      <c r="L13" s="479"/>
      <c r="M13" s="480"/>
      <c r="N13" s="188"/>
      <c r="O13" s="526" t="s">
        <v>130</v>
      </c>
      <c r="P13" s="526"/>
      <c r="Q13" s="527" t="str">
        <f>D13</f>
        <v>ARENA CON LIMO COLOR MARRÓN DE CONSISTENCIA FIRME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504</v>
      </c>
      <c r="R20" s="156">
        <v>602</v>
      </c>
      <c r="S20" s="157">
        <v>547</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11332-250</f>
        <v>11082</v>
      </c>
      <c r="F22" s="150">
        <f>12096-250</f>
        <v>11846</v>
      </c>
      <c r="G22" s="150">
        <f>12145-250</f>
        <v>11895</v>
      </c>
      <c r="H22" s="151">
        <f>11746-250</f>
        <v>11496</v>
      </c>
      <c r="I22" s="174"/>
      <c r="J22" s="578"/>
      <c r="K22" s="578"/>
      <c r="L22" s="578"/>
      <c r="M22" s="104"/>
      <c r="N22" s="103"/>
      <c r="O22" s="579" t="s">
        <v>132</v>
      </c>
      <c r="P22" s="580"/>
      <c r="Q22" s="219">
        <v>8182</v>
      </c>
      <c r="R22" s="219">
        <v>7989</v>
      </c>
      <c r="S22" s="208">
        <v>7878</v>
      </c>
      <c r="T22" s="174"/>
      <c r="U22" s="112">
        <v>5.0000000000000001E-3</v>
      </c>
      <c r="V22" s="113">
        <f>U22*25.4</f>
        <v>0.127</v>
      </c>
      <c r="W22" s="581">
        <f>AI22</f>
        <v>7.2599999999999998E-2</v>
      </c>
      <c r="X22" s="582"/>
      <c r="Y22" s="449">
        <f>((W22/19.32)*10)</f>
        <v>3.7577639751552795E-2</v>
      </c>
      <c r="Z22" s="450"/>
      <c r="AA22" s="581">
        <f>AJ22</f>
        <v>0.06</v>
      </c>
      <c r="AB22" s="582"/>
      <c r="AC22" s="449">
        <f>((AA22/19.32)*10)</f>
        <v>3.1055900621118009E-2</v>
      </c>
      <c r="AD22" s="450"/>
      <c r="AE22" s="581">
        <f>AK22</f>
        <v>4.8600000000000004E-2</v>
      </c>
      <c r="AF22" s="582"/>
      <c r="AG22" s="114">
        <f>((AE22/19.32)*10)</f>
        <v>2.5155279503105591E-2</v>
      </c>
      <c r="AH22" s="104"/>
      <c r="AI22" s="42">
        <f>AJ22*1.21</f>
        <v>7.2599999999999998E-2</v>
      </c>
      <c r="AJ22" s="42">
        <f t="shared" ref="AJ22:AJ33" si="0">AJ50</f>
        <v>0.06</v>
      </c>
      <c r="AK22" s="42">
        <f>AJ22*0.81</f>
        <v>4.8600000000000004E-2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3788</v>
      </c>
      <c r="R23" s="150">
        <v>3844</v>
      </c>
      <c r="S23" s="151">
        <v>3836</v>
      </c>
      <c r="T23" s="174"/>
      <c r="U23" s="112">
        <v>2.5000000000000001E-2</v>
      </c>
      <c r="V23" s="113">
        <f>U23*25.4</f>
        <v>0.63500000000000001</v>
      </c>
      <c r="W23" s="581">
        <v>0.30099999999999999</v>
      </c>
      <c r="X23" s="582"/>
      <c r="Y23" s="449">
        <f>((W23/19.32)*10)</f>
        <v>0.15579710144927536</v>
      </c>
      <c r="Z23" s="450"/>
      <c r="AA23" s="581">
        <f>AJ23</f>
        <v>0.247</v>
      </c>
      <c r="AB23" s="582"/>
      <c r="AC23" s="449">
        <f>((AA23/19.32)*10)</f>
        <v>0.12784679089026915</v>
      </c>
      <c r="AD23" s="450"/>
      <c r="AE23" s="581">
        <v>0.19700000000000001</v>
      </c>
      <c r="AF23" s="582"/>
      <c r="AG23" s="114">
        <f>((AE23/19.32)*10)</f>
        <v>0.10196687370600414</v>
      </c>
      <c r="AH23" s="104"/>
      <c r="AI23" s="42">
        <f>AJ23*1.21</f>
        <v>0.29886999999999997</v>
      </c>
      <c r="AJ23" s="42">
        <f t="shared" si="0"/>
        <v>0.247</v>
      </c>
      <c r="AK23" s="42">
        <f>AJ23*0.81</f>
        <v>0.20007</v>
      </c>
      <c r="AO23" s="42">
        <v>0.247</v>
      </c>
      <c r="AS23" s="42">
        <f t="shared" ref="AS23:AS37" si="1">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11.5</v>
      </c>
      <c r="R24" s="152">
        <v>11.6</v>
      </c>
      <c r="S24" s="153">
        <v>11.58</v>
      </c>
      <c r="T24" s="174"/>
      <c r="U24" s="112">
        <v>0.05</v>
      </c>
      <c r="V24" s="113">
        <f>U24*25.4</f>
        <v>1.27</v>
      </c>
      <c r="W24" s="581">
        <f>AI24</f>
        <v>0.86868000000000012</v>
      </c>
      <c r="X24" s="582"/>
      <c r="Y24" s="449">
        <f>((W24/19.32)*10)</f>
        <v>0.44962732919254667</v>
      </c>
      <c r="Z24" s="450"/>
      <c r="AA24" s="581">
        <f>AJ24</f>
        <v>0.68400000000000005</v>
      </c>
      <c r="AB24" s="582"/>
      <c r="AC24" s="449">
        <f>((AA24/19.32)*10)</f>
        <v>0.35403726708074534</v>
      </c>
      <c r="AD24" s="450"/>
      <c r="AE24" s="581">
        <f>AK24</f>
        <v>0.55404000000000009</v>
      </c>
      <c r="AF24" s="582"/>
      <c r="AG24" s="114">
        <f>((AE24/19.32)*10)</f>
        <v>0.2867701863354038</v>
      </c>
      <c r="AH24" s="104"/>
      <c r="AI24" s="42">
        <f>AJ24*1.27</f>
        <v>0.86868000000000012</v>
      </c>
      <c r="AJ24" s="42">
        <f t="shared" si="0"/>
        <v>0.68400000000000005</v>
      </c>
      <c r="AK24" s="42">
        <f>AJ24*0.81</f>
        <v>0.55404000000000009</v>
      </c>
      <c r="AO24" s="42">
        <v>0.68400000000000005</v>
      </c>
      <c r="AS24" s="42">
        <f t="shared" si="1"/>
        <v>0.55609756097560981</v>
      </c>
    </row>
    <row r="25" spans="1:45" ht="24.95" customHeight="1" thickBot="1" x14ac:dyDescent="0.3">
      <c r="A25" s="103"/>
      <c r="B25" s="602" t="s">
        <v>69</v>
      </c>
      <c r="C25" s="603"/>
      <c r="D25" s="603"/>
      <c r="E25" s="115">
        <f>E22-E23</f>
        <v>3770</v>
      </c>
      <c r="F25" s="115">
        <f>F22-F23</f>
        <v>4534</v>
      </c>
      <c r="G25" s="115">
        <f>G22-G23</f>
        <v>4583</v>
      </c>
      <c r="H25" s="116">
        <f>H22-H23</f>
        <v>4184</v>
      </c>
      <c r="I25" s="174"/>
      <c r="J25" s="174" t="s">
        <v>127</v>
      </c>
      <c r="K25" s="174"/>
      <c r="L25" s="218" t="s">
        <v>128</v>
      </c>
      <c r="M25" s="155">
        <v>0</v>
      </c>
      <c r="N25" s="103"/>
      <c r="O25" s="604" t="s">
        <v>46</v>
      </c>
      <c r="P25" s="605"/>
      <c r="Q25" s="608">
        <v>15.2</v>
      </c>
      <c r="R25" s="608">
        <v>15.22</v>
      </c>
      <c r="S25" s="610">
        <v>15.2</v>
      </c>
      <c r="T25" s="174"/>
      <c r="U25" s="112">
        <v>7.4999999999999997E-2</v>
      </c>
      <c r="V25" s="113">
        <f>U25*25.4</f>
        <v>1.9049999999999998</v>
      </c>
      <c r="W25" s="581">
        <f>AI25</f>
        <v>1.67005</v>
      </c>
      <c r="X25" s="582"/>
      <c r="Y25" s="449">
        <f>((W25/19.32)*10)</f>
        <v>0.86441511387163561</v>
      </c>
      <c r="Z25" s="450"/>
      <c r="AA25" s="581">
        <f>AJ25</f>
        <v>1.3149999999999999</v>
      </c>
      <c r="AB25" s="582"/>
      <c r="AC25" s="449">
        <f>((AA25/19.32)*10)</f>
        <v>0.68064182194616973</v>
      </c>
      <c r="AD25" s="450"/>
      <c r="AE25" s="581">
        <f>AK25</f>
        <v>1.0257000000000001</v>
      </c>
      <c r="AF25" s="582"/>
      <c r="AG25" s="114">
        <f>((AE25/19.32)*10)</f>
        <v>0.53090062111801239</v>
      </c>
      <c r="AH25" s="104"/>
      <c r="AI25" s="42">
        <f t="shared" ref="AI25:AI30" si="2">AJ25*1.27</f>
        <v>1.67005</v>
      </c>
      <c r="AJ25" s="42">
        <f t="shared" si="0"/>
        <v>1.3149999999999999</v>
      </c>
      <c r="AK25" s="42">
        <f>AJ25*0.78</f>
        <v>1.0257000000000001</v>
      </c>
      <c r="AO25" s="42">
        <v>1.3149999999999999</v>
      </c>
      <c r="AS25" s="42">
        <f t="shared" si="1"/>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593">
        <f>AI26</f>
        <v>2.3812500000000001</v>
      </c>
      <c r="X26" s="594"/>
      <c r="Y26" s="439">
        <f>((W26/19.32)*10)</f>
        <v>1.2325310559006211</v>
      </c>
      <c r="Z26" s="440"/>
      <c r="AA26" s="593">
        <f>AJ26</f>
        <v>1.875</v>
      </c>
      <c r="AB26" s="594"/>
      <c r="AC26" s="439">
        <f>((AA26/19.32)*10)</f>
        <v>0.97049689440993792</v>
      </c>
      <c r="AD26" s="440"/>
      <c r="AE26" s="593">
        <f>AK26</f>
        <v>1.4625000000000001</v>
      </c>
      <c r="AF26" s="594"/>
      <c r="AG26" s="469">
        <f>((AE26/19.32)*10)</f>
        <v>0.75698757763975166</v>
      </c>
      <c r="AH26" s="104"/>
      <c r="AI26" s="42">
        <f t="shared" si="2"/>
        <v>2.3812500000000001</v>
      </c>
      <c r="AJ26" s="42">
        <f t="shared" si="0"/>
        <v>1.875</v>
      </c>
      <c r="AK26" s="42">
        <f>AJ26*0.78</f>
        <v>1.4625000000000001</v>
      </c>
      <c r="AO26" s="42">
        <v>1.875</v>
      </c>
      <c r="AS26" s="42">
        <f t="shared" si="1"/>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2086.7715042204841</v>
      </c>
      <c r="R27" s="152">
        <f>(PI()*((R25^2)/4)*R24)</f>
        <v>2110.4602438019065</v>
      </c>
      <c r="S27" s="153">
        <f>(PI()*((S25^2)/4)*S24)</f>
        <v>2101.2881755541921</v>
      </c>
      <c r="T27" s="174"/>
      <c r="U27" s="600"/>
      <c r="V27" s="601"/>
      <c r="W27" s="595"/>
      <c r="X27" s="596"/>
      <c r="Y27" s="441"/>
      <c r="Z27" s="442"/>
      <c r="AA27" s="595"/>
      <c r="AB27" s="596"/>
      <c r="AC27" s="441"/>
      <c r="AD27" s="442"/>
      <c r="AE27" s="595"/>
      <c r="AF27" s="596"/>
      <c r="AG27" s="470"/>
      <c r="AH27" s="193"/>
      <c r="AI27" s="42">
        <f t="shared" si="2"/>
        <v>3.0314900000000002</v>
      </c>
      <c r="AJ27" s="42">
        <f t="shared" si="0"/>
        <v>2.387</v>
      </c>
      <c r="AK27" s="42">
        <f>AJ27*0.76</f>
        <v>1.81412</v>
      </c>
      <c r="AO27" s="42">
        <v>2.387</v>
      </c>
      <c r="AS27" s="42">
        <f t="shared" si="1"/>
        <v>1.9406504065040651</v>
      </c>
    </row>
    <row r="28" spans="1:45" ht="24.95" customHeight="1" thickBot="1" x14ac:dyDescent="0.3">
      <c r="A28" s="103"/>
      <c r="B28" s="560" t="s">
        <v>9</v>
      </c>
      <c r="C28" s="561"/>
      <c r="D28" s="561"/>
      <c r="E28" s="148">
        <v>331</v>
      </c>
      <c r="F28" s="148">
        <v>308</v>
      </c>
      <c r="G28" s="148">
        <v>382</v>
      </c>
      <c r="H28" s="149">
        <v>356</v>
      </c>
      <c r="I28" s="174"/>
      <c r="J28" s="597" t="s">
        <v>107</v>
      </c>
      <c r="K28" s="597"/>
      <c r="L28" s="562" t="s">
        <v>119</v>
      </c>
      <c r="M28" s="459">
        <f>IF(M26="","",(100-M26))</f>
        <v>100</v>
      </c>
      <c r="N28" s="103"/>
      <c r="O28" s="625" t="s">
        <v>136</v>
      </c>
      <c r="P28" s="626"/>
      <c r="Q28" s="115">
        <f>Q22-Q23</f>
        <v>4394</v>
      </c>
      <c r="R28" s="220">
        <f>R22-R23</f>
        <v>4145</v>
      </c>
      <c r="S28" s="221">
        <f>S22-S23</f>
        <v>4042</v>
      </c>
      <c r="T28" s="174"/>
      <c r="U28" s="627">
        <v>0.125</v>
      </c>
      <c r="V28" s="624">
        <f>U28*25.4</f>
        <v>3.1749999999999998</v>
      </c>
      <c r="W28" s="593">
        <f>AI27</f>
        <v>3.0314900000000002</v>
      </c>
      <c r="X28" s="594"/>
      <c r="Y28" s="439">
        <f>((W28/19.32)*10)</f>
        <v>1.5690942028985508</v>
      </c>
      <c r="Z28" s="440"/>
      <c r="AA28" s="593">
        <f>AJ27</f>
        <v>2.387</v>
      </c>
      <c r="AB28" s="594"/>
      <c r="AC28" s="439">
        <f>((AA28/19.32)*10)</f>
        <v>1.2355072463768115</v>
      </c>
      <c r="AD28" s="440"/>
      <c r="AE28" s="593">
        <f>AK27</f>
        <v>1.81412</v>
      </c>
      <c r="AF28" s="594"/>
      <c r="AG28" s="443">
        <f>((AE28/19.32)*10)</f>
        <v>0.93898550724637686</v>
      </c>
      <c r="AH28" s="104"/>
      <c r="AI28" s="42">
        <f t="shared" si="2"/>
        <v>3.6779199999999999</v>
      </c>
      <c r="AJ28" s="42">
        <f t="shared" si="0"/>
        <v>2.8959999999999999</v>
      </c>
      <c r="AK28" s="42">
        <f t="shared" ref="AK28:AK33" si="3">AJ28*0.71</f>
        <v>2.0561599999999998</v>
      </c>
      <c r="AO28" s="42">
        <v>2.8959999999999999</v>
      </c>
      <c r="AS28" s="42">
        <f t="shared" si="1"/>
        <v>2.3544715447154472</v>
      </c>
    </row>
    <row r="29" spans="1:45" ht="5.0999999999999996" customHeight="1" thickBot="1" x14ac:dyDescent="0.3">
      <c r="A29" s="103"/>
      <c r="B29" s="612" t="s">
        <v>73</v>
      </c>
      <c r="C29" s="613"/>
      <c r="D29" s="614"/>
      <c r="E29" s="618">
        <v>948.71</v>
      </c>
      <c r="F29" s="618">
        <v>1089</v>
      </c>
      <c r="G29" s="618">
        <v>833.12</v>
      </c>
      <c r="H29" s="620">
        <v>905.93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4.3027600000000001</v>
      </c>
      <c r="AJ29" s="42">
        <f t="shared" si="0"/>
        <v>3.3879999999999999</v>
      </c>
      <c r="AK29" s="42">
        <f t="shared" si="3"/>
        <v>2.4054799999999998</v>
      </c>
      <c r="AO29" s="42">
        <v>3.3879999999999999</v>
      </c>
      <c r="AS29" s="42">
        <f t="shared" si="1"/>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19.395232367441864</v>
      </c>
      <c r="N30" s="103"/>
      <c r="O30" s="622" t="s">
        <v>134</v>
      </c>
      <c r="P30" s="623"/>
      <c r="Q30" s="130">
        <f>Q28/Q27</f>
        <v>2.1056450076652662</v>
      </c>
      <c r="R30" s="130">
        <f>R28/R27</f>
        <v>1.9640265729587754</v>
      </c>
      <c r="S30" s="131">
        <f>S28/S27</f>
        <v>1.9235819470282634</v>
      </c>
      <c r="T30" s="174"/>
      <c r="U30" s="120">
        <v>0.15</v>
      </c>
      <c r="V30" s="113">
        <f>U30*25.4</f>
        <v>3.8099999999999996</v>
      </c>
      <c r="W30" s="581">
        <f>AI28</f>
        <v>3.6779199999999999</v>
      </c>
      <c r="X30" s="582"/>
      <c r="Y30" s="449">
        <f>((W30/19.32)*10)</f>
        <v>1.9036853002070391</v>
      </c>
      <c r="Z30" s="450"/>
      <c r="AA30" s="581">
        <f>AJ28</f>
        <v>2.8959999999999999</v>
      </c>
      <c r="AB30" s="582"/>
      <c r="AC30" s="449">
        <f>((AA30/19.32)*10)</f>
        <v>1.4989648033126293</v>
      </c>
      <c r="AD30" s="450"/>
      <c r="AE30" s="581">
        <f>AK28</f>
        <v>2.0561599999999998</v>
      </c>
      <c r="AF30" s="582"/>
      <c r="AG30" s="114">
        <f>((AE30/19.32)*10)</f>
        <v>1.0642650103519666</v>
      </c>
      <c r="AH30" s="104"/>
      <c r="AI30" s="42">
        <f t="shared" si="2"/>
        <v>4.8818799999999998</v>
      </c>
      <c r="AJ30" s="42">
        <f t="shared" si="0"/>
        <v>3.8439999999999999</v>
      </c>
      <c r="AK30" s="42">
        <f t="shared" si="3"/>
        <v>2.7292399999999999</v>
      </c>
      <c r="AO30" s="42">
        <v>3.8439999999999999</v>
      </c>
      <c r="AS30" s="42">
        <f t="shared" si="1"/>
        <v>3.1252032520325201</v>
      </c>
    </row>
    <row r="31" spans="1:45" ht="24.95" customHeight="1" thickBot="1" x14ac:dyDescent="0.3">
      <c r="A31" s="103"/>
      <c r="B31" s="576" t="s">
        <v>74</v>
      </c>
      <c r="C31" s="577"/>
      <c r="D31" s="577"/>
      <c r="E31" s="152">
        <v>903.6</v>
      </c>
      <c r="F31" s="152">
        <v>1015.79</v>
      </c>
      <c r="G31" s="152">
        <v>764.24</v>
      </c>
      <c r="H31" s="153">
        <v>815.52</v>
      </c>
      <c r="I31" s="174"/>
      <c r="J31" s="597" t="s">
        <v>138</v>
      </c>
      <c r="K31" s="597"/>
      <c r="L31" s="562" t="s">
        <v>116</v>
      </c>
      <c r="M31" s="457">
        <f>IF(M25="","",S82)</f>
        <v>2.7120000000000002</v>
      </c>
      <c r="N31" s="121"/>
      <c r="O31" s="628" t="s">
        <v>135</v>
      </c>
      <c r="P31" s="629"/>
      <c r="Q31" s="122">
        <f>Q30/(1+Q40/100)</f>
        <v>1.9322634910486292</v>
      </c>
      <c r="R31" s="122">
        <f>R30/(1+R40/100)</f>
        <v>1.8035182518544934</v>
      </c>
      <c r="S31" s="123">
        <f>S30/(1+S40/100)</f>
        <v>1.7616679407462503</v>
      </c>
      <c r="T31" s="174"/>
      <c r="U31" s="627">
        <v>0.17499999999999999</v>
      </c>
      <c r="V31" s="624">
        <f>U31*25.4</f>
        <v>4.4449999999999994</v>
      </c>
      <c r="W31" s="593">
        <f>AI29</f>
        <v>4.3027600000000001</v>
      </c>
      <c r="X31" s="594"/>
      <c r="Y31" s="439">
        <f>((W31/19.32)*10)</f>
        <v>2.2271014492753625</v>
      </c>
      <c r="Z31" s="440"/>
      <c r="AA31" s="593">
        <f>AJ29</f>
        <v>3.3879999999999999</v>
      </c>
      <c r="AB31" s="594"/>
      <c r="AC31" s="439">
        <f>((AA31/19.32)*10)</f>
        <v>1.7536231884057971</v>
      </c>
      <c r="AD31" s="440"/>
      <c r="AE31" s="593">
        <f>AK29</f>
        <v>2.4054799999999998</v>
      </c>
      <c r="AF31" s="594"/>
      <c r="AG31" s="443">
        <f>((AE31/19.32)*10)</f>
        <v>1.2450724637681159</v>
      </c>
      <c r="AH31" s="104"/>
      <c r="AI31" s="42">
        <f>AJ31*1.23</f>
        <v>6.7846799999999998</v>
      </c>
      <c r="AJ31" s="42">
        <f t="shared" si="0"/>
        <v>5.516</v>
      </c>
      <c r="AK31" s="42">
        <f t="shared" si="3"/>
        <v>3.9163599999999996</v>
      </c>
      <c r="AO31" s="42">
        <v>5.516</v>
      </c>
      <c r="AS31" s="42">
        <f t="shared" si="1"/>
        <v>4.4845528455284551</v>
      </c>
    </row>
    <row r="32" spans="1:45" ht="5.0999999999999996" customHeight="1" thickBot="1" x14ac:dyDescent="0.3">
      <c r="A32" s="103"/>
      <c r="B32" s="612" t="s">
        <v>75</v>
      </c>
      <c r="C32" s="613"/>
      <c r="D32" s="614"/>
      <c r="E32" s="618">
        <v>83.95</v>
      </c>
      <c r="F32" s="618">
        <v>101.38</v>
      </c>
      <c r="G32" s="618">
        <v>101.42</v>
      </c>
      <c r="H32" s="620">
        <v>103.3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AJ32*1.25</f>
        <v>8.4024999999999999</v>
      </c>
      <c r="AJ32" s="42">
        <f t="shared" si="0"/>
        <v>6.7220000000000004</v>
      </c>
      <c r="AK32" s="42">
        <f t="shared" si="3"/>
        <v>4.7726199999999999</v>
      </c>
      <c r="AO32" s="42">
        <v>6.7220000000000004</v>
      </c>
      <c r="AS32" s="42">
        <f t="shared" si="1"/>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4.8818799999999998</v>
      </c>
      <c r="X33" s="582"/>
      <c r="Y33" s="449">
        <f>((W33/19.32)*10)</f>
        <v>2.5268530020703932</v>
      </c>
      <c r="Z33" s="450"/>
      <c r="AA33" s="581">
        <f>AJ30</f>
        <v>3.8439999999999999</v>
      </c>
      <c r="AB33" s="582"/>
      <c r="AC33" s="449">
        <f>((AA33/19.32)*10)</f>
        <v>1.989648033126294</v>
      </c>
      <c r="AD33" s="450"/>
      <c r="AE33" s="581">
        <f>AK30</f>
        <v>2.7292399999999999</v>
      </c>
      <c r="AF33" s="582"/>
      <c r="AG33" s="144">
        <f>((AE33/19.32)*10)</f>
        <v>1.4126501035196686</v>
      </c>
      <c r="AH33" s="104"/>
      <c r="AI33" s="42">
        <f>AJ33*1.21</f>
        <v>9.4041200000000007</v>
      </c>
      <c r="AJ33" s="42">
        <f t="shared" si="0"/>
        <v>7.7720000000000002</v>
      </c>
      <c r="AK33" s="42">
        <f t="shared" si="3"/>
        <v>5.5181199999999997</v>
      </c>
      <c r="AO33" s="42">
        <v>7.7720000000000002</v>
      </c>
      <c r="AS33" s="42">
        <f t="shared" si="1"/>
        <v>6.3186991869918705</v>
      </c>
    </row>
    <row r="34" spans="1:45" ht="24.95" customHeight="1" thickBot="1" x14ac:dyDescent="0.3">
      <c r="A34" s="103"/>
      <c r="B34" s="602" t="s">
        <v>10</v>
      </c>
      <c r="C34" s="603"/>
      <c r="D34" s="603"/>
      <c r="E34" s="125">
        <f>((E29-E31)/(E31-E32))*100</f>
        <v>5.5035685963521033</v>
      </c>
      <c r="F34" s="125">
        <f>((F29-F31)/(F31-F32))*100</f>
        <v>8.006255399656613</v>
      </c>
      <c r="G34" s="125">
        <f>((G29-G31)/(G31-G32))*100</f>
        <v>10.391961618538968</v>
      </c>
      <c r="H34" s="126">
        <f>((H29-H31)/(H31-H32))*100</f>
        <v>12.694111370082272</v>
      </c>
      <c r="I34" s="174"/>
      <c r="J34" s="630" t="s">
        <v>125</v>
      </c>
      <c r="K34" s="630"/>
      <c r="L34" s="184" t="s">
        <v>126</v>
      </c>
      <c r="M34" s="127">
        <v>2.69</v>
      </c>
      <c r="N34" s="128"/>
      <c r="O34" s="631" t="s">
        <v>9</v>
      </c>
      <c r="P34" s="632"/>
      <c r="Q34" s="156">
        <v>355</v>
      </c>
      <c r="R34" s="156">
        <v>331</v>
      </c>
      <c r="S34" s="157">
        <v>347</v>
      </c>
      <c r="T34" s="174"/>
      <c r="U34" s="120">
        <v>0.3</v>
      </c>
      <c r="V34" s="113">
        <f>U34*25.4</f>
        <v>7.6199999999999992</v>
      </c>
      <c r="W34" s="581">
        <f>AI31</f>
        <v>6.7846799999999998</v>
      </c>
      <c r="X34" s="582"/>
      <c r="Y34" s="449">
        <f>((W34/19.32)*10)</f>
        <v>3.5117391304347825</v>
      </c>
      <c r="Z34" s="450"/>
      <c r="AA34" s="581">
        <f>AJ31</f>
        <v>5.516</v>
      </c>
      <c r="AB34" s="582"/>
      <c r="AC34" s="449">
        <f>((AA34/19.32)*10)</f>
        <v>2.8550724637681157</v>
      </c>
      <c r="AD34" s="450"/>
      <c r="AE34" s="581">
        <f>AK31</f>
        <v>3.9163599999999996</v>
      </c>
      <c r="AF34" s="582"/>
      <c r="AG34" s="114">
        <f>((AE34/19.32)*10)</f>
        <v>2.0271014492753618</v>
      </c>
      <c r="AH34" s="104"/>
      <c r="AS34" s="42">
        <f t="shared" si="1"/>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741.45</v>
      </c>
      <c r="R35" s="608">
        <v>791.33</v>
      </c>
      <c r="S35" s="610">
        <v>825.58</v>
      </c>
      <c r="T35" s="174"/>
      <c r="U35" s="627">
        <v>0.4</v>
      </c>
      <c r="V35" s="624">
        <f>U35*25.4</f>
        <v>10.16</v>
      </c>
      <c r="W35" s="593">
        <f>AI32</f>
        <v>8.4024999999999999</v>
      </c>
      <c r="X35" s="594"/>
      <c r="Y35" s="439">
        <f>((W35/19.32)*10)</f>
        <v>4.3491200828157348</v>
      </c>
      <c r="Z35" s="440"/>
      <c r="AA35" s="593">
        <f>AJ32</f>
        <v>6.7220000000000004</v>
      </c>
      <c r="AB35" s="594"/>
      <c r="AC35" s="439">
        <f>(AA35/19.32)*10</f>
        <v>3.479296066252588</v>
      </c>
      <c r="AD35" s="440"/>
      <c r="AE35" s="593">
        <f>AK32</f>
        <v>4.7726199999999999</v>
      </c>
      <c r="AF35" s="594"/>
      <c r="AG35" s="443">
        <f>((AE35/19.32)*10)</f>
        <v>2.4703002070393372</v>
      </c>
      <c r="AH35" s="104"/>
      <c r="AS35" s="42">
        <f t="shared" si="1"/>
        <v>0</v>
      </c>
    </row>
    <row r="36" spans="1:45" ht="20.100000000000001" customHeight="1" thickBot="1" x14ac:dyDescent="0.3">
      <c r="A36" s="103"/>
      <c r="B36" s="639" t="s">
        <v>71</v>
      </c>
      <c r="C36" s="640"/>
      <c r="D36" s="640"/>
      <c r="E36" s="130">
        <f>E25/E24</f>
        <v>1.7551210428305399</v>
      </c>
      <c r="F36" s="130">
        <f>F25/F24</f>
        <v>2.110800744878957</v>
      </c>
      <c r="G36" s="130">
        <f>G25/G24</f>
        <v>2.133612662942272</v>
      </c>
      <c r="H36" s="131">
        <f>H25/H24</f>
        <v>1.9478584729981379</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1"/>
        <v>0</v>
      </c>
    </row>
    <row r="37" spans="1:45" ht="24.95" customHeight="1" thickBot="1" x14ac:dyDescent="0.3">
      <c r="A37" s="103"/>
      <c r="B37" s="602" t="s">
        <v>72</v>
      </c>
      <c r="C37" s="603"/>
      <c r="D37" s="603"/>
      <c r="E37" s="122">
        <f>E36/(1+E34/100)</f>
        <v>1.6635655705121097</v>
      </c>
      <c r="F37" s="122">
        <f>F36/(1+F34/100)</f>
        <v>1.9543319385236904</v>
      </c>
      <c r="G37" s="122">
        <f>G36/(1+G34/100)</f>
        <v>1.9327608927858368</v>
      </c>
      <c r="H37" s="123">
        <f>H36/(1+H34/100)</f>
        <v>1.7284474311186149</v>
      </c>
      <c r="I37" s="174"/>
      <c r="J37" s="641" t="s">
        <v>139</v>
      </c>
      <c r="K37" s="641"/>
      <c r="L37" s="643" t="s">
        <v>121</v>
      </c>
      <c r="M37" s="433">
        <f>IF(F74="","",(M42^2*F74+M42*F75+F76))</f>
        <v>1.9770879069767444</v>
      </c>
      <c r="N37" s="101"/>
      <c r="O37" s="576" t="s">
        <v>28</v>
      </c>
      <c r="P37" s="577"/>
      <c r="Q37" s="150">
        <v>689.09</v>
      </c>
      <c r="R37" s="150">
        <v>733.52</v>
      </c>
      <c r="S37" s="151">
        <v>764.61</v>
      </c>
      <c r="T37" s="174"/>
      <c r="U37" s="132">
        <v>0.5</v>
      </c>
      <c r="V37" s="133">
        <f>U37*25.4</f>
        <v>12.7</v>
      </c>
      <c r="W37" s="637">
        <f>AI33</f>
        <v>9.4041200000000007</v>
      </c>
      <c r="X37" s="638"/>
      <c r="Y37" s="431">
        <f>((W37/19.32)*10)</f>
        <v>4.8675569358178059</v>
      </c>
      <c r="Z37" s="432"/>
      <c r="AA37" s="637">
        <f>AJ33</f>
        <v>7.7720000000000002</v>
      </c>
      <c r="AB37" s="638"/>
      <c r="AC37" s="431">
        <f>((AA37/19.32)*10)</f>
        <v>4.0227743271221534</v>
      </c>
      <c r="AD37" s="432"/>
      <c r="AE37" s="637">
        <f>AK33</f>
        <v>5.5181199999999997</v>
      </c>
      <c r="AF37" s="638"/>
      <c r="AG37" s="134">
        <f>((AE37/19.32)*10)</f>
        <v>2.8561697722567287</v>
      </c>
      <c r="AH37" s="104"/>
      <c r="AS37" s="42">
        <f t="shared" si="1"/>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105.56</v>
      </c>
      <c r="R38" s="647">
        <v>83.95</v>
      </c>
      <c r="S38" s="648">
        <v>101.24</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19.395232367441864</v>
      </c>
      <c r="N40" s="103"/>
      <c r="O40" s="628" t="s">
        <v>10</v>
      </c>
      <c r="P40" s="629"/>
      <c r="Q40" s="125">
        <f>((Q35-Q37)/(Q37-Q38))*100</f>
        <v>8.9729748256302191</v>
      </c>
      <c r="R40" s="125">
        <f>((R35-R37)/(R37-R38))*100</f>
        <v>8.8997336699662952</v>
      </c>
      <c r="S40" s="126">
        <f>((S35-S37)/(S37-S38))*100</f>
        <v>9.1909492440116409</v>
      </c>
      <c r="T40" s="174"/>
      <c r="U40" s="645" t="s">
        <v>151</v>
      </c>
      <c r="V40" s="646"/>
      <c r="W40" s="423">
        <f>(AM79/6.9)*100</f>
        <v>17.862768926095956</v>
      </c>
      <c r="X40" s="423"/>
      <c r="Y40" s="423"/>
      <c r="Z40" s="424"/>
      <c r="AA40" s="425">
        <f>(AO79/6.9)*100</f>
        <v>14.065172382752722</v>
      </c>
      <c r="AB40" s="426"/>
      <c r="AC40" s="427"/>
      <c r="AD40" s="425">
        <f>(AQ79/6.9)*100</f>
        <v>10.970834458547126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24.532553418159157</v>
      </c>
      <c r="X41" s="418"/>
      <c r="Y41" s="418"/>
      <c r="Z41" s="419"/>
      <c r="AA41" s="420">
        <f>(AO83/10.3)*100</f>
        <v>19.31697119540091</v>
      </c>
      <c r="AB41" s="421"/>
      <c r="AC41" s="418"/>
      <c r="AD41" s="420">
        <f>(AQ83/10.3)*100</f>
        <v>13.715049548734646</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9.2883720930232556</v>
      </c>
      <c r="N42" s="103"/>
      <c r="O42" s="639" t="s">
        <v>9</v>
      </c>
      <c r="P42" s="640"/>
      <c r="Q42" s="148">
        <v>364</v>
      </c>
      <c r="R42" s="148">
        <v>306</v>
      </c>
      <c r="S42" s="149">
        <v>356</v>
      </c>
      <c r="T42" s="174"/>
      <c r="U42" s="651" t="s">
        <v>42</v>
      </c>
      <c r="V42" s="652"/>
      <c r="W42" s="413">
        <f>IF(W40&lt;W41,W40,W41)</f>
        <v>17.862768926095956</v>
      </c>
      <c r="X42" s="414"/>
      <c r="Y42" s="414"/>
      <c r="Z42" s="415"/>
      <c r="AA42" s="416">
        <f>IF(AA40&lt;AA41,AA40,AA41)</f>
        <v>14.065172382752722</v>
      </c>
      <c r="AB42" s="414"/>
      <c r="AC42" s="415"/>
      <c r="AD42" s="416">
        <f>IF(AD40&lt;AD41,AD40,AD41)</f>
        <v>10.970834458547126</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971.19</v>
      </c>
      <c r="R43" s="608">
        <v>966.27</v>
      </c>
      <c r="S43" s="610">
        <v>841.01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852.87</v>
      </c>
      <c r="R45" s="150">
        <v>843.1</v>
      </c>
      <c r="S45" s="151">
        <v>726.38</v>
      </c>
      <c r="T45" s="174"/>
      <c r="U45" s="656" t="s">
        <v>139</v>
      </c>
      <c r="V45" s="656"/>
      <c r="W45" s="179" t="s">
        <v>121</v>
      </c>
      <c r="X45" s="406">
        <f>MAX(M37:M39)</f>
        <v>1.9770879069767444</v>
      </c>
      <c r="Y45" s="406"/>
      <c r="Z45" s="406"/>
      <c r="AA45" s="174"/>
      <c r="AB45" s="657" t="s">
        <v>31</v>
      </c>
      <c r="AC45" s="658"/>
      <c r="AD45" s="658"/>
      <c r="AE45" s="658"/>
      <c r="AF45" s="228">
        <v>0.23899999999999999</v>
      </c>
      <c r="AG45" s="228">
        <v>0.14249999999999999</v>
      </c>
      <c r="AH45" s="236">
        <v>0.1265</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104.05</v>
      </c>
      <c r="R46" s="150">
        <v>114.24</v>
      </c>
      <c r="S46" s="151">
        <v>103.3</v>
      </c>
      <c r="T46" s="174"/>
      <c r="U46" s="555" t="s">
        <v>123</v>
      </c>
      <c r="V46" s="555"/>
      <c r="W46" s="179" t="s">
        <v>41</v>
      </c>
      <c r="X46" s="401">
        <f>MIN(M42:M44)</f>
        <v>9.2883720930232556</v>
      </c>
      <c r="Y46" s="401"/>
      <c r="Z46" s="401"/>
      <c r="AA46" s="174"/>
      <c r="AB46" s="660" t="s">
        <v>32</v>
      </c>
      <c r="AC46" s="661"/>
      <c r="AD46" s="661"/>
      <c r="AE46" s="661"/>
      <c r="AF46" s="237">
        <v>0.39800000000000002</v>
      </c>
      <c r="AG46" s="237">
        <v>0.20949999999999999</v>
      </c>
      <c r="AH46" s="238">
        <v>0.17299999999999999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15.800860019764434</v>
      </c>
      <c r="R47" s="125">
        <f>((R43-R45)/(R45-R46))*100</f>
        <v>16.898992947891223</v>
      </c>
      <c r="S47" s="126">
        <f>((S43-S45)/(S45-S46))*100</f>
        <v>18.397316556461448</v>
      </c>
      <c r="T47" s="174"/>
      <c r="U47" s="555" t="s">
        <v>162</v>
      </c>
      <c r="V47" s="555"/>
      <c r="W47" s="179" t="s">
        <v>41</v>
      </c>
      <c r="X47" s="402">
        <f>IF(L25=D103,"-",IF(L25=D102,"-",IF(L25=D101,M25)))</f>
        <v>0</v>
      </c>
      <c r="Y47" s="402"/>
      <c r="Z47" s="402"/>
      <c r="AA47" s="174"/>
      <c r="AB47" s="662" t="s">
        <v>33</v>
      </c>
      <c r="AC47" s="663"/>
      <c r="AD47" s="663"/>
      <c r="AE47" s="663"/>
      <c r="AF47" s="140">
        <f>(AF46-AF45)*2.54</f>
        <v>0.40386000000000011</v>
      </c>
      <c r="AG47" s="140">
        <f>(AG46-AG45)*2.54</f>
        <v>0.17018000000000003</v>
      </c>
      <c r="AH47" s="141">
        <f>(AH46-AH45)*2.54</f>
        <v>0.11810999999999997</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3.5118260869565225</v>
      </c>
      <c r="AG48" s="142">
        <f>IF(AG47&lt;&gt;"",IF(R24&lt;&gt;"",AG47/R24*100,""),"")</f>
        <v>1.4670689655172418</v>
      </c>
      <c r="AH48" s="173">
        <f>IF(AH47&lt;&gt;"",IF(S24&lt;&gt;"",AH47/S24*100,""),"")</f>
        <v>1.0199481865284969</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0.06</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60" t="str">
        <f>W19</f>
        <v xml:space="preserve">56  GOLPES </v>
      </c>
      <c r="AC51" s="561"/>
      <c r="AD51" s="561"/>
      <c r="AE51" s="561"/>
      <c r="AF51" s="148">
        <v>4556</v>
      </c>
      <c r="AG51" s="765">
        <v>4</v>
      </c>
      <c r="AH51" s="766"/>
      <c r="AJ51" s="42">
        <v>0.247</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0.68400000000000005</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1.3149999999999999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1.875</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2.387</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2.8959999999999999</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3.3879999999999999</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3.8439999999999999</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5.516</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6.7220000000000004</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7.7720000000000002</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-2.1499999999999998E-2</v>
      </c>
      <c r="G74" s="75">
        <v>-0.12509999999999999</v>
      </c>
      <c r="J74" s="701"/>
      <c r="K74" s="702"/>
      <c r="L74" s="44"/>
      <c r="M74" s="44"/>
      <c r="N74" s="44"/>
    </row>
    <row r="75" spans="1:94" ht="26.25" customHeight="1" thickBot="1" x14ac:dyDescent="0.3">
      <c r="A75" s="11"/>
      <c r="B75" s="377" t="s">
        <v>113</v>
      </c>
      <c r="C75" s="377"/>
      <c r="D75" s="19"/>
      <c r="E75" s="54" t="s">
        <v>12</v>
      </c>
      <c r="F75" s="55">
        <v>0.39939999999999998</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7.2599999999999998E-2</v>
      </c>
      <c r="AM75" s="3">
        <f t="shared" ref="AM75:AM86" si="4">((AL75/19.32)*10)</f>
        <v>3.7577639751552795E-2</v>
      </c>
      <c r="AN75" s="5">
        <f>AA22</f>
        <v>0.06</v>
      </c>
      <c r="AO75" s="3">
        <f>((AN75/19.32)*10)</f>
        <v>3.1055900621118009E-2</v>
      </c>
      <c r="AP75" s="5">
        <f>AE22</f>
        <v>4.8600000000000004E-2</v>
      </c>
      <c r="AQ75" s="161">
        <f t="shared" ref="AQ75:AQ84" si="5">((AP75/19.32)*10)</f>
        <v>2.5155279503105591E-2</v>
      </c>
    </row>
    <row r="76" spans="1:94" ht="26.25" customHeight="1" thickBot="1" x14ac:dyDescent="0.3">
      <c r="A76" s="11"/>
      <c r="B76" s="377" t="s">
        <v>114</v>
      </c>
      <c r="C76" s="377"/>
      <c r="D76" s="20"/>
      <c r="E76" s="56" t="s">
        <v>13</v>
      </c>
      <c r="F76" s="57">
        <v>0.1222</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0.30099999999999999</v>
      </c>
      <c r="AM76" s="3">
        <f t="shared" si="4"/>
        <v>0.15579710144927536</v>
      </c>
      <c r="AN76" s="5">
        <f>AA23</f>
        <v>0.247</v>
      </c>
      <c r="AO76" s="3">
        <f t="shared" ref="AO76:AO86" si="7">((AN76/19.32)*10)</f>
        <v>0.12784679089026915</v>
      </c>
      <c r="AP76" s="5">
        <f>AE23</f>
        <v>0.19700000000000001</v>
      </c>
      <c r="AQ76" s="161">
        <f t="shared" si="5"/>
        <v>0.10196687370600414</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0.86868000000000012</v>
      </c>
      <c r="AM77" s="3">
        <f t="shared" si="4"/>
        <v>0.44962732919254667</v>
      </c>
      <c r="AN77" s="5">
        <f>AA24</f>
        <v>0.68400000000000005</v>
      </c>
      <c r="AO77" s="3">
        <f t="shared" si="7"/>
        <v>0.35403726708074534</v>
      </c>
      <c r="AP77" s="5">
        <f>AE24</f>
        <v>0.55404000000000009</v>
      </c>
      <c r="AQ77" s="161">
        <f t="shared" si="5"/>
        <v>0.2867701863354038</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1.67005</v>
      </c>
      <c r="AM78" s="3">
        <f t="shared" si="4"/>
        <v>0.86441511387163561</v>
      </c>
      <c r="AN78" s="5">
        <f>AA25</f>
        <v>1.3149999999999999</v>
      </c>
      <c r="AO78" s="3">
        <f t="shared" si="7"/>
        <v>0.68064182194616973</v>
      </c>
      <c r="AP78" s="5">
        <f>AE25</f>
        <v>1.0257000000000001</v>
      </c>
      <c r="AQ78" s="161">
        <f t="shared" si="5"/>
        <v>0.53090062111801239</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2.3812500000000001</v>
      </c>
      <c r="AM79" s="4">
        <f t="shared" si="4"/>
        <v>1.2325310559006211</v>
      </c>
      <c r="AN79" s="5">
        <f>AA26</f>
        <v>1.875</v>
      </c>
      <c r="AO79" s="4">
        <f t="shared" si="7"/>
        <v>0.97049689440993792</v>
      </c>
      <c r="AP79" s="5">
        <f>AE26</f>
        <v>1.4625000000000001</v>
      </c>
      <c r="AQ79" s="162">
        <f t="shared" si="5"/>
        <v>0.75698757763975166</v>
      </c>
      <c r="BB79" s="12">
        <v>17</v>
      </c>
      <c r="BC79" s="12">
        <v>18</v>
      </c>
    </row>
    <row r="80" spans="1:94" ht="42" customHeight="1" thickTop="1" thickBot="1" x14ac:dyDescent="0.3">
      <c r="D80" s="49"/>
      <c r="H80" s="711" t="s">
        <v>105</v>
      </c>
      <c r="I80" s="712"/>
      <c r="J80" s="58"/>
      <c r="AJ80" s="160">
        <f>U28</f>
        <v>0.125</v>
      </c>
      <c r="AK80" s="3">
        <f t="shared" si="6"/>
        <v>3.1749999999999998</v>
      </c>
      <c r="AL80" s="5">
        <f>W28</f>
        <v>3.0314900000000002</v>
      </c>
      <c r="AM80" s="3">
        <f t="shared" si="4"/>
        <v>1.5690942028985508</v>
      </c>
      <c r="AN80" s="5">
        <f>AA28</f>
        <v>2.387</v>
      </c>
      <c r="AO80" s="3">
        <f t="shared" si="7"/>
        <v>1.2355072463768115</v>
      </c>
      <c r="AP80" s="5">
        <f>AE28</f>
        <v>1.81412</v>
      </c>
      <c r="AQ80" s="161">
        <f t="shared" si="5"/>
        <v>0.93898550724637686</v>
      </c>
      <c r="BC80" s="45">
        <v>0.99880400000000003</v>
      </c>
      <c r="BD80" s="45">
        <v>0.99862499999999998</v>
      </c>
    </row>
    <row r="81" spans="2:43" ht="15.75" customHeight="1" x14ac:dyDescent="0.25">
      <c r="AJ81" s="160">
        <f>U30</f>
        <v>0.15</v>
      </c>
      <c r="AK81" s="3">
        <f t="shared" si="6"/>
        <v>3.8099999999999996</v>
      </c>
      <c r="AL81" s="5">
        <f>W30</f>
        <v>3.6779199999999999</v>
      </c>
      <c r="AM81" s="3">
        <f t="shared" si="4"/>
        <v>1.9036853002070391</v>
      </c>
      <c r="AN81" s="5">
        <f>AA30</f>
        <v>2.8959999999999999</v>
      </c>
      <c r="AO81" s="3">
        <f t="shared" si="7"/>
        <v>1.4989648033126293</v>
      </c>
      <c r="AP81" s="5">
        <f>AE30</f>
        <v>2.0561599999999998</v>
      </c>
      <c r="AQ81" s="161">
        <f t="shared" si="5"/>
        <v>1.0642650103519666</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4.3027600000000001</v>
      </c>
      <c r="AM82" s="3">
        <f t="shared" si="4"/>
        <v>2.2271014492753625</v>
      </c>
      <c r="AN82" s="5">
        <f>AA31</f>
        <v>3.3879999999999999</v>
      </c>
      <c r="AO82" s="3">
        <f t="shared" si="7"/>
        <v>1.7536231884057971</v>
      </c>
      <c r="AP82" s="5">
        <f>AE31</f>
        <v>2.4054799999999998</v>
      </c>
      <c r="AQ82" s="161">
        <f t="shared" si="5"/>
        <v>1.2450724637681159</v>
      </c>
    </row>
    <row r="83" spans="2:43" ht="15" customHeight="1" x14ac:dyDescent="0.25">
      <c r="B83" s="49"/>
      <c r="C83" s="49"/>
      <c r="D83" s="49">
        <v>0</v>
      </c>
      <c r="E83" s="50">
        <f>M42</f>
        <v>9.2883720930232556</v>
      </c>
      <c r="F83" s="49"/>
      <c r="G83" s="43">
        <f>G84/10</f>
        <v>2.2985925746328966</v>
      </c>
      <c r="H83" s="43">
        <f>H84/10</f>
        <v>2.171267807950529</v>
      </c>
      <c r="I83" s="43">
        <f>I84/10</f>
        <v>2.0623679056138187</v>
      </c>
      <c r="J83" s="43">
        <f>J84/10</f>
        <v>1.9671605482765802</v>
      </c>
      <c r="K83" s="43"/>
      <c r="L83" s="42">
        <v>0</v>
      </c>
      <c r="O83" s="706"/>
      <c r="P83" s="706"/>
      <c r="Q83" s="706"/>
      <c r="R83" s="706"/>
      <c r="S83" s="707"/>
      <c r="W83" s="112"/>
      <c r="AJ83" s="160">
        <f>U33</f>
        <v>0.2</v>
      </c>
      <c r="AK83" s="4">
        <f t="shared" si="6"/>
        <v>5.08</v>
      </c>
      <c r="AL83" s="5">
        <f>W33</f>
        <v>4.8818799999999998</v>
      </c>
      <c r="AM83" s="4">
        <f t="shared" si="4"/>
        <v>2.5268530020703932</v>
      </c>
      <c r="AN83" s="5">
        <f>AA33</f>
        <v>3.8439999999999999</v>
      </c>
      <c r="AO83" s="4">
        <f t="shared" si="7"/>
        <v>1.989648033126294</v>
      </c>
      <c r="AP83" s="5">
        <f>AE33</f>
        <v>2.7292399999999999</v>
      </c>
      <c r="AQ83" s="162">
        <f t="shared" si="5"/>
        <v>1.4126501035196686</v>
      </c>
    </row>
    <row r="84" spans="2:43" ht="15" customHeight="1" x14ac:dyDescent="0.25">
      <c r="C84" s="94"/>
      <c r="D84" s="94"/>
      <c r="E84" s="94"/>
      <c r="F84" s="49"/>
      <c r="G84" s="43">
        <f>($M$34/(1+(E34*$M$34/100)))*($O$73)</f>
        <v>22.985925746328967</v>
      </c>
      <c r="H84" s="43">
        <f>($M$34/(1+(F34*$M$34/100)))*($O$73)</f>
        <v>21.712678079505288</v>
      </c>
      <c r="I84" s="43">
        <f>($M$34/(1+(G34*$M$34/100)))*($O$73)</f>
        <v>20.623679056138187</v>
      </c>
      <c r="J84" s="43">
        <f>($M$34/(1+(H34*$M$34/100)))*($O$73)</f>
        <v>19.671605482765802</v>
      </c>
      <c r="K84" s="43"/>
      <c r="O84" s="706" t="s">
        <v>146</v>
      </c>
      <c r="P84" s="706"/>
      <c r="Q84" s="706"/>
      <c r="R84" s="706"/>
      <c r="S84" s="707">
        <v>2240</v>
      </c>
      <c r="W84" s="112"/>
      <c r="AJ84" s="160">
        <f>U34</f>
        <v>0.3</v>
      </c>
      <c r="AK84" s="3">
        <f t="shared" si="6"/>
        <v>7.6199999999999992</v>
      </c>
      <c r="AL84" s="5">
        <f>W34</f>
        <v>6.7846799999999998</v>
      </c>
      <c r="AM84" s="3">
        <f t="shared" si="4"/>
        <v>3.5117391304347825</v>
      </c>
      <c r="AN84" s="5">
        <f>AA34</f>
        <v>5.516</v>
      </c>
      <c r="AO84" s="3">
        <f t="shared" si="7"/>
        <v>2.8550724637681157</v>
      </c>
      <c r="AP84" s="5">
        <f>AE34</f>
        <v>3.9163599999999996</v>
      </c>
      <c r="AQ84" s="161">
        <f t="shared" si="5"/>
        <v>2.0271014492753618</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8.4024999999999999</v>
      </c>
      <c r="AM85" s="3">
        <f t="shared" si="4"/>
        <v>4.3491200828157348</v>
      </c>
      <c r="AN85" s="5">
        <f>AA35</f>
        <v>6.7220000000000004</v>
      </c>
      <c r="AO85" s="3">
        <f t="shared" si="7"/>
        <v>3.479296066252588</v>
      </c>
      <c r="AP85" s="5">
        <f>AE35</f>
        <v>4.7726199999999999</v>
      </c>
      <c r="AQ85" s="161">
        <f>((AP85/19.32)*10)</f>
        <v>2.4703002070393372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9.4041200000000007</v>
      </c>
      <c r="AM86" s="164">
        <f t="shared" si="4"/>
        <v>4.8675569358178059</v>
      </c>
      <c r="AN86" s="165">
        <f>AA37</f>
        <v>7.7720000000000002</v>
      </c>
      <c r="AO86" s="164">
        <f t="shared" si="7"/>
        <v>4.0227743271221534</v>
      </c>
      <c r="AP86" s="165">
        <f>AE37</f>
        <v>5.5181199999999997</v>
      </c>
      <c r="AQ86" s="166">
        <f>((AP86/19.32)*10)</f>
        <v>2.8561697722567287</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1.9322634910486292</v>
      </c>
      <c r="AK91" s="9">
        <f>R31</f>
        <v>1.8035182518544934</v>
      </c>
      <c r="AL91" s="10">
        <f>S31</f>
        <v>1.7616679407462503</v>
      </c>
    </row>
    <row r="92" spans="2:43" ht="21" customHeight="1" thickBot="1" x14ac:dyDescent="0.3">
      <c r="B92" s="92"/>
      <c r="C92" s="93"/>
      <c r="D92" s="93"/>
      <c r="E92" s="93"/>
      <c r="F92" s="62"/>
      <c r="G92" s="63"/>
      <c r="H92" s="49"/>
      <c r="I92" s="49"/>
      <c r="O92" s="725" t="s">
        <v>147</v>
      </c>
      <c r="P92" s="726"/>
      <c r="Q92" s="726"/>
      <c r="R92" s="726"/>
      <c r="S92" s="61">
        <f>M42</f>
        <v>9.2883720930232556</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17.862768926095956</v>
      </c>
      <c r="AK94" s="158">
        <f>AA42</f>
        <v>14.065172382752722</v>
      </c>
      <c r="AL94" s="158">
        <f>AD42</f>
        <v>10.970834458547126</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2358" priority="45">
      <formula>LEN(TRIM(D6))=0</formula>
    </cfRule>
  </conditionalFormatting>
  <conditionalFormatting sqref="D6:H10">
    <cfRule type="containsBlanks" dxfId="2357" priority="44">
      <formula>LEN(TRIM(D6))=0</formula>
    </cfRule>
  </conditionalFormatting>
  <conditionalFormatting sqref="M19">
    <cfRule type="containsBlanks" dxfId="2356" priority="43">
      <formula>LEN(TRIM(M19))=0</formula>
    </cfRule>
  </conditionalFormatting>
  <conditionalFormatting sqref="CP70">
    <cfRule type="containsBlanks" dxfId="2355" priority="42">
      <formula>LEN(TRIM(CP70))=0</formula>
    </cfRule>
  </conditionalFormatting>
  <conditionalFormatting sqref="M21">
    <cfRule type="containsBlanks" dxfId="2354" priority="41">
      <formula>LEN(TRIM(M21))=0</formula>
    </cfRule>
  </conditionalFormatting>
  <conditionalFormatting sqref="D12:M12">
    <cfRule type="containsBlanks" dxfId="2353" priority="40">
      <formula>LEN(TRIM(D12))=0</formula>
    </cfRule>
  </conditionalFormatting>
  <conditionalFormatting sqref="L9:M9">
    <cfRule type="containsBlanks" dxfId="2352" priority="39">
      <formula>LEN(TRIM(L9))=0</formula>
    </cfRule>
  </conditionalFormatting>
  <conditionalFormatting sqref="L25">
    <cfRule type="containsBlanks" dxfId="2351" priority="38">
      <formula>LEN(TRIM(L25))=0</formula>
    </cfRule>
  </conditionalFormatting>
  <conditionalFormatting sqref="Q20:S26">
    <cfRule type="containsBlanks" dxfId="2350" priority="28">
      <formula>LEN(TRIM(Q20))=0</formula>
    </cfRule>
    <cfRule type="containsBlanks" dxfId="2349" priority="37">
      <formula>LEN(TRIM(Q20))=0</formula>
    </cfRule>
  </conditionalFormatting>
  <conditionalFormatting sqref="U26:V27 AC33 AC26">
    <cfRule type="cellIs" dxfId="2348" priority="36" operator="between">
      <formula>0</formula>
      <formula>500</formula>
    </cfRule>
  </conditionalFormatting>
  <conditionalFormatting sqref="U33:V33">
    <cfRule type="cellIs" dxfId="2347" priority="35" operator="between">
      <formula>0</formula>
      <formula>500</formula>
    </cfRule>
  </conditionalFormatting>
  <conditionalFormatting sqref="AF45:AH46">
    <cfRule type="containsBlanks" dxfId="2346" priority="34">
      <formula>LEN(TRIM(AF45))=0</formula>
    </cfRule>
  </conditionalFormatting>
  <conditionalFormatting sqref="AF51:AG53">
    <cfRule type="containsBlanks" dxfId="2345" priority="33">
      <formula>LEN(TRIM(AF51))=0</formula>
    </cfRule>
  </conditionalFormatting>
  <conditionalFormatting sqref="E20:H24">
    <cfRule type="containsBlanks" dxfId="2344" priority="32">
      <formula>LEN(TRIM(E20))=0</formula>
    </cfRule>
  </conditionalFormatting>
  <conditionalFormatting sqref="E28:H33">
    <cfRule type="containsBlanks" dxfId="2343" priority="31">
      <formula>LEN(TRIM(E28))=0</formula>
    </cfRule>
  </conditionalFormatting>
  <conditionalFormatting sqref="Q42:S46">
    <cfRule type="containsBlanks" dxfId="2342" priority="30">
      <formula>LEN(TRIM(Q42))=0</formula>
    </cfRule>
  </conditionalFormatting>
  <conditionalFormatting sqref="Q34:S39">
    <cfRule type="containsBlanks" dxfId="2341" priority="29">
      <formula>LEN(TRIM(Q34))=0</formula>
    </cfRule>
  </conditionalFormatting>
  <conditionalFormatting sqref="M25">
    <cfRule type="containsBlanks" dxfId="2340" priority="27">
      <formula>LEN(TRIM(M25))=0</formula>
    </cfRule>
  </conditionalFormatting>
  <conditionalFormatting sqref="U26:V27 Y26:Z27 AC26:AD27 AG26:AG27">
    <cfRule type="containsBlanks" dxfId="2339" priority="25">
      <formula>LEN(TRIM(U26))=0</formula>
    </cfRule>
    <cfRule type="cellIs" dxfId="2338" priority="26" operator="between">
      <formula>0</formula>
      <formula>1000</formula>
    </cfRule>
  </conditionalFormatting>
  <conditionalFormatting sqref="W87:W88">
    <cfRule type="cellIs" dxfId="2337" priority="24" operator="between">
      <formula>0</formula>
      <formula>500</formula>
    </cfRule>
  </conditionalFormatting>
  <conditionalFormatting sqref="W94">
    <cfRule type="cellIs" dxfId="2336" priority="23" operator="between">
      <formula>0</formula>
      <formula>500</formula>
    </cfRule>
  </conditionalFormatting>
  <conditionalFormatting sqref="W87:W88">
    <cfRule type="containsBlanks" dxfId="2335" priority="21">
      <formula>LEN(TRIM(W87))=0</formula>
    </cfRule>
    <cfRule type="cellIs" dxfId="2334" priority="22" operator="between">
      <formula>0</formula>
      <formula>1000</formula>
    </cfRule>
  </conditionalFormatting>
  <conditionalFormatting sqref="U33:V33 Y33:Z33 AC33:AD33 AG33">
    <cfRule type="cellIs" dxfId="2333" priority="20" operator="between">
      <formula>0</formula>
      <formula>1000</formula>
    </cfRule>
  </conditionalFormatting>
  <conditionalFormatting sqref="Q27:S27">
    <cfRule type="containsBlanks" dxfId="2332" priority="18">
      <formula>LEN(TRIM(Q27))=0</formula>
    </cfRule>
    <cfRule type="containsBlanks" dxfId="2331" priority="19">
      <formula>LEN(TRIM(Q27))=0</formula>
    </cfRule>
  </conditionalFormatting>
  <conditionalFormatting sqref="W30:W31 W33:W35 W37 W22:W26 W28">
    <cfRule type="containsBlanks" dxfId="2330" priority="17">
      <formula>LEN(TRIM(W22))=0</formula>
    </cfRule>
  </conditionalFormatting>
  <conditionalFormatting sqref="W37 W30:W31 W33:W35 W22:W26 W28">
    <cfRule type="containsBlanks" dxfId="2329" priority="16">
      <formula>LEN(TRIM(W22))=0</formula>
    </cfRule>
  </conditionalFormatting>
  <conditionalFormatting sqref="W33:X33">
    <cfRule type="cellIs" dxfId="2328" priority="15" operator="between">
      <formula>0</formula>
      <formula>1000</formula>
    </cfRule>
  </conditionalFormatting>
  <conditionalFormatting sqref="W30:X37 W22:X25 W26 W28">
    <cfRule type="containsBlanks" dxfId="2327" priority="14">
      <formula>LEN(TRIM(W22))=0</formula>
    </cfRule>
  </conditionalFormatting>
  <conditionalFormatting sqref="AA37 AA30:AA31 AA33:AA35 AA22:AA26 AA28">
    <cfRule type="containsBlanks" dxfId="2326" priority="13">
      <formula>LEN(TRIM(AA22))=0</formula>
    </cfRule>
  </conditionalFormatting>
  <conditionalFormatting sqref="AA37 AA30:AA31 AA33:AA35 AA22:AA26 AA28">
    <cfRule type="containsBlanks" dxfId="2325" priority="12">
      <formula>LEN(TRIM(AA22))=0</formula>
    </cfRule>
  </conditionalFormatting>
  <conditionalFormatting sqref="AA33:AB34">
    <cfRule type="cellIs" dxfId="2324" priority="11" operator="between">
      <formula>0</formula>
      <formula>1000</formula>
    </cfRule>
  </conditionalFormatting>
  <conditionalFormatting sqref="AA30:AB30 AA31 AA33:AB37 AA22:AB25 AA26 AA28">
    <cfRule type="containsBlanks" dxfId="2323" priority="10">
      <formula>LEN(TRIM(AA22))=0</formula>
    </cfRule>
  </conditionalFormatting>
  <conditionalFormatting sqref="AE37 AE22:AE26 AE28 AE30:AE31 AE33:AE35">
    <cfRule type="containsBlanks" dxfId="2322" priority="9">
      <formula>LEN(TRIM(AE22))=0</formula>
    </cfRule>
  </conditionalFormatting>
  <conditionalFormatting sqref="AE37 AE22:AE26 AE28 AE30:AE31 AE33:AE35">
    <cfRule type="containsBlanks" dxfId="2321" priority="8">
      <formula>LEN(TRIM(AE22))=0</formula>
    </cfRule>
  </conditionalFormatting>
  <conditionalFormatting sqref="AE33:AF33">
    <cfRule type="cellIs" dxfId="2320" priority="7" operator="between">
      <formula>0</formula>
      <formula>1000</formula>
    </cfRule>
  </conditionalFormatting>
  <conditionalFormatting sqref="AE33:AF37 AE22:AF25 AE26 AE28 AE30:AE31">
    <cfRule type="containsBlanks" dxfId="2319" priority="6">
      <formula>LEN(TRIM(AE22))=0</formula>
    </cfRule>
  </conditionalFormatting>
  <conditionalFormatting sqref="K6:M6">
    <cfRule type="containsBlanks" dxfId="2318" priority="5">
      <formula>LEN(TRIM(K6))=0</formula>
    </cfRule>
  </conditionalFormatting>
  <conditionalFormatting sqref="K7:K8">
    <cfRule type="containsBlanks" dxfId="2317" priority="4">
      <formula>LEN(TRIM(K7))=0</formula>
    </cfRule>
  </conditionalFormatting>
  <conditionalFormatting sqref="D13:M13">
    <cfRule type="containsBlanks" dxfId="2316" priority="3">
      <formula>LEN(TRIM(D13))=0</formula>
    </cfRule>
  </conditionalFormatting>
  <conditionalFormatting sqref="B6:B10">
    <cfRule type="containsBlanks" dxfId="2315" priority="2">
      <formula>LEN(TRIM(B6))=0</formula>
    </cfRule>
  </conditionalFormatting>
  <conditionalFormatting sqref="B12:B13">
    <cfRule type="containsBlanks" dxfId="2314" priority="1">
      <formula>LEN(TRIM(B12))=0</formula>
    </cfRule>
  </conditionalFormatting>
  <dataValidations count="5">
    <dataValidation type="list" allowBlank="1" showInputMessage="1" showErrorMessage="1" sqref="D12:E12" xr:uid="{00000000-0002-0000-0500-000000000000}">
      <formula1>$B$87:$B$94</formula1>
    </dataValidation>
    <dataValidation type="list" allowBlank="1" showInputMessage="1" showErrorMessage="1" sqref="CP70" xr:uid="{00000000-0002-0000-0500-000001000000}">
      <formula1>$BA$3:$BA$5</formula1>
    </dataValidation>
    <dataValidation type="list" allowBlank="1" showInputMessage="1" showErrorMessage="1" sqref="M19" xr:uid="{00000000-0002-0000-0500-000002000000}">
      <formula1>$AX$3:$AX$5</formula1>
    </dataValidation>
    <dataValidation type="list" allowBlank="1" showInputMessage="1" showErrorMessage="1" sqref="M21" xr:uid="{00000000-0002-0000-0500-000003000000}">
      <formula1>$AX$3:$AX$4</formula1>
    </dataValidation>
    <dataValidation type="list" allowBlank="1" showInputMessage="1" showErrorMessage="1" sqref="L25" xr:uid="{00000000-0002-0000-0500-000004000000}">
      <formula1>$D$101:$D$104</formula1>
    </dataValidation>
  </dataValidations>
  <hyperlinks>
    <hyperlink ref="D8" r:id="rId1" xr:uid="{00000000-0004-0000-05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01377"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01378"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01379"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0138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0138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01382"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01383"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0138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0138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0138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45">
    <tabColor rgb="FF92D050"/>
  </sheetPr>
  <dimension ref="A1:CP153"/>
  <sheetViews>
    <sheetView view="pageBreakPreview" topLeftCell="J6" zoomScale="98" zoomScaleNormal="100" zoomScaleSheetLayoutView="98"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45894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45894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221</v>
      </c>
      <c r="AD9" s="222"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25-CAV-S2-AP3-2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25-CAV-S2-AP3-2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207</v>
      </c>
      <c r="G12" s="31" t="s">
        <v>4</v>
      </c>
      <c r="H12" s="146">
        <v>2</v>
      </c>
      <c r="I12" s="546" t="s">
        <v>5</v>
      </c>
      <c r="J12" s="546"/>
      <c r="K12" s="209">
        <v>1</v>
      </c>
      <c r="L12" s="32" t="s">
        <v>6</v>
      </c>
      <c r="M12" s="147">
        <v>2</v>
      </c>
      <c r="N12" s="78"/>
      <c r="O12" s="501" t="s">
        <v>3</v>
      </c>
      <c r="P12" s="501"/>
      <c r="Q12" s="225" t="s">
        <v>56</v>
      </c>
      <c r="R12" s="224" t="str">
        <f>F12</f>
        <v>CAV-S2-AP3</v>
      </c>
      <c r="S12" s="224"/>
      <c r="T12" s="502" t="s">
        <v>4</v>
      </c>
      <c r="U12" s="502"/>
      <c r="V12" s="33">
        <f>+H12</f>
        <v>2</v>
      </c>
      <c r="W12" s="547" t="s">
        <v>5</v>
      </c>
      <c r="X12" s="547"/>
      <c r="Y12" s="547"/>
      <c r="Z12" s="547"/>
      <c r="AA12" s="547"/>
      <c r="AB12" s="547"/>
      <c r="AC12" s="34">
        <f>K12</f>
        <v>1</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217</v>
      </c>
      <c r="E13" s="479"/>
      <c r="F13" s="479"/>
      <c r="G13" s="479"/>
      <c r="H13" s="479"/>
      <c r="I13" s="479"/>
      <c r="J13" s="479"/>
      <c r="K13" s="479"/>
      <c r="L13" s="479"/>
      <c r="M13" s="480"/>
      <c r="N13" s="188"/>
      <c r="O13" s="526" t="s">
        <v>130</v>
      </c>
      <c r="P13" s="526"/>
      <c r="Q13" s="527" t="str">
        <f>D13</f>
        <v>LIMO CON ARENA Y ALGO DE GRAVA, COLOR MARRÓN, DE CONSISTENCIA BLANDA,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609</v>
      </c>
      <c r="R20" s="156">
        <v>611</v>
      </c>
      <c r="S20" s="157">
        <v>607</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11988-400</f>
        <v>11588</v>
      </c>
      <c r="F22" s="150">
        <f>12696-400</f>
        <v>12296</v>
      </c>
      <c r="G22" s="150">
        <f>12738-400</f>
        <v>12338</v>
      </c>
      <c r="H22" s="151">
        <f>12179-400</f>
        <v>11779</v>
      </c>
      <c r="I22" s="174"/>
      <c r="J22" s="578"/>
      <c r="K22" s="578"/>
      <c r="L22" s="578"/>
      <c r="M22" s="104"/>
      <c r="N22" s="103"/>
      <c r="O22" s="579" t="s">
        <v>132</v>
      </c>
      <c r="P22" s="580"/>
      <c r="Q22" s="219">
        <v>8874</v>
      </c>
      <c r="R22" s="219">
        <v>8509</v>
      </c>
      <c r="S22" s="208">
        <v>8301</v>
      </c>
      <c r="T22" s="174"/>
      <c r="U22" s="112">
        <v>5.0000000000000001E-3</v>
      </c>
      <c r="V22" s="113">
        <f>U22*25.4</f>
        <v>0.127</v>
      </c>
      <c r="W22" s="581">
        <v>0</v>
      </c>
      <c r="X22" s="582"/>
      <c r="Y22" s="449">
        <f>((W22/19.32)*10)</f>
        <v>0</v>
      </c>
      <c r="Z22" s="450"/>
      <c r="AA22" s="581">
        <v>0</v>
      </c>
      <c r="AB22" s="582"/>
      <c r="AC22" s="449">
        <f>((AA22/19.32)*10)</f>
        <v>0</v>
      </c>
      <c r="AD22" s="450"/>
      <c r="AE22" s="581">
        <v>0</v>
      </c>
      <c r="AF22" s="582"/>
      <c r="AG22" s="114">
        <f>((AE22/19.32)*10)</f>
        <v>0</v>
      </c>
      <c r="AH22" s="104"/>
      <c r="AI22" s="42">
        <f t="shared" ref="AI22:AI31" si="0">AJ22*1.45</f>
        <v>0.27973399999999998</v>
      </c>
      <c r="AJ22" s="42">
        <f>AJ50*0.91</f>
        <v>0.19292000000000001</v>
      </c>
      <c r="AK22" s="42">
        <f t="shared" ref="AK22:AK30" si="1">AJ22*0.78</f>
        <v>0.15047760000000002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3898</v>
      </c>
      <c r="R23" s="150">
        <v>3816</v>
      </c>
      <c r="S23" s="151">
        <v>3862</v>
      </c>
      <c r="T23" s="174"/>
      <c r="U23" s="112">
        <v>2.5000000000000001E-2</v>
      </c>
      <c r="V23" s="113">
        <f>U23*25.4</f>
        <v>0.63500000000000001</v>
      </c>
      <c r="W23" s="581">
        <f>AI23</f>
        <v>2.1326580000000002</v>
      </c>
      <c r="X23" s="582"/>
      <c r="Y23" s="449">
        <f>((W23/19.32)*10)</f>
        <v>1.1038602484472051</v>
      </c>
      <c r="Z23" s="450"/>
      <c r="AA23" s="581">
        <f>AJ23</f>
        <v>1.258</v>
      </c>
      <c r="AB23" s="582"/>
      <c r="AC23" s="449">
        <f>((AA23/19.32)*10)</f>
        <v>0.65113871635610765</v>
      </c>
      <c r="AD23" s="450"/>
      <c r="AE23" s="581">
        <f>AK23</f>
        <v>0.98124</v>
      </c>
      <c r="AF23" s="582"/>
      <c r="AG23" s="114">
        <f>((AE23/19.32)*10)</f>
        <v>0.50788819875776392</v>
      </c>
      <c r="AH23" s="104"/>
      <c r="AI23" s="42">
        <v>2.1326580000000002</v>
      </c>
      <c r="AJ23" s="42">
        <v>1.258</v>
      </c>
      <c r="AK23" s="42">
        <f t="shared" si="1"/>
        <v>0.98124</v>
      </c>
      <c r="AO23" s="42">
        <v>0.247</v>
      </c>
      <c r="AS23" s="42">
        <f t="shared" ref="AS23:AS37" si="2">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11.55</v>
      </c>
      <c r="R24" s="152">
        <v>11.6</v>
      </c>
      <c r="S24" s="153">
        <v>11.52</v>
      </c>
      <c r="T24" s="174"/>
      <c r="U24" s="112">
        <v>0.05</v>
      </c>
      <c r="V24" s="113">
        <f>U24*25.4</f>
        <v>1.27</v>
      </c>
      <c r="W24" s="581">
        <f>AI24</f>
        <v>7.6585000000000001</v>
      </c>
      <c r="X24" s="582"/>
      <c r="Y24" s="449">
        <f>((W24/19.32)*10)</f>
        <v>3.9640269151138718</v>
      </c>
      <c r="Z24" s="450"/>
      <c r="AA24" s="581">
        <f>AJ24</f>
        <v>4.0149999999999997</v>
      </c>
      <c r="AB24" s="582"/>
      <c r="AC24" s="449">
        <f>((AA24/19.32)*10)</f>
        <v>2.0781573498964798</v>
      </c>
      <c r="AD24" s="450"/>
      <c r="AE24" s="581">
        <f>AK24</f>
        <v>2.8923139999999998</v>
      </c>
      <c r="AF24" s="582"/>
      <c r="AG24" s="114">
        <f>((AE24/19.32)*10)</f>
        <v>1.4970569358178052</v>
      </c>
      <c r="AH24" s="104"/>
      <c r="AI24" s="42">
        <v>7.6585000000000001</v>
      </c>
      <c r="AJ24" s="42">
        <v>4.0149999999999997</v>
      </c>
      <c r="AK24" s="42">
        <v>2.8923139999999998</v>
      </c>
      <c r="AO24" s="42">
        <v>0.68400000000000005</v>
      </c>
      <c r="AS24" s="42">
        <f t="shared" si="2"/>
        <v>0.55609756097560981</v>
      </c>
    </row>
    <row r="25" spans="1:45" ht="24.95" customHeight="1" thickBot="1" x14ac:dyDescent="0.3">
      <c r="A25" s="103"/>
      <c r="B25" s="602" t="s">
        <v>69</v>
      </c>
      <c r="C25" s="603"/>
      <c r="D25" s="603"/>
      <c r="E25" s="115">
        <f>E22-E23</f>
        <v>4276</v>
      </c>
      <c r="F25" s="115">
        <f>F22-F23</f>
        <v>4984</v>
      </c>
      <c r="G25" s="115">
        <f>G22-G23</f>
        <v>5026</v>
      </c>
      <c r="H25" s="116">
        <f>H22-H23</f>
        <v>4467</v>
      </c>
      <c r="I25" s="174"/>
      <c r="J25" s="174" t="s">
        <v>127</v>
      </c>
      <c r="K25" s="174"/>
      <c r="L25" s="218" t="s">
        <v>128</v>
      </c>
      <c r="M25" s="155">
        <v>24.36</v>
      </c>
      <c r="N25" s="103"/>
      <c r="O25" s="604" t="s">
        <v>46</v>
      </c>
      <c r="P25" s="605"/>
      <c r="Q25" s="608">
        <v>15.25</v>
      </c>
      <c r="R25" s="608">
        <v>15.22</v>
      </c>
      <c r="S25" s="610">
        <v>15.3</v>
      </c>
      <c r="T25" s="174"/>
      <c r="U25" s="112">
        <v>7.4999999999999997E-2</v>
      </c>
      <c r="V25" s="113">
        <f>U25*25.4</f>
        <v>1.9049999999999998</v>
      </c>
      <c r="W25" s="581">
        <f>AI25</f>
        <v>11.762022999999999</v>
      </c>
      <c r="X25" s="582"/>
      <c r="Y25" s="449">
        <f>((W25/19.32)*10)</f>
        <v>6.0880036231884045</v>
      </c>
      <c r="Z25" s="450"/>
      <c r="AA25" s="581">
        <f>AJ25</f>
        <v>8.1117399999999993</v>
      </c>
      <c r="AB25" s="582"/>
      <c r="AC25" s="449">
        <f>((AA25/19.32)*10)</f>
        <v>4.1986231884057972</v>
      </c>
      <c r="AD25" s="450"/>
      <c r="AE25" s="581">
        <f>AK25</f>
        <v>6.1355399999999998</v>
      </c>
      <c r="AF25" s="582"/>
      <c r="AG25" s="114">
        <f>((AE25/19.32)*10)</f>
        <v>3.1757453416149066</v>
      </c>
      <c r="AH25" s="104"/>
      <c r="AI25" s="42">
        <f t="shared" si="0"/>
        <v>11.762022999999999</v>
      </c>
      <c r="AJ25" s="42">
        <f t="shared" ref="AJ25:AJ33" si="3">AJ53*0.91</f>
        <v>8.1117399999999993</v>
      </c>
      <c r="AK25" s="42">
        <v>6.1355399999999998</v>
      </c>
      <c r="AO25" s="42">
        <v>1.3149999999999999</v>
      </c>
      <c r="AS25" s="42">
        <f t="shared" si="2"/>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593">
        <f>AI26</f>
        <v>15.947476999999999</v>
      </c>
      <c r="X26" s="594"/>
      <c r="Y26" s="439">
        <f>((W26/19.32)*10)</f>
        <v>8.2543876811594199</v>
      </c>
      <c r="Z26" s="440"/>
      <c r="AA26" s="593">
        <f>AJ26</f>
        <v>10.99826</v>
      </c>
      <c r="AB26" s="594"/>
      <c r="AC26" s="439">
        <f>((AA26/19.32)*10)</f>
        <v>5.6926811594202897</v>
      </c>
      <c r="AD26" s="440"/>
      <c r="AE26" s="593">
        <f>AK26</f>
        <v>8.5786428000000008</v>
      </c>
      <c r="AF26" s="594"/>
      <c r="AG26" s="469">
        <f>((AE26/19.32)*10)</f>
        <v>4.4402913043478263</v>
      </c>
      <c r="AH26" s="104"/>
      <c r="AI26" s="42">
        <f t="shared" si="0"/>
        <v>15.947476999999999</v>
      </c>
      <c r="AJ26" s="42">
        <f t="shared" si="3"/>
        <v>10.99826</v>
      </c>
      <c r="AK26" s="42">
        <f t="shared" si="1"/>
        <v>8.5786428000000008</v>
      </c>
      <c r="AO26" s="42">
        <v>1.875</v>
      </c>
      <c r="AS26" s="42">
        <f t="shared" si="2"/>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2109.6555523326251</v>
      </c>
      <c r="R27" s="152">
        <f>(PI()*((R25^2)/4)*R24)</f>
        <v>2110.4602438019065</v>
      </c>
      <c r="S27" s="153">
        <f>(PI()*((S25^2)/4)*S24)</f>
        <v>2117.9964219230442</v>
      </c>
      <c r="T27" s="174"/>
      <c r="U27" s="600"/>
      <c r="V27" s="601"/>
      <c r="W27" s="595"/>
      <c r="X27" s="596"/>
      <c r="Y27" s="441"/>
      <c r="Z27" s="442"/>
      <c r="AA27" s="595"/>
      <c r="AB27" s="596"/>
      <c r="AC27" s="441"/>
      <c r="AD27" s="442"/>
      <c r="AE27" s="595"/>
      <c r="AF27" s="596"/>
      <c r="AG27" s="470"/>
      <c r="AH27" s="193"/>
      <c r="AI27" s="42">
        <f>AJ27*1.45</f>
        <v>19.719927500000001</v>
      </c>
      <c r="AJ27" s="42">
        <f t="shared" si="3"/>
        <v>13.599950000000002</v>
      </c>
      <c r="AK27" s="42">
        <f t="shared" si="1"/>
        <v>10.607961000000001</v>
      </c>
      <c r="AO27" s="42">
        <v>2.387</v>
      </c>
      <c r="AS27" s="42">
        <f t="shared" si="2"/>
        <v>1.9406504065040651</v>
      </c>
    </row>
    <row r="28" spans="1:45" ht="24.95" customHeight="1" thickBot="1" x14ac:dyDescent="0.3">
      <c r="A28" s="103"/>
      <c r="B28" s="560" t="s">
        <v>9</v>
      </c>
      <c r="C28" s="561"/>
      <c r="D28" s="561"/>
      <c r="E28" s="148">
        <v>356</v>
      </c>
      <c r="F28" s="148">
        <v>372</v>
      </c>
      <c r="G28" s="148">
        <v>355</v>
      </c>
      <c r="H28" s="149">
        <v>314</v>
      </c>
      <c r="I28" s="174"/>
      <c r="J28" s="597" t="s">
        <v>107</v>
      </c>
      <c r="K28" s="597"/>
      <c r="L28" s="562" t="s">
        <v>119</v>
      </c>
      <c r="M28" s="459">
        <f>IF(M26="","",(100-M26))</f>
        <v>100</v>
      </c>
      <c r="N28" s="103"/>
      <c r="O28" s="625" t="s">
        <v>136</v>
      </c>
      <c r="P28" s="626"/>
      <c r="Q28" s="115">
        <f>Q22-Q23</f>
        <v>4976</v>
      </c>
      <c r="R28" s="220">
        <f>R22-R23</f>
        <v>4693</v>
      </c>
      <c r="S28" s="221">
        <f>S22-S23</f>
        <v>4439</v>
      </c>
      <c r="T28" s="174"/>
      <c r="U28" s="627">
        <v>0.125</v>
      </c>
      <c r="V28" s="624">
        <f>U28*25.4</f>
        <v>3.1749999999999998</v>
      </c>
      <c r="W28" s="593">
        <f>AI27</f>
        <v>19.719927500000001</v>
      </c>
      <c r="X28" s="594"/>
      <c r="Y28" s="439">
        <f>((W28/19.32)*10)</f>
        <v>10.207001811594203</v>
      </c>
      <c r="Z28" s="440"/>
      <c r="AA28" s="593">
        <f>AJ27</f>
        <v>13.599950000000002</v>
      </c>
      <c r="AB28" s="594"/>
      <c r="AC28" s="439">
        <f>((AA28/19.32)*10)</f>
        <v>7.0393115942028999</v>
      </c>
      <c r="AD28" s="440"/>
      <c r="AE28" s="593">
        <f>AK27</f>
        <v>10.607961000000001</v>
      </c>
      <c r="AF28" s="594"/>
      <c r="AG28" s="443">
        <f>((AE28/19.32)*10)</f>
        <v>5.4906630434782606</v>
      </c>
      <c r="AH28" s="104"/>
      <c r="AI28" s="42">
        <f t="shared" si="0"/>
        <v>23.063540499999998</v>
      </c>
      <c r="AJ28" s="42">
        <f t="shared" si="3"/>
        <v>15.905889999999999</v>
      </c>
      <c r="AK28" s="42">
        <f t="shared" si="1"/>
        <v>12.406594200000001</v>
      </c>
      <c r="AO28" s="42">
        <v>2.8959999999999999</v>
      </c>
      <c r="AS28" s="42">
        <f t="shared" si="2"/>
        <v>2.3544715447154472</v>
      </c>
    </row>
    <row r="29" spans="1:45" ht="5.0999999999999996" customHeight="1" thickBot="1" x14ac:dyDescent="0.3">
      <c r="A29" s="103"/>
      <c r="B29" s="612" t="s">
        <v>73</v>
      </c>
      <c r="C29" s="613"/>
      <c r="D29" s="614"/>
      <c r="E29" s="618">
        <v>750.17</v>
      </c>
      <c r="F29" s="618">
        <v>988.07</v>
      </c>
      <c r="G29" s="618">
        <v>925.47</v>
      </c>
      <c r="H29" s="620">
        <v>873.91</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26.247494</v>
      </c>
      <c r="AJ29" s="42">
        <f t="shared" si="3"/>
        <v>18.10172</v>
      </c>
      <c r="AK29" s="42">
        <f t="shared" si="1"/>
        <v>14.1193416</v>
      </c>
      <c r="AO29" s="42">
        <v>3.3879999999999999</v>
      </c>
      <c r="AS29" s="42">
        <f t="shared" si="2"/>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21.996428922520661</v>
      </c>
      <c r="N30" s="103"/>
      <c r="O30" s="622" t="s">
        <v>134</v>
      </c>
      <c r="P30" s="623"/>
      <c r="Q30" s="229">
        <f>Q28/Q27</f>
        <v>2.3586788821986064</v>
      </c>
      <c r="R30" s="229">
        <f>R28/R27</f>
        <v>2.2236855746430719</v>
      </c>
      <c r="S30" s="131">
        <f>S28/S27</f>
        <v>2.0958486775768916</v>
      </c>
      <c r="T30" s="174"/>
      <c r="U30" s="120">
        <v>0.15</v>
      </c>
      <c r="V30" s="113">
        <f>U30*25.4</f>
        <v>3.8099999999999996</v>
      </c>
      <c r="W30" s="581">
        <f>AI28</f>
        <v>23.063540499999998</v>
      </c>
      <c r="X30" s="582"/>
      <c r="Y30" s="449">
        <f>((W30/19.32)*10)</f>
        <v>11.937650362318839</v>
      </c>
      <c r="Z30" s="450"/>
      <c r="AA30" s="581">
        <f>AJ28</f>
        <v>15.905889999999999</v>
      </c>
      <c r="AB30" s="582"/>
      <c r="AC30" s="449">
        <f>((AA30/19.32)*10)</f>
        <v>8.2328623188405796</v>
      </c>
      <c r="AD30" s="450"/>
      <c r="AE30" s="581">
        <f>AK28</f>
        <v>12.406594200000001</v>
      </c>
      <c r="AF30" s="582"/>
      <c r="AG30" s="114">
        <f>((AE30/19.32)*10)</f>
        <v>6.4216326086956519</v>
      </c>
      <c r="AH30" s="104"/>
      <c r="AI30" s="42">
        <f t="shared" si="0"/>
        <v>28.229383000000002</v>
      </c>
      <c r="AJ30" s="42">
        <f t="shared" si="3"/>
        <v>19.468540000000001</v>
      </c>
      <c r="AK30" s="42">
        <f t="shared" si="1"/>
        <v>15.185461200000001</v>
      </c>
      <c r="AO30" s="42">
        <v>3.8439999999999999</v>
      </c>
      <c r="AS30" s="42">
        <f t="shared" si="2"/>
        <v>3.1252032520325201</v>
      </c>
    </row>
    <row r="31" spans="1:45" ht="24.95" customHeight="1" thickBot="1" x14ac:dyDescent="0.3">
      <c r="A31" s="103"/>
      <c r="B31" s="576" t="s">
        <v>74</v>
      </c>
      <c r="C31" s="577"/>
      <c r="D31" s="577"/>
      <c r="E31" s="152">
        <v>736.9</v>
      </c>
      <c r="F31" s="152">
        <v>950.74</v>
      </c>
      <c r="G31" s="152">
        <v>873.29</v>
      </c>
      <c r="H31" s="153">
        <v>808.11</v>
      </c>
      <c r="I31" s="174"/>
      <c r="J31" s="597" t="s">
        <v>138</v>
      </c>
      <c r="K31" s="597"/>
      <c r="L31" s="562" t="s">
        <v>116</v>
      </c>
      <c r="M31" s="457">
        <f>IF(M25="","",S82)</f>
        <v>2.7120000000000002</v>
      </c>
      <c r="N31" s="121"/>
      <c r="O31" s="628" t="s">
        <v>135</v>
      </c>
      <c r="P31" s="629"/>
      <c r="Q31" s="122">
        <f>Q30/(1+Q40/100)</f>
        <v>2.2343707496762164</v>
      </c>
      <c r="R31" s="122">
        <f>R30/(1+R40/100)</f>
        <v>2.107952950701661</v>
      </c>
      <c r="S31" s="123">
        <f>S30/(1+S40/100)</f>
        <v>1.9847601452621397</v>
      </c>
      <c r="T31" s="174"/>
      <c r="U31" s="627">
        <v>0.17499999999999999</v>
      </c>
      <c r="V31" s="624">
        <f>U31*25.4</f>
        <v>4.4449999999999994</v>
      </c>
      <c r="W31" s="593">
        <f>AI29</f>
        <v>26.247494</v>
      </c>
      <c r="X31" s="594"/>
      <c r="Y31" s="439">
        <f>((W31/19.32)*10)</f>
        <v>13.585659420289854</v>
      </c>
      <c r="Z31" s="440"/>
      <c r="AA31" s="593">
        <f>AJ29</f>
        <v>18.10172</v>
      </c>
      <c r="AB31" s="594"/>
      <c r="AC31" s="439">
        <f>((AA31/19.32)*10)</f>
        <v>9.3694202898550731</v>
      </c>
      <c r="AD31" s="440"/>
      <c r="AE31" s="593">
        <f>AK29</f>
        <v>14.1193416</v>
      </c>
      <c r="AF31" s="594"/>
      <c r="AG31" s="443">
        <f>((AE31/19.32)*10)</f>
        <v>7.308147826086957</v>
      </c>
      <c r="AH31" s="104"/>
      <c r="AI31" s="42">
        <f t="shared" si="0"/>
        <v>35.765410000000003</v>
      </c>
      <c r="AJ31" s="42">
        <v>24.665800000000001</v>
      </c>
      <c r="AK31" s="42">
        <v>18.169599999999999</v>
      </c>
      <c r="AO31" s="42">
        <v>5.516</v>
      </c>
      <c r="AS31" s="42">
        <f t="shared" si="2"/>
        <v>4.4845528455284551</v>
      </c>
    </row>
    <row r="32" spans="1:45" ht="5.0999999999999996" customHeight="1" thickBot="1" x14ac:dyDescent="0.3">
      <c r="A32" s="103"/>
      <c r="B32" s="612" t="s">
        <v>75</v>
      </c>
      <c r="C32" s="613"/>
      <c r="D32" s="614"/>
      <c r="E32" s="618">
        <v>103.3</v>
      </c>
      <c r="F32" s="618">
        <v>101.33</v>
      </c>
      <c r="G32" s="618">
        <v>105.56</v>
      </c>
      <c r="H32" s="620">
        <v>100.52</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v>37.4589</v>
      </c>
      <c r="AJ32" s="42">
        <v>26.9876</v>
      </c>
      <c r="AK32" s="42">
        <v>19.459</v>
      </c>
      <c r="AO32" s="42">
        <v>6.7220000000000004</v>
      </c>
      <c r="AS32" s="42">
        <f t="shared" si="2"/>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28.229383000000002</v>
      </c>
      <c r="X33" s="582"/>
      <c r="Y33" s="449">
        <f>((W33/19.32)*10)</f>
        <v>14.611481884057973</v>
      </c>
      <c r="Z33" s="450"/>
      <c r="AA33" s="581">
        <f>AJ30</f>
        <v>19.468540000000001</v>
      </c>
      <c r="AB33" s="582"/>
      <c r="AC33" s="449">
        <f>((AA33/19.32)*10)</f>
        <v>10.076884057971014</v>
      </c>
      <c r="AD33" s="450"/>
      <c r="AE33" s="581">
        <f>AK30</f>
        <v>15.185461200000001</v>
      </c>
      <c r="AF33" s="582"/>
      <c r="AG33" s="144">
        <f>((AE33/19.32)*10)</f>
        <v>7.8599695652173915</v>
      </c>
      <c r="AH33" s="104"/>
      <c r="AI33" s="42">
        <v>38.741300000000003</v>
      </c>
      <c r="AJ33" s="42">
        <f t="shared" si="3"/>
        <v>28.267330000000001</v>
      </c>
      <c r="AK33" s="42">
        <v>20.8995</v>
      </c>
      <c r="AO33" s="42">
        <v>7.7720000000000002</v>
      </c>
      <c r="AS33" s="42">
        <f t="shared" si="2"/>
        <v>6.3186991869918705</v>
      </c>
    </row>
    <row r="34" spans="1:45" ht="24.95" customHeight="1" thickBot="1" x14ac:dyDescent="0.3">
      <c r="A34" s="103"/>
      <c r="B34" s="602" t="s">
        <v>10</v>
      </c>
      <c r="C34" s="603"/>
      <c r="D34" s="603"/>
      <c r="E34" s="125">
        <f>((E29-E31)/(E31-E32))*100</f>
        <v>2.09438131313131</v>
      </c>
      <c r="F34" s="125">
        <f>((F29-F31)/(F31-F32))*100</f>
        <v>4.3948152246853747</v>
      </c>
      <c r="G34" s="125">
        <f>((G29-G31)/(G31-G32))*100</f>
        <v>6.7966602842145107</v>
      </c>
      <c r="H34" s="126">
        <f>((H29-H31)/(H31-H32))*100</f>
        <v>9.2991704235503541</v>
      </c>
      <c r="I34" s="174"/>
      <c r="J34" s="630" t="s">
        <v>125</v>
      </c>
      <c r="K34" s="630"/>
      <c r="L34" s="184" t="s">
        <v>126</v>
      </c>
      <c r="M34" s="127">
        <v>2.66</v>
      </c>
      <c r="N34" s="128"/>
      <c r="O34" s="631" t="s">
        <v>9</v>
      </c>
      <c r="P34" s="632"/>
      <c r="Q34" s="156">
        <v>363</v>
      </c>
      <c r="R34" s="156">
        <v>356</v>
      </c>
      <c r="S34" s="157">
        <v>331</v>
      </c>
      <c r="T34" s="174"/>
      <c r="U34" s="120">
        <v>0.3</v>
      </c>
      <c r="V34" s="113">
        <f>U34*25.4</f>
        <v>7.6199999999999992</v>
      </c>
      <c r="W34" s="581">
        <f>AI31</f>
        <v>35.765410000000003</v>
      </c>
      <c r="X34" s="582"/>
      <c r="Y34" s="449">
        <f>((W34/19.32)*10)</f>
        <v>18.512116977225674</v>
      </c>
      <c r="Z34" s="450"/>
      <c r="AA34" s="581">
        <f>AJ31</f>
        <v>24.665800000000001</v>
      </c>
      <c r="AB34" s="582"/>
      <c r="AC34" s="449">
        <f>((AA34/19.32)*10)</f>
        <v>12.766977225672878</v>
      </c>
      <c r="AD34" s="450"/>
      <c r="AE34" s="581">
        <f>AK31</f>
        <v>18.169599999999999</v>
      </c>
      <c r="AF34" s="582"/>
      <c r="AG34" s="114">
        <f>((AE34/19.32)*10)</f>
        <v>9.40455486542443</v>
      </c>
      <c r="AH34" s="104"/>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822.12</v>
      </c>
      <c r="R35" s="608">
        <v>941.03</v>
      </c>
      <c r="S35" s="610">
        <v>988.22</v>
      </c>
      <c r="T35" s="174"/>
      <c r="U35" s="627">
        <v>0.4</v>
      </c>
      <c r="V35" s="624">
        <f>U35*25.4</f>
        <v>10.16</v>
      </c>
      <c r="W35" s="593">
        <f>AI32</f>
        <v>37.4589</v>
      </c>
      <c r="X35" s="594"/>
      <c r="Y35" s="439">
        <f>((W35/19.32)*10)</f>
        <v>19.388664596273291</v>
      </c>
      <c r="Z35" s="440"/>
      <c r="AA35" s="593">
        <f>AJ32</f>
        <v>26.9876</v>
      </c>
      <c r="AB35" s="594"/>
      <c r="AC35" s="439">
        <f>(AA35/19.32)*10</f>
        <v>13.968737060041407</v>
      </c>
      <c r="AD35" s="440"/>
      <c r="AE35" s="593">
        <f>AK32</f>
        <v>19.459</v>
      </c>
      <c r="AF35" s="594"/>
      <c r="AG35" s="443">
        <f>((AE35/19.32)*10)</f>
        <v>10.071946169772257</v>
      </c>
      <c r="AH35" s="104"/>
      <c r="AS35" s="42">
        <f t="shared" si="2"/>
        <v>0</v>
      </c>
    </row>
    <row r="36" spans="1:45" ht="20.100000000000001" customHeight="1" thickBot="1" x14ac:dyDescent="0.3">
      <c r="A36" s="103"/>
      <c r="B36" s="639" t="s">
        <v>71</v>
      </c>
      <c r="C36" s="640"/>
      <c r="D36" s="640"/>
      <c r="E36" s="130">
        <f>E25/E24</f>
        <v>1.9906890130353818</v>
      </c>
      <c r="F36" s="130">
        <f>F25/F24</f>
        <v>2.3202979515828677</v>
      </c>
      <c r="G36" s="130">
        <f>G25/G24</f>
        <v>2.3398510242085662</v>
      </c>
      <c r="H36" s="131">
        <f>H25/H24</f>
        <v>2.0796089385474859</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2"/>
        <v>0</v>
      </c>
    </row>
    <row r="37" spans="1:45" ht="24.95" customHeight="1" thickBot="1" x14ac:dyDescent="0.3">
      <c r="A37" s="103"/>
      <c r="B37" s="602" t="s">
        <v>72</v>
      </c>
      <c r="C37" s="603"/>
      <c r="D37" s="603"/>
      <c r="E37" s="122">
        <f>E36/(1+E34/100)</f>
        <v>1.9498516837374094</v>
      </c>
      <c r="F37" s="230">
        <f>F36/(1+F34/100)</f>
        <v>2.2226179974445763</v>
      </c>
      <c r="G37" s="230">
        <f>G36/(1+G34/100)</f>
        <v>2.190940257852255</v>
      </c>
      <c r="H37" s="123">
        <f>H36/(1+H34/100)</f>
        <v>1.9026758670616579</v>
      </c>
      <c r="I37" s="174"/>
      <c r="J37" s="641" t="s">
        <v>139</v>
      </c>
      <c r="K37" s="641"/>
      <c r="L37" s="643" t="s">
        <v>121</v>
      </c>
      <c r="M37" s="433">
        <f>IF(F74="","",(M42^2*F74+M42*F75+F76))</f>
        <v>2.2422455578512395</v>
      </c>
      <c r="N37" s="101"/>
      <c r="O37" s="576" t="s">
        <v>28</v>
      </c>
      <c r="P37" s="577"/>
      <c r="Q37" s="150">
        <v>784.15</v>
      </c>
      <c r="R37" s="150">
        <v>897.43</v>
      </c>
      <c r="S37" s="151">
        <v>940.29</v>
      </c>
      <c r="T37" s="174"/>
      <c r="U37" s="132">
        <v>0.5</v>
      </c>
      <c r="V37" s="133">
        <f>U37*25.4</f>
        <v>12.7</v>
      </c>
      <c r="W37" s="637">
        <f>AI33</f>
        <v>38.741300000000003</v>
      </c>
      <c r="X37" s="638"/>
      <c r="Y37" s="431">
        <f>((W37/19.32)*10)</f>
        <v>20.052432712215321</v>
      </c>
      <c r="Z37" s="432"/>
      <c r="AA37" s="637">
        <f>AJ33</f>
        <v>28.267330000000001</v>
      </c>
      <c r="AB37" s="638"/>
      <c r="AC37" s="431">
        <f>((AA37/19.32)*10)</f>
        <v>14.631123188405796</v>
      </c>
      <c r="AD37" s="432"/>
      <c r="AE37" s="637">
        <f>AK33</f>
        <v>20.8995</v>
      </c>
      <c r="AF37" s="638"/>
      <c r="AG37" s="134">
        <f>((AE37/19.32)*10)</f>
        <v>10.817546583850932</v>
      </c>
      <c r="AH37" s="104"/>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772">
        <v>101.66</v>
      </c>
      <c r="R38" s="772">
        <v>103.3</v>
      </c>
      <c r="S38" s="773">
        <v>83.95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2.242245557851239</v>
      </c>
      <c r="N39" s="103"/>
      <c r="O39" s="576"/>
      <c r="P39" s="577"/>
      <c r="Q39" s="772"/>
      <c r="R39" s="772"/>
      <c r="S39" s="773"/>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21.996428922520661</v>
      </c>
      <c r="N40" s="103"/>
      <c r="O40" s="628" t="s">
        <v>10</v>
      </c>
      <c r="P40" s="629"/>
      <c r="Q40" s="125">
        <f>((Q35-Q37)/(Q37-Q38))*100</f>
        <v>5.5634514791425556</v>
      </c>
      <c r="R40" s="125">
        <f>((R35-R37)/(R37-R38))*100</f>
        <v>5.4902849659375699</v>
      </c>
      <c r="S40" s="126">
        <f>((S35-S37)/(S37-S38))*100</f>
        <v>5.5970759277857001</v>
      </c>
      <c r="T40" s="174"/>
      <c r="U40" s="645" t="s">
        <v>151</v>
      </c>
      <c r="V40" s="646"/>
      <c r="W40" s="423">
        <f>(AM79/6.9)*100</f>
        <v>119.62880697332491</v>
      </c>
      <c r="X40" s="423"/>
      <c r="Y40" s="423"/>
      <c r="Z40" s="424"/>
      <c r="AA40" s="425">
        <f>(AO79/6.9)*100</f>
        <v>82.502625498844779</v>
      </c>
      <c r="AB40" s="426"/>
      <c r="AC40" s="427"/>
      <c r="AD40" s="425">
        <f>(AQ79/6.9)*100</f>
        <v>64.352047889098927</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21.996428922520657</v>
      </c>
      <c r="N41" s="138"/>
      <c r="O41" s="565" t="s">
        <v>36</v>
      </c>
      <c r="P41" s="566"/>
      <c r="Q41" s="566"/>
      <c r="R41" s="566"/>
      <c r="S41" s="567"/>
      <c r="T41" s="174"/>
      <c r="U41" s="653" t="s">
        <v>152</v>
      </c>
      <c r="V41" s="654"/>
      <c r="W41" s="418">
        <f>(AM83/10.3)*100</f>
        <v>141.85904741803856</v>
      </c>
      <c r="X41" s="418"/>
      <c r="Y41" s="418"/>
      <c r="Z41" s="419"/>
      <c r="AA41" s="420">
        <f>(AO83/10.3)*100</f>
        <v>97.83382580554381</v>
      </c>
      <c r="AB41" s="421"/>
      <c r="AC41" s="418"/>
      <c r="AD41" s="420">
        <f>(AQ83/10.3)*100</f>
        <v>76.310384128324188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5.5433884297520661</v>
      </c>
      <c r="N42" s="103"/>
      <c r="O42" s="639" t="s">
        <v>9</v>
      </c>
      <c r="P42" s="640"/>
      <c r="Q42" s="148">
        <v>350</v>
      </c>
      <c r="R42" s="148">
        <v>355</v>
      </c>
      <c r="S42" s="149">
        <v>347</v>
      </c>
      <c r="T42" s="174"/>
      <c r="U42" s="651" t="s">
        <v>42</v>
      </c>
      <c r="V42" s="652"/>
      <c r="W42" s="413">
        <f>IF(W40&lt;W41,W40,W41)</f>
        <v>119.62880697332491</v>
      </c>
      <c r="X42" s="414"/>
      <c r="Y42" s="414"/>
      <c r="Z42" s="415"/>
      <c r="AA42" s="416">
        <f>IF(AA40&lt;AA41,AA40,AA41)</f>
        <v>82.502625498844779</v>
      </c>
      <c r="AB42" s="414"/>
      <c r="AC42" s="415"/>
      <c r="AD42" s="416">
        <f>IF(AD40&lt;AD41,AD40,AD41)</f>
        <v>64.352047889098927</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4.507541322314049</v>
      </c>
      <c r="N43" s="103"/>
      <c r="O43" s="612" t="s">
        <v>49</v>
      </c>
      <c r="P43" s="614"/>
      <c r="Q43" s="608">
        <v>1126</v>
      </c>
      <c r="R43" s="608">
        <v>931.48</v>
      </c>
      <c r="S43" s="610">
        <v>1073.1099999999999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1042.03</v>
      </c>
      <c r="R45" s="150">
        <v>855.71</v>
      </c>
      <c r="S45" s="151">
        <v>969.83</v>
      </c>
      <c r="T45" s="174"/>
      <c r="U45" s="656" t="s">
        <v>139</v>
      </c>
      <c r="V45" s="656"/>
      <c r="W45" s="179" t="s">
        <v>121</v>
      </c>
      <c r="X45" s="406">
        <f>MAX(M37:M39)</f>
        <v>2.2422455578512395</v>
      </c>
      <c r="Y45" s="406"/>
      <c r="Z45" s="406"/>
      <c r="AA45" s="174"/>
      <c r="AB45" s="657" t="s">
        <v>31</v>
      </c>
      <c r="AC45" s="658"/>
      <c r="AD45" s="658"/>
      <c r="AE45" s="658"/>
      <c r="AF45" s="231">
        <v>1.0500000000000001E-2</v>
      </c>
      <c r="AG45" s="231">
        <v>8.9499999999999996E-2</v>
      </c>
      <c r="AH45" s="233">
        <v>0.1144</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101.92</v>
      </c>
      <c r="R46" s="150">
        <v>105.56</v>
      </c>
      <c r="S46" s="151">
        <v>101.24</v>
      </c>
      <c r="T46" s="174"/>
      <c r="U46" s="555" t="s">
        <v>123</v>
      </c>
      <c r="V46" s="555"/>
      <c r="W46" s="179" t="s">
        <v>41</v>
      </c>
      <c r="X46" s="401">
        <f>MIN(M42:M44)</f>
        <v>4.507541322314049</v>
      </c>
      <c r="Y46" s="401"/>
      <c r="Z46" s="401"/>
      <c r="AA46" s="174"/>
      <c r="AB46" s="660" t="s">
        <v>32</v>
      </c>
      <c r="AC46" s="661"/>
      <c r="AD46" s="661"/>
      <c r="AE46" s="661"/>
      <c r="AF46" s="234">
        <v>2.9000000000000001E-2</v>
      </c>
      <c r="AG46" s="234">
        <v>9.8000000000000004E-2</v>
      </c>
      <c r="AH46" s="235">
        <v>0.1205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8.9319334971439535</v>
      </c>
      <c r="R47" s="125">
        <f>((R43-R45)/(R45-R46))*100</f>
        <v>10.100646537359191</v>
      </c>
      <c r="S47" s="126">
        <f>((S43-S45)/(S45-S46))*100</f>
        <v>11.890535235266334</v>
      </c>
      <c r="T47" s="174"/>
      <c r="U47" s="555" t="s">
        <v>162</v>
      </c>
      <c r="V47" s="555"/>
      <c r="W47" s="179" t="s">
        <v>41</v>
      </c>
      <c r="X47" s="402">
        <f>IF(L25=D103,"-",IF(L25=D102,"-",IF(L25=D101,M25)))</f>
        <v>24.36</v>
      </c>
      <c r="Y47" s="402"/>
      <c r="Z47" s="402"/>
      <c r="AA47" s="174"/>
      <c r="AB47" s="662" t="s">
        <v>33</v>
      </c>
      <c r="AC47" s="663"/>
      <c r="AD47" s="663"/>
      <c r="AE47" s="663"/>
      <c r="AF47" s="232">
        <f>(AF46-AF45)*2.54</f>
        <v>4.6990000000000004E-2</v>
      </c>
      <c r="AG47" s="140">
        <f>(AG46-AG45)*2.54</f>
        <v>2.1590000000000019E-2</v>
      </c>
      <c r="AH47" s="141">
        <f>(AH46-AH45)*2.54</f>
        <v>1.5493999999999985E-2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0.40683982683982689</v>
      </c>
      <c r="AG48" s="142">
        <f>IF(AG47&lt;&gt;"",IF(R24&lt;&gt;"",AG47/R24*100,""),"")</f>
        <v>0.18612068965517259</v>
      </c>
      <c r="AH48" s="173">
        <f>IF(AH47&lt;&gt;"",IF(S24&lt;&gt;"",AH47/S24*100,""),"")</f>
        <v>0.13449652777777765</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0.21199999999999999</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60" t="str">
        <f>W19</f>
        <v xml:space="preserve">56  GOLPES </v>
      </c>
      <c r="AC51" s="561"/>
      <c r="AD51" s="561"/>
      <c r="AE51" s="561"/>
      <c r="AF51" s="148">
        <v>4556</v>
      </c>
      <c r="AG51" s="765">
        <v>4</v>
      </c>
      <c r="AH51" s="766"/>
      <c r="AJ51" s="42">
        <v>1.264</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4.0590000000000002</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8.9139999999999997</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12.086</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14.945</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17.478999999999999</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19.891999999999999</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21.393999999999998</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26.097000000000001</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29.045999999999999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31.062999999999999</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-2.4199999999999999E-2</v>
      </c>
      <c r="G74" s="75">
        <v>-0.12509999999999999</v>
      </c>
      <c r="J74" s="701"/>
      <c r="K74" s="702"/>
      <c r="L74" s="44"/>
      <c r="M74" s="44"/>
      <c r="N74" s="44"/>
    </row>
    <row r="75" spans="1:94" ht="26.25" customHeight="1" thickBot="1" x14ac:dyDescent="0.3">
      <c r="A75" s="11"/>
      <c r="B75" s="377" t="s">
        <v>113</v>
      </c>
      <c r="C75" s="377"/>
      <c r="D75" s="19"/>
      <c r="E75" s="54" t="s">
        <v>12</v>
      </c>
      <c r="F75" s="55">
        <v>0.26829999999999998</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1.4985999999999999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2.1326580000000002</v>
      </c>
      <c r="AM76" s="3">
        <f t="shared" si="4"/>
        <v>1.1038602484472051</v>
      </c>
      <c r="AN76" s="5">
        <f>AA23</f>
        <v>1.258</v>
      </c>
      <c r="AO76" s="3">
        <f t="shared" ref="AO76:AO86" si="7">((AN76/19.32)*10)</f>
        <v>0.65113871635610765</v>
      </c>
      <c r="AP76" s="5">
        <f>AE23</f>
        <v>0.98124</v>
      </c>
      <c r="AQ76" s="161">
        <f t="shared" si="5"/>
        <v>0.50788819875776392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7.6585000000000001</v>
      </c>
      <c r="AM77" s="3">
        <f t="shared" si="4"/>
        <v>3.9640269151138718</v>
      </c>
      <c r="AN77" s="5">
        <f>AA24</f>
        <v>4.0149999999999997</v>
      </c>
      <c r="AO77" s="3">
        <f t="shared" si="7"/>
        <v>2.0781573498964798</v>
      </c>
      <c r="AP77" s="5">
        <f>AE24</f>
        <v>2.8923139999999998</v>
      </c>
      <c r="AQ77" s="161">
        <f t="shared" si="5"/>
        <v>1.4970569358178052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11.762022999999999</v>
      </c>
      <c r="AM78" s="3">
        <f t="shared" si="4"/>
        <v>6.0880036231884045</v>
      </c>
      <c r="AN78" s="5">
        <f>AA25</f>
        <v>8.1117399999999993</v>
      </c>
      <c r="AO78" s="3">
        <f t="shared" si="7"/>
        <v>4.1986231884057972</v>
      </c>
      <c r="AP78" s="5">
        <f>AE25</f>
        <v>6.1355399999999998</v>
      </c>
      <c r="AQ78" s="161">
        <f t="shared" si="5"/>
        <v>3.1757453416149066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15.947476999999999</v>
      </c>
      <c r="AM79" s="4">
        <f t="shared" si="4"/>
        <v>8.2543876811594199</v>
      </c>
      <c r="AN79" s="5">
        <f>AA26</f>
        <v>10.99826</v>
      </c>
      <c r="AO79" s="4">
        <f t="shared" si="7"/>
        <v>5.6926811594202897</v>
      </c>
      <c r="AP79" s="5">
        <f>AE26</f>
        <v>8.5786428000000008</v>
      </c>
      <c r="AQ79" s="162">
        <f t="shared" si="5"/>
        <v>4.4402913043478263</v>
      </c>
      <c r="BB79" s="12">
        <v>17</v>
      </c>
      <c r="BC79" s="12">
        <v>18</v>
      </c>
    </row>
    <row r="80" spans="1:94" ht="42" customHeight="1" thickTop="1" thickBot="1" x14ac:dyDescent="0.3">
      <c r="D80" s="49"/>
      <c r="H80" s="711" t="s">
        <v>105</v>
      </c>
      <c r="I80" s="712"/>
      <c r="J80" s="58"/>
      <c r="AJ80" s="160">
        <f>U28</f>
        <v>0.125</v>
      </c>
      <c r="AK80" s="3">
        <f t="shared" si="6"/>
        <v>3.1749999999999998</v>
      </c>
      <c r="AL80" s="5">
        <f>W28</f>
        <v>19.719927500000001</v>
      </c>
      <c r="AM80" s="3">
        <f t="shared" si="4"/>
        <v>10.207001811594203</v>
      </c>
      <c r="AN80" s="5">
        <f>AA28</f>
        <v>13.599950000000002</v>
      </c>
      <c r="AO80" s="3">
        <f t="shared" si="7"/>
        <v>7.0393115942028999</v>
      </c>
      <c r="AP80" s="5">
        <f>AE28</f>
        <v>10.607961000000001</v>
      </c>
      <c r="AQ80" s="161">
        <f t="shared" si="5"/>
        <v>5.4906630434782606</v>
      </c>
      <c r="BC80" s="45">
        <v>0.99880400000000003</v>
      </c>
      <c r="BD80" s="45">
        <v>0.99862499999999998</v>
      </c>
    </row>
    <row r="81" spans="2:43" ht="15.75" customHeight="1" x14ac:dyDescent="0.25">
      <c r="AJ81" s="160">
        <f>U30</f>
        <v>0.15</v>
      </c>
      <c r="AK81" s="3">
        <f t="shared" si="6"/>
        <v>3.8099999999999996</v>
      </c>
      <c r="AL81" s="5">
        <f>W30</f>
        <v>23.063540499999998</v>
      </c>
      <c r="AM81" s="3">
        <f t="shared" si="4"/>
        <v>11.937650362318839</v>
      </c>
      <c r="AN81" s="5">
        <f>AA30</f>
        <v>15.905889999999999</v>
      </c>
      <c r="AO81" s="3">
        <f t="shared" si="7"/>
        <v>8.2328623188405796</v>
      </c>
      <c r="AP81" s="5">
        <f>AE30</f>
        <v>12.406594200000001</v>
      </c>
      <c r="AQ81" s="161">
        <f t="shared" si="5"/>
        <v>6.4216326086956519</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26.247494</v>
      </c>
      <c r="AM82" s="3">
        <f t="shared" si="4"/>
        <v>13.585659420289854</v>
      </c>
      <c r="AN82" s="5">
        <f>AA31</f>
        <v>18.10172</v>
      </c>
      <c r="AO82" s="3">
        <f t="shared" si="7"/>
        <v>9.3694202898550731</v>
      </c>
      <c r="AP82" s="5">
        <f>AE31</f>
        <v>14.1193416</v>
      </c>
      <c r="AQ82" s="161">
        <f t="shared" si="5"/>
        <v>7.308147826086957</v>
      </c>
    </row>
    <row r="83" spans="2:43" ht="15" customHeight="1" x14ac:dyDescent="0.25">
      <c r="B83" s="49"/>
      <c r="C83" s="49"/>
      <c r="D83" s="49">
        <v>0</v>
      </c>
      <c r="E83" s="50">
        <f>M42</f>
        <v>5.5433884297520661</v>
      </c>
      <c r="F83" s="49"/>
      <c r="G83" s="43">
        <f>G84/10</f>
        <v>2.4717570715543866</v>
      </c>
      <c r="H83" s="43">
        <f>H84/10</f>
        <v>2.336337298586562</v>
      </c>
      <c r="I83" s="43">
        <f>I84/10</f>
        <v>2.2099250744157271</v>
      </c>
      <c r="J83" s="43">
        <f>J84/10</f>
        <v>2.0919897412017434</v>
      </c>
      <c r="K83" s="43"/>
      <c r="L83" s="42">
        <v>0</v>
      </c>
      <c r="O83" s="706"/>
      <c r="P83" s="706"/>
      <c r="Q83" s="706"/>
      <c r="R83" s="706"/>
      <c r="S83" s="707"/>
      <c r="W83" s="112"/>
      <c r="AJ83" s="160">
        <f>U33</f>
        <v>0.2</v>
      </c>
      <c r="AK83" s="4">
        <f t="shared" si="6"/>
        <v>5.08</v>
      </c>
      <c r="AL83" s="5">
        <f>W33</f>
        <v>28.229383000000002</v>
      </c>
      <c r="AM83" s="4">
        <f t="shared" si="4"/>
        <v>14.611481884057973</v>
      </c>
      <c r="AN83" s="5">
        <f>AA33</f>
        <v>19.468540000000001</v>
      </c>
      <c r="AO83" s="4">
        <f t="shared" si="7"/>
        <v>10.076884057971014</v>
      </c>
      <c r="AP83" s="5">
        <f>AE33</f>
        <v>15.185461200000001</v>
      </c>
      <c r="AQ83" s="162">
        <f t="shared" si="5"/>
        <v>7.8599695652173915</v>
      </c>
    </row>
    <row r="84" spans="2:43" ht="15" customHeight="1" x14ac:dyDescent="0.25">
      <c r="C84" s="94"/>
      <c r="D84" s="94"/>
      <c r="E84" s="94"/>
      <c r="F84" s="49"/>
      <c r="G84" s="43">
        <f>($M$34/(1+(E34*$M$34/100)))*($O$73)</f>
        <v>24.717570715543864</v>
      </c>
      <c r="H84" s="43">
        <f>($M$34/(1+(F34*$M$34/100)))*($O$73)</f>
        <v>23.36337298586562</v>
      </c>
      <c r="I84" s="43">
        <f>($M$34/(1+(G34*$M$34/100)))*($O$73)</f>
        <v>22.099250744157271</v>
      </c>
      <c r="J84" s="43">
        <f>($M$34/(1+(H34*$M$34/100)))*($O$73)</f>
        <v>20.919897412017434</v>
      </c>
      <c r="K84" s="43"/>
      <c r="O84" s="706" t="s">
        <v>146</v>
      </c>
      <c r="P84" s="706"/>
      <c r="Q84" s="706"/>
      <c r="R84" s="706"/>
      <c r="S84" s="707">
        <v>2240</v>
      </c>
      <c r="W84" s="112"/>
      <c r="AJ84" s="160">
        <f>U34</f>
        <v>0.3</v>
      </c>
      <c r="AK84" s="3">
        <f t="shared" si="6"/>
        <v>7.6199999999999992</v>
      </c>
      <c r="AL84" s="5">
        <f>W34</f>
        <v>35.765410000000003</v>
      </c>
      <c r="AM84" s="3">
        <f t="shared" si="4"/>
        <v>18.512116977225674</v>
      </c>
      <c r="AN84" s="5">
        <f>AA34</f>
        <v>24.665800000000001</v>
      </c>
      <c r="AO84" s="3">
        <f t="shared" si="7"/>
        <v>12.766977225672878</v>
      </c>
      <c r="AP84" s="5">
        <f>AE34</f>
        <v>18.169599999999999</v>
      </c>
      <c r="AQ84" s="161">
        <f t="shared" si="5"/>
        <v>9.40455486542443</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37.4589</v>
      </c>
      <c r="AM85" s="3">
        <f t="shared" si="4"/>
        <v>19.388664596273291</v>
      </c>
      <c r="AN85" s="5">
        <f>AA35</f>
        <v>26.9876</v>
      </c>
      <c r="AO85" s="3">
        <f t="shared" si="7"/>
        <v>13.968737060041407</v>
      </c>
      <c r="AP85" s="5">
        <f>AE35</f>
        <v>19.459</v>
      </c>
      <c r="AQ85" s="161">
        <f>((AP85/19.32)*10)</f>
        <v>10.071946169772257</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38.741300000000003</v>
      </c>
      <c r="AM86" s="164">
        <f t="shared" si="4"/>
        <v>20.052432712215321</v>
      </c>
      <c r="AN86" s="165">
        <f>AA37</f>
        <v>28.267330000000001</v>
      </c>
      <c r="AO86" s="164">
        <f t="shared" si="7"/>
        <v>14.631123188405796</v>
      </c>
      <c r="AP86" s="165">
        <f>AE37</f>
        <v>20.8995</v>
      </c>
      <c r="AQ86" s="166">
        <f>((AP86/19.32)*10)</f>
        <v>10.817546583850932</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2.2343707496762164</v>
      </c>
      <c r="AK91" s="9">
        <f>R31</f>
        <v>2.107952950701661</v>
      </c>
      <c r="AL91" s="10">
        <f>S31</f>
        <v>1.9847601452621397</v>
      </c>
    </row>
    <row r="92" spans="2:43" ht="21" customHeight="1" thickBot="1" x14ac:dyDescent="0.3">
      <c r="B92" s="92"/>
      <c r="C92" s="93"/>
      <c r="D92" s="93"/>
      <c r="E92" s="93"/>
      <c r="F92" s="62"/>
      <c r="G92" s="63"/>
      <c r="H92" s="49"/>
      <c r="I92" s="49"/>
      <c r="O92" s="725" t="s">
        <v>147</v>
      </c>
      <c r="P92" s="726"/>
      <c r="Q92" s="726"/>
      <c r="R92" s="726"/>
      <c r="S92" s="61">
        <f>M42</f>
        <v>5.5433884297520661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119.62880697332491</v>
      </c>
      <c r="AK94" s="158">
        <f>AA42</f>
        <v>82.502625498844779</v>
      </c>
      <c r="AL94" s="158">
        <f>AD42</f>
        <v>64.352047889098927</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2313" priority="45">
      <formula>LEN(TRIM(D6))=0</formula>
    </cfRule>
  </conditionalFormatting>
  <conditionalFormatting sqref="D6:H10">
    <cfRule type="containsBlanks" dxfId="2312" priority="44">
      <formula>LEN(TRIM(D6))=0</formula>
    </cfRule>
  </conditionalFormatting>
  <conditionalFormatting sqref="M19">
    <cfRule type="containsBlanks" dxfId="2311" priority="43">
      <formula>LEN(TRIM(M19))=0</formula>
    </cfRule>
  </conditionalFormatting>
  <conditionalFormatting sqref="CP70">
    <cfRule type="containsBlanks" dxfId="2310" priority="42">
      <formula>LEN(TRIM(CP70))=0</formula>
    </cfRule>
  </conditionalFormatting>
  <conditionalFormatting sqref="M21">
    <cfRule type="containsBlanks" dxfId="2309" priority="41">
      <formula>LEN(TRIM(M21))=0</formula>
    </cfRule>
  </conditionalFormatting>
  <conditionalFormatting sqref="D12:M12">
    <cfRule type="containsBlanks" dxfId="2308" priority="40">
      <formula>LEN(TRIM(D12))=0</formula>
    </cfRule>
  </conditionalFormatting>
  <conditionalFormatting sqref="L9:M9">
    <cfRule type="containsBlanks" dxfId="2307" priority="39">
      <formula>LEN(TRIM(L9))=0</formula>
    </cfRule>
  </conditionalFormatting>
  <conditionalFormatting sqref="L25">
    <cfRule type="containsBlanks" dxfId="2306" priority="38">
      <formula>LEN(TRIM(L25))=0</formula>
    </cfRule>
  </conditionalFormatting>
  <conditionalFormatting sqref="Q20:S26">
    <cfRule type="containsBlanks" dxfId="2305" priority="28">
      <formula>LEN(TRIM(Q20))=0</formula>
    </cfRule>
    <cfRule type="containsBlanks" dxfId="2304" priority="37">
      <formula>LEN(TRIM(Q20))=0</formula>
    </cfRule>
  </conditionalFormatting>
  <conditionalFormatting sqref="U26:V27 AC33 AC26">
    <cfRule type="cellIs" dxfId="2303" priority="36" operator="between">
      <formula>0</formula>
      <formula>500</formula>
    </cfRule>
  </conditionalFormatting>
  <conditionalFormatting sqref="U33:V33">
    <cfRule type="cellIs" dxfId="2302" priority="35" operator="between">
      <formula>0</formula>
      <formula>500</formula>
    </cfRule>
  </conditionalFormatting>
  <conditionalFormatting sqref="AF45:AH46">
    <cfRule type="containsBlanks" dxfId="2301" priority="34">
      <formula>LEN(TRIM(AF45))=0</formula>
    </cfRule>
  </conditionalFormatting>
  <conditionalFormatting sqref="AF51:AG53">
    <cfRule type="containsBlanks" dxfId="2300" priority="33">
      <formula>LEN(TRIM(AF51))=0</formula>
    </cfRule>
  </conditionalFormatting>
  <conditionalFormatting sqref="E20:H24">
    <cfRule type="containsBlanks" dxfId="2299" priority="32">
      <formula>LEN(TRIM(E20))=0</formula>
    </cfRule>
  </conditionalFormatting>
  <conditionalFormatting sqref="E28:H33">
    <cfRule type="containsBlanks" dxfId="2298" priority="31">
      <formula>LEN(TRIM(E28))=0</formula>
    </cfRule>
  </conditionalFormatting>
  <conditionalFormatting sqref="Q42:S46">
    <cfRule type="containsBlanks" dxfId="2297" priority="30">
      <formula>LEN(TRIM(Q42))=0</formula>
    </cfRule>
  </conditionalFormatting>
  <conditionalFormatting sqref="Q34:S39">
    <cfRule type="containsBlanks" dxfId="2296" priority="29">
      <formula>LEN(TRIM(Q34))=0</formula>
    </cfRule>
  </conditionalFormatting>
  <conditionalFormatting sqref="M25">
    <cfRule type="containsBlanks" dxfId="2295" priority="27">
      <formula>LEN(TRIM(M25))=0</formula>
    </cfRule>
  </conditionalFormatting>
  <conditionalFormatting sqref="U26:V27 Y26:Z27 AC26:AD27 AG26:AG27">
    <cfRule type="containsBlanks" dxfId="2294" priority="25">
      <formula>LEN(TRIM(U26))=0</formula>
    </cfRule>
    <cfRule type="cellIs" dxfId="2293" priority="26" operator="between">
      <formula>0</formula>
      <formula>1000</formula>
    </cfRule>
  </conditionalFormatting>
  <conditionalFormatting sqref="W87:W88">
    <cfRule type="cellIs" dxfId="2292" priority="24" operator="between">
      <formula>0</formula>
      <formula>500</formula>
    </cfRule>
  </conditionalFormatting>
  <conditionalFormatting sqref="W94">
    <cfRule type="cellIs" dxfId="2291" priority="23" operator="between">
      <formula>0</formula>
      <formula>500</formula>
    </cfRule>
  </conditionalFormatting>
  <conditionalFormatting sqref="W87:W88">
    <cfRule type="containsBlanks" dxfId="2290" priority="21">
      <formula>LEN(TRIM(W87))=0</formula>
    </cfRule>
    <cfRule type="cellIs" dxfId="2289" priority="22" operator="between">
      <formula>0</formula>
      <formula>1000</formula>
    </cfRule>
  </conditionalFormatting>
  <conditionalFormatting sqref="U33:V33 Y33:Z33 AC33:AD33 AG33">
    <cfRule type="cellIs" dxfId="2288" priority="20" operator="between">
      <formula>0</formula>
      <formula>1000</formula>
    </cfRule>
  </conditionalFormatting>
  <conditionalFormatting sqref="Q27:S27">
    <cfRule type="containsBlanks" dxfId="2287" priority="18">
      <formula>LEN(TRIM(Q27))=0</formula>
    </cfRule>
    <cfRule type="containsBlanks" dxfId="2286" priority="19">
      <formula>LEN(TRIM(Q27))=0</formula>
    </cfRule>
  </conditionalFormatting>
  <conditionalFormatting sqref="W37 W22:W26 W28 W30:W31 W33:W35">
    <cfRule type="containsBlanks" dxfId="2285" priority="17">
      <formula>LEN(TRIM(W22))=0</formula>
    </cfRule>
  </conditionalFormatting>
  <conditionalFormatting sqref="W37 W22:W26 W28 W30:W31 W33:W35">
    <cfRule type="containsBlanks" dxfId="2284" priority="16">
      <formula>LEN(TRIM(W22))=0</formula>
    </cfRule>
  </conditionalFormatting>
  <conditionalFormatting sqref="W33:X33">
    <cfRule type="cellIs" dxfId="2283" priority="15" operator="between">
      <formula>0</formula>
      <formula>1000</formula>
    </cfRule>
  </conditionalFormatting>
  <conditionalFormatting sqref="W26 W22:X25 W28 W30:X30 W33:X37 W31">
    <cfRule type="containsBlanks" dxfId="2282" priority="14">
      <formula>LEN(TRIM(W22))=0</formula>
    </cfRule>
  </conditionalFormatting>
  <conditionalFormatting sqref="AA37 AA30:AA31 AA33:AA35 AA22:AA26 AA28">
    <cfRule type="containsBlanks" dxfId="2281" priority="13">
      <formula>LEN(TRIM(AA22))=0</formula>
    </cfRule>
  </conditionalFormatting>
  <conditionalFormatting sqref="AA37 AA30:AA31 AA33:AA35 AA22:AA26 AA28">
    <cfRule type="containsBlanks" dxfId="2280" priority="12">
      <formula>LEN(TRIM(AA22))=0</formula>
    </cfRule>
  </conditionalFormatting>
  <conditionalFormatting sqref="AA33:AB34">
    <cfRule type="cellIs" dxfId="2279" priority="11" operator="between">
      <formula>0</formula>
      <formula>1000</formula>
    </cfRule>
  </conditionalFormatting>
  <conditionalFormatting sqref="AA30:AB30 AA31 AA33:AB37 AA22:AB25 AA26 AA28">
    <cfRule type="containsBlanks" dxfId="2278" priority="10">
      <formula>LEN(TRIM(AA22))=0</formula>
    </cfRule>
  </conditionalFormatting>
  <conditionalFormatting sqref="AE37 AE28 AE30:AE31 AE22:AE26 AE33:AE35">
    <cfRule type="containsBlanks" dxfId="2277" priority="9">
      <formula>LEN(TRIM(AE22))=0</formula>
    </cfRule>
  </conditionalFormatting>
  <conditionalFormatting sqref="AE37 AE28 AE30:AE31 AE22:AE26 AE33:AE35">
    <cfRule type="containsBlanks" dxfId="2276" priority="8">
      <formula>LEN(TRIM(AE22))=0</formula>
    </cfRule>
  </conditionalFormatting>
  <conditionalFormatting sqref="AE33:AF34">
    <cfRule type="cellIs" dxfId="2275" priority="7" operator="between">
      <formula>0</formula>
      <formula>1000</formula>
    </cfRule>
  </conditionalFormatting>
  <conditionalFormatting sqref="AE26 AE28 AE30:AE31 AE22:AF25 AE33:AF37">
    <cfRule type="containsBlanks" dxfId="2274" priority="6">
      <formula>LEN(TRIM(AE22))=0</formula>
    </cfRule>
  </conditionalFormatting>
  <conditionalFormatting sqref="K6:M6">
    <cfRule type="containsBlanks" dxfId="2273" priority="5">
      <formula>LEN(TRIM(K6))=0</formula>
    </cfRule>
  </conditionalFormatting>
  <conditionalFormatting sqref="K7:K8">
    <cfRule type="containsBlanks" dxfId="2272" priority="4">
      <formula>LEN(TRIM(K7))=0</formula>
    </cfRule>
  </conditionalFormatting>
  <conditionalFormatting sqref="D13:M13">
    <cfRule type="containsBlanks" dxfId="2271" priority="3">
      <formula>LEN(TRIM(D13))=0</formula>
    </cfRule>
  </conditionalFormatting>
  <conditionalFormatting sqref="B6:B10">
    <cfRule type="containsBlanks" dxfId="2270" priority="2">
      <formula>LEN(TRIM(B6))=0</formula>
    </cfRule>
  </conditionalFormatting>
  <conditionalFormatting sqref="B12:B13">
    <cfRule type="containsBlanks" dxfId="2269" priority="1">
      <formula>LEN(TRIM(B12))=0</formula>
    </cfRule>
  </conditionalFormatting>
  <dataValidations count="5">
    <dataValidation type="list" allowBlank="1" showInputMessage="1" showErrorMessage="1" sqref="L25" xr:uid="{00000000-0002-0000-0600-000000000000}">
      <formula1>$D$101:$D$104</formula1>
    </dataValidation>
    <dataValidation type="list" allowBlank="1" showInputMessage="1" showErrorMessage="1" sqref="M21" xr:uid="{00000000-0002-0000-0600-000001000000}">
      <formula1>$AX$3:$AX$4</formula1>
    </dataValidation>
    <dataValidation type="list" allowBlank="1" showInputMessage="1" showErrorMessage="1" sqref="M19" xr:uid="{00000000-0002-0000-0600-000002000000}">
      <formula1>$AX$3:$AX$5</formula1>
    </dataValidation>
    <dataValidation type="list" allowBlank="1" showInputMessage="1" showErrorMessage="1" sqref="CP70" xr:uid="{00000000-0002-0000-0600-000003000000}">
      <formula1>$BA$3:$BA$5</formula1>
    </dataValidation>
    <dataValidation type="list" allowBlank="1" showInputMessage="1" showErrorMessage="1" sqref="D12:E12" xr:uid="{00000000-0002-0000-0600-000004000000}">
      <formula1>$B$87:$B$94</formula1>
    </dataValidation>
  </dataValidations>
  <hyperlinks>
    <hyperlink ref="D8" r:id="rId1" xr:uid="{00000000-0004-0000-06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04449"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04450"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04451"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0445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0445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04454"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04455"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0445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0445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0445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43">
    <tabColor rgb="FF92D050"/>
  </sheetPr>
  <dimension ref="A1:CP153"/>
  <sheetViews>
    <sheetView view="pageBreakPreview" topLeftCell="J28" zoomScale="96" zoomScaleNormal="100" zoomScaleSheetLayoutView="96"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45894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45894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221</v>
      </c>
      <c r="AD9" s="222"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25-CAV-S2-AP4-3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25-CAV-S2-AP4-3</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213</v>
      </c>
      <c r="G12" s="31" t="s">
        <v>4</v>
      </c>
      <c r="H12" s="146">
        <v>3</v>
      </c>
      <c r="I12" s="546" t="s">
        <v>5</v>
      </c>
      <c r="J12" s="546"/>
      <c r="K12" s="209">
        <v>1.7</v>
      </c>
      <c r="L12" s="32" t="s">
        <v>6</v>
      </c>
      <c r="M12" s="147">
        <v>2</v>
      </c>
      <c r="N12" s="78"/>
      <c r="O12" s="501" t="s">
        <v>3</v>
      </c>
      <c r="P12" s="501"/>
      <c r="Q12" s="225" t="s">
        <v>56</v>
      </c>
      <c r="R12" s="224" t="str">
        <f>F12</f>
        <v>CAV-S2-AP4</v>
      </c>
      <c r="S12" s="224"/>
      <c r="T12" s="502" t="s">
        <v>4</v>
      </c>
      <c r="U12" s="502"/>
      <c r="V12" s="33">
        <f>+H12</f>
        <v>3</v>
      </c>
      <c r="W12" s="547" t="s">
        <v>5</v>
      </c>
      <c r="X12" s="547"/>
      <c r="Y12" s="547"/>
      <c r="Z12" s="547"/>
      <c r="AA12" s="547"/>
      <c r="AB12" s="547"/>
      <c r="AC12" s="34">
        <f>K12</f>
        <v>1.7</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218</v>
      </c>
      <c r="E13" s="479"/>
      <c r="F13" s="479"/>
      <c r="G13" s="479"/>
      <c r="H13" s="479"/>
      <c r="I13" s="479"/>
      <c r="J13" s="479"/>
      <c r="K13" s="479"/>
      <c r="L13" s="479"/>
      <c r="M13" s="480"/>
      <c r="N13" s="188"/>
      <c r="O13" s="526" t="s">
        <v>130</v>
      </c>
      <c r="P13" s="526"/>
      <c r="Q13" s="527" t="str">
        <f>D13</f>
        <v>LIMO CON ALGUNAS GRAVAS, COLOR MARRÓN, DE ESTADO SUELTO,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607</v>
      </c>
      <c r="R20" s="156">
        <v>504</v>
      </c>
      <c r="S20" s="157">
        <v>609</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11180-300</f>
        <v>10880</v>
      </c>
      <c r="F22" s="150">
        <f>11814-300</f>
        <v>11514</v>
      </c>
      <c r="G22" s="150">
        <f>11882-300</f>
        <v>11582</v>
      </c>
      <c r="H22" s="151">
        <f>11613-300</f>
        <v>11313</v>
      </c>
      <c r="I22" s="174"/>
      <c r="J22" s="578"/>
      <c r="K22" s="578"/>
      <c r="L22" s="578"/>
      <c r="M22" s="104"/>
      <c r="N22" s="103"/>
      <c r="O22" s="579" t="s">
        <v>132</v>
      </c>
      <c r="P22" s="580"/>
      <c r="Q22" s="219">
        <v>8082</v>
      </c>
      <c r="R22" s="219">
        <v>7713</v>
      </c>
      <c r="S22" s="208">
        <v>7457</v>
      </c>
      <c r="T22" s="174"/>
      <c r="U22" s="112">
        <v>5.0000000000000001E-3</v>
      </c>
      <c r="V22" s="113">
        <f>U22*25.4</f>
        <v>0.127</v>
      </c>
      <c r="W22" s="581">
        <v>0.06</v>
      </c>
      <c r="X22" s="582"/>
      <c r="Y22" s="449">
        <f>((W22/19.32)*10)</f>
        <v>3.1055900621118009E-2</v>
      </c>
      <c r="Z22" s="450"/>
      <c r="AA22" s="581">
        <f>AJ22</f>
        <v>3.5000000000000003E-2</v>
      </c>
      <c r="AB22" s="582"/>
      <c r="AC22" s="449">
        <f>((AA22/19.32)*10)</f>
        <v>1.8115942028985511E-2</v>
      </c>
      <c r="AD22" s="450"/>
      <c r="AE22" s="581">
        <v>2.5000000000000001E-2</v>
      </c>
      <c r="AF22" s="582"/>
      <c r="AG22" s="114">
        <f>((AE22/19.32)*10)</f>
        <v>1.2939958592132504E-2</v>
      </c>
      <c r="AH22" s="104"/>
      <c r="AI22" s="42">
        <f t="shared" ref="AI22:AI27" si="0">AJ22*1.45</f>
        <v>5.0750000000000003E-2</v>
      </c>
      <c r="AJ22" s="42">
        <f t="shared" ref="AJ22:AJ33" si="1">AJ50</f>
        <v>3.5000000000000003E-2</v>
      </c>
      <c r="AK22" s="42">
        <f>AJ22*0.81</f>
        <v>2.8350000000000004E-2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3862</v>
      </c>
      <c r="R23" s="150">
        <v>3788</v>
      </c>
      <c r="S23" s="151">
        <v>3848</v>
      </c>
      <c r="T23" s="174"/>
      <c r="U23" s="112">
        <v>2.5000000000000001E-2</v>
      </c>
      <c r="V23" s="113">
        <f>U23*25.4</f>
        <v>0.63500000000000001</v>
      </c>
      <c r="W23" s="581">
        <v>0.18909999999999999</v>
      </c>
      <c r="X23" s="582"/>
      <c r="Y23" s="449">
        <f>((W23/19.32)*10)</f>
        <v>9.7877846790890274E-2</v>
      </c>
      <c r="Z23" s="450"/>
      <c r="AA23" s="581">
        <f>AJ23</f>
        <v>0.104</v>
      </c>
      <c r="AB23" s="582"/>
      <c r="AC23" s="449">
        <f>((AA23/19.32)*10)</f>
        <v>5.3830227743271217E-2</v>
      </c>
      <c r="AD23" s="450"/>
      <c r="AE23" s="581">
        <v>8.8999999999999996E-2</v>
      </c>
      <c r="AF23" s="582"/>
      <c r="AG23" s="114">
        <f>((AE23/19.32)*10)</f>
        <v>4.606625258799172E-2</v>
      </c>
      <c r="AH23" s="104"/>
      <c r="AI23" s="42">
        <f t="shared" si="0"/>
        <v>0.15079999999999999</v>
      </c>
      <c r="AJ23" s="42">
        <f t="shared" si="1"/>
        <v>0.104</v>
      </c>
      <c r="AK23" s="42">
        <f>AJ23*0.81</f>
        <v>8.4239999999999995E-2</v>
      </c>
      <c r="AO23" s="42">
        <v>0.247</v>
      </c>
      <c r="AS23" s="42">
        <f t="shared" ref="AS23:AS37" si="2">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11.7</v>
      </c>
      <c r="R24" s="152">
        <v>11.65</v>
      </c>
      <c r="S24" s="153">
        <v>11.62</v>
      </c>
      <c r="T24" s="174"/>
      <c r="U24" s="112">
        <v>0.05</v>
      </c>
      <c r="V24" s="113">
        <f>U24*25.4</f>
        <v>1.27</v>
      </c>
      <c r="W24" s="581">
        <v>0.31890000000000002</v>
      </c>
      <c r="X24" s="582"/>
      <c r="Y24" s="449">
        <f>((W24/19.32)*10)</f>
        <v>0.16506211180124225</v>
      </c>
      <c r="Z24" s="450"/>
      <c r="AA24" s="581">
        <f>AJ24</f>
        <v>0.19400000000000001</v>
      </c>
      <c r="AB24" s="582"/>
      <c r="AC24" s="449">
        <f>((AA24/19.32)*10)</f>
        <v>0.10041407867494825</v>
      </c>
      <c r="AD24" s="450"/>
      <c r="AE24" s="581">
        <f>AK24</f>
        <v>0.15714</v>
      </c>
      <c r="AF24" s="582"/>
      <c r="AG24" s="114">
        <f>((AE24/19.32)*10)</f>
        <v>8.1335403726708069E-2</v>
      </c>
      <c r="AH24" s="104"/>
      <c r="AI24" s="42">
        <f t="shared" si="0"/>
        <v>0.28129999999999999</v>
      </c>
      <c r="AJ24" s="42">
        <f t="shared" si="1"/>
        <v>0.19400000000000001</v>
      </c>
      <c r="AK24" s="42">
        <f>AJ24*0.81</f>
        <v>0.15714</v>
      </c>
      <c r="AO24" s="42">
        <v>0.68400000000000005</v>
      </c>
      <c r="AS24" s="42">
        <f t="shared" si="2"/>
        <v>0.55609756097560981</v>
      </c>
    </row>
    <row r="25" spans="1:45" ht="24.95" customHeight="1" thickBot="1" x14ac:dyDescent="0.3">
      <c r="A25" s="103"/>
      <c r="B25" s="602" t="s">
        <v>69</v>
      </c>
      <c r="C25" s="603"/>
      <c r="D25" s="603"/>
      <c r="E25" s="115">
        <f>E22-E23</f>
        <v>3568</v>
      </c>
      <c r="F25" s="115">
        <f>F22-F23</f>
        <v>4202</v>
      </c>
      <c r="G25" s="115">
        <f>G22-G23</f>
        <v>4270</v>
      </c>
      <c r="H25" s="116">
        <f>H22-H23</f>
        <v>4001</v>
      </c>
      <c r="I25" s="174"/>
      <c r="J25" s="174" t="s">
        <v>127</v>
      </c>
      <c r="K25" s="174"/>
      <c r="L25" s="218" t="s">
        <v>128</v>
      </c>
      <c r="M25" s="155">
        <v>0</v>
      </c>
      <c r="N25" s="103"/>
      <c r="O25" s="604" t="s">
        <v>46</v>
      </c>
      <c r="P25" s="605"/>
      <c r="Q25" s="608">
        <v>15.2</v>
      </c>
      <c r="R25" s="608">
        <v>15.25</v>
      </c>
      <c r="S25" s="610">
        <v>15.28</v>
      </c>
      <c r="T25" s="174"/>
      <c r="U25" s="112">
        <v>7.4999999999999997E-2</v>
      </c>
      <c r="V25" s="113">
        <f>U25*25.4</f>
        <v>1.9049999999999998</v>
      </c>
      <c r="W25" s="581">
        <v>0.49890000000000001</v>
      </c>
      <c r="X25" s="582"/>
      <c r="Y25" s="449">
        <f>((W25/19.32)*10)</f>
        <v>0.2582298136645963</v>
      </c>
      <c r="Z25" s="450"/>
      <c r="AA25" s="581">
        <f>AJ25</f>
        <v>0.29199999999999998</v>
      </c>
      <c r="AB25" s="582"/>
      <c r="AC25" s="449">
        <f>((AA25/19.32)*10)</f>
        <v>0.15113871635610765</v>
      </c>
      <c r="AD25" s="450"/>
      <c r="AE25" s="581">
        <f>AK25</f>
        <v>0.22775999999999999</v>
      </c>
      <c r="AF25" s="582"/>
      <c r="AG25" s="114">
        <f>((AE25/19.32)*10)</f>
        <v>0.11788819875776396</v>
      </c>
      <c r="AH25" s="104"/>
      <c r="AI25" s="42">
        <f t="shared" si="0"/>
        <v>0.42339999999999994</v>
      </c>
      <c r="AJ25" s="42">
        <f t="shared" si="1"/>
        <v>0.29199999999999998</v>
      </c>
      <c r="AK25" s="42">
        <f>AJ25*0.78</f>
        <v>0.22775999999999999</v>
      </c>
      <c r="AO25" s="42">
        <v>1.3149999999999999</v>
      </c>
      <c r="AS25" s="42">
        <f t="shared" si="2"/>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593">
        <v>0.67779999999999996</v>
      </c>
      <c r="X26" s="594"/>
      <c r="Y26" s="439">
        <f>((W26/19.32)*10)</f>
        <v>0.35082815734989642</v>
      </c>
      <c r="Z26" s="440"/>
      <c r="AA26" s="593">
        <f>AJ26</f>
        <v>0.39100000000000001</v>
      </c>
      <c r="AB26" s="594"/>
      <c r="AC26" s="439">
        <f>((AA26/19.32)*10)</f>
        <v>0.20238095238095238</v>
      </c>
      <c r="AD26" s="440"/>
      <c r="AE26" s="593">
        <f>AK26</f>
        <v>0.30498000000000003</v>
      </c>
      <c r="AF26" s="594"/>
      <c r="AG26" s="469">
        <f>((AE26/19.32)*10)</f>
        <v>0.15785714285714289</v>
      </c>
      <c r="AH26" s="104"/>
      <c r="AI26" s="42">
        <f t="shared" si="0"/>
        <v>0.56694999999999995</v>
      </c>
      <c r="AJ26" s="42">
        <f t="shared" si="1"/>
        <v>0.39100000000000001</v>
      </c>
      <c r="AK26" s="42">
        <f>AJ26*0.78</f>
        <v>0.30498000000000003</v>
      </c>
      <c r="AO26" s="42">
        <v>1.875</v>
      </c>
      <c r="AS26" s="42">
        <f t="shared" si="2"/>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2123.0631825547534</v>
      </c>
      <c r="R27" s="152">
        <f>(PI()*((R25^2)/4)*R24)</f>
        <v>2127.920968370137</v>
      </c>
      <c r="S27" s="153">
        <f>(PI()*((S25^2)/4)*S24)</f>
        <v>2130.8001461455669</v>
      </c>
      <c r="T27" s="174"/>
      <c r="U27" s="600"/>
      <c r="V27" s="601"/>
      <c r="W27" s="595"/>
      <c r="X27" s="596"/>
      <c r="Y27" s="441"/>
      <c r="Z27" s="442"/>
      <c r="AA27" s="595"/>
      <c r="AB27" s="596"/>
      <c r="AC27" s="441"/>
      <c r="AD27" s="442"/>
      <c r="AE27" s="595"/>
      <c r="AF27" s="596"/>
      <c r="AG27" s="470"/>
      <c r="AH27" s="193"/>
      <c r="AI27" s="42">
        <f t="shared" si="0"/>
        <v>0.71775</v>
      </c>
      <c r="AJ27" s="42">
        <f t="shared" si="1"/>
        <v>0.495</v>
      </c>
      <c r="AK27" s="42">
        <f>AJ27*0.76</f>
        <v>0.37619999999999998</v>
      </c>
      <c r="AO27" s="42">
        <v>2.387</v>
      </c>
      <c r="AS27" s="42">
        <f t="shared" si="2"/>
        <v>1.9406504065040651</v>
      </c>
    </row>
    <row r="28" spans="1:45" ht="24.95" customHeight="1" thickBot="1" x14ac:dyDescent="0.3">
      <c r="A28" s="103"/>
      <c r="B28" s="560" t="s">
        <v>9</v>
      </c>
      <c r="C28" s="561"/>
      <c r="D28" s="561"/>
      <c r="E28" s="148">
        <v>331</v>
      </c>
      <c r="F28" s="148">
        <v>308</v>
      </c>
      <c r="G28" s="148">
        <v>382</v>
      </c>
      <c r="H28" s="149">
        <v>356</v>
      </c>
      <c r="I28" s="174"/>
      <c r="J28" s="597" t="s">
        <v>107</v>
      </c>
      <c r="K28" s="597"/>
      <c r="L28" s="562" t="s">
        <v>119</v>
      </c>
      <c r="M28" s="459">
        <f>IF(M26="","",(100-M26))</f>
        <v>100</v>
      </c>
      <c r="N28" s="103"/>
      <c r="O28" s="625" t="s">
        <v>136</v>
      </c>
      <c r="P28" s="626"/>
      <c r="Q28" s="115">
        <f>Q22-Q23</f>
        <v>4220</v>
      </c>
      <c r="R28" s="220">
        <f>R22-R23</f>
        <v>3925</v>
      </c>
      <c r="S28" s="221">
        <f>S22-S23</f>
        <v>3609</v>
      </c>
      <c r="T28" s="174"/>
      <c r="U28" s="627">
        <v>0.125</v>
      </c>
      <c r="V28" s="624">
        <f>U28*25.4</f>
        <v>3.1749999999999998</v>
      </c>
      <c r="W28" s="593">
        <v>0.91324000000000005</v>
      </c>
      <c r="X28" s="594"/>
      <c r="Y28" s="439">
        <f>((W28/19.32)*10)</f>
        <v>0.47269151138716359</v>
      </c>
      <c r="Z28" s="440"/>
      <c r="AA28" s="593">
        <f>AJ27</f>
        <v>0.495</v>
      </c>
      <c r="AB28" s="594"/>
      <c r="AC28" s="439">
        <f>((AA28/19.32)*10)</f>
        <v>0.25621118012422361</v>
      </c>
      <c r="AD28" s="440"/>
      <c r="AE28" s="593">
        <f>AK27</f>
        <v>0.37619999999999998</v>
      </c>
      <c r="AF28" s="594"/>
      <c r="AG28" s="443">
        <f>((AE28/19.32)*10)</f>
        <v>0.19472049689440993</v>
      </c>
      <c r="AH28" s="104"/>
      <c r="AI28" s="42">
        <f>AJ28*1.4</f>
        <v>0.88619999999999999</v>
      </c>
      <c r="AJ28" s="42">
        <f t="shared" si="1"/>
        <v>0.63300000000000001</v>
      </c>
      <c r="AK28" s="42">
        <f t="shared" ref="AK28:AK33" si="3">AJ28*0.71</f>
        <v>0.44943</v>
      </c>
      <c r="AO28" s="42">
        <v>2.8959999999999999</v>
      </c>
      <c r="AS28" s="42">
        <f t="shared" si="2"/>
        <v>2.3544715447154472</v>
      </c>
    </row>
    <row r="29" spans="1:45" ht="5.0999999999999996" customHeight="1" thickBot="1" x14ac:dyDescent="0.3">
      <c r="A29" s="103"/>
      <c r="B29" s="612" t="s">
        <v>73</v>
      </c>
      <c r="C29" s="613"/>
      <c r="D29" s="614"/>
      <c r="E29" s="618">
        <v>1025.43</v>
      </c>
      <c r="F29" s="618">
        <v>948.13</v>
      </c>
      <c r="G29" s="618">
        <v>912.89</v>
      </c>
      <c r="H29" s="620">
        <v>993.14</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AJ29*1.32</f>
        <v>1.0269600000000001</v>
      </c>
      <c r="AJ29" s="42">
        <f t="shared" si="1"/>
        <v>0.77800000000000002</v>
      </c>
      <c r="AK29" s="42">
        <f t="shared" si="3"/>
        <v>0.55237999999999998</v>
      </c>
      <c r="AO29" s="42">
        <v>3.3879999999999999</v>
      </c>
      <c r="AS29" s="42">
        <f t="shared" si="2"/>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18.123279675824179</v>
      </c>
      <c r="N30" s="103"/>
      <c r="O30" s="622" t="s">
        <v>134</v>
      </c>
      <c r="P30" s="623"/>
      <c r="Q30" s="229">
        <f>Q28/Q27</f>
        <v>1.987694023746355</v>
      </c>
      <c r="R30" s="229">
        <f>R28/R27</f>
        <v>1.8445233908317189</v>
      </c>
      <c r="S30" s="131">
        <f>S28/S27</f>
        <v>1.6937299382714839</v>
      </c>
      <c r="T30" s="174"/>
      <c r="U30" s="120">
        <v>0.15</v>
      </c>
      <c r="V30" s="113">
        <f>U30*25.4</f>
        <v>3.8099999999999996</v>
      </c>
      <c r="W30" s="581">
        <v>1.1255999999999999</v>
      </c>
      <c r="X30" s="582"/>
      <c r="Y30" s="449">
        <f>((W30/19.32)*10)</f>
        <v>0.58260869565217388</v>
      </c>
      <c r="Z30" s="450"/>
      <c r="AA30" s="581">
        <f>AJ28</f>
        <v>0.63300000000000001</v>
      </c>
      <c r="AB30" s="582"/>
      <c r="AC30" s="449">
        <f>((AA30/19.32)*10)</f>
        <v>0.32763975155279507</v>
      </c>
      <c r="AD30" s="450"/>
      <c r="AE30" s="581">
        <f>AK28</f>
        <v>0.44943</v>
      </c>
      <c r="AF30" s="582"/>
      <c r="AG30" s="114">
        <f>((AE30/19.32)*10)</f>
        <v>0.23262422360248447</v>
      </c>
      <c r="AH30" s="104"/>
      <c r="AI30" s="42">
        <f>AJ30*1.32</f>
        <v>1.2342000000000002</v>
      </c>
      <c r="AJ30" s="42">
        <f t="shared" si="1"/>
        <v>0.93500000000000005</v>
      </c>
      <c r="AK30" s="42">
        <f t="shared" si="3"/>
        <v>0.66385000000000005</v>
      </c>
      <c r="AO30" s="42">
        <v>3.8439999999999999</v>
      </c>
      <c r="AS30" s="42">
        <f t="shared" si="2"/>
        <v>3.1252032520325201</v>
      </c>
    </row>
    <row r="31" spans="1:45" ht="24.95" customHeight="1" thickBot="1" x14ac:dyDescent="0.3">
      <c r="A31" s="103"/>
      <c r="B31" s="576" t="s">
        <v>74</v>
      </c>
      <c r="C31" s="577"/>
      <c r="D31" s="577"/>
      <c r="E31" s="152">
        <v>983.24</v>
      </c>
      <c r="F31" s="152">
        <v>892.71</v>
      </c>
      <c r="G31" s="152">
        <v>845.29</v>
      </c>
      <c r="H31" s="153">
        <v>900.32</v>
      </c>
      <c r="I31" s="174"/>
      <c r="J31" s="597" t="s">
        <v>138</v>
      </c>
      <c r="K31" s="597"/>
      <c r="L31" s="562" t="s">
        <v>116</v>
      </c>
      <c r="M31" s="457">
        <f>IF(M25="","",S82)</f>
        <v>2.7120000000000002</v>
      </c>
      <c r="N31" s="121"/>
      <c r="O31" s="628" t="s">
        <v>135</v>
      </c>
      <c r="P31" s="629"/>
      <c r="Q31" s="122">
        <f>Q30/(1+Q40/100)</f>
        <v>1.8240247427648029</v>
      </c>
      <c r="R31" s="122">
        <f>R30/(1+R40/100)</f>
        <v>1.6937813607715224</v>
      </c>
      <c r="S31" s="123">
        <f>S30/(1+S40/100)</f>
        <v>1.5511633061147447</v>
      </c>
      <c r="T31" s="174"/>
      <c r="U31" s="627">
        <v>0.17499999999999999</v>
      </c>
      <c r="V31" s="624">
        <f>U31*25.4</f>
        <v>4.4449999999999994</v>
      </c>
      <c r="W31" s="593">
        <v>1.42452</v>
      </c>
      <c r="X31" s="594"/>
      <c r="Y31" s="439">
        <f>((W31/19.32)*10)</f>
        <v>0.73732919254658391</v>
      </c>
      <c r="Z31" s="440"/>
      <c r="AA31" s="593">
        <f>AJ29</f>
        <v>0.77800000000000002</v>
      </c>
      <c r="AB31" s="594"/>
      <c r="AC31" s="439">
        <f>((AA31/19.32)*10)</f>
        <v>0.40269151138716353</v>
      </c>
      <c r="AD31" s="440"/>
      <c r="AE31" s="593">
        <f>AK29</f>
        <v>0.55237999999999998</v>
      </c>
      <c r="AF31" s="594"/>
      <c r="AG31" s="443">
        <f>((AE31/19.32)*10)</f>
        <v>0.28591097308488611</v>
      </c>
      <c r="AH31" s="104"/>
      <c r="AI31" s="42">
        <f>AJ31*1.32</f>
        <v>1.8928800000000001</v>
      </c>
      <c r="AJ31" s="42">
        <f t="shared" si="1"/>
        <v>1.4339999999999999</v>
      </c>
      <c r="AK31" s="42">
        <f t="shared" si="3"/>
        <v>1.0181399999999998</v>
      </c>
      <c r="AO31" s="42">
        <v>5.516</v>
      </c>
      <c r="AS31" s="42">
        <f t="shared" si="2"/>
        <v>4.4845528455284551</v>
      </c>
    </row>
    <row r="32" spans="1:45" ht="5.0999999999999996" customHeight="1" thickBot="1" x14ac:dyDescent="0.3">
      <c r="A32" s="103"/>
      <c r="B32" s="612" t="s">
        <v>75</v>
      </c>
      <c r="C32" s="613"/>
      <c r="D32" s="614"/>
      <c r="E32" s="618">
        <v>83.95</v>
      </c>
      <c r="F32" s="618">
        <v>100.52</v>
      </c>
      <c r="G32" s="618">
        <v>102.32</v>
      </c>
      <c r="H32" s="620">
        <v>101.38</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AJ32*1.32</f>
        <v>2.4644400000000002</v>
      </c>
      <c r="AJ32" s="42">
        <f t="shared" si="1"/>
        <v>1.867</v>
      </c>
      <c r="AK32" s="42">
        <f t="shared" si="3"/>
        <v>1.3255699999999999</v>
      </c>
      <c r="AO32" s="42">
        <v>6.7220000000000004</v>
      </c>
      <c r="AS32" s="42">
        <f t="shared" si="2"/>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v>1.66995</v>
      </c>
      <c r="X33" s="582"/>
      <c r="Y33" s="449">
        <f>((W33/19.32)*10)</f>
        <v>0.86436335403726705</v>
      </c>
      <c r="Z33" s="450"/>
      <c r="AA33" s="581">
        <f>AJ30</f>
        <v>0.93500000000000005</v>
      </c>
      <c r="AB33" s="582"/>
      <c r="AC33" s="449">
        <f>((AA33/19.32)*10)</f>
        <v>0.48395445134575565</v>
      </c>
      <c r="AD33" s="450"/>
      <c r="AE33" s="581">
        <f>AK30</f>
        <v>0.66385000000000005</v>
      </c>
      <c r="AF33" s="582"/>
      <c r="AG33" s="144">
        <f>((AE33/19.32)*10)</f>
        <v>0.34360766045548657</v>
      </c>
      <c r="AH33" s="104"/>
      <c r="AI33" s="42">
        <f>AJ33*1.32</f>
        <v>3.0531600000000005</v>
      </c>
      <c r="AJ33" s="42">
        <f t="shared" si="1"/>
        <v>2.3130000000000002</v>
      </c>
      <c r="AK33" s="42">
        <f t="shared" si="3"/>
        <v>1.6422300000000001</v>
      </c>
      <c r="AO33" s="42">
        <v>7.7720000000000002</v>
      </c>
      <c r="AS33" s="42">
        <f t="shared" si="2"/>
        <v>6.3186991869918705</v>
      </c>
    </row>
    <row r="34" spans="1:45" ht="24.95" customHeight="1" thickBot="1" x14ac:dyDescent="0.3">
      <c r="A34" s="103"/>
      <c r="B34" s="602" t="s">
        <v>10</v>
      </c>
      <c r="C34" s="603"/>
      <c r="D34" s="603"/>
      <c r="E34" s="125">
        <f>((E29-E31)/(E31-E32))*100</f>
        <v>4.6914788333018338</v>
      </c>
      <c r="F34" s="125">
        <f>((F29-F31)/(F31-F32))*100</f>
        <v>6.9957964629697358</v>
      </c>
      <c r="G34" s="125">
        <f>((G29-G31)/(G31-G32))*100</f>
        <v>9.0986177100017525</v>
      </c>
      <c r="H34" s="126">
        <f>((H29-H31)/(H31-H32))*100</f>
        <v>11.617893709164633</v>
      </c>
      <c r="I34" s="174"/>
      <c r="J34" s="630" t="s">
        <v>125</v>
      </c>
      <c r="K34" s="630"/>
      <c r="L34" s="184" t="s">
        <v>126</v>
      </c>
      <c r="M34" s="127">
        <v>2.69</v>
      </c>
      <c r="N34" s="128"/>
      <c r="O34" s="631" t="s">
        <v>9</v>
      </c>
      <c r="P34" s="632"/>
      <c r="Q34" s="156">
        <v>355</v>
      </c>
      <c r="R34" s="156">
        <v>331</v>
      </c>
      <c r="S34" s="157">
        <v>347</v>
      </c>
      <c r="T34" s="174"/>
      <c r="U34" s="120">
        <v>0.3</v>
      </c>
      <c r="V34" s="113">
        <f>U34*25.4</f>
        <v>7.6199999999999992</v>
      </c>
      <c r="W34" s="581">
        <v>2.2888999999999999</v>
      </c>
      <c r="X34" s="582"/>
      <c r="Y34" s="449">
        <f>((W34/19.32)*10)</f>
        <v>1.1847308488612835</v>
      </c>
      <c r="Z34" s="450"/>
      <c r="AA34" s="581">
        <f>AJ31</f>
        <v>1.4339999999999999</v>
      </c>
      <c r="AB34" s="582"/>
      <c r="AC34" s="449">
        <f>((AA34/19.32)*10)</f>
        <v>0.7422360248447204</v>
      </c>
      <c r="AD34" s="450"/>
      <c r="AE34" s="581">
        <v>1.1020000000000001</v>
      </c>
      <c r="AF34" s="582"/>
      <c r="AG34" s="114">
        <f>((AE34/19.32)*10)</f>
        <v>0.57039337474120089</v>
      </c>
      <c r="AH34" s="104"/>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741.45</v>
      </c>
      <c r="R35" s="608">
        <v>791.33</v>
      </c>
      <c r="S35" s="610">
        <v>825.58</v>
      </c>
      <c r="T35" s="174"/>
      <c r="U35" s="627">
        <v>0.4</v>
      </c>
      <c r="V35" s="624">
        <f>U35*25.4</f>
        <v>10.16</v>
      </c>
      <c r="W35" s="593">
        <v>2.6951999999999998</v>
      </c>
      <c r="X35" s="594"/>
      <c r="Y35" s="439">
        <f>((W35/19.32)*10)</f>
        <v>1.3950310559006209</v>
      </c>
      <c r="Z35" s="440"/>
      <c r="AA35" s="593">
        <f>AJ32</f>
        <v>1.867</v>
      </c>
      <c r="AB35" s="594"/>
      <c r="AC35" s="439">
        <f>(AA35/19.32)*10</f>
        <v>0.96635610766045543</v>
      </c>
      <c r="AD35" s="440"/>
      <c r="AE35" s="593">
        <v>1.4320200000000001</v>
      </c>
      <c r="AF35" s="594"/>
      <c r="AG35" s="443">
        <f>((AE35/19.32)*10)</f>
        <v>0.74121118012422371</v>
      </c>
      <c r="AH35" s="104"/>
      <c r="AS35" s="42">
        <f t="shared" si="2"/>
        <v>0</v>
      </c>
    </row>
    <row r="36" spans="1:45" ht="20.100000000000001" customHeight="1" thickBot="1" x14ac:dyDescent="0.3">
      <c r="A36" s="103"/>
      <c r="B36" s="639" t="s">
        <v>71</v>
      </c>
      <c r="C36" s="640"/>
      <c r="D36" s="640"/>
      <c r="E36" s="130">
        <f>E25/E24</f>
        <v>1.6610800744878957</v>
      </c>
      <c r="F36" s="130">
        <f>F25/F24</f>
        <v>1.9562383612662941</v>
      </c>
      <c r="G36" s="130">
        <f>G25/G24</f>
        <v>1.9878957169459963</v>
      </c>
      <c r="H36" s="131">
        <f>H25/H24</f>
        <v>1.8626629422718808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2"/>
        <v>0</v>
      </c>
    </row>
    <row r="37" spans="1:45" ht="24.95" customHeight="1" thickBot="1" x14ac:dyDescent="0.3">
      <c r="A37" s="103"/>
      <c r="B37" s="602" t="s">
        <v>72</v>
      </c>
      <c r="C37" s="603"/>
      <c r="D37" s="603"/>
      <c r="E37" s="122">
        <f>E36/(1+E34/100)</f>
        <v>1.5866430515637291</v>
      </c>
      <c r="F37" s="230">
        <f>F36/(1+F34/100)</f>
        <v>1.8283319774560773</v>
      </c>
      <c r="G37" s="230">
        <f>G36/(1+G34/100)</f>
        <v>1.8221089860460749</v>
      </c>
      <c r="H37" s="123">
        <f>H36/(1+H34/100)</f>
        <v>1.6687852461409982</v>
      </c>
      <c r="I37" s="174"/>
      <c r="J37" s="641" t="s">
        <v>139</v>
      </c>
      <c r="K37" s="641"/>
      <c r="L37" s="643" t="s">
        <v>121</v>
      </c>
      <c r="M37" s="433">
        <f>IF(F74="","",(M42^2*F74+M42*F75+F76))</f>
        <v>1.8474291208791209</v>
      </c>
      <c r="N37" s="101"/>
      <c r="O37" s="576" t="s">
        <v>28</v>
      </c>
      <c r="P37" s="577"/>
      <c r="Q37" s="150">
        <v>689.09</v>
      </c>
      <c r="R37" s="150">
        <v>733.52</v>
      </c>
      <c r="S37" s="151">
        <v>764.61</v>
      </c>
      <c r="T37" s="174"/>
      <c r="U37" s="132">
        <v>0.5</v>
      </c>
      <c r="V37" s="133">
        <f>U37*25.4</f>
        <v>12.7</v>
      </c>
      <c r="W37" s="637">
        <v>2.8792</v>
      </c>
      <c r="X37" s="638"/>
      <c r="Y37" s="431">
        <f>((W37/19.32)*10)</f>
        <v>1.4902691511387165</v>
      </c>
      <c r="Z37" s="432"/>
      <c r="AA37" s="637">
        <f>AJ33</f>
        <v>2.3130000000000002</v>
      </c>
      <c r="AB37" s="638"/>
      <c r="AC37" s="431">
        <f>((AA37/19.32)*10)</f>
        <v>1.1972049689440993</v>
      </c>
      <c r="AD37" s="432"/>
      <c r="AE37" s="637">
        <f>AK33</f>
        <v>1.6422300000000001</v>
      </c>
      <c r="AF37" s="638"/>
      <c r="AG37" s="134">
        <f>((AE37/19.32)*10)</f>
        <v>0.85001552795031066</v>
      </c>
      <c r="AH37" s="104"/>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105.56</v>
      </c>
      <c r="R38" s="647">
        <v>83.95</v>
      </c>
      <c r="S38" s="648">
        <v>101.24</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18.123279675824179</v>
      </c>
      <c r="N40" s="103"/>
      <c r="O40" s="628" t="s">
        <v>10</v>
      </c>
      <c r="P40" s="629"/>
      <c r="Q40" s="125">
        <f>((Q35-Q37)/(Q37-Q38))*100</f>
        <v>8.9729748256302191</v>
      </c>
      <c r="R40" s="125">
        <f>((R35-R37)/(R37-R38))*100</f>
        <v>8.8997336699662952</v>
      </c>
      <c r="S40" s="126">
        <f>((S35-S37)/(S37-S38))*100</f>
        <v>9.1909492440116409</v>
      </c>
      <c r="T40" s="174"/>
      <c r="U40" s="645" t="s">
        <v>151</v>
      </c>
      <c r="V40" s="646"/>
      <c r="W40" s="423">
        <f>(AM79/6.9)*100</f>
        <v>5.0844660485492232</v>
      </c>
      <c r="X40" s="423"/>
      <c r="Y40" s="423"/>
      <c r="Z40" s="424"/>
      <c r="AA40" s="425">
        <f>(AO79/6.9)*100</f>
        <v>2.9330572808833675</v>
      </c>
      <c r="AB40" s="426"/>
      <c r="AC40" s="427"/>
      <c r="AD40" s="425">
        <f>(AQ79/6.9)*100</f>
        <v>2.2877846790890275</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8.3918772236627852</v>
      </c>
      <c r="X41" s="418"/>
      <c r="Y41" s="418"/>
      <c r="Z41" s="419"/>
      <c r="AA41" s="420">
        <f>(AO83/10.3)*100</f>
        <v>4.6985869062694716</v>
      </c>
      <c r="AB41" s="421"/>
      <c r="AC41" s="418"/>
      <c r="AD41" s="420">
        <f>(AQ83/10.3)*100</f>
        <v>3.3359967034513258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8.4340659340659343</v>
      </c>
      <c r="N42" s="103"/>
      <c r="O42" s="639" t="s">
        <v>9</v>
      </c>
      <c r="P42" s="640"/>
      <c r="Q42" s="148">
        <v>364</v>
      </c>
      <c r="R42" s="148">
        <v>306</v>
      </c>
      <c r="S42" s="149">
        <v>356</v>
      </c>
      <c r="T42" s="174"/>
      <c r="U42" s="651" t="s">
        <v>42</v>
      </c>
      <c r="V42" s="652"/>
      <c r="W42" s="413">
        <f>IF(W40&lt;W41,W40,W41)</f>
        <v>5.0844660485492232</v>
      </c>
      <c r="X42" s="414"/>
      <c r="Y42" s="414"/>
      <c r="Z42" s="415"/>
      <c r="AA42" s="416">
        <f>IF(AA40&lt;AA41,AA40,AA41)</f>
        <v>2.9330572808833675</v>
      </c>
      <c r="AB42" s="414"/>
      <c r="AC42" s="415"/>
      <c r="AD42" s="416">
        <f>IF(AD40&lt;AD41,AD40,AD41)</f>
        <v>2.2877846790890275</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971.19</v>
      </c>
      <c r="R43" s="608">
        <v>966.27</v>
      </c>
      <c r="S43" s="610">
        <v>841.01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852.87</v>
      </c>
      <c r="R45" s="150">
        <v>843.1</v>
      </c>
      <c r="S45" s="151">
        <v>726.38</v>
      </c>
      <c r="T45" s="174"/>
      <c r="U45" s="656" t="s">
        <v>139</v>
      </c>
      <c r="V45" s="656"/>
      <c r="W45" s="179" t="s">
        <v>121</v>
      </c>
      <c r="X45" s="406">
        <f>MAX(M37:M39)</f>
        <v>1.8474291208791209</v>
      </c>
      <c r="Y45" s="406"/>
      <c r="Z45" s="406"/>
      <c r="AA45" s="174"/>
      <c r="AB45" s="657" t="s">
        <v>31</v>
      </c>
      <c r="AC45" s="658"/>
      <c r="AD45" s="658"/>
      <c r="AE45" s="658"/>
      <c r="AF45" s="231">
        <v>5.5E-2</v>
      </c>
      <c r="AG45" s="231">
        <v>0.14249999999999999</v>
      </c>
      <c r="AH45" s="233">
        <v>0.1255</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104.05</v>
      </c>
      <c r="R46" s="150">
        <v>114.24</v>
      </c>
      <c r="S46" s="151">
        <v>103.3</v>
      </c>
      <c r="T46" s="174"/>
      <c r="U46" s="555" t="s">
        <v>123</v>
      </c>
      <c r="V46" s="555"/>
      <c r="W46" s="179" t="s">
        <v>41</v>
      </c>
      <c r="X46" s="401">
        <f>MIN(M42:M44)</f>
        <v>8.4340659340659343</v>
      </c>
      <c r="Y46" s="401"/>
      <c r="Z46" s="401"/>
      <c r="AA46" s="174"/>
      <c r="AB46" s="660" t="s">
        <v>32</v>
      </c>
      <c r="AC46" s="661"/>
      <c r="AD46" s="661"/>
      <c r="AE46" s="661"/>
      <c r="AF46" s="234">
        <v>0.24349999999999999</v>
      </c>
      <c r="AG46" s="234">
        <v>0.28899999999999998</v>
      </c>
      <c r="AH46" s="235">
        <v>0.20394999999999999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15.800860019764434</v>
      </c>
      <c r="R47" s="125">
        <f>((R43-R45)/(R45-R46))*100</f>
        <v>16.898992947891223</v>
      </c>
      <c r="S47" s="126">
        <f>((S43-S45)/(S45-S46))*100</f>
        <v>18.397316556461448</v>
      </c>
      <c r="T47" s="174"/>
      <c r="U47" s="555" t="s">
        <v>162</v>
      </c>
      <c r="V47" s="555"/>
      <c r="W47" s="179" t="s">
        <v>41</v>
      </c>
      <c r="X47" s="402">
        <f>IF(L25=D103,"-",IF(L25=D102,"-",IF(L25=D101,M25)))</f>
        <v>0</v>
      </c>
      <c r="Y47" s="402"/>
      <c r="Z47" s="402"/>
      <c r="AA47" s="174"/>
      <c r="AB47" s="662" t="s">
        <v>33</v>
      </c>
      <c r="AC47" s="663"/>
      <c r="AD47" s="663"/>
      <c r="AE47" s="663"/>
      <c r="AF47" s="232">
        <f>(AF46-AF45)*2.54</f>
        <v>0.47878999999999999</v>
      </c>
      <c r="AG47" s="140">
        <f>(AG46-AG45)*2.54</f>
        <v>0.37211</v>
      </c>
      <c r="AH47" s="141">
        <f>(AH46-AH45)*2.54</f>
        <v>0.199263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4.0922222222222224</v>
      </c>
      <c r="AG48" s="142">
        <f>IF(AG47&lt;&gt;"",IF(R24&lt;&gt;"",AG47/R24*100,""),"")</f>
        <v>3.1940772532188841</v>
      </c>
      <c r="AH48" s="173">
        <f>IF(AH47&lt;&gt;"",IF(S24&lt;&gt;"",AH47/S24*100,""),"")</f>
        <v>1.7148278829604131</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thickBot="1" x14ac:dyDescent="0.3">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3.5000000000000003E-2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60" t="str">
        <f>W19</f>
        <v xml:space="preserve">56  GOLPES </v>
      </c>
      <c r="AC51" s="561"/>
      <c r="AD51" s="561"/>
      <c r="AE51" s="561"/>
      <c r="AF51" s="148">
        <v>4556</v>
      </c>
      <c r="AG51" s="765">
        <v>4</v>
      </c>
      <c r="AH51" s="766"/>
      <c r="AJ51" s="42">
        <v>0.104</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0.19400000000000001</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0.29199999999999998</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0.39100000000000001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0.495</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0.63300000000000001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0.77800000000000002</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0.93500000000000005</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1.4339999999999999</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1.867</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2.3130000000000002</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-1.8200000000000001E-2</v>
      </c>
      <c r="G74" s="75">
        <v>-0.12509999999999999</v>
      </c>
      <c r="J74" s="701"/>
      <c r="K74" s="702"/>
      <c r="L74" s="44"/>
      <c r="M74" s="44"/>
      <c r="N74" s="44"/>
    </row>
    <row r="75" spans="1:94" ht="26.25" customHeight="1" thickBot="1" x14ac:dyDescent="0.3">
      <c r="A75" s="11"/>
      <c r="B75" s="377" t="s">
        <v>113</v>
      </c>
      <c r="C75" s="377"/>
      <c r="D75" s="19"/>
      <c r="E75" s="54" t="s">
        <v>12</v>
      </c>
      <c r="F75" s="55">
        <v>0.307</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0.06</v>
      </c>
      <c r="AM75" s="3">
        <f t="shared" ref="AM75:AM86" si="4">((AL75/19.32)*10)</f>
        <v>3.1055900621118009E-2</v>
      </c>
      <c r="AN75" s="5">
        <f>AA22</f>
        <v>3.5000000000000003E-2</v>
      </c>
      <c r="AO75" s="3">
        <f>((AN75/19.32)*10)</f>
        <v>1.8115942028985511E-2</v>
      </c>
      <c r="AP75" s="5">
        <f>AE22</f>
        <v>2.5000000000000001E-2</v>
      </c>
      <c r="AQ75" s="161">
        <f t="shared" ref="AQ75:AQ84" si="5">((AP75/19.32)*10)</f>
        <v>1.2939958592132504E-2</v>
      </c>
    </row>
    <row r="76" spans="1:94" ht="26.25" customHeight="1" thickBot="1" x14ac:dyDescent="0.3">
      <c r="A76" s="11"/>
      <c r="B76" s="377" t="s">
        <v>114</v>
      </c>
      <c r="C76" s="377"/>
      <c r="D76" s="20"/>
      <c r="E76" s="56" t="s">
        <v>13</v>
      </c>
      <c r="F76" s="57">
        <v>0.55279999999999996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0.18909999999999999</v>
      </c>
      <c r="AM76" s="3">
        <f t="shared" si="4"/>
        <v>9.7877846790890274E-2</v>
      </c>
      <c r="AN76" s="5">
        <f>AA23</f>
        <v>0.104</v>
      </c>
      <c r="AO76" s="3">
        <f t="shared" ref="AO76:AO86" si="7">((AN76/19.32)*10)</f>
        <v>5.3830227743271217E-2</v>
      </c>
      <c r="AP76" s="5">
        <f>AE23</f>
        <v>8.8999999999999996E-2</v>
      </c>
      <c r="AQ76" s="161">
        <f t="shared" si="5"/>
        <v>4.606625258799172E-2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0.31890000000000002</v>
      </c>
      <c r="AM77" s="3">
        <f t="shared" si="4"/>
        <v>0.16506211180124225</v>
      </c>
      <c r="AN77" s="5">
        <f>AA24</f>
        <v>0.19400000000000001</v>
      </c>
      <c r="AO77" s="3">
        <f t="shared" si="7"/>
        <v>0.10041407867494825</v>
      </c>
      <c r="AP77" s="5">
        <f>AE24</f>
        <v>0.15714</v>
      </c>
      <c r="AQ77" s="161">
        <f t="shared" si="5"/>
        <v>8.1335403726708069E-2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0.49890000000000001</v>
      </c>
      <c r="AM78" s="3">
        <f t="shared" si="4"/>
        <v>0.2582298136645963</v>
      </c>
      <c r="AN78" s="5">
        <f>AA25</f>
        <v>0.29199999999999998</v>
      </c>
      <c r="AO78" s="3">
        <f t="shared" si="7"/>
        <v>0.15113871635610765</v>
      </c>
      <c r="AP78" s="5">
        <f>AE25</f>
        <v>0.22775999999999999</v>
      </c>
      <c r="AQ78" s="161">
        <f t="shared" si="5"/>
        <v>0.11788819875776396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0.67779999999999996</v>
      </c>
      <c r="AM79" s="4">
        <f t="shared" si="4"/>
        <v>0.35082815734989642</v>
      </c>
      <c r="AN79" s="5">
        <f>AA26</f>
        <v>0.39100000000000001</v>
      </c>
      <c r="AO79" s="4">
        <f t="shared" si="7"/>
        <v>0.20238095238095238</v>
      </c>
      <c r="AP79" s="5">
        <f>AE26</f>
        <v>0.30498000000000003</v>
      </c>
      <c r="AQ79" s="162">
        <f t="shared" si="5"/>
        <v>0.15785714285714289</v>
      </c>
      <c r="BB79" s="12">
        <v>17</v>
      </c>
      <c r="BC79" s="12">
        <v>18</v>
      </c>
    </row>
    <row r="80" spans="1:94" ht="42" customHeight="1" thickTop="1" thickBot="1" x14ac:dyDescent="0.3">
      <c r="D80" s="49"/>
      <c r="H80" s="711" t="s">
        <v>105</v>
      </c>
      <c r="I80" s="712"/>
      <c r="J80" s="58"/>
      <c r="AJ80" s="160">
        <f>U28</f>
        <v>0.125</v>
      </c>
      <c r="AK80" s="3">
        <f t="shared" si="6"/>
        <v>3.1749999999999998</v>
      </c>
      <c r="AL80" s="5">
        <f>W28</f>
        <v>0.91324000000000005</v>
      </c>
      <c r="AM80" s="3">
        <f t="shared" si="4"/>
        <v>0.47269151138716359</v>
      </c>
      <c r="AN80" s="5">
        <f>AA28</f>
        <v>0.495</v>
      </c>
      <c r="AO80" s="3">
        <f t="shared" si="7"/>
        <v>0.25621118012422361</v>
      </c>
      <c r="AP80" s="5">
        <f>AE28</f>
        <v>0.37619999999999998</v>
      </c>
      <c r="AQ80" s="161">
        <f t="shared" si="5"/>
        <v>0.19472049689440993</v>
      </c>
      <c r="BC80" s="45">
        <v>0.99880400000000003</v>
      </c>
      <c r="BD80" s="45">
        <v>0.99862499999999998</v>
      </c>
    </row>
    <row r="81" spans="2:43" ht="15.75" customHeight="1" x14ac:dyDescent="0.25">
      <c r="AJ81" s="160">
        <f>U30</f>
        <v>0.15</v>
      </c>
      <c r="AK81" s="3">
        <f t="shared" si="6"/>
        <v>3.8099999999999996</v>
      </c>
      <c r="AL81" s="5">
        <f>W30</f>
        <v>1.1255999999999999</v>
      </c>
      <c r="AM81" s="3">
        <f t="shared" si="4"/>
        <v>0.58260869565217388</v>
      </c>
      <c r="AN81" s="5">
        <f>AA30</f>
        <v>0.63300000000000001</v>
      </c>
      <c r="AO81" s="3">
        <f t="shared" si="7"/>
        <v>0.32763975155279507</v>
      </c>
      <c r="AP81" s="5">
        <f>AE30</f>
        <v>0.44943</v>
      </c>
      <c r="AQ81" s="161">
        <f t="shared" si="5"/>
        <v>0.23262422360248447</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1.42452</v>
      </c>
      <c r="AM82" s="3">
        <f t="shared" si="4"/>
        <v>0.73732919254658391</v>
      </c>
      <c r="AN82" s="5">
        <f>AA31</f>
        <v>0.77800000000000002</v>
      </c>
      <c r="AO82" s="3">
        <f t="shared" si="7"/>
        <v>0.40269151138716353</v>
      </c>
      <c r="AP82" s="5">
        <f>AE31</f>
        <v>0.55237999999999998</v>
      </c>
      <c r="AQ82" s="161">
        <f t="shared" si="5"/>
        <v>0.28591097308488611</v>
      </c>
    </row>
    <row r="83" spans="2:43" ht="15" customHeight="1" x14ac:dyDescent="0.25">
      <c r="B83" s="49"/>
      <c r="C83" s="49"/>
      <c r="D83" s="49">
        <v>0</v>
      </c>
      <c r="E83" s="50">
        <f>M42</f>
        <v>8.4340659340659343</v>
      </c>
      <c r="F83" s="49"/>
      <c r="G83" s="43">
        <f>G84/10</f>
        <v>2.3431789831978493</v>
      </c>
      <c r="H83" s="43">
        <f>H84/10</f>
        <v>2.2209384271119719</v>
      </c>
      <c r="I83" s="43">
        <f>I84/10</f>
        <v>2.1200112706987566</v>
      </c>
      <c r="J83" s="43">
        <f>J84/10</f>
        <v>2.0105501663224388</v>
      </c>
      <c r="K83" s="43"/>
      <c r="L83" s="42">
        <v>0</v>
      </c>
      <c r="O83" s="706"/>
      <c r="P83" s="706"/>
      <c r="Q83" s="706"/>
      <c r="R83" s="706"/>
      <c r="S83" s="707"/>
      <c r="W83" s="112"/>
      <c r="AJ83" s="160">
        <f>U33</f>
        <v>0.2</v>
      </c>
      <c r="AK83" s="4">
        <f t="shared" si="6"/>
        <v>5.08</v>
      </c>
      <c r="AL83" s="5">
        <f>W33</f>
        <v>1.66995</v>
      </c>
      <c r="AM83" s="4">
        <f t="shared" si="4"/>
        <v>0.86436335403726705</v>
      </c>
      <c r="AN83" s="5">
        <f>AA33</f>
        <v>0.93500000000000005</v>
      </c>
      <c r="AO83" s="4">
        <f t="shared" si="7"/>
        <v>0.48395445134575565</v>
      </c>
      <c r="AP83" s="5">
        <f>AE33</f>
        <v>0.66385000000000005</v>
      </c>
      <c r="AQ83" s="162">
        <f t="shared" si="5"/>
        <v>0.34360766045548657</v>
      </c>
    </row>
    <row r="84" spans="2:43" ht="15" customHeight="1" x14ac:dyDescent="0.25">
      <c r="C84" s="94"/>
      <c r="D84" s="94"/>
      <c r="E84" s="94"/>
      <c r="F84" s="49"/>
      <c r="G84" s="43">
        <f>($M$34/(1+(E34*$M$34/100)))*($O$73)</f>
        <v>23.431789831978495</v>
      </c>
      <c r="H84" s="43">
        <f>($M$34/(1+(F34*$M$34/100)))*($O$73)</f>
        <v>22.20938427111972</v>
      </c>
      <c r="I84" s="43">
        <f>($M$34/(1+(G34*$M$34/100)))*($O$73)</f>
        <v>21.200112706987568</v>
      </c>
      <c r="J84" s="43">
        <f>($M$34/(1+(H34*$M$34/100)))*($O$73)</f>
        <v>20.105501663224388</v>
      </c>
      <c r="K84" s="43"/>
      <c r="O84" s="706" t="s">
        <v>146</v>
      </c>
      <c r="P84" s="706"/>
      <c r="Q84" s="706"/>
      <c r="R84" s="706"/>
      <c r="S84" s="707">
        <v>2240</v>
      </c>
      <c r="W84" s="112"/>
      <c r="AJ84" s="160">
        <f>U34</f>
        <v>0.3</v>
      </c>
      <c r="AK84" s="3">
        <f t="shared" si="6"/>
        <v>7.6199999999999992</v>
      </c>
      <c r="AL84" s="5">
        <f>W34</f>
        <v>2.2888999999999999</v>
      </c>
      <c r="AM84" s="3">
        <f t="shared" si="4"/>
        <v>1.1847308488612835</v>
      </c>
      <c r="AN84" s="5">
        <f>AA34</f>
        <v>1.4339999999999999</v>
      </c>
      <c r="AO84" s="3">
        <f t="shared" si="7"/>
        <v>0.7422360248447204</v>
      </c>
      <c r="AP84" s="5">
        <f>AE34</f>
        <v>1.1020000000000001</v>
      </c>
      <c r="AQ84" s="161">
        <f t="shared" si="5"/>
        <v>0.57039337474120089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2.6951999999999998</v>
      </c>
      <c r="AM85" s="3">
        <f t="shared" si="4"/>
        <v>1.3950310559006209</v>
      </c>
      <c r="AN85" s="5">
        <f>AA35</f>
        <v>1.867</v>
      </c>
      <c r="AO85" s="3">
        <f t="shared" si="7"/>
        <v>0.96635610766045543</v>
      </c>
      <c r="AP85" s="5">
        <f>AE35</f>
        <v>1.4320200000000001</v>
      </c>
      <c r="AQ85" s="161">
        <f>((AP85/19.32)*10)</f>
        <v>0.74121118012422371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2.8792</v>
      </c>
      <c r="AM86" s="164">
        <f t="shared" si="4"/>
        <v>1.4902691511387165</v>
      </c>
      <c r="AN86" s="165">
        <f>AA37</f>
        <v>2.3130000000000002</v>
      </c>
      <c r="AO86" s="164">
        <f t="shared" si="7"/>
        <v>1.1972049689440993</v>
      </c>
      <c r="AP86" s="165">
        <f>AE37</f>
        <v>1.6422300000000001</v>
      </c>
      <c r="AQ86" s="166">
        <f>((AP86/19.32)*10)</f>
        <v>0.85001552795031066</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1.8240247427648029</v>
      </c>
      <c r="AK91" s="9">
        <f>R31</f>
        <v>1.6937813607715224</v>
      </c>
      <c r="AL91" s="10">
        <f>S31</f>
        <v>1.5511633061147447</v>
      </c>
    </row>
    <row r="92" spans="2:43" ht="21" customHeight="1" thickBot="1" x14ac:dyDescent="0.3">
      <c r="B92" s="92"/>
      <c r="C92" s="93"/>
      <c r="D92" s="93"/>
      <c r="E92" s="93"/>
      <c r="F92" s="62"/>
      <c r="G92" s="63"/>
      <c r="H92" s="49"/>
      <c r="I92" s="49"/>
      <c r="O92" s="725" t="s">
        <v>147</v>
      </c>
      <c r="P92" s="726"/>
      <c r="Q92" s="726"/>
      <c r="R92" s="726"/>
      <c r="S92" s="61">
        <f>M42</f>
        <v>8.4340659340659343</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5.0844660485492232</v>
      </c>
      <c r="AK94" s="158">
        <f>AA42</f>
        <v>2.9330572808833675</v>
      </c>
      <c r="AL94" s="158">
        <f>AD42</f>
        <v>2.2877846790890275</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2268" priority="45">
      <formula>LEN(TRIM(D6))=0</formula>
    </cfRule>
  </conditionalFormatting>
  <conditionalFormatting sqref="D6:H10">
    <cfRule type="containsBlanks" dxfId="2267" priority="44">
      <formula>LEN(TRIM(D6))=0</formula>
    </cfRule>
  </conditionalFormatting>
  <conditionalFormatting sqref="M19">
    <cfRule type="containsBlanks" dxfId="2266" priority="43">
      <formula>LEN(TRIM(M19))=0</formula>
    </cfRule>
  </conditionalFormatting>
  <conditionalFormatting sqref="CP70">
    <cfRule type="containsBlanks" dxfId="2265" priority="42">
      <formula>LEN(TRIM(CP70))=0</formula>
    </cfRule>
  </conditionalFormatting>
  <conditionalFormatting sqref="M21">
    <cfRule type="containsBlanks" dxfId="2264" priority="41">
      <formula>LEN(TRIM(M21))=0</formula>
    </cfRule>
  </conditionalFormatting>
  <conditionalFormatting sqref="D12:M12">
    <cfRule type="containsBlanks" dxfId="2263" priority="40">
      <formula>LEN(TRIM(D12))=0</formula>
    </cfRule>
  </conditionalFormatting>
  <conditionalFormatting sqref="L9:M9">
    <cfRule type="containsBlanks" dxfId="2262" priority="39">
      <formula>LEN(TRIM(L9))=0</formula>
    </cfRule>
  </conditionalFormatting>
  <conditionalFormatting sqref="L25">
    <cfRule type="containsBlanks" dxfId="2261" priority="38">
      <formula>LEN(TRIM(L25))=0</formula>
    </cfRule>
  </conditionalFormatting>
  <conditionalFormatting sqref="Q20:S26">
    <cfRule type="containsBlanks" dxfId="2260" priority="28">
      <formula>LEN(TRIM(Q20))=0</formula>
    </cfRule>
    <cfRule type="containsBlanks" dxfId="2259" priority="37">
      <formula>LEN(TRIM(Q20))=0</formula>
    </cfRule>
  </conditionalFormatting>
  <conditionalFormatting sqref="U26:V27 AC33 AC26">
    <cfRule type="cellIs" dxfId="2258" priority="36" operator="between">
      <formula>0</formula>
      <formula>500</formula>
    </cfRule>
  </conditionalFormatting>
  <conditionalFormatting sqref="U33:V33">
    <cfRule type="cellIs" dxfId="2257" priority="35" operator="between">
      <formula>0</formula>
      <formula>500</formula>
    </cfRule>
  </conditionalFormatting>
  <conditionalFormatting sqref="AF45:AH46">
    <cfRule type="containsBlanks" dxfId="2256" priority="34">
      <formula>LEN(TRIM(AF45))=0</formula>
    </cfRule>
  </conditionalFormatting>
  <conditionalFormatting sqref="AF51:AG53">
    <cfRule type="containsBlanks" dxfId="2255" priority="33">
      <formula>LEN(TRIM(AF51))=0</formula>
    </cfRule>
  </conditionalFormatting>
  <conditionalFormatting sqref="E20:H24">
    <cfRule type="containsBlanks" dxfId="2254" priority="32">
      <formula>LEN(TRIM(E20))=0</formula>
    </cfRule>
  </conditionalFormatting>
  <conditionalFormatting sqref="E28:H33">
    <cfRule type="containsBlanks" dxfId="2253" priority="31">
      <formula>LEN(TRIM(E28))=0</formula>
    </cfRule>
  </conditionalFormatting>
  <conditionalFormatting sqref="Q42:S46">
    <cfRule type="containsBlanks" dxfId="2252" priority="30">
      <formula>LEN(TRIM(Q42))=0</formula>
    </cfRule>
  </conditionalFormatting>
  <conditionalFormatting sqref="Q34:S39">
    <cfRule type="containsBlanks" dxfId="2251" priority="29">
      <formula>LEN(TRIM(Q34))=0</formula>
    </cfRule>
  </conditionalFormatting>
  <conditionalFormatting sqref="M25">
    <cfRule type="containsBlanks" dxfId="2250" priority="27">
      <formula>LEN(TRIM(M25))=0</formula>
    </cfRule>
  </conditionalFormatting>
  <conditionalFormatting sqref="U26:V27 Y26:Z27 AC26:AD27 AG26:AG27">
    <cfRule type="containsBlanks" dxfId="2249" priority="25">
      <formula>LEN(TRIM(U26))=0</formula>
    </cfRule>
    <cfRule type="cellIs" dxfId="2248" priority="26" operator="between">
      <formula>0</formula>
      <formula>1000</formula>
    </cfRule>
  </conditionalFormatting>
  <conditionalFormatting sqref="W87:W88">
    <cfRule type="cellIs" dxfId="2247" priority="24" operator="between">
      <formula>0</formula>
      <formula>500</formula>
    </cfRule>
  </conditionalFormatting>
  <conditionalFormatting sqref="W94">
    <cfRule type="cellIs" dxfId="2246" priority="23" operator="between">
      <formula>0</formula>
      <formula>500</formula>
    </cfRule>
  </conditionalFormatting>
  <conditionalFormatting sqref="W87:W88">
    <cfRule type="containsBlanks" dxfId="2245" priority="21">
      <formula>LEN(TRIM(W87))=0</formula>
    </cfRule>
    <cfRule type="cellIs" dxfId="2244" priority="22" operator="between">
      <formula>0</formula>
      <formula>1000</formula>
    </cfRule>
  </conditionalFormatting>
  <conditionalFormatting sqref="U33:V33 Y33:Z33 AC33:AD33 AG33">
    <cfRule type="cellIs" dxfId="2243" priority="20" operator="between">
      <formula>0</formula>
      <formula>1000</formula>
    </cfRule>
  </conditionalFormatting>
  <conditionalFormatting sqref="Q27:S27">
    <cfRule type="containsBlanks" dxfId="2242" priority="18">
      <formula>LEN(TRIM(Q27))=0</formula>
    </cfRule>
    <cfRule type="containsBlanks" dxfId="2241" priority="19">
      <formula>LEN(TRIM(Q27))=0</formula>
    </cfRule>
  </conditionalFormatting>
  <conditionalFormatting sqref="W30:W31 W33:W35 W37 W28 W22:W26">
    <cfRule type="containsBlanks" dxfId="2240" priority="17">
      <formula>LEN(TRIM(W22))=0</formula>
    </cfRule>
  </conditionalFormatting>
  <conditionalFormatting sqref="W37 W30:W31 W33:W35 W28 W22:W26">
    <cfRule type="containsBlanks" dxfId="2239" priority="16">
      <formula>LEN(TRIM(W22))=0</formula>
    </cfRule>
  </conditionalFormatting>
  <conditionalFormatting sqref="W33:X33">
    <cfRule type="cellIs" dxfId="2238" priority="15" operator="between">
      <formula>0</formula>
      <formula>1000</formula>
    </cfRule>
  </conditionalFormatting>
  <conditionalFormatting sqref="W30:X37 W26 W28 W22:X25">
    <cfRule type="containsBlanks" dxfId="2237" priority="14">
      <formula>LEN(TRIM(W22))=0</formula>
    </cfRule>
  </conditionalFormatting>
  <conditionalFormatting sqref="AA37 AA30:AA31 AA33:AA35 AA22:AA26 AA28">
    <cfRule type="containsBlanks" dxfId="2236" priority="13">
      <formula>LEN(TRIM(AA22))=0</formula>
    </cfRule>
  </conditionalFormatting>
  <conditionalFormatting sqref="AA37 AA30:AA31 AA33:AA35 AA22:AA26 AA28">
    <cfRule type="containsBlanks" dxfId="2235" priority="12">
      <formula>LEN(TRIM(AA22))=0</formula>
    </cfRule>
  </conditionalFormatting>
  <conditionalFormatting sqref="AA33:AB34">
    <cfRule type="cellIs" dxfId="2234" priority="11" operator="between">
      <formula>0</formula>
      <formula>1000</formula>
    </cfRule>
  </conditionalFormatting>
  <conditionalFormatting sqref="AA30:AB30 AA31 AA33:AB37 AA22:AB25 AA26 AA28">
    <cfRule type="containsBlanks" dxfId="2233" priority="10">
      <formula>LEN(TRIM(AA22))=0</formula>
    </cfRule>
  </conditionalFormatting>
  <conditionalFormatting sqref="AE37 AE28 AE30:AE31 AE33:AE35 AE22:AE26">
    <cfRule type="containsBlanks" dxfId="2232" priority="9">
      <formula>LEN(TRIM(AE22))=0</formula>
    </cfRule>
  </conditionalFormatting>
  <conditionalFormatting sqref="AE37 AE28 AE30:AE31 AE33:AE35 AE22:AE26">
    <cfRule type="containsBlanks" dxfId="2231" priority="8">
      <formula>LEN(TRIM(AE22))=0</formula>
    </cfRule>
  </conditionalFormatting>
  <conditionalFormatting sqref="AE33:AF33">
    <cfRule type="cellIs" dxfId="2230" priority="7" operator="between">
      <formula>0</formula>
      <formula>1000</formula>
    </cfRule>
  </conditionalFormatting>
  <conditionalFormatting sqref="AE33:AF37 AE26 AE28 AE30:AE31 AE22:AF25">
    <cfRule type="containsBlanks" dxfId="2229" priority="6">
      <formula>LEN(TRIM(AE22))=0</formula>
    </cfRule>
  </conditionalFormatting>
  <conditionalFormatting sqref="K6:M6">
    <cfRule type="containsBlanks" dxfId="2228" priority="5">
      <formula>LEN(TRIM(K6))=0</formula>
    </cfRule>
  </conditionalFormatting>
  <conditionalFormatting sqref="K7:K8">
    <cfRule type="containsBlanks" dxfId="2227" priority="4">
      <formula>LEN(TRIM(K7))=0</formula>
    </cfRule>
  </conditionalFormatting>
  <conditionalFormatting sqref="D13:M13">
    <cfRule type="containsBlanks" dxfId="2226" priority="3">
      <formula>LEN(TRIM(D13))=0</formula>
    </cfRule>
  </conditionalFormatting>
  <conditionalFormatting sqref="B6:B10">
    <cfRule type="containsBlanks" dxfId="2225" priority="2">
      <formula>LEN(TRIM(B6))=0</formula>
    </cfRule>
  </conditionalFormatting>
  <conditionalFormatting sqref="B12:B13">
    <cfRule type="containsBlanks" dxfId="2224" priority="1">
      <formula>LEN(TRIM(B12))=0</formula>
    </cfRule>
  </conditionalFormatting>
  <dataValidations count="5">
    <dataValidation type="list" allowBlank="1" showInputMessage="1" showErrorMessage="1" sqref="L25" xr:uid="{00000000-0002-0000-0700-000000000000}">
      <formula1>$D$101:$D$104</formula1>
    </dataValidation>
    <dataValidation type="list" allowBlank="1" showInputMessage="1" showErrorMessage="1" sqref="M21" xr:uid="{00000000-0002-0000-0700-000001000000}">
      <formula1>$AX$3:$AX$4</formula1>
    </dataValidation>
    <dataValidation type="list" allowBlank="1" showInputMessage="1" showErrorMessage="1" sqref="M19" xr:uid="{00000000-0002-0000-0700-000002000000}">
      <formula1>$AX$3:$AX$5</formula1>
    </dataValidation>
    <dataValidation type="list" allowBlank="1" showInputMessage="1" showErrorMessage="1" sqref="CP70" xr:uid="{00000000-0002-0000-0700-000003000000}">
      <formula1>$BA$3:$BA$5</formula1>
    </dataValidation>
    <dataValidation type="list" allowBlank="1" showInputMessage="1" showErrorMessage="1" sqref="D12:E12" xr:uid="{00000000-0002-0000-0700-000004000000}">
      <formula1>$B$87:$B$94</formula1>
    </dataValidation>
  </dataValidations>
  <hyperlinks>
    <hyperlink ref="D8" r:id="rId1" xr:uid="{00000000-0004-0000-07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02401"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02402"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02403"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0240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0240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02406"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02407"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0240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0240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0241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B8:AF9"/>
  <sheetViews>
    <sheetView workbookViewId="0">
      <selection activeCell="J17" sqref="J17"/>
    </sheetView>
  </sheetViews>
  <sheetFormatPr baseColWidth="10" defaultRowHeight="15" x14ac:dyDescent="0.25"/>
  <sheetData>
    <row r="8" spans="28:32" x14ac:dyDescent="0.25">
      <c r="AB8" s="240"/>
      <c r="AC8" s="240"/>
      <c r="AD8" s="240"/>
      <c r="AE8" s="240"/>
      <c r="AF8" s="240"/>
    </row>
    <row r="9" spans="28:32" x14ac:dyDescent="0.25">
      <c r="AB9" s="240"/>
      <c r="AC9" s="240"/>
      <c r="AD9" s="240"/>
      <c r="AE9" s="240"/>
      <c r="AF9" s="24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46">
    <tabColor rgb="FFFFFF00"/>
  </sheetPr>
  <dimension ref="A1:CP153"/>
  <sheetViews>
    <sheetView view="pageBreakPreview" topLeftCell="R42" zoomScale="87" zoomScaleNormal="100" zoomScaleSheetLayoutView="87"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45917</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45917</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22" t="s">
        <v>204</v>
      </c>
      <c r="AD9" s="222" t="s">
        <v>195</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25-CAV-AP1-3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25-CAV-AP1-3</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220</v>
      </c>
      <c r="G12" s="31" t="s">
        <v>4</v>
      </c>
      <c r="H12" s="146">
        <v>3</v>
      </c>
      <c r="I12" s="546" t="s">
        <v>5</v>
      </c>
      <c r="J12" s="546"/>
      <c r="K12" s="209">
        <v>1.25</v>
      </c>
      <c r="L12" s="32" t="s">
        <v>6</v>
      </c>
      <c r="M12" s="147">
        <v>1.9</v>
      </c>
      <c r="N12" s="78"/>
      <c r="O12" s="501" t="s">
        <v>3</v>
      </c>
      <c r="P12" s="501"/>
      <c r="Q12" s="225" t="s">
        <v>56</v>
      </c>
      <c r="R12" s="224" t="str">
        <f>F12</f>
        <v>CAV-AP1</v>
      </c>
      <c r="S12" s="224"/>
      <c r="T12" s="502" t="s">
        <v>4</v>
      </c>
      <c r="U12" s="502"/>
      <c r="V12" s="33">
        <f>+H12</f>
        <v>3</v>
      </c>
      <c r="W12" s="547" t="s">
        <v>5</v>
      </c>
      <c r="X12" s="547"/>
      <c r="Y12" s="547"/>
      <c r="Z12" s="547"/>
      <c r="AA12" s="547"/>
      <c r="AB12" s="547"/>
      <c r="AC12" s="34">
        <f>K12</f>
        <v>1.25</v>
      </c>
      <c r="AD12" s="548" t="s">
        <v>6</v>
      </c>
      <c r="AE12" s="548"/>
      <c r="AF12" s="35">
        <f>+M12</f>
        <v>1.9</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224</v>
      </c>
      <c r="E13" s="479"/>
      <c r="F13" s="479"/>
      <c r="G13" s="479"/>
      <c r="H13" s="479"/>
      <c r="I13" s="479"/>
      <c r="J13" s="479"/>
      <c r="K13" s="479"/>
      <c r="L13" s="479"/>
      <c r="M13" s="480"/>
      <c r="N13" s="188"/>
      <c r="O13" s="526" t="s">
        <v>130</v>
      </c>
      <c r="P13" s="526"/>
      <c r="Q13" s="527" t="str">
        <f>D13</f>
        <v>ARENA DE CEMENTACIÓN DÉBIL,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607</v>
      </c>
      <c r="R20" s="156">
        <v>423</v>
      </c>
      <c r="S20" s="157">
        <v>412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11265</v>
      </c>
      <c r="F22" s="150">
        <v>11897</v>
      </c>
      <c r="G22" s="150">
        <v>11881</v>
      </c>
      <c r="H22" s="151">
        <v>11356</v>
      </c>
      <c r="I22" s="174"/>
      <c r="J22" s="578"/>
      <c r="K22" s="578"/>
      <c r="L22" s="578"/>
      <c r="M22" s="104"/>
      <c r="N22" s="103"/>
      <c r="O22" s="579" t="s">
        <v>132</v>
      </c>
      <c r="P22" s="580"/>
      <c r="Q22" s="219">
        <v>8432</v>
      </c>
      <c r="R22" s="219">
        <v>8156</v>
      </c>
      <c r="S22" s="208">
        <v>7698</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0.193</v>
      </c>
      <c r="AJ22" s="42">
        <f>AJ50/1.52</f>
        <v>0.12697368421052632</v>
      </c>
      <c r="AK22" s="42">
        <f>AJ22*0.75</f>
        <v>9.5230263157894735E-2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3862</v>
      </c>
      <c r="R23" s="150">
        <v>3846</v>
      </c>
      <c r="S23" s="151">
        <v>3869</v>
      </c>
      <c r="T23" s="174"/>
      <c r="U23" s="112">
        <v>2.5000000000000001E-2</v>
      </c>
      <c r="V23" s="113">
        <f>U23*25.4</f>
        <v>0.63500000000000001</v>
      </c>
      <c r="W23" s="581">
        <f>AI23</f>
        <v>0.40100000000000002</v>
      </c>
      <c r="X23" s="582"/>
      <c r="Y23" s="449">
        <f>((W23/19.32)*10)</f>
        <v>0.20755693581780538</v>
      </c>
      <c r="Z23" s="450"/>
      <c r="AA23" s="581">
        <v>0.26200000000000001</v>
      </c>
      <c r="AB23" s="582"/>
      <c r="AC23" s="449">
        <f>((AA23/19.32)*10)</f>
        <v>0.13561076604554867</v>
      </c>
      <c r="AD23" s="450"/>
      <c r="AE23" s="581">
        <v>0.184</v>
      </c>
      <c r="AF23" s="582"/>
      <c r="AG23" s="114">
        <f>((AE23/19.32)*10)</f>
        <v>9.5238095238095233E-2</v>
      </c>
      <c r="AH23" s="104"/>
      <c r="AI23" s="42">
        <f t="shared" ref="AI23:AI33" si="0">AJ51</f>
        <v>0.40100000000000002</v>
      </c>
      <c r="AJ23" s="42">
        <f t="shared" ref="AJ23:AJ33" si="1">AJ51/1.57</f>
        <v>0.2554140127388535</v>
      </c>
      <c r="AK23" s="42">
        <f t="shared" ref="AK23:AK33" si="2">AJ23*0.75</f>
        <v>0.19156050955414011</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11.7</v>
      </c>
      <c r="R24" s="152">
        <v>11.7</v>
      </c>
      <c r="S24" s="153">
        <v>11.65</v>
      </c>
      <c r="T24" s="174"/>
      <c r="U24" s="112">
        <v>0.05</v>
      </c>
      <c r="V24" s="113">
        <f>U24*25.4</f>
        <v>1.27</v>
      </c>
      <c r="W24" s="581">
        <f>AI24</f>
        <v>0.67700000000000005</v>
      </c>
      <c r="X24" s="582"/>
      <c r="Y24" s="449">
        <f>((W24/19.32)*10)</f>
        <v>0.35041407867494823</v>
      </c>
      <c r="Z24" s="450"/>
      <c r="AA24" s="581">
        <v>0.45600000000000002</v>
      </c>
      <c r="AB24" s="582"/>
      <c r="AC24" s="449">
        <f>((AA24/19.32)*10)</f>
        <v>0.2360248447204969</v>
      </c>
      <c r="AD24" s="450"/>
      <c r="AE24" s="581">
        <v>0.317</v>
      </c>
      <c r="AF24" s="582"/>
      <c r="AG24" s="114">
        <f>((AE24/19.32)*10)</f>
        <v>0.16407867494824019</v>
      </c>
      <c r="AH24" s="104"/>
      <c r="AI24" s="42">
        <f t="shared" si="0"/>
        <v>0.67700000000000005</v>
      </c>
      <c r="AJ24" s="42">
        <f t="shared" si="1"/>
        <v>0.43121019108280256</v>
      </c>
      <c r="AK24" s="42">
        <f t="shared" si="2"/>
        <v>0.32340764331210192</v>
      </c>
      <c r="AO24" s="42">
        <v>0.68400000000000005</v>
      </c>
      <c r="AS24" s="42">
        <f t="shared" si="3"/>
        <v>0.55609756097560981</v>
      </c>
    </row>
    <row r="25" spans="1:45" ht="24.95" customHeight="1" thickBot="1" x14ac:dyDescent="0.3">
      <c r="A25" s="103"/>
      <c r="B25" s="602" t="s">
        <v>69</v>
      </c>
      <c r="C25" s="603"/>
      <c r="D25" s="603"/>
      <c r="E25" s="115">
        <f>E22-E23</f>
        <v>3953</v>
      </c>
      <c r="F25" s="115">
        <f>F22-F23</f>
        <v>4585</v>
      </c>
      <c r="G25" s="115">
        <f>G22-G23</f>
        <v>4569</v>
      </c>
      <c r="H25" s="116">
        <f>H22-H23</f>
        <v>4044</v>
      </c>
      <c r="I25" s="174"/>
      <c r="J25" s="174" t="s">
        <v>127</v>
      </c>
      <c r="K25" s="174"/>
      <c r="L25" s="218" t="s">
        <v>128</v>
      </c>
      <c r="M25" s="155">
        <v>0</v>
      </c>
      <c r="N25" s="103"/>
      <c r="O25" s="604" t="s">
        <v>46</v>
      </c>
      <c r="P25" s="605"/>
      <c r="Q25" s="608">
        <v>15.23</v>
      </c>
      <c r="R25" s="608">
        <v>15.26</v>
      </c>
      <c r="S25" s="610">
        <v>15.23</v>
      </c>
      <c r="T25" s="174"/>
      <c r="U25" s="112">
        <v>7.4999999999999997E-2</v>
      </c>
      <c r="V25" s="113">
        <f>U25*25.4</f>
        <v>1.9049999999999998</v>
      </c>
      <c r="W25" s="581">
        <f>AI25</f>
        <v>1.018</v>
      </c>
      <c r="X25" s="582"/>
      <c r="Y25" s="449">
        <f>((W25/19.32)*10)</f>
        <v>0.52691511387163559</v>
      </c>
      <c r="Z25" s="450"/>
      <c r="AA25" s="581">
        <v>0.67400000000000004</v>
      </c>
      <c r="AB25" s="582"/>
      <c r="AC25" s="449">
        <f>((AA25/19.32)*10)</f>
        <v>0.34886128364389235</v>
      </c>
      <c r="AD25" s="450"/>
      <c r="AE25" s="581">
        <f>AK25</f>
        <v>0.48630573248407638</v>
      </c>
      <c r="AF25" s="582"/>
      <c r="AG25" s="114">
        <f>((AE25/19.32)*10)</f>
        <v>0.25171104165842462</v>
      </c>
      <c r="AH25" s="104"/>
      <c r="AI25" s="42">
        <f t="shared" si="0"/>
        <v>1.018</v>
      </c>
      <c r="AJ25" s="42">
        <f t="shared" si="1"/>
        <v>0.64840764331210188</v>
      </c>
      <c r="AK25" s="42">
        <f t="shared" si="2"/>
        <v>0.48630573248407638</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4">
        <f>AI26</f>
        <v>1.3740000000000001</v>
      </c>
      <c r="X26" s="775"/>
      <c r="Y26" s="439">
        <f>((W26/19.32)*10)</f>
        <v>0.71118012422360255</v>
      </c>
      <c r="Z26" s="440"/>
      <c r="AA26" s="593">
        <f>AJ26</f>
        <v>0.87515923566878984</v>
      </c>
      <c r="AB26" s="594"/>
      <c r="AC26" s="439">
        <f>((AA26/19.32)*10)</f>
        <v>0.45298097084305888</v>
      </c>
      <c r="AD26" s="440"/>
      <c r="AE26" s="593">
        <f>AK26</f>
        <v>0.65636942675159238</v>
      </c>
      <c r="AF26" s="594"/>
      <c r="AG26" s="469">
        <f>((AE26/19.32)*10)</f>
        <v>0.33973572813229425</v>
      </c>
      <c r="AH26" s="104"/>
      <c r="AI26" s="42">
        <f t="shared" si="0"/>
        <v>1.3740000000000001</v>
      </c>
      <c r="AJ26" s="42">
        <f t="shared" si="1"/>
        <v>0.87515923566878984</v>
      </c>
      <c r="AK26" s="42">
        <f t="shared" si="2"/>
        <v>0.65636942675159238</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2131.4519653601301</v>
      </c>
      <c r="R27" s="152">
        <f>(PI()*((R25^2)/4)*R24)</f>
        <v>2139.8572886508277</v>
      </c>
      <c r="S27" s="153">
        <f>(PI()*((S25^2)/4)*S24)</f>
        <v>2122.3431962773943</v>
      </c>
      <c r="T27" s="174"/>
      <c r="U27" s="600"/>
      <c r="V27" s="601"/>
      <c r="W27" s="776"/>
      <c r="X27" s="777"/>
      <c r="Y27" s="441"/>
      <c r="Z27" s="442"/>
      <c r="AA27" s="595"/>
      <c r="AB27" s="596"/>
      <c r="AC27" s="441"/>
      <c r="AD27" s="442"/>
      <c r="AE27" s="595"/>
      <c r="AF27" s="596"/>
      <c r="AG27" s="470"/>
      <c r="AH27" s="193"/>
      <c r="AI27" s="42">
        <f t="shared" si="0"/>
        <v>1.6919999999999999</v>
      </c>
      <c r="AJ27" s="42">
        <f t="shared" si="1"/>
        <v>1.0777070063694267</v>
      </c>
      <c r="AK27" s="42">
        <f t="shared" si="2"/>
        <v>0.80828025477707</v>
      </c>
      <c r="AO27" s="42">
        <v>2.387</v>
      </c>
      <c r="AS27" s="42">
        <f t="shared" si="3"/>
        <v>1.9406504065040651</v>
      </c>
    </row>
    <row r="28" spans="1:45" ht="24.95" customHeight="1" thickBot="1" x14ac:dyDescent="0.3">
      <c r="A28" s="103"/>
      <c r="B28" s="560" t="s">
        <v>9</v>
      </c>
      <c r="C28" s="561"/>
      <c r="D28" s="561"/>
      <c r="E28" s="148">
        <v>358</v>
      </c>
      <c r="F28" s="148">
        <v>329</v>
      </c>
      <c r="G28" s="148">
        <v>355</v>
      </c>
      <c r="H28" s="149">
        <v>328</v>
      </c>
      <c r="I28" s="174"/>
      <c r="J28" s="597" t="s">
        <v>107</v>
      </c>
      <c r="K28" s="597"/>
      <c r="L28" s="562" t="s">
        <v>119</v>
      </c>
      <c r="M28" s="459">
        <f>IF(M26="","",(100-M26))</f>
        <v>100</v>
      </c>
      <c r="N28" s="103"/>
      <c r="O28" s="625" t="s">
        <v>136</v>
      </c>
      <c r="P28" s="626"/>
      <c r="Q28" s="115">
        <f>Q22-Q23</f>
        <v>4570</v>
      </c>
      <c r="R28" s="220">
        <f>R22-R23</f>
        <v>4310</v>
      </c>
      <c r="S28" s="221">
        <f>S22-S23</f>
        <v>3829</v>
      </c>
      <c r="T28" s="174"/>
      <c r="U28" s="627">
        <v>0.125</v>
      </c>
      <c r="V28" s="624">
        <f>U28*25.4</f>
        <v>3.1749999999999998</v>
      </c>
      <c r="W28" s="593">
        <f>AI27</f>
        <v>1.6919999999999999</v>
      </c>
      <c r="X28" s="594"/>
      <c r="Y28" s="439">
        <f>((W28/19.32)*10)</f>
        <v>0.87577639751552794</v>
      </c>
      <c r="Z28" s="440"/>
      <c r="AA28" s="593">
        <f>AJ27</f>
        <v>1.0777070063694267</v>
      </c>
      <c r="AB28" s="594"/>
      <c r="AC28" s="439">
        <f>((AA28/19.32)*10)</f>
        <v>0.55781936147485855</v>
      </c>
      <c r="AD28" s="440"/>
      <c r="AE28" s="593">
        <f>AK27</f>
        <v>0.80828025477707</v>
      </c>
      <c r="AF28" s="594"/>
      <c r="AG28" s="443">
        <f>((AE28/19.32)*10)</f>
        <v>0.41836452110614386</v>
      </c>
      <c r="AH28" s="104"/>
      <c r="AI28" s="42">
        <f t="shared" si="0"/>
        <v>2.052</v>
      </c>
      <c r="AJ28" s="42">
        <f t="shared" si="1"/>
        <v>1.3070063694267515</v>
      </c>
      <c r="AK28" s="42">
        <f t="shared" si="2"/>
        <v>0.98025477707006359</v>
      </c>
      <c r="AO28" s="42">
        <v>2.8959999999999999</v>
      </c>
      <c r="AS28" s="42">
        <f t="shared" si="3"/>
        <v>2.3544715447154472</v>
      </c>
    </row>
    <row r="29" spans="1:45" ht="5.0999999999999996" customHeight="1" thickBot="1" x14ac:dyDescent="0.3">
      <c r="A29" s="103"/>
      <c r="B29" s="612" t="s">
        <v>73</v>
      </c>
      <c r="C29" s="613"/>
      <c r="D29" s="614"/>
      <c r="E29" s="618">
        <v>896.45</v>
      </c>
      <c r="F29" s="618">
        <v>941.56</v>
      </c>
      <c r="G29" s="618">
        <v>798.16</v>
      </c>
      <c r="H29" s="620">
        <v>846.46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2.4470000000000001</v>
      </c>
      <c r="AJ29" s="42">
        <f t="shared" si="1"/>
        <v>1.5585987261146497</v>
      </c>
      <c r="AK29" s="42">
        <f t="shared" si="2"/>
        <v>1.1689490445859874</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19.378926158450703</v>
      </c>
      <c r="N30" s="103"/>
      <c r="O30" s="622" t="s">
        <v>134</v>
      </c>
      <c r="P30" s="623"/>
      <c r="Q30" s="229">
        <f>Q28/Q27</f>
        <v>2.1440783439038715</v>
      </c>
      <c r="R30" s="229">
        <f>R28/R27</f>
        <v>2.0141530105110137</v>
      </c>
      <c r="S30" s="131">
        <f>S28/S27</f>
        <v>1.8041379955494918</v>
      </c>
      <c r="T30" s="174"/>
      <c r="U30" s="120">
        <v>0.15</v>
      </c>
      <c r="V30" s="113">
        <f>U30*25.4</f>
        <v>3.8099999999999996</v>
      </c>
      <c r="W30" s="581">
        <f>AI28</f>
        <v>2.052</v>
      </c>
      <c r="X30" s="582"/>
      <c r="Y30" s="449">
        <f>((W30/19.32)*10)</f>
        <v>1.0621118012422361</v>
      </c>
      <c r="Z30" s="450"/>
      <c r="AA30" s="581">
        <f>AJ28</f>
        <v>1.3070063694267515</v>
      </c>
      <c r="AB30" s="582"/>
      <c r="AC30" s="449">
        <f>((AA30/19.32)*10)</f>
        <v>0.67650433200142412</v>
      </c>
      <c r="AD30" s="450"/>
      <c r="AE30" s="581">
        <f>AK28</f>
        <v>0.98025477707006359</v>
      </c>
      <c r="AF30" s="582"/>
      <c r="AG30" s="114">
        <f>((AE30/19.32)*10)</f>
        <v>0.50737824900106809</v>
      </c>
      <c r="AH30" s="104"/>
      <c r="AI30" s="42">
        <f t="shared" si="0"/>
        <v>2.7970000000000002</v>
      </c>
      <c r="AJ30" s="42">
        <f t="shared" si="1"/>
        <v>1.7815286624203821</v>
      </c>
      <c r="AK30" s="42">
        <f t="shared" si="2"/>
        <v>1.3361464968152865</v>
      </c>
      <c r="AO30" s="42">
        <v>3.8439999999999999</v>
      </c>
      <c r="AS30" s="42">
        <f t="shared" si="3"/>
        <v>3.1252032520325201</v>
      </c>
    </row>
    <row r="31" spans="1:45" ht="24.95" customHeight="1" thickBot="1" x14ac:dyDescent="0.3">
      <c r="A31" s="103"/>
      <c r="B31" s="576" t="s">
        <v>74</v>
      </c>
      <c r="C31" s="577"/>
      <c r="D31" s="577"/>
      <c r="E31" s="152">
        <v>855.98</v>
      </c>
      <c r="F31" s="152">
        <v>880.12</v>
      </c>
      <c r="G31" s="152">
        <v>740</v>
      </c>
      <c r="H31" s="153">
        <v>770.06</v>
      </c>
      <c r="I31" s="174"/>
      <c r="J31" s="597" t="s">
        <v>138</v>
      </c>
      <c r="K31" s="597"/>
      <c r="L31" s="562" t="s">
        <v>116</v>
      </c>
      <c r="M31" s="457">
        <f>IF(M25="","",S82)</f>
        <v>2.7120000000000002</v>
      </c>
      <c r="N31" s="121"/>
      <c r="O31" s="628" t="s">
        <v>135</v>
      </c>
      <c r="P31" s="629"/>
      <c r="Q31" s="122">
        <f>Q30/(1+Q40/100)</f>
        <v>1.9751528114101451</v>
      </c>
      <c r="R31" s="122">
        <f>R30/(1+R40/100)</f>
        <v>1.8535165727084815</v>
      </c>
      <c r="S31" s="123">
        <f>S30/(1+S40/100)</f>
        <v>1.6607185154708477</v>
      </c>
      <c r="T31" s="174"/>
      <c r="U31" s="627">
        <v>0.17499999999999999</v>
      </c>
      <c r="V31" s="624">
        <f>U31*25.4</f>
        <v>4.4449999999999994</v>
      </c>
      <c r="W31" s="593">
        <f>AI29</f>
        <v>2.4470000000000001</v>
      </c>
      <c r="X31" s="594"/>
      <c r="Y31" s="439">
        <f>((W31/19.32)*10)</f>
        <v>1.2665631469979297</v>
      </c>
      <c r="Z31" s="440"/>
      <c r="AA31" s="593">
        <f>AJ29</f>
        <v>1.5585987261146497</v>
      </c>
      <c r="AB31" s="594"/>
      <c r="AC31" s="439">
        <f>((AA31/19.32)*10)</f>
        <v>0.80672811910696152</v>
      </c>
      <c r="AD31" s="440"/>
      <c r="AE31" s="593">
        <f>AK29</f>
        <v>1.1689490445859874</v>
      </c>
      <c r="AF31" s="594"/>
      <c r="AG31" s="443">
        <f>((AE31/19.32)*10)</f>
        <v>0.60504608933022119</v>
      </c>
      <c r="AH31" s="104"/>
      <c r="AI31" s="42">
        <f t="shared" si="0"/>
        <v>3.9020000000000001</v>
      </c>
      <c r="AJ31" s="42">
        <f t="shared" si="1"/>
        <v>2.4853503184713377</v>
      </c>
      <c r="AK31" s="42">
        <f t="shared" si="2"/>
        <v>1.8640127388535033</v>
      </c>
      <c r="AO31" s="42">
        <v>5.516</v>
      </c>
      <c r="AS31" s="42">
        <f t="shared" si="3"/>
        <v>4.4845528455284551</v>
      </c>
    </row>
    <row r="32" spans="1:45" ht="5.0999999999999996" customHeight="1" thickBot="1" x14ac:dyDescent="0.3">
      <c r="A32" s="103"/>
      <c r="B32" s="612" t="s">
        <v>75</v>
      </c>
      <c r="C32" s="613"/>
      <c r="D32" s="614"/>
      <c r="E32" s="618">
        <v>101.95</v>
      </c>
      <c r="F32" s="618">
        <v>100.9</v>
      </c>
      <c r="G32" s="618">
        <v>105.67</v>
      </c>
      <c r="H32" s="620">
        <v>100.53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4.8019999999999996</v>
      </c>
      <c r="AJ32" s="42">
        <f t="shared" si="1"/>
        <v>3.0585987261146492</v>
      </c>
      <c r="AK32" s="42">
        <f t="shared" si="2"/>
        <v>2.2939490445859869</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2.7970000000000002</v>
      </c>
      <c r="X33" s="582"/>
      <c r="Y33" s="449">
        <f>((W33/19.32)*10)</f>
        <v>1.4477225672877847</v>
      </c>
      <c r="Z33" s="450"/>
      <c r="AA33" s="581">
        <f>AJ30</f>
        <v>1.7815286624203821</v>
      </c>
      <c r="AB33" s="582"/>
      <c r="AC33" s="449">
        <f>((AA33/19.32)*10)</f>
        <v>0.92211628489667807</v>
      </c>
      <c r="AD33" s="450"/>
      <c r="AE33" s="581">
        <f>AK30</f>
        <v>1.3361464968152865</v>
      </c>
      <c r="AF33" s="582"/>
      <c r="AG33" s="144">
        <f>((AE33/19.32)*10)</f>
        <v>0.69158721367250864</v>
      </c>
      <c r="AH33" s="104"/>
      <c r="AI33" s="42">
        <f t="shared" si="0"/>
        <v>5.6280000000000001</v>
      </c>
      <c r="AJ33" s="42">
        <f t="shared" si="1"/>
        <v>3.5847133757961784</v>
      </c>
      <c r="AK33" s="42">
        <f t="shared" si="2"/>
        <v>2.6885350318471337</v>
      </c>
      <c r="AO33" s="42">
        <v>7.7720000000000002</v>
      </c>
      <c r="AS33" s="42">
        <f t="shared" si="3"/>
        <v>6.3186991869918705</v>
      </c>
    </row>
    <row r="34" spans="1:45" ht="24.95" customHeight="1" thickBot="1" x14ac:dyDescent="0.3">
      <c r="A34" s="103"/>
      <c r="B34" s="602" t="s">
        <v>10</v>
      </c>
      <c r="C34" s="603"/>
      <c r="D34" s="603"/>
      <c r="E34" s="125">
        <f>((E29-E31)/(E31-E32))*100</f>
        <v>5.3671604578067225</v>
      </c>
      <c r="F34" s="125">
        <f>((F29-F31)/(F31-F32))*100</f>
        <v>7.884807884807878</v>
      </c>
      <c r="G34" s="125">
        <f>((G29-G31)/(G31-G32))*100</f>
        <v>9.1687292103479194</v>
      </c>
      <c r="H34" s="126">
        <f>((H29-H31)/(H31-H32))*100</f>
        <v>11.410989798814107</v>
      </c>
      <c r="I34" s="174"/>
      <c r="J34" s="630" t="s">
        <v>125</v>
      </c>
      <c r="K34" s="630"/>
      <c r="L34" s="184" t="s">
        <v>126</v>
      </c>
      <c r="M34" s="127">
        <v>2.54</v>
      </c>
      <c r="N34" s="128"/>
      <c r="O34" s="631" t="s">
        <v>9</v>
      </c>
      <c r="P34" s="632"/>
      <c r="Q34" s="156">
        <v>363</v>
      </c>
      <c r="R34" s="156">
        <v>105</v>
      </c>
      <c r="S34" s="157">
        <v>125</v>
      </c>
      <c r="T34" s="174"/>
      <c r="U34" s="120">
        <v>0.3</v>
      </c>
      <c r="V34" s="113">
        <f>U34*25.4</f>
        <v>7.6199999999999992</v>
      </c>
      <c r="W34" s="581">
        <v>4.0860000000000003</v>
      </c>
      <c r="X34" s="582"/>
      <c r="Y34" s="449">
        <f>((W34/19.32)*10)</f>
        <v>2.1149068322981366</v>
      </c>
      <c r="Z34" s="450"/>
      <c r="AA34" s="581">
        <f>AJ31</f>
        <v>2.4853503184713377</v>
      </c>
      <c r="AB34" s="582"/>
      <c r="AC34" s="449">
        <f>((AA34/19.32)*10)</f>
        <v>1.2864132083184978</v>
      </c>
      <c r="AD34" s="450"/>
      <c r="AE34" s="581">
        <f>AK31</f>
        <v>1.8640127388535033</v>
      </c>
      <c r="AF34" s="582"/>
      <c r="AG34" s="114">
        <f>((AE34/19.32)*10)</f>
        <v>0.9648099062388733</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662.92</v>
      </c>
      <c r="R35" s="608">
        <v>710.56</v>
      </c>
      <c r="S35" s="610">
        <v>689.45</v>
      </c>
      <c r="T35" s="174"/>
      <c r="U35" s="627">
        <v>0.4</v>
      </c>
      <c r="V35" s="624">
        <f>U35*25.4</f>
        <v>10.16</v>
      </c>
      <c r="W35" s="593">
        <v>4.9119999999999999</v>
      </c>
      <c r="X35" s="594"/>
      <c r="Y35" s="439">
        <f>((W35/19.32)*10)</f>
        <v>2.5424430641821942</v>
      </c>
      <c r="Z35" s="440"/>
      <c r="AA35" s="593">
        <f>AJ32</f>
        <v>3.0585987261146492</v>
      </c>
      <c r="AB35" s="594"/>
      <c r="AC35" s="439">
        <f>(AA35/19.32)*10</f>
        <v>1.5831256346349116</v>
      </c>
      <c r="AD35" s="440"/>
      <c r="AE35" s="593">
        <f>AK32</f>
        <v>2.2939490445859869</v>
      </c>
      <c r="AF35" s="594"/>
      <c r="AG35" s="443">
        <f>((AE35/19.32)*10)</f>
        <v>1.1873442259761837</v>
      </c>
      <c r="AH35" s="104"/>
      <c r="AS35" s="42">
        <f t="shared" si="3"/>
        <v>0</v>
      </c>
    </row>
    <row r="36" spans="1:45" ht="20.100000000000001" customHeight="1" thickBot="1" x14ac:dyDescent="0.3">
      <c r="A36" s="103"/>
      <c r="B36" s="639" t="s">
        <v>71</v>
      </c>
      <c r="C36" s="640"/>
      <c r="D36" s="640"/>
      <c r="E36" s="130">
        <f>E25/E24</f>
        <v>1.840316573556797</v>
      </c>
      <c r="F36" s="130">
        <f>F25/F24</f>
        <v>2.1345437616387337</v>
      </c>
      <c r="G36" s="130">
        <f>G25/G24</f>
        <v>2.1270949720670389</v>
      </c>
      <c r="H36" s="131">
        <f>H25/H24</f>
        <v>1.8826815642458101</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1.746575086166182</v>
      </c>
      <c r="F37" s="230">
        <f>F36/(1+F34/100)</f>
        <v>1.9785397068305073</v>
      </c>
      <c r="G37" s="230">
        <f>G36/(1+G34/100)</f>
        <v>1.9484471308340696</v>
      </c>
      <c r="H37" s="123">
        <f>H36/(1+H34/100)</f>
        <v>1.6898526506635974</v>
      </c>
      <c r="I37" s="174"/>
      <c r="J37" s="641" t="s">
        <v>139</v>
      </c>
      <c r="K37" s="641"/>
      <c r="L37" s="643" t="s">
        <v>121</v>
      </c>
      <c r="M37" s="433">
        <f>IF(F74="","",(M42^2*F74+M42*F75+F76))</f>
        <v>1.975425704225352</v>
      </c>
      <c r="N37" s="101"/>
      <c r="O37" s="576" t="s">
        <v>28</v>
      </c>
      <c r="P37" s="577"/>
      <c r="Q37" s="150">
        <v>618.70000000000005</v>
      </c>
      <c r="R37" s="150">
        <v>659.11</v>
      </c>
      <c r="S37" s="151">
        <v>640.11</v>
      </c>
      <c r="T37" s="174"/>
      <c r="U37" s="132">
        <v>0.5</v>
      </c>
      <c r="V37" s="133">
        <f>U37*25.4</f>
        <v>12.7</v>
      </c>
      <c r="W37" s="637">
        <f>AI33</f>
        <v>5.6280000000000001</v>
      </c>
      <c r="X37" s="638"/>
      <c r="Y37" s="431">
        <f>((W37/19.32)*10)</f>
        <v>2.9130434782608692</v>
      </c>
      <c r="Z37" s="432"/>
      <c r="AA37" s="637">
        <f>AJ33</f>
        <v>3.5847133757961784</v>
      </c>
      <c r="AB37" s="638"/>
      <c r="AC37" s="431">
        <f>((AA37/19.32)*10)</f>
        <v>1.855441705898643</v>
      </c>
      <c r="AD37" s="432"/>
      <c r="AE37" s="637">
        <v>2.5310000000000001</v>
      </c>
      <c r="AF37" s="638"/>
      <c r="AG37" s="134">
        <f>((AE37/19.32)*10)</f>
        <v>1.3100414078674949</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101.66</v>
      </c>
      <c r="R38" s="647">
        <v>65.45</v>
      </c>
      <c r="S38" s="648">
        <v>68.78</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19.378926158450703</v>
      </c>
      <c r="N40" s="103"/>
      <c r="O40" s="628" t="s">
        <v>10</v>
      </c>
      <c r="P40" s="629"/>
      <c r="Q40" s="125">
        <f>((Q35-Q37)/(Q37-Q38))*100</f>
        <v>8.5525297849295807</v>
      </c>
      <c r="R40" s="125">
        <f>((R35-R37)/(R37-R38))*100</f>
        <v>8.6665768284876759</v>
      </c>
      <c r="S40" s="126">
        <f>((S35-S37)/(S37-S38))*100</f>
        <v>8.6359897082246739</v>
      </c>
      <c r="T40" s="174"/>
      <c r="U40" s="645" t="s">
        <v>151</v>
      </c>
      <c r="V40" s="646"/>
      <c r="W40" s="423">
        <f>(AM79/6.9)*100</f>
        <v>10.306958322081195</v>
      </c>
      <c r="X40" s="423"/>
      <c r="Y40" s="423"/>
      <c r="Z40" s="424"/>
      <c r="AA40" s="425">
        <f>(AO79/6.9)*100</f>
        <v>6.5649416064211428</v>
      </c>
      <c r="AB40" s="426"/>
      <c r="AC40" s="427"/>
      <c r="AD40" s="425">
        <f>(AQ79/6.9)*100</f>
        <v>4.9237062048158586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14.055558905706647</v>
      </c>
      <c r="X41" s="418"/>
      <c r="Y41" s="418"/>
      <c r="Z41" s="419"/>
      <c r="AA41" s="420">
        <f>(AO83/10.3)*100</f>
        <v>8.9525852902590106</v>
      </c>
      <c r="AB41" s="421"/>
      <c r="AC41" s="418"/>
      <c r="AD41" s="420">
        <f>(AQ83/10.3)*100</f>
        <v>6.7144389676942584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8.2077464788732382</v>
      </c>
      <c r="N42" s="103"/>
      <c r="O42" s="639" t="s">
        <v>9</v>
      </c>
      <c r="P42" s="640"/>
      <c r="Q42" s="148">
        <v>630</v>
      </c>
      <c r="R42" s="148">
        <v>364</v>
      </c>
      <c r="S42" s="149">
        <v>331</v>
      </c>
      <c r="T42" s="174"/>
      <c r="U42" s="651" t="s">
        <v>42</v>
      </c>
      <c r="V42" s="652"/>
      <c r="W42" s="413">
        <f>IF(W40&lt;W41,W40,W41)</f>
        <v>10.306958322081195</v>
      </c>
      <c r="X42" s="414"/>
      <c r="Y42" s="414"/>
      <c r="Z42" s="415"/>
      <c r="AA42" s="416">
        <f>IF(AA40&lt;AA41,AA40,AA41)</f>
        <v>6.5649416064211428</v>
      </c>
      <c r="AB42" s="414"/>
      <c r="AC42" s="415"/>
      <c r="AD42" s="416">
        <f>IF(AD40&lt;AD41,AD40,AD41)</f>
        <v>4.9237062048158586</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404.01</v>
      </c>
      <c r="R43" s="608">
        <v>845.46</v>
      </c>
      <c r="S43" s="610">
        <v>798.44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357.03</v>
      </c>
      <c r="R45" s="150">
        <v>729.56</v>
      </c>
      <c r="S45" s="151">
        <v>680.56</v>
      </c>
      <c r="T45" s="174"/>
      <c r="U45" s="656" t="s">
        <v>139</v>
      </c>
      <c r="V45" s="656"/>
      <c r="W45" s="179" t="s">
        <v>121</v>
      </c>
      <c r="X45" s="406">
        <f>MAX(M37:M39)</f>
        <v>1.975425704225352</v>
      </c>
      <c r="Y45" s="406"/>
      <c r="Z45" s="406"/>
      <c r="AA45" s="174"/>
      <c r="AB45" s="657" t="s">
        <v>31</v>
      </c>
      <c r="AC45" s="658"/>
      <c r="AD45" s="658"/>
      <c r="AE45" s="658"/>
      <c r="AF45" s="231">
        <v>6.6500000000000004E-2</v>
      </c>
      <c r="AG45" s="231">
        <v>0.1235</v>
      </c>
      <c r="AH45" s="233">
        <v>0.1198</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37.24</v>
      </c>
      <c r="R46" s="152">
        <v>104</v>
      </c>
      <c r="S46" s="151">
        <v>83.87</v>
      </c>
      <c r="T46" s="174"/>
      <c r="U46" s="555" t="s">
        <v>123</v>
      </c>
      <c r="V46" s="555"/>
      <c r="W46" s="179" t="s">
        <v>41</v>
      </c>
      <c r="X46" s="401">
        <f>MIN(M42:M44)</f>
        <v>8.2077464788732382</v>
      </c>
      <c r="Y46" s="401"/>
      <c r="Z46" s="401"/>
      <c r="AA46" s="174"/>
      <c r="AB46" s="660" t="s">
        <v>32</v>
      </c>
      <c r="AC46" s="661"/>
      <c r="AD46" s="661"/>
      <c r="AE46" s="661"/>
      <c r="AF46" s="234">
        <v>0.153</v>
      </c>
      <c r="AG46" s="234">
        <v>0.16980000000000001</v>
      </c>
      <c r="AH46" s="235">
        <v>0.1565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14.690890897151263</v>
      </c>
      <c r="R47" s="125">
        <f>((R43-R45)/(R45-R46))*100</f>
        <v>18.527399450092734</v>
      </c>
      <c r="S47" s="126">
        <f>((S43-S45)/(S45-S46))*100</f>
        <v>19.755652013608426</v>
      </c>
      <c r="T47" s="174"/>
      <c r="U47" s="555" t="s">
        <v>162</v>
      </c>
      <c r="V47" s="555"/>
      <c r="W47" s="179" t="s">
        <v>41</v>
      </c>
      <c r="X47" s="402">
        <f>IF(L25=D103,"-",IF(L25=D102,"-",IF(L25=D101,M25)))</f>
        <v>0</v>
      </c>
      <c r="Y47" s="402"/>
      <c r="Z47" s="402"/>
      <c r="AA47" s="174"/>
      <c r="AB47" s="662" t="s">
        <v>33</v>
      </c>
      <c r="AC47" s="663"/>
      <c r="AD47" s="663"/>
      <c r="AE47" s="663"/>
      <c r="AF47" s="232">
        <f>(AF46-AF45)*2.54</f>
        <v>0.21970999999999999</v>
      </c>
      <c r="AG47" s="232">
        <f>(AG46-AG45)*2.54</f>
        <v>0.11760200000000003</v>
      </c>
      <c r="AH47" s="239">
        <f>(AH46-AH45)*2.54</f>
        <v>9.3217999999999995E-2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1.8778632478632478</v>
      </c>
      <c r="AG48" s="142">
        <f>IF(AG47&lt;&gt;"",IF(R24&lt;&gt;"",AG47/R24*100,""),"")</f>
        <v>1.0051452991452996</v>
      </c>
      <c r="AH48" s="173">
        <f>IF(AH47&lt;&gt;"",IF(S24&lt;&gt;"",AH47/S24*100,""),"")</f>
        <v>0.8001545064377682</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0.193</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4554</v>
      </c>
      <c r="AG51" s="647">
        <v>4</v>
      </c>
      <c r="AH51" s="648"/>
      <c r="AJ51" s="42">
        <v>0.40100000000000002</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0.67700000000000005</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1.018</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1.3740000000000001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1.6919999999999999</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2.052</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2.4470000000000001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2.7970000000000002</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3.9020000000000001</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4.8019999999999996</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5.6280000000000001</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-2.8400000000000002E-2</v>
      </c>
      <c r="G74" s="75">
        <v>-0.12509999999999999</v>
      </c>
      <c r="J74" s="701"/>
      <c r="K74" s="702"/>
      <c r="L74" s="44"/>
      <c r="M74" s="44"/>
      <c r="N74" s="44"/>
    </row>
    <row r="75" spans="1:94" ht="26.25" customHeight="1" thickBot="1" x14ac:dyDescent="0.3">
      <c r="A75" s="11"/>
      <c r="B75" s="377" t="s">
        <v>113</v>
      </c>
      <c r="C75" s="377"/>
      <c r="D75" s="19"/>
      <c r="E75" s="54" t="s">
        <v>12</v>
      </c>
      <c r="F75" s="55">
        <v>0.4662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6.2199999999999998E-2</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0.40100000000000002</v>
      </c>
      <c r="AM76" s="3">
        <f t="shared" si="4"/>
        <v>0.20755693581780538</v>
      </c>
      <c r="AN76" s="5">
        <f>AA23</f>
        <v>0.26200000000000001</v>
      </c>
      <c r="AO76" s="3">
        <f t="shared" ref="AO76:AO86" si="7">((AN76/19.32)*10)</f>
        <v>0.13561076604554867</v>
      </c>
      <c r="AP76" s="5">
        <f>AE23</f>
        <v>0.184</v>
      </c>
      <c r="AQ76" s="161">
        <f t="shared" si="5"/>
        <v>9.5238095238095233E-2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0.67700000000000005</v>
      </c>
      <c r="AM77" s="3">
        <f t="shared" si="4"/>
        <v>0.35041407867494823</v>
      </c>
      <c r="AN77" s="5">
        <f>AA24</f>
        <v>0.45600000000000002</v>
      </c>
      <c r="AO77" s="3">
        <f t="shared" si="7"/>
        <v>0.2360248447204969</v>
      </c>
      <c r="AP77" s="5">
        <f>AE24</f>
        <v>0.317</v>
      </c>
      <c r="AQ77" s="161">
        <f t="shared" si="5"/>
        <v>0.16407867494824019</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1.018</v>
      </c>
      <c r="AM78" s="3">
        <f t="shared" si="4"/>
        <v>0.52691511387163559</v>
      </c>
      <c r="AN78" s="5">
        <f>AA25</f>
        <v>0.67400000000000004</v>
      </c>
      <c r="AO78" s="3">
        <f t="shared" si="7"/>
        <v>0.34886128364389235</v>
      </c>
      <c r="AP78" s="5">
        <f>AE25</f>
        <v>0.48630573248407638</v>
      </c>
      <c r="AQ78" s="161">
        <f t="shared" si="5"/>
        <v>0.25171104165842462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1.3740000000000001</v>
      </c>
      <c r="AM79" s="4">
        <f t="shared" si="4"/>
        <v>0.71118012422360255</v>
      </c>
      <c r="AN79" s="5">
        <f>AA26</f>
        <v>0.87515923566878984</v>
      </c>
      <c r="AO79" s="4">
        <f t="shared" si="7"/>
        <v>0.45298097084305888</v>
      </c>
      <c r="AP79" s="5">
        <f>AE26</f>
        <v>0.65636942675159238</v>
      </c>
      <c r="AQ79" s="162">
        <f t="shared" si="5"/>
        <v>0.33973572813229425</v>
      </c>
      <c r="BB79" s="12">
        <v>17</v>
      </c>
      <c r="BC79" s="12">
        <v>18</v>
      </c>
    </row>
    <row r="80" spans="1:94" ht="42" customHeight="1" thickTop="1" thickBot="1" x14ac:dyDescent="0.3">
      <c r="D80" s="49"/>
      <c r="H80" s="711" t="s">
        <v>105</v>
      </c>
      <c r="I80" s="712"/>
      <c r="J80" s="58"/>
      <c r="AJ80" s="160">
        <f>U28</f>
        <v>0.125</v>
      </c>
      <c r="AK80" s="3">
        <f t="shared" si="6"/>
        <v>3.1749999999999998</v>
      </c>
      <c r="AL80" s="5">
        <f>W28</f>
        <v>1.6919999999999999</v>
      </c>
      <c r="AM80" s="3">
        <f t="shared" si="4"/>
        <v>0.87577639751552794</v>
      </c>
      <c r="AN80" s="5">
        <f>AA28</f>
        <v>1.0777070063694267</v>
      </c>
      <c r="AO80" s="3">
        <f t="shared" si="7"/>
        <v>0.55781936147485855</v>
      </c>
      <c r="AP80" s="5">
        <f>AE28</f>
        <v>0.80828025477707</v>
      </c>
      <c r="AQ80" s="161">
        <f t="shared" si="5"/>
        <v>0.41836452110614386</v>
      </c>
      <c r="BC80" s="45">
        <v>0.99880400000000003</v>
      </c>
      <c r="BD80" s="45">
        <v>0.99862499999999998</v>
      </c>
    </row>
    <row r="81" spans="2:43" ht="15.75" customHeight="1" x14ac:dyDescent="0.25">
      <c r="AJ81" s="160">
        <f>U30</f>
        <v>0.15</v>
      </c>
      <c r="AK81" s="3">
        <f t="shared" si="6"/>
        <v>3.8099999999999996</v>
      </c>
      <c r="AL81" s="5">
        <f>W30</f>
        <v>2.052</v>
      </c>
      <c r="AM81" s="3">
        <f t="shared" si="4"/>
        <v>1.0621118012422361</v>
      </c>
      <c r="AN81" s="5">
        <f>AA30</f>
        <v>1.3070063694267515</v>
      </c>
      <c r="AO81" s="3">
        <f t="shared" si="7"/>
        <v>0.67650433200142412</v>
      </c>
      <c r="AP81" s="5">
        <f>AE30</f>
        <v>0.98025477707006359</v>
      </c>
      <c r="AQ81" s="161">
        <f t="shared" si="5"/>
        <v>0.50737824900106809</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2.4470000000000001</v>
      </c>
      <c r="AM82" s="3">
        <f t="shared" si="4"/>
        <v>1.2665631469979297</v>
      </c>
      <c r="AN82" s="5">
        <f>AA31</f>
        <v>1.5585987261146497</v>
      </c>
      <c r="AO82" s="3">
        <f t="shared" si="7"/>
        <v>0.80672811910696152</v>
      </c>
      <c r="AP82" s="5">
        <f>AE31</f>
        <v>1.1689490445859874</v>
      </c>
      <c r="AQ82" s="161">
        <f t="shared" si="5"/>
        <v>0.60504608933022119</v>
      </c>
    </row>
    <row r="83" spans="2:43" ht="15" customHeight="1" x14ac:dyDescent="0.25">
      <c r="B83" s="49"/>
      <c r="C83" s="49"/>
      <c r="D83" s="49">
        <v>0</v>
      </c>
      <c r="E83" s="50">
        <f>M42</f>
        <v>8.2077464788732382</v>
      </c>
      <c r="F83" s="49"/>
      <c r="G83" s="43">
        <f>G84/10</f>
        <v>2.1928040656667096</v>
      </c>
      <c r="H83" s="43">
        <f>H84/10</f>
        <v>2.0759757774590137</v>
      </c>
      <c r="I83" s="43">
        <f>I84/10</f>
        <v>2.0210632304780067</v>
      </c>
      <c r="J83" s="43">
        <f>J84/10</f>
        <v>1.9318222877628859</v>
      </c>
      <c r="K83" s="43"/>
      <c r="L83" s="42">
        <v>0</v>
      </c>
      <c r="O83" s="706"/>
      <c r="P83" s="706"/>
      <c r="Q83" s="706"/>
      <c r="R83" s="706"/>
      <c r="S83" s="707"/>
      <c r="W83" s="112"/>
      <c r="AJ83" s="160">
        <f>U33</f>
        <v>0.2</v>
      </c>
      <c r="AK83" s="4">
        <f t="shared" si="6"/>
        <v>5.08</v>
      </c>
      <c r="AL83" s="5">
        <f>W33</f>
        <v>2.7970000000000002</v>
      </c>
      <c r="AM83" s="4">
        <f t="shared" si="4"/>
        <v>1.4477225672877847</v>
      </c>
      <c r="AN83" s="5">
        <f>AA33</f>
        <v>1.7815286624203821</v>
      </c>
      <c r="AO83" s="4">
        <f t="shared" si="7"/>
        <v>0.92211628489667807</v>
      </c>
      <c r="AP83" s="5">
        <f>AE33</f>
        <v>1.3361464968152865</v>
      </c>
      <c r="AQ83" s="162">
        <f t="shared" si="5"/>
        <v>0.69158721367250864</v>
      </c>
    </row>
    <row r="84" spans="2:43" ht="15" customHeight="1" x14ac:dyDescent="0.25">
      <c r="C84" s="94"/>
      <c r="D84" s="94"/>
      <c r="E84" s="94"/>
      <c r="F84" s="49"/>
      <c r="G84" s="43">
        <f>($M$34/(1+(E34*$M$34/100)))*($O$73)</f>
        <v>21.928040656667097</v>
      </c>
      <c r="H84" s="43">
        <f>($M$34/(1+(F34*$M$34/100)))*($O$73)</f>
        <v>20.759757774590138</v>
      </c>
      <c r="I84" s="43">
        <f>($M$34/(1+(G34*$M$34/100)))*($O$73)</f>
        <v>20.210632304780066</v>
      </c>
      <c r="J84" s="43">
        <f>($M$34/(1+(H34*$M$34/100)))*($O$73)</f>
        <v>19.318222877628859</v>
      </c>
      <c r="K84" s="43"/>
      <c r="O84" s="706" t="s">
        <v>146</v>
      </c>
      <c r="P84" s="706"/>
      <c r="Q84" s="706"/>
      <c r="R84" s="706"/>
      <c r="S84" s="707">
        <v>2240</v>
      </c>
      <c r="W84" s="112"/>
      <c r="AJ84" s="160">
        <f>U34</f>
        <v>0.3</v>
      </c>
      <c r="AK84" s="3">
        <f t="shared" si="6"/>
        <v>7.6199999999999992</v>
      </c>
      <c r="AL84" s="5">
        <f>W34</f>
        <v>4.0860000000000003</v>
      </c>
      <c r="AM84" s="3">
        <f t="shared" si="4"/>
        <v>2.1149068322981366</v>
      </c>
      <c r="AN84" s="5">
        <f>AA34</f>
        <v>2.4853503184713377</v>
      </c>
      <c r="AO84" s="3">
        <f t="shared" si="7"/>
        <v>1.2864132083184978</v>
      </c>
      <c r="AP84" s="5">
        <f>AE34</f>
        <v>1.8640127388535033</v>
      </c>
      <c r="AQ84" s="161">
        <f t="shared" si="5"/>
        <v>0.9648099062388733</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4.9119999999999999</v>
      </c>
      <c r="AM85" s="3">
        <f t="shared" si="4"/>
        <v>2.5424430641821942</v>
      </c>
      <c r="AN85" s="5">
        <f>AA35</f>
        <v>3.0585987261146492</v>
      </c>
      <c r="AO85" s="3">
        <f t="shared" si="7"/>
        <v>1.5831256346349116</v>
      </c>
      <c r="AP85" s="5">
        <f>AE35</f>
        <v>2.2939490445859869</v>
      </c>
      <c r="AQ85" s="161">
        <f>((AP85/19.32)*10)</f>
        <v>1.1873442259761837</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5.6280000000000001</v>
      </c>
      <c r="AM86" s="164">
        <f t="shared" si="4"/>
        <v>2.9130434782608692</v>
      </c>
      <c r="AN86" s="165">
        <f>AA37</f>
        <v>3.5847133757961784</v>
      </c>
      <c r="AO86" s="164">
        <f t="shared" si="7"/>
        <v>1.855441705898643</v>
      </c>
      <c r="AP86" s="165">
        <f>AE37</f>
        <v>2.5310000000000001</v>
      </c>
      <c r="AQ86" s="166">
        <f>((AP86/19.32)*10)</f>
        <v>1.3100414078674949</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1.9751528114101451</v>
      </c>
      <c r="AK91" s="9">
        <f>R31</f>
        <v>1.8535165727084815</v>
      </c>
      <c r="AL91" s="10">
        <f>S31</f>
        <v>1.6607185154708477</v>
      </c>
    </row>
    <row r="92" spans="2:43" ht="21" customHeight="1" thickBot="1" x14ac:dyDescent="0.3">
      <c r="B92" s="92"/>
      <c r="C92" s="93"/>
      <c r="D92" s="93"/>
      <c r="E92" s="93"/>
      <c r="F92" s="62"/>
      <c r="G92" s="63"/>
      <c r="H92" s="49"/>
      <c r="I92" s="49"/>
      <c r="O92" s="725" t="s">
        <v>147</v>
      </c>
      <c r="P92" s="726"/>
      <c r="Q92" s="726"/>
      <c r="R92" s="726"/>
      <c r="S92" s="61">
        <f>M42</f>
        <v>8.2077464788732382</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10.306958322081195</v>
      </c>
      <c r="AK94" s="158">
        <f>AA42</f>
        <v>6.5649416064211428</v>
      </c>
      <c r="AL94" s="158">
        <f>AD42</f>
        <v>4.9237062048158586</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2223" priority="45">
      <formula>LEN(TRIM(D6))=0</formula>
    </cfRule>
  </conditionalFormatting>
  <conditionalFormatting sqref="D6:H10">
    <cfRule type="containsBlanks" dxfId="2222" priority="44">
      <formula>LEN(TRIM(D6))=0</formula>
    </cfRule>
  </conditionalFormatting>
  <conditionalFormatting sqref="M19">
    <cfRule type="containsBlanks" dxfId="2221" priority="43">
      <formula>LEN(TRIM(M19))=0</formula>
    </cfRule>
  </conditionalFormatting>
  <conditionalFormatting sqref="CP70">
    <cfRule type="containsBlanks" dxfId="2220" priority="42">
      <formula>LEN(TRIM(CP70))=0</formula>
    </cfRule>
  </conditionalFormatting>
  <conditionalFormatting sqref="M21">
    <cfRule type="containsBlanks" dxfId="2219" priority="41">
      <formula>LEN(TRIM(M21))=0</formula>
    </cfRule>
  </conditionalFormatting>
  <conditionalFormatting sqref="D12:M12">
    <cfRule type="containsBlanks" dxfId="2218" priority="40">
      <formula>LEN(TRIM(D12))=0</formula>
    </cfRule>
  </conditionalFormatting>
  <conditionalFormatting sqref="L9:M9">
    <cfRule type="containsBlanks" dxfId="2217" priority="39">
      <formula>LEN(TRIM(L9))=0</formula>
    </cfRule>
  </conditionalFormatting>
  <conditionalFormatting sqref="L25">
    <cfRule type="containsBlanks" dxfId="2216" priority="38">
      <formula>LEN(TRIM(L25))=0</formula>
    </cfRule>
  </conditionalFormatting>
  <conditionalFormatting sqref="Q20:S26">
    <cfRule type="containsBlanks" dxfId="2215" priority="28">
      <formula>LEN(TRIM(Q20))=0</formula>
    </cfRule>
    <cfRule type="containsBlanks" dxfId="2214" priority="37">
      <formula>LEN(TRIM(Q20))=0</formula>
    </cfRule>
  </conditionalFormatting>
  <conditionalFormatting sqref="U26:V27 AC33 AC26">
    <cfRule type="cellIs" dxfId="2213" priority="36" operator="between">
      <formula>0</formula>
      <formula>500</formula>
    </cfRule>
  </conditionalFormatting>
  <conditionalFormatting sqref="U33:V33">
    <cfRule type="cellIs" dxfId="2212" priority="35" operator="between">
      <formula>0</formula>
      <formula>500</formula>
    </cfRule>
  </conditionalFormatting>
  <conditionalFormatting sqref="AF45:AH46">
    <cfRule type="containsBlanks" dxfId="2211" priority="34">
      <formula>LEN(TRIM(AF45))=0</formula>
    </cfRule>
  </conditionalFormatting>
  <conditionalFormatting sqref="AF51:AG53">
    <cfRule type="containsBlanks" dxfId="2210" priority="33">
      <formula>LEN(TRIM(AF51))=0</formula>
    </cfRule>
  </conditionalFormatting>
  <conditionalFormatting sqref="E20:H24">
    <cfRule type="containsBlanks" dxfId="2209" priority="32">
      <formula>LEN(TRIM(E20))=0</formula>
    </cfRule>
  </conditionalFormatting>
  <conditionalFormatting sqref="E28:H33">
    <cfRule type="containsBlanks" dxfId="2208" priority="31">
      <formula>LEN(TRIM(E28))=0</formula>
    </cfRule>
  </conditionalFormatting>
  <conditionalFormatting sqref="Q42:S46">
    <cfRule type="containsBlanks" dxfId="2207" priority="30">
      <formula>LEN(TRIM(Q42))=0</formula>
    </cfRule>
  </conditionalFormatting>
  <conditionalFormatting sqref="Q34:S39">
    <cfRule type="containsBlanks" dxfId="2206" priority="29">
      <formula>LEN(TRIM(Q34))=0</formula>
    </cfRule>
  </conditionalFormatting>
  <conditionalFormatting sqref="M25">
    <cfRule type="containsBlanks" dxfId="2205" priority="27">
      <formula>LEN(TRIM(M25))=0</formula>
    </cfRule>
  </conditionalFormatting>
  <conditionalFormatting sqref="U26:V27 Y26:Z27 AC26:AD27 AG26:AG27">
    <cfRule type="containsBlanks" dxfId="2204" priority="25">
      <formula>LEN(TRIM(U26))=0</formula>
    </cfRule>
    <cfRule type="cellIs" dxfId="2203" priority="26" operator="between">
      <formula>0</formula>
      <formula>1000</formula>
    </cfRule>
  </conditionalFormatting>
  <conditionalFormatting sqref="W87:W88">
    <cfRule type="cellIs" dxfId="2202" priority="24" operator="between">
      <formula>0</formula>
      <formula>500</formula>
    </cfRule>
  </conditionalFormatting>
  <conditionalFormatting sqref="W94">
    <cfRule type="cellIs" dxfId="2201" priority="23" operator="between">
      <formula>0</formula>
      <formula>500</formula>
    </cfRule>
  </conditionalFormatting>
  <conditionalFormatting sqref="W87:W88">
    <cfRule type="containsBlanks" dxfId="2200" priority="21">
      <formula>LEN(TRIM(W87))=0</formula>
    </cfRule>
    <cfRule type="cellIs" dxfId="2199" priority="22" operator="between">
      <formula>0</formula>
      <formula>1000</formula>
    </cfRule>
  </conditionalFormatting>
  <conditionalFormatting sqref="U33:V33 Y33:Z33 AC33:AD33 AG33">
    <cfRule type="cellIs" dxfId="2198" priority="20" operator="between">
      <formula>0</formula>
      <formula>1000</formula>
    </cfRule>
  </conditionalFormatting>
  <conditionalFormatting sqref="Q27:S27">
    <cfRule type="containsBlanks" dxfId="2197" priority="18">
      <formula>LEN(TRIM(Q27))=0</formula>
    </cfRule>
    <cfRule type="containsBlanks" dxfId="2196" priority="19">
      <formula>LEN(TRIM(Q27))=0</formula>
    </cfRule>
  </conditionalFormatting>
  <conditionalFormatting sqref="W30:W31 W33:W35 W37 W28 W22:W26">
    <cfRule type="containsBlanks" dxfId="2195" priority="17">
      <formula>LEN(TRIM(W22))=0</formula>
    </cfRule>
  </conditionalFormatting>
  <conditionalFormatting sqref="W37 W30:W31 W33:W35 W28 W22:W26">
    <cfRule type="containsBlanks" dxfId="2194" priority="16">
      <formula>LEN(TRIM(W22))=0</formula>
    </cfRule>
  </conditionalFormatting>
  <conditionalFormatting sqref="W33:X33">
    <cfRule type="cellIs" dxfId="2193" priority="15" operator="between">
      <formula>0</formula>
      <formula>1000</formula>
    </cfRule>
  </conditionalFormatting>
  <conditionalFormatting sqref="W30:X37 W26 W28 W22:X25">
    <cfRule type="containsBlanks" dxfId="2192" priority="14">
      <formula>LEN(TRIM(W22))=0</formula>
    </cfRule>
  </conditionalFormatting>
  <conditionalFormatting sqref="AA37 AA30:AA31 AA33:AA35 AA22:AA26 AA28">
    <cfRule type="containsBlanks" dxfId="2191" priority="13">
      <formula>LEN(TRIM(AA22))=0</formula>
    </cfRule>
  </conditionalFormatting>
  <conditionalFormatting sqref="AA37 AA30:AA31 AA33:AA35 AA22:AA26 AA28">
    <cfRule type="containsBlanks" dxfId="2190" priority="12">
      <formula>LEN(TRIM(AA22))=0</formula>
    </cfRule>
  </conditionalFormatting>
  <conditionalFormatting sqref="AA33:AB34">
    <cfRule type="cellIs" dxfId="2189" priority="11" operator="between">
      <formula>0</formula>
      <formula>1000</formula>
    </cfRule>
  </conditionalFormatting>
  <conditionalFormatting sqref="AA30:AB30 AA31 AA33:AB37 AA22:AB25 AA26 AA28">
    <cfRule type="containsBlanks" dxfId="2188" priority="10">
      <formula>LEN(TRIM(AA22))=0</formula>
    </cfRule>
  </conditionalFormatting>
  <conditionalFormatting sqref="AE37 AE28 AE30:AE31 AE33:AE35 AE22:AE26">
    <cfRule type="containsBlanks" dxfId="2187" priority="9">
      <formula>LEN(TRIM(AE22))=0</formula>
    </cfRule>
  </conditionalFormatting>
  <conditionalFormatting sqref="AE37 AE28 AE30:AE31 AE33:AE35 AE22:AE26">
    <cfRule type="containsBlanks" dxfId="2186" priority="8">
      <formula>LEN(TRIM(AE22))=0</formula>
    </cfRule>
  </conditionalFormatting>
  <conditionalFormatting sqref="AE33:AF33">
    <cfRule type="cellIs" dxfId="2185" priority="7" operator="between">
      <formula>0</formula>
      <formula>1000</formula>
    </cfRule>
  </conditionalFormatting>
  <conditionalFormatting sqref="AE33:AF37 AE26 AE28 AE30:AE31 AE22:AF25">
    <cfRule type="containsBlanks" dxfId="2184" priority="6">
      <formula>LEN(TRIM(AE22))=0</formula>
    </cfRule>
  </conditionalFormatting>
  <conditionalFormatting sqref="K6:M6">
    <cfRule type="containsBlanks" dxfId="2183" priority="5">
      <formula>LEN(TRIM(K6))=0</formula>
    </cfRule>
  </conditionalFormatting>
  <conditionalFormatting sqref="K7:K8">
    <cfRule type="containsBlanks" dxfId="2182" priority="4">
      <formula>LEN(TRIM(K7))=0</formula>
    </cfRule>
  </conditionalFormatting>
  <conditionalFormatting sqref="D13:M13">
    <cfRule type="containsBlanks" dxfId="2181" priority="3">
      <formula>LEN(TRIM(D13))=0</formula>
    </cfRule>
  </conditionalFormatting>
  <conditionalFormatting sqref="B6:B10">
    <cfRule type="containsBlanks" dxfId="2180" priority="2">
      <formula>LEN(TRIM(B6))=0</formula>
    </cfRule>
  </conditionalFormatting>
  <conditionalFormatting sqref="B12:B13">
    <cfRule type="containsBlanks" dxfId="2179" priority="1">
      <formula>LEN(TRIM(B12))=0</formula>
    </cfRule>
  </conditionalFormatting>
  <dataValidations count="5">
    <dataValidation type="list" allowBlank="1" showInputMessage="1" showErrorMessage="1" sqref="D12:E12" xr:uid="{00000000-0002-0000-0900-000000000000}">
      <formula1>$B$87:$B$94</formula1>
    </dataValidation>
    <dataValidation type="list" allowBlank="1" showInputMessage="1" showErrorMessage="1" sqref="CP70" xr:uid="{00000000-0002-0000-0900-000001000000}">
      <formula1>$BA$3:$BA$5</formula1>
    </dataValidation>
    <dataValidation type="list" allowBlank="1" showInputMessage="1" showErrorMessage="1" sqref="M19" xr:uid="{00000000-0002-0000-0900-000002000000}">
      <formula1>$AX$3:$AX$5</formula1>
    </dataValidation>
    <dataValidation type="list" allowBlank="1" showInputMessage="1" showErrorMessage="1" sqref="M21" xr:uid="{00000000-0002-0000-0900-000003000000}">
      <formula1>$AX$3:$AX$4</formula1>
    </dataValidation>
    <dataValidation type="list" allowBlank="1" showInputMessage="1" showErrorMessage="1" sqref="L25" xr:uid="{00000000-0002-0000-0900-000004000000}">
      <formula1>$D$101:$D$104</formula1>
    </dataValidation>
  </dataValidations>
  <hyperlinks>
    <hyperlink ref="D8" r:id="rId1" xr:uid="{00000000-0004-0000-09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06497"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06498"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06499"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0650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0650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06502"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06503"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0650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0650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0650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1">
    <tabColor rgb="FFFFFF00"/>
  </sheetPr>
  <dimension ref="A1:CP153"/>
  <sheetViews>
    <sheetView view="pageBreakPreview" topLeftCell="Q50" zoomScale="93" zoomScaleNormal="100" zoomScaleSheetLayoutView="93"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47013</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47013</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22" t="s">
        <v>204</v>
      </c>
      <c r="AD9" s="222" t="s">
        <v>195</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25-CAV-AP3-2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222</v>
      </c>
      <c r="G12" s="31" t="s">
        <v>4</v>
      </c>
      <c r="H12" s="146">
        <v>2</v>
      </c>
      <c r="I12" s="546" t="s">
        <v>5</v>
      </c>
      <c r="J12" s="546"/>
      <c r="K12" s="209">
        <v>0.7</v>
      </c>
      <c r="L12" s="32" t="s">
        <v>6</v>
      </c>
      <c r="M12" s="147">
        <v>1.1000000000000001</v>
      </c>
      <c r="N12" s="78"/>
      <c r="O12" s="501" t="s">
        <v>3</v>
      </c>
      <c r="P12" s="501"/>
      <c r="Q12" s="225" t="s">
        <v>56</v>
      </c>
      <c r="R12" s="224" t="str">
        <f>F12</f>
        <v>CAV-AP3</v>
      </c>
      <c r="S12" s="224"/>
      <c r="T12" s="502" t="s">
        <v>4</v>
      </c>
      <c r="U12" s="502"/>
      <c r="V12" s="33">
        <f>+H12</f>
        <v>2</v>
      </c>
      <c r="W12" s="547" t="s">
        <v>5</v>
      </c>
      <c r="X12" s="547"/>
      <c r="Y12" s="547"/>
      <c r="Z12" s="547"/>
      <c r="AA12" s="547"/>
      <c r="AB12" s="547"/>
      <c r="AC12" s="34">
        <f>K12</f>
        <v>0.7</v>
      </c>
      <c r="AD12" s="548" t="s">
        <v>6</v>
      </c>
      <c r="AE12" s="548"/>
      <c r="AF12" s="35">
        <f>+M12</f>
        <v>1.1000000000000001</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225</v>
      </c>
      <c r="E13" s="479"/>
      <c r="F13" s="479"/>
      <c r="G13" s="479"/>
      <c r="H13" s="479"/>
      <c r="I13" s="479"/>
      <c r="J13" s="479"/>
      <c r="K13" s="479"/>
      <c r="L13" s="479"/>
      <c r="M13" s="480"/>
      <c r="N13" s="188"/>
      <c r="O13" s="526" t="s">
        <v>130</v>
      </c>
      <c r="P13" s="526"/>
      <c r="Q13" s="527" t="str">
        <f>D13</f>
        <v>LIMO CON ARENA FINA, COLOR MARRÓN DE CONSISTENCIA FIRME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604</v>
      </c>
      <c r="R20" s="156">
        <v>420</v>
      </c>
      <c r="S20" s="157">
        <v>423</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12046</v>
      </c>
      <c r="F22" s="150">
        <v>12492</v>
      </c>
      <c r="G22" s="150">
        <v>12362</v>
      </c>
      <c r="H22" s="151">
        <v>12115</v>
      </c>
      <c r="I22" s="174"/>
      <c r="J22" s="578"/>
      <c r="K22" s="578"/>
      <c r="L22" s="578"/>
      <c r="M22" s="104"/>
      <c r="N22" s="103"/>
      <c r="O22" s="579" t="s">
        <v>132</v>
      </c>
      <c r="P22" s="580"/>
      <c r="Q22" s="219">
        <v>8968</v>
      </c>
      <c r="R22" s="219">
        <v>8296</v>
      </c>
      <c r="S22" s="208">
        <v>7945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9.0999999999999998E-2</v>
      </c>
      <c r="AJ22" s="42">
        <v>4.1000000000000002E-2</v>
      </c>
      <c r="AK22" s="42">
        <f>AJ22*0.75</f>
        <v>3.075E-2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3830</v>
      </c>
      <c r="R23" s="150">
        <v>3832</v>
      </c>
      <c r="S23" s="151">
        <v>3846</v>
      </c>
      <c r="T23" s="174"/>
      <c r="U23" s="112">
        <v>2.5000000000000001E-2</v>
      </c>
      <c r="V23" s="113">
        <f>U23*25.4</f>
        <v>0.63500000000000001</v>
      </c>
      <c r="W23" s="581">
        <f>AI23</f>
        <v>0.20899999999999999</v>
      </c>
      <c r="X23" s="582"/>
      <c r="Y23" s="449">
        <f>((W23/19.32)*10)</f>
        <v>0.10817805383022773</v>
      </c>
      <c r="Z23" s="450"/>
      <c r="AA23" s="581">
        <v>0.104</v>
      </c>
      <c r="AB23" s="582"/>
      <c r="AC23" s="449">
        <f>((AA23/19.32)*10)</f>
        <v>5.3830227743271217E-2</v>
      </c>
      <c r="AD23" s="450"/>
      <c r="AE23" s="581">
        <v>5.6000000000000001E-2</v>
      </c>
      <c r="AF23" s="582"/>
      <c r="AG23" s="114">
        <f>((AE23/19.32)*10)</f>
        <v>2.8985507246376812E-2</v>
      </c>
      <c r="AH23" s="104"/>
      <c r="AI23" s="42">
        <f t="shared" ref="AI23:AI33" si="0">AJ51</f>
        <v>0.20899999999999999</v>
      </c>
      <c r="AJ23" s="42">
        <v>0.1145</v>
      </c>
      <c r="AK23" s="42">
        <f t="shared" ref="AK23:AK33" si="1">AJ23*0.75</f>
        <v>8.5875000000000007E-2</v>
      </c>
      <c r="AO23" s="42">
        <v>0.247</v>
      </c>
      <c r="AS23" s="42">
        <f t="shared" ref="AS23:AS37" si="2">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11.67</v>
      </c>
      <c r="S24" s="153">
        <v>11.58</v>
      </c>
      <c r="T24" s="174"/>
      <c r="U24" s="112">
        <v>0.05</v>
      </c>
      <c r="V24" s="113">
        <f>U24*25.4</f>
        <v>1.27</v>
      </c>
      <c r="W24" s="581">
        <f>AI24</f>
        <v>0.29499999999999998</v>
      </c>
      <c r="X24" s="582"/>
      <c r="Y24" s="449">
        <f>((W24/19.32)*10)</f>
        <v>0.15269151138716355</v>
      </c>
      <c r="Z24" s="450"/>
      <c r="AA24" s="581">
        <f>AJ24</f>
        <v>0.19407894736842105</v>
      </c>
      <c r="AB24" s="582"/>
      <c r="AC24" s="449">
        <f>((AA24/19.32)*10)</f>
        <v>0.10045494170208129</v>
      </c>
      <c r="AD24" s="450"/>
      <c r="AE24" s="581">
        <v>0.111</v>
      </c>
      <c r="AF24" s="582"/>
      <c r="AG24" s="114">
        <f>((AE24/19.32)*10)</f>
        <v>5.745341614906832E-2</v>
      </c>
      <c r="AH24" s="104"/>
      <c r="AI24" s="42">
        <f t="shared" si="0"/>
        <v>0.29499999999999998</v>
      </c>
      <c r="AJ24" s="42">
        <f t="shared" ref="AJ24:AJ33" si="3">AJ52/1.52</f>
        <v>0.19407894736842105</v>
      </c>
      <c r="AK24" s="42">
        <f t="shared" si="1"/>
        <v>0.14555921052631579</v>
      </c>
      <c r="AO24" s="42">
        <v>0.68400000000000005</v>
      </c>
      <c r="AS24" s="42">
        <f t="shared" si="2"/>
        <v>0.55609756097560981</v>
      </c>
    </row>
    <row r="25" spans="1:45" ht="24.95" customHeight="1" thickBot="1" x14ac:dyDescent="0.3">
      <c r="A25" s="103"/>
      <c r="B25" s="602" t="s">
        <v>69</v>
      </c>
      <c r="C25" s="603"/>
      <c r="D25" s="603"/>
      <c r="E25" s="115">
        <f>E22-E23</f>
        <v>4734</v>
      </c>
      <c r="F25" s="115">
        <f>F22-F23</f>
        <v>5180</v>
      </c>
      <c r="G25" s="115">
        <f>G22-G23</f>
        <v>5050</v>
      </c>
      <c r="H25" s="116">
        <f>H22-H23</f>
        <v>4803</v>
      </c>
      <c r="I25" s="174"/>
      <c r="J25" s="174" t="s">
        <v>127</v>
      </c>
      <c r="K25" s="174"/>
      <c r="L25" s="218" t="s">
        <v>128</v>
      </c>
      <c r="M25" s="155">
        <v>0</v>
      </c>
      <c r="N25" s="103"/>
      <c r="O25" s="604" t="s">
        <v>46</v>
      </c>
      <c r="P25" s="605"/>
      <c r="Q25" s="608">
        <v>15.25</v>
      </c>
      <c r="R25" s="608">
        <v>15.23</v>
      </c>
      <c r="S25" s="610">
        <v>15.26</v>
      </c>
      <c r="T25" s="174"/>
      <c r="U25" s="112">
        <v>7.4999999999999997E-2</v>
      </c>
      <c r="V25" s="113">
        <f>U25*25.4</f>
        <v>1.9049999999999998</v>
      </c>
      <c r="W25" s="581">
        <f>AI25</f>
        <v>0.372</v>
      </c>
      <c r="X25" s="582"/>
      <c r="Y25" s="449">
        <f>((W25/19.32)*10)</f>
        <v>0.19254658385093165</v>
      </c>
      <c r="Z25" s="450"/>
      <c r="AA25" s="581">
        <f>AJ25</f>
        <v>0.24473684210526314</v>
      </c>
      <c r="AB25" s="582"/>
      <c r="AC25" s="449">
        <f>((AA25/19.32)*10)</f>
        <v>0.12667538411245505</v>
      </c>
      <c r="AD25" s="450"/>
      <c r="AE25" s="581">
        <v>0.14599999999999999</v>
      </c>
      <c r="AF25" s="582"/>
      <c r="AG25" s="114">
        <f>((AE25/19.32)*10)</f>
        <v>7.5569358178053825E-2</v>
      </c>
      <c r="AH25" s="104"/>
      <c r="AI25" s="42">
        <f t="shared" si="0"/>
        <v>0.372</v>
      </c>
      <c r="AJ25" s="42">
        <f t="shared" si="3"/>
        <v>0.24473684210526314</v>
      </c>
      <c r="AK25" s="42">
        <f t="shared" si="1"/>
        <v>0.18355263157894736</v>
      </c>
      <c r="AO25" s="42">
        <v>1.3149999999999999</v>
      </c>
      <c r="AS25" s="42">
        <f t="shared" si="2"/>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4">
        <f>AI26</f>
        <v>0.439</v>
      </c>
      <c r="X26" s="775"/>
      <c r="Y26" s="439">
        <f>((W26/19.32)*10)</f>
        <v>0.22722567287784678</v>
      </c>
      <c r="Z26" s="440"/>
      <c r="AA26" s="593">
        <f>AJ26</f>
        <v>0.28881578947368419</v>
      </c>
      <c r="AB26" s="594"/>
      <c r="AC26" s="439">
        <f>((AA26/19.32)*10)</f>
        <v>0.14949057426174131</v>
      </c>
      <c r="AD26" s="440"/>
      <c r="AE26" s="593">
        <v>0.20699999999999999</v>
      </c>
      <c r="AF26" s="594"/>
      <c r="AG26" s="469">
        <f>((AE26/19.32)*10)</f>
        <v>0.10714285714285715</v>
      </c>
      <c r="AH26" s="104"/>
      <c r="AI26" s="42">
        <f t="shared" si="0"/>
        <v>0.439</v>
      </c>
      <c r="AJ26" s="42">
        <f t="shared" si="3"/>
        <v>0.28881578947368419</v>
      </c>
      <c r="AK26" s="42">
        <f t="shared" si="1"/>
        <v>0.21661184210526313</v>
      </c>
      <c r="AO26" s="42">
        <v>1.875</v>
      </c>
      <c r="AS26" s="42">
        <f t="shared" si="2"/>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2125.9867039104888</v>
      </c>
      <c r="S27" s="153">
        <f>(PI()*((S25^2)/4)*S24)</f>
        <v>2117.9100344082553</v>
      </c>
      <c r="T27" s="174"/>
      <c r="U27" s="600"/>
      <c r="V27" s="601"/>
      <c r="W27" s="776"/>
      <c r="X27" s="777"/>
      <c r="Y27" s="441"/>
      <c r="Z27" s="442"/>
      <c r="AA27" s="595"/>
      <c r="AB27" s="596"/>
      <c r="AC27" s="441"/>
      <c r="AD27" s="442"/>
      <c r="AE27" s="595"/>
      <c r="AF27" s="596"/>
      <c r="AG27" s="470"/>
      <c r="AH27" s="193"/>
      <c r="AI27" s="42">
        <f t="shared" si="0"/>
        <v>0.498</v>
      </c>
      <c r="AJ27" s="42">
        <f t="shared" si="3"/>
        <v>0.32763157894736844</v>
      </c>
      <c r="AK27" s="42">
        <f t="shared" si="1"/>
        <v>0.24572368421052632</v>
      </c>
      <c r="AO27" s="42">
        <v>2.387</v>
      </c>
      <c r="AS27" s="42">
        <f t="shared" si="2"/>
        <v>1.9406504065040651</v>
      </c>
    </row>
    <row r="28" spans="1:45" ht="24.95" customHeight="1" thickBot="1" x14ac:dyDescent="0.3">
      <c r="A28" s="103"/>
      <c r="B28" s="560" t="s">
        <v>9</v>
      </c>
      <c r="C28" s="561"/>
      <c r="D28" s="561"/>
      <c r="E28" s="148">
        <v>210</v>
      </c>
      <c r="F28" s="148">
        <v>615</v>
      </c>
      <c r="G28" s="148">
        <v>346</v>
      </c>
      <c r="H28" s="149">
        <v>705</v>
      </c>
      <c r="I28" s="174"/>
      <c r="J28" s="597" t="s">
        <v>107</v>
      </c>
      <c r="K28" s="597"/>
      <c r="L28" s="562" t="s">
        <v>119</v>
      </c>
      <c r="M28" s="459">
        <f>IF(M26="","",(100-M26))</f>
        <v>100</v>
      </c>
      <c r="N28" s="103"/>
      <c r="O28" s="625" t="s">
        <v>136</v>
      </c>
      <c r="P28" s="626"/>
      <c r="Q28" s="220">
        <f>Q22-Q23</f>
        <v>5138</v>
      </c>
      <c r="R28" s="220">
        <f>R22-R23</f>
        <v>4464</v>
      </c>
      <c r="S28" s="221">
        <f>S22-S23</f>
        <v>4099</v>
      </c>
      <c r="T28" s="174"/>
      <c r="U28" s="627">
        <v>0.125</v>
      </c>
      <c r="V28" s="624">
        <f>U28*25.4</f>
        <v>3.1749999999999998</v>
      </c>
      <c r="W28" s="593">
        <f>AI27</f>
        <v>0.498</v>
      </c>
      <c r="X28" s="594"/>
      <c r="Y28" s="439">
        <f>((W28/19.32)*10)</f>
        <v>0.25776397515527949</v>
      </c>
      <c r="Z28" s="440"/>
      <c r="AA28" s="593">
        <v>0.33700000000000002</v>
      </c>
      <c r="AB28" s="594"/>
      <c r="AC28" s="439">
        <f>((AA28/19.32)*10)</f>
        <v>0.17443064182194618</v>
      </c>
      <c r="AD28" s="440"/>
      <c r="AE28" s="593">
        <f>AK27</f>
        <v>0.24572368421052632</v>
      </c>
      <c r="AF28" s="594"/>
      <c r="AG28" s="443">
        <f>((AE28/19.32)*10)</f>
        <v>0.12718617195161816</v>
      </c>
      <c r="AH28" s="104"/>
      <c r="AI28" s="42">
        <f t="shared" si="0"/>
        <v>0.56100000000000005</v>
      </c>
      <c r="AJ28" s="42">
        <f t="shared" si="3"/>
        <v>0.36907894736842106</v>
      </c>
      <c r="AK28" s="42">
        <f t="shared" si="1"/>
        <v>0.2768092105263158</v>
      </c>
      <c r="AO28" s="42">
        <v>2.8959999999999999</v>
      </c>
      <c r="AS28" s="42">
        <f t="shared" si="2"/>
        <v>2.3544715447154472</v>
      </c>
    </row>
    <row r="29" spans="1:45" ht="5.0999999999999996" customHeight="1" thickBot="1" x14ac:dyDescent="0.3">
      <c r="A29" s="103"/>
      <c r="B29" s="612" t="s">
        <v>73</v>
      </c>
      <c r="C29" s="613"/>
      <c r="D29" s="614"/>
      <c r="E29" s="618">
        <v>968.56</v>
      </c>
      <c r="F29" s="618">
        <v>789.46</v>
      </c>
      <c r="G29" s="618">
        <v>948.45</v>
      </c>
      <c r="H29" s="620">
        <v>894.56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0.63500000000000001</v>
      </c>
      <c r="AJ29" s="42">
        <f t="shared" si="3"/>
        <v>0.41776315789473684</v>
      </c>
      <c r="AK29" s="42">
        <f t="shared" si="1"/>
        <v>0.31332236842105265</v>
      </c>
      <c r="AO29" s="42">
        <v>3.3879999999999999</v>
      </c>
      <c r="AS29" s="42">
        <f t="shared" si="2"/>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22.640768233438489</v>
      </c>
      <c r="N30" s="103"/>
      <c r="O30" s="622" t="s">
        <v>134</v>
      </c>
      <c r="P30" s="623"/>
      <c r="Q30" s="229">
        <f>Q28/Q27</f>
        <v>2.4249709591782951</v>
      </c>
      <c r="R30" s="229">
        <f>R28/R27</f>
        <v>2.0997309116698735</v>
      </c>
      <c r="S30" s="131">
        <f>S28/S27</f>
        <v>1.9353985454558091</v>
      </c>
      <c r="T30" s="174"/>
      <c r="U30" s="120">
        <v>0.15</v>
      </c>
      <c r="V30" s="113">
        <f>U30*25.4</f>
        <v>3.8099999999999996</v>
      </c>
      <c r="W30" s="581">
        <f>AI28</f>
        <v>0.56100000000000005</v>
      </c>
      <c r="X30" s="582"/>
      <c r="Y30" s="449">
        <f>((W30/19.32)*10)</f>
        <v>0.29037267080745344</v>
      </c>
      <c r="Z30" s="450"/>
      <c r="AA30" s="581">
        <v>0.38900000000000001</v>
      </c>
      <c r="AB30" s="582"/>
      <c r="AC30" s="449">
        <f>((AA30/19.32)*10)</f>
        <v>0.20134575569358176</v>
      </c>
      <c r="AD30" s="450"/>
      <c r="AE30" s="581">
        <f>AK28</f>
        <v>0.2768092105263158</v>
      </c>
      <c r="AF30" s="582"/>
      <c r="AG30" s="114">
        <f>((AE30/19.32)*10)</f>
        <v>0.14327598888525661</v>
      </c>
      <c r="AH30" s="104"/>
      <c r="AI30" s="42">
        <f t="shared" si="0"/>
        <v>0.7</v>
      </c>
      <c r="AJ30" s="42">
        <f t="shared" si="3"/>
        <v>0.46052631578947367</v>
      </c>
      <c r="AK30" s="42">
        <f t="shared" si="1"/>
        <v>0.34539473684210525</v>
      </c>
      <c r="AO30" s="42">
        <v>3.8439999999999999</v>
      </c>
      <c r="AS30" s="42">
        <f t="shared" si="2"/>
        <v>3.1252032520325201</v>
      </c>
    </row>
    <row r="31" spans="1:45" ht="24.95" customHeight="1" thickBot="1" x14ac:dyDescent="0.3">
      <c r="A31" s="103"/>
      <c r="B31" s="576" t="s">
        <v>74</v>
      </c>
      <c r="C31" s="577"/>
      <c r="D31" s="577"/>
      <c r="E31" s="152">
        <v>950.11</v>
      </c>
      <c r="F31" s="152">
        <v>760.04</v>
      </c>
      <c r="G31" s="152">
        <v>902.56</v>
      </c>
      <c r="H31" s="153">
        <v>840.12</v>
      </c>
      <c r="I31" s="174"/>
      <c r="J31" s="597" t="s">
        <v>138</v>
      </c>
      <c r="K31" s="597"/>
      <c r="L31" s="562" t="s">
        <v>116</v>
      </c>
      <c r="M31" s="457">
        <f>IF(M25="","",S82)</f>
        <v>2.7120000000000002</v>
      </c>
      <c r="N31" s="121"/>
      <c r="O31" s="628" t="s">
        <v>135</v>
      </c>
      <c r="P31" s="629"/>
      <c r="Q31" s="122">
        <f>Q30/(1+Q40/100)</f>
        <v>2.3284962054347549</v>
      </c>
      <c r="R31" s="122">
        <f>R30/(1+R40/100)</f>
        <v>2.0125396917832936</v>
      </c>
      <c r="S31" s="123">
        <f>S30/(1+S40/100)</f>
        <v>1.8579721816929309</v>
      </c>
      <c r="T31" s="174"/>
      <c r="U31" s="627">
        <v>0.17499999999999999</v>
      </c>
      <c r="V31" s="624">
        <f>U31*25.4</f>
        <v>4.4449999999999994</v>
      </c>
      <c r="W31" s="593">
        <f>AI29</f>
        <v>0.63500000000000001</v>
      </c>
      <c r="X31" s="594"/>
      <c r="Y31" s="439">
        <f>((W31/19.32)*10)</f>
        <v>0.32867494824016563</v>
      </c>
      <c r="Z31" s="440"/>
      <c r="AA31" s="593">
        <v>0.44800000000000001</v>
      </c>
      <c r="AB31" s="594"/>
      <c r="AC31" s="439">
        <f>((AA31/19.32)*10)</f>
        <v>0.2318840579710145</v>
      </c>
      <c r="AD31" s="440"/>
      <c r="AE31" s="593">
        <f>AK29</f>
        <v>0.31332236842105265</v>
      </c>
      <c r="AF31" s="594"/>
      <c r="AG31" s="443">
        <f>((AE31/19.32)*10)</f>
        <v>0.16217513893429225</v>
      </c>
      <c r="AH31" s="104"/>
      <c r="AI31" s="42">
        <f t="shared" si="0"/>
        <v>0.997</v>
      </c>
      <c r="AJ31" s="42">
        <f t="shared" si="3"/>
        <v>0.65592105263157896</v>
      </c>
      <c r="AK31" s="42">
        <f t="shared" si="1"/>
        <v>0.49194078947368425</v>
      </c>
      <c r="AO31" s="42">
        <v>5.516</v>
      </c>
      <c r="AS31" s="42">
        <f t="shared" si="2"/>
        <v>4.4845528455284551</v>
      </c>
    </row>
    <row r="32" spans="1:45" ht="5.0999999999999996" customHeight="1" thickBot="1" x14ac:dyDescent="0.3">
      <c r="A32" s="103"/>
      <c r="B32" s="612" t="s">
        <v>75</v>
      </c>
      <c r="C32" s="613"/>
      <c r="D32" s="614"/>
      <c r="E32" s="618">
        <v>64.459999999999994</v>
      </c>
      <c r="F32" s="618">
        <v>48.02</v>
      </c>
      <c r="G32" s="618">
        <v>101.67</v>
      </c>
      <c r="H32" s="620">
        <v>46.82</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1.323</v>
      </c>
      <c r="AJ32" s="42">
        <f t="shared" si="3"/>
        <v>0.87039473684210522</v>
      </c>
      <c r="AK32" s="42">
        <f t="shared" si="1"/>
        <v>0.65279605263157892</v>
      </c>
      <c r="AO32" s="42">
        <v>6.7220000000000004</v>
      </c>
      <c r="AS32" s="42">
        <f t="shared" si="2"/>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0.7</v>
      </c>
      <c r="X33" s="582"/>
      <c r="Y33" s="449">
        <f>((W33/19.32)*10)</f>
        <v>0.36231884057971009</v>
      </c>
      <c r="Z33" s="450"/>
      <c r="AA33" s="581">
        <v>0.502</v>
      </c>
      <c r="AB33" s="582"/>
      <c r="AC33" s="449">
        <f>((AA33/19.32)*10)</f>
        <v>0.25983436853002073</v>
      </c>
      <c r="AD33" s="450"/>
      <c r="AE33" s="581">
        <f>AK30</f>
        <v>0.34539473684210525</v>
      </c>
      <c r="AF33" s="582"/>
      <c r="AG33" s="144">
        <f>((AE33/19.32)*10)</f>
        <v>0.17877574370709381</v>
      </c>
      <c r="AH33" s="104"/>
      <c r="AI33" s="42">
        <f t="shared" si="0"/>
        <v>1.6519999999999999</v>
      </c>
      <c r="AJ33" s="42">
        <f t="shared" si="3"/>
        <v>1.0868421052631578</v>
      </c>
      <c r="AK33" s="42">
        <f t="shared" si="1"/>
        <v>0.81513157894736832</v>
      </c>
      <c r="AO33" s="42">
        <v>7.7720000000000002</v>
      </c>
      <c r="AS33" s="42">
        <f t="shared" si="2"/>
        <v>6.3186991869918705</v>
      </c>
    </row>
    <row r="34" spans="1:45" ht="24.95" customHeight="1" thickBot="1" x14ac:dyDescent="0.3">
      <c r="A34" s="103"/>
      <c r="B34" s="602" t="s">
        <v>10</v>
      </c>
      <c r="C34" s="603"/>
      <c r="D34" s="603"/>
      <c r="E34" s="125">
        <f>((E29-E31)/(E31-E32))*100</f>
        <v>2.0832157172697943</v>
      </c>
      <c r="F34" s="125">
        <f>((F29-F31)/(F31-F32))*100</f>
        <v>4.131906407123406</v>
      </c>
      <c r="G34" s="125">
        <f>((G29-G31)/(G31-G32))*100</f>
        <v>5.7298755134912538</v>
      </c>
      <c r="H34" s="126">
        <f>((H29-H31)/(H31-H32))*100</f>
        <v>6.86247321316021</v>
      </c>
      <c r="I34" s="174"/>
      <c r="J34" s="630" t="s">
        <v>125</v>
      </c>
      <c r="K34" s="630"/>
      <c r="L34" s="184" t="s">
        <v>126</v>
      </c>
      <c r="M34" s="245">
        <v>2.67</v>
      </c>
      <c r="N34" s="128"/>
      <c r="O34" s="631" t="s">
        <v>9</v>
      </c>
      <c r="P34" s="632"/>
      <c r="Q34" s="156">
        <v>360</v>
      </c>
      <c r="R34" s="156">
        <v>725</v>
      </c>
      <c r="S34" s="157">
        <v>735</v>
      </c>
      <c r="T34" s="174"/>
      <c r="U34" s="120">
        <v>0.3</v>
      </c>
      <c r="V34" s="113">
        <f>U34*25.4</f>
        <v>7.6199999999999992</v>
      </c>
      <c r="W34" s="581">
        <f>AI31</f>
        <v>0.997</v>
      </c>
      <c r="X34" s="582"/>
      <c r="Y34" s="449">
        <f>((W34/19.32)*10)</f>
        <v>0.51604554865424435</v>
      </c>
      <c r="Z34" s="450"/>
      <c r="AA34" s="581">
        <v>0.71399999999999997</v>
      </c>
      <c r="AB34" s="582"/>
      <c r="AC34" s="449">
        <f>((AA34/19.32)*10)</f>
        <v>0.36956521739130432</v>
      </c>
      <c r="AD34" s="450"/>
      <c r="AE34" s="581">
        <f>AK31</f>
        <v>0.49194078947368425</v>
      </c>
      <c r="AF34" s="582"/>
      <c r="AG34" s="114">
        <f>((AE34/19.32)*10)</f>
        <v>0.25462773782281795</v>
      </c>
      <c r="AH34" s="104"/>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1089.0899999999999</v>
      </c>
      <c r="R35" s="608">
        <v>975.56</v>
      </c>
      <c r="S35" s="610">
        <v>935.72</v>
      </c>
      <c r="T35" s="174"/>
      <c r="U35" s="627">
        <v>0.4</v>
      </c>
      <c r="V35" s="624">
        <f>U35*25.4</f>
        <v>10.16</v>
      </c>
      <c r="W35" s="593">
        <f>AI32</f>
        <v>1.323</v>
      </c>
      <c r="X35" s="594"/>
      <c r="Y35" s="439">
        <f>((W35/19.32)*10)</f>
        <v>0.68478260869565211</v>
      </c>
      <c r="Z35" s="440"/>
      <c r="AA35" s="593">
        <v>0.92500000000000004</v>
      </c>
      <c r="AB35" s="594"/>
      <c r="AC35" s="439">
        <f>(AA35/19.32)*10</f>
        <v>0.47877846790890272</v>
      </c>
      <c r="AD35" s="440"/>
      <c r="AE35" s="593">
        <f>AK32</f>
        <v>0.65279605263157892</v>
      </c>
      <c r="AF35" s="594"/>
      <c r="AG35" s="443">
        <f>((AE35/19.32)*10)</f>
        <v>0.33788615560640728</v>
      </c>
      <c r="AH35" s="104"/>
      <c r="AS35" s="42">
        <f t="shared" si="2"/>
        <v>0</v>
      </c>
    </row>
    <row r="36" spans="1:45" ht="20.100000000000001" customHeight="1" thickBot="1" x14ac:dyDescent="0.3">
      <c r="A36" s="103"/>
      <c r="B36" s="639" t="s">
        <v>71</v>
      </c>
      <c r="C36" s="640"/>
      <c r="D36" s="640"/>
      <c r="E36" s="130">
        <f>E25/E24</f>
        <v>2.2039106145251397</v>
      </c>
      <c r="F36" s="130">
        <f>F25/F24</f>
        <v>2.4115456238361266</v>
      </c>
      <c r="G36" s="130">
        <f>G25/G24</f>
        <v>2.3510242085661082</v>
      </c>
      <c r="H36" s="131">
        <f>H25/H24</f>
        <v>2.2360335195530725</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2"/>
        <v>0</v>
      </c>
    </row>
    <row r="37" spans="1:45" ht="24.95" customHeight="1" thickBot="1" x14ac:dyDescent="0.3">
      <c r="A37" s="103"/>
      <c r="B37" s="602" t="s">
        <v>72</v>
      </c>
      <c r="C37" s="603"/>
      <c r="D37" s="603"/>
      <c r="E37" s="122">
        <f>E36/(1+E34/100)</f>
        <v>2.1589353343149984</v>
      </c>
      <c r="F37" s="230">
        <f>F36/(1+F34/100)</f>
        <v>2.3158565967358098</v>
      </c>
      <c r="G37" s="230">
        <f>G36/(1+G34/100)</f>
        <v>2.2236139001848301</v>
      </c>
      <c r="H37" s="123">
        <f>H36/(1+H34/100)</f>
        <v>2.0924403603244541</v>
      </c>
      <c r="I37" s="174"/>
      <c r="J37" s="641" t="s">
        <v>139</v>
      </c>
      <c r="K37" s="641"/>
      <c r="L37" s="643" t="s">
        <v>121</v>
      </c>
      <c r="M37" s="433">
        <f>IF(F74="","",(M42^2*F74+M42*F75+F76))</f>
        <v>2.3079274447949527</v>
      </c>
      <c r="N37" s="101"/>
      <c r="O37" s="576" t="s">
        <v>28</v>
      </c>
      <c r="P37" s="577"/>
      <c r="Q37" s="150">
        <v>1049.77</v>
      </c>
      <c r="R37" s="150">
        <v>936.98</v>
      </c>
      <c r="S37" s="151">
        <v>900.06</v>
      </c>
      <c r="T37" s="174"/>
      <c r="U37" s="132">
        <v>0.5</v>
      </c>
      <c r="V37" s="133">
        <f>U37*25.4</f>
        <v>12.7</v>
      </c>
      <c r="W37" s="637">
        <f>AI33</f>
        <v>1.6519999999999999</v>
      </c>
      <c r="X37" s="638"/>
      <c r="Y37" s="431">
        <f>((W37/19.32)*10)</f>
        <v>0.85507246376811596</v>
      </c>
      <c r="Z37" s="432"/>
      <c r="AA37" s="637">
        <f>AJ33</f>
        <v>1.0868421052631578</v>
      </c>
      <c r="AB37" s="638"/>
      <c r="AC37" s="431">
        <f>((AA37/19.32)*10)</f>
        <v>0.56254767353165525</v>
      </c>
      <c r="AD37" s="432"/>
      <c r="AE37" s="637">
        <v>0.745</v>
      </c>
      <c r="AF37" s="638"/>
      <c r="AG37" s="134">
        <f>((AE37/19.32)*10)</f>
        <v>0.38561076604554867</v>
      </c>
      <c r="AH37" s="104"/>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100.75</v>
      </c>
      <c r="R38" s="647">
        <v>46.48</v>
      </c>
      <c r="S38" s="648">
        <v>44.34</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22.640768233438489</v>
      </c>
      <c r="N40" s="103"/>
      <c r="O40" s="628" t="s">
        <v>10</v>
      </c>
      <c r="P40" s="629"/>
      <c r="Q40" s="125">
        <f>((Q35-Q37)/(Q37-Q38))*100</f>
        <v>4.1432214284208913</v>
      </c>
      <c r="R40" s="125">
        <f>((R35-R37)/(R37-R38))*100</f>
        <v>4.332397529477813</v>
      </c>
      <c r="S40" s="126">
        <f>((S35-S37)/(S37-S38))*100</f>
        <v>4.1672509699434492</v>
      </c>
      <c r="T40" s="174"/>
      <c r="U40" s="645" t="s">
        <v>151</v>
      </c>
      <c r="V40" s="646"/>
      <c r="W40" s="423">
        <f>(AM79/6.9)*100</f>
        <v>3.2931256938818376</v>
      </c>
      <c r="X40" s="423"/>
      <c r="Y40" s="423"/>
      <c r="Z40" s="424"/>
      <c r="AA40" s="425">
        <f>(AO79/6.9)*100</f>
        <v>2.1665300617643668</v>
      </c>
      <c r="AB40" s="426"/>
      <c r="AC40" s="427"/>
      <c r="AD40" s="425">
        <f>(AQ79/6.9)*100</f>
        <v>1.5527950310559007</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3.5176586464049522</v>
      </c>
      <c r="X41" s="418"/>
      <c r="Y41" s="418"/>
      <c r="Z41" s="419"/>
      <c r="AA41" s="420">
        <f>(AO83/10.3)*100</f>
        <v>2.5226637721361236</v>
      </c>
      <c r="AB41" s="421"/>
      <c r="AC41" s="418"/>
      <c r="AD41" s="420">
        <f>(AQ83/10.3)*100</f>
        <v>1.7356868321077068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4.2334384858044167</v>
      </c>
      <c r="N42" s="103"/>
      <c r="O42" s="639" t="s">
        <v>9</v>
      </c>
      <c r="P42" s="640"/>
      <c r="Q42" s="148">
        <v>672</v>
      </c>
      <c r="R42" s="148">
        <v>738</v>
      </c>
      <c r="S42" s="149">
        <v>739</v>
      </c>
      <c r="T42" s="174"/>
      <c r="U42" s="651" t="s">
        <v>42</v>
      </c>
      <c r="V42" s="652"/>
      <c r="W42" s="413">
        <f>IF(W40&lt;W41,W40,W41)</f>
        <v>3.2931256938818376</v>
      </c>
      <c r="X42" s="414"/>
      <c r="Y42" s="414"/>
      <c r="Z42" s="415"/>
      <c r="AA42" s="416">
        <f>IF(AA40&lt;AA41,AA40,AA41)</f>
        <v>2.1665300617643668</v>
      </c>
      <c r="AB42" s="414"/>
      <c r="AC42" s="415"/>
      <c r="AD42" s="416">
        <f>IF(AD40&lt;AD41,AD40,AD41)</f>
        <v>1.5527950310559007</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458.05</v>
      </c>
      <c r="R43" s="618">
        <v>647.16499999999996</v>
      </c>
      <c r="S43" s="610">
        <v>698.25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1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432.28</v>
      </c>
      <c r="R45" s="150">
        <v>598.25</v>
      </c>
      <c r="S45" s="151">
        <v>630.11</v>
      </c>
      <c r="T45" s="174"/>
      <c r="U45" s="656" t="s">
        <v>139</v>
      </c>
      <c r="V45" s="656"/>
      <c r="W45" s="179" t="s">
        <v>121</v>
      </c>
      <c r="X45" s="406">
        <f>MAX(M37:M39)</f>
        <v>2.3079274447949527</v>
      </c>
      <c r="Y45" s="406"/>
      <c r="Z45" s="406"/>
      <c r="AA45" s="174"/>
      <c r="AB45" s="657" t="s">
        <v>31</v>
      </c>
      <c r="AC45" s="658"/>
      <c r="AD45" s="658"/>
      <c r="AE45" s="658"/>
      <c r="AF45" s="231">
        <v>2.0500000000000001E-2</v>
      </c>
      <c r="AG45" s="231">
        <v>9.7500000000000003E-2</v>
      </c>
      <c r="AH45" s="233">
        <v>0.1225</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39.96</v>
      </c>
      <c r="R46" s="152">
        <v>49.56</v>
      </c>
      <c r="S46" s="153">
        <v>47.7</v>
      </c>
      <c r="T46" s="174"/>
      <c r="U46" s="555" t="s">
        <v>123</v>
      </c>
      <c r="V46" s="555"/>
      <c r="W46" s="179" t="s">
        <v>41</v>
      </c>
      <c r="X46" s="401">
        <f>MIN(M42:M44)</f>
        <v>4.2334384858044167</v>
      </c>
      <c r="Y46" s="401"/>
      <c r="Z46" s="401"/>
      <c r="AA46" s="174"/>
      <c r="AB46" s="660" t="s">
        <v>32</v>
      </c>
      <c r="AC46" s="661"/>
      <c r="AD46" s="661"/>
      <c r="AE46" s="661"/>
      <c r="AF46" s="234">
        <v>3.85E-2</v>
      </c>
      <c r="AG46" s="234">
        <v>0.107</v>
      </c>
      <c r="AH46" s="235">
        <v>0.124</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6.5686174551386731</v>
      </c>
      <c r="R47" s="125">
        <f>((R43-R45)/(R45-R46))*100</f>
        <v>8.914869963002781</v>
      </c>
      <c r="S47" s="126">
        <f>((S43-S45)/(S45-S46))*100</f>
        <v>11.699661750313352</v>
      </c>
      <c r="T47" s="174"/>
      <c r="U47" s="555" t="s">
        <v>162</v>
      </c>
      <c r="V47" s="555"/>
      <c r="W47" s="179" t="s">
        <v>41</v>
      </c>
      <c r="X47" s="402">
        <f>IF(L25=D103,"-",IF(L25=D102,"-",IF(L25=D101,M25)))</f>
        <v>0</v>
      </c>
      <c r="Y47" s="402"/>
      <c r="Z47" s="402"/>
      <c r="AA47" s="174"/>
      <c r="AB47" s="662" t="s">
        <v>33</v>
      </c>
      <c r="AC47" s="663"/>
      <c r="AD47" s="663"/>
      <c r="AE47" s="663"/>
      <c r="AF47" s="232">
        <f>(AF46-AF45)*2.54</f>
        <v>4.5719999999999997E-2</v>
      </c>
      <c r="AG47" s="232">
        <f>(AG46-AG45)*2.54</f>
        <v>2.4129999999999985E-2</v>
      </c>
      <c r="AH47" s="239">
        <f>(AH46-AH45)*2.54</f>
        <v>3.8100000000000035E-3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0.39413793103448269</v>
      </c>
      <c r="AG48" s="142">
        <f>IF(AG47&lt;&gt;"",IF(R24&lt;&gt;"",AG47/R24*100,""),"")</f>
        <v>0.20676949443016265</v>
      </c>
      <c r="AH48" s="173">
        <f>IF(AH47&lt;&gt;"",IF(S24&lt;&gt;"",AH47/S24*100,""),"")</f>
        <v>3.2901554404145113E-2</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9.0999999999999998E-2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0.20899999999999999</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0.29499999999999998</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0.372</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0.439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0.498</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0.56100000000000005</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0.63500000000000001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0.7</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0.997</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1.323</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1.6519999999999999</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-3.1699999999999999E-2</v>
      </c>
      <c r="G74" s="75">
        <v>-0.12509999999999999</v>
      </c>
      <c r="J74" s="701"/>
      <c r="K74" s="702"/>
      <c r="L74" s="44"/>
      <c r="M74" s="44"/>
      <c r="N74" s="44"/>
    </row>
    <row r="75" spans="1:94" ht="26.25" customHeight="1" thickBot="1" x14ac:dyDescent="0.3">
      <c r="A75" s="11"/>
      <c r="B75" s="377" t="s">
        <v>113</v>
      </c>
      <c r="C75" s="377"/>
      <c r="D75" s="19"/>
      <c r="E75" s="54" t="s">
        <v>12</v>
      </c>
      <c r="F75" s="55">
        <v>0.26840000000000003</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1.7398</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0.20899999999999999</v>
      </c>
      <c r="AM76" s="3">
        <f t="shared" si="4"/>
        <v>0.10817805383022773</v>
      </c>
      <c r="AN76" s="5">
        <f>AA23</f>
        <v>0.104</v>
      </c>
      <c r="AO76" s="3">
        <f t="shared" ref="AO76:AO86" si="7">((AN76/19.32)*10)</f>
        <v>5.3830227743271217E-2</v>
      </c>
      <c r="AP76" s="5">
        <f>AE23</f>
        <v>5.6000000000000001E-2</v>
      </c>
      <c r="AQ76" s="161">
        <f t="shared" si="5"/>
        <v>2.8985507246376812E-2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0.29499999999999998</v>
      </c>
      <c r="AM77" s="3">
        <f t="shared" si="4"/>
        <v>0.15269151138716355</v>
      </c>
      <c r="AN77" s="5">
        <f>AA24</f>
        <v>0.19407894736842105</v>
      </c>
      <c r="AO77" s="3">
        <f t="shared" si="7"/>
        <v>0.10045494170208129</v>
      </c>
      <c r="AP77" s="5">
        <f>AE24</f>
        <v>0.111</v>
      </c>
      <c r="AQ77" s="161">
        <f t="shared" si="5"/>
        <v>5.745341614906832E-2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0.372</v>
      </c>
      <c r="AM78" s="3">
        <f t="shared" si="4"/>
        <v>0.19254658385093165</v>
      </c>
      <c r="AN78" s="5">
        <f>AA25</f>
        <v>0.24473684210526314</v>
      </c>
      <c r="AO78" s="3">
        <f t="shared" si="7"/>
        <v>0.12667538411245505</v>
      </c>
      <c r="AP78" s="5">
        <f>AE25</f>
        <v>0.14599999999999999</v>
      </c>
      <c r="AQ78" s="161">
        <f t="shared" si="5"/>
        <v>7.5569358178053825E-2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0.439</v>
      </c>
      <c r="AM79" s="4">
        <f t="shared" si="4"/>
        <v>0.22722567287784678</v>
      </c>
      <c r="AN79" s="5">
        <f>AA26</f>
        <v>0.28881578947368419</v>
      </c>
      <c r="AO79" s="4">
        <f t="shared" si="7"/>
        <v>0.14949057426174131</v>
      </c>
      <c r="AP79" s="5">
        <f>AE26</f>
        <v>0.20699999999999999</v>
      </c>
      <c r="AQ79" s="162">
        <f t="shared" si="5"/>
        <v>0.10714285714285715</v>
      </c>
      <c r="BB79" s="12">
        <v>17</v>
      </c>
      <c r="BC79" s="12">
        <v>18</v>
      </c>
    </row>
    <row r="80" spans="1:94" ht="42" customHeight="1" thickTop="1" thickBot="1" x14ac:dyDescent="0.3">
      <c r="D80" s="49"/>
      <c r="H80" s="711" t="s">
        <v>105</v>
      </c>
      <c r="I80" s="712"/>
      <c r="J80" s="58"/>
      <c r="AJ80" s="160">
        <f>U28</f>
        <v>0.125</v>
      </c>
      <c r="AK80" s="3">
        <f t="shared" si="6"/>
        <v>3.1749999999999998</v>
      </c>
      <c r="AL80" s="5">
        <f>W28</f>
        <v>0.498</v>
      </c>
      <c r="AM80" s="3">
        <f t="shared" si="4"/>
        <v>0.25776397515527949</v>
      </c>
      <c r="AN80" s="5">
        <f>AA28</f>
        <v>0.33700000000000002</v>
      </c>
      <c r="AO80" s="3">
        <f t="shared" si="7"/>
        <v>0.17443064182194618</v>
      </c>
      <c r="AP80" s="5">
        <f>AE28</f>
        <v>0.24572368421052632</v>
      </c>
      <c r="AQ80" s="161">
        <f t="shared" si="5"/>
        <v>0.12718617195161816</v>
      </c>
      <c r="BC80" s="45">
        <v>0.99880400000000003</v>
      </c>
      <c r="BD80" s="45">
        <v>0.99862499999999998</v>
      </c>
    </row>
    <row r="81" spans="2:43" ht="15.75" customHeight="1" x14ac:dyDescent="0.25">
      <c r="AJ81" s="160">
        <f>U30</f>
        <v>0.15</v>
      </c>
      <c r="AK81" s="3">
        <f t="shared" si="6"/>
        <v>3.8099999999999996</v>
      </c>
      <c r="AL81" s="5">
        <f>W30</f>
        <v>0.56100000000000005</v>
      </c>
      <c r="AM81" s="3">
        <f t="shared" si="4"/>
        <v>0.29037267080745344</v>
      </c>
      <c r="AN81" s="5">
        <f>AA30</f>
        <v>0.38900000000000001</v>
      </c>
      <c r="AO81" s="3">
        <f t="shared" si="7"/>
        <v>0.20134575569358176</v>
      </c>
      <c r="AP81" s="5">
        <f>AE30</f>
        <v>0.2768092105263158</v>
      </c>
      <c r="AQ81" s="161">
        <f t="shared" si="5"/>
        <v>0.14327598888525661</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0.63500000000000001</v>
      </c>
      <c r="AM82" s="3">
        <f t="shared" si="4"/>
        <v>0.32867494824016563</v>
      </c>
      <c r="AN82" s="5">
        <f>AA31</f>
        <v>0.44800000000000001</v>
      </c>
      <c r="AO82" s="3">
        <f t="shared" si="7"/>
        <v>0.2318840579710145</v>
      </c>
      <c r="AP82" s="5">
        <f>AE31</f>
        <v>0.31332236842105265</v>
      </c>
      <c r="AQ82" s="161">
        <f t="shared" si="5"/>
        <v>0.16217513893429225</v>
      </c>
    </row>
    <row r="83" spans="2:43" ht="15" customHeight="1" x14ac:dyDescent="0.25">
      <c r="B83" s="49"/>
      <c r="C83" s="49"/>
      <c r="D83" s="49">
        <v>0</v>
      </c>
      <c r="E83" s="50">
        <f>M42</f>
        <v>4.2334384858044167</v>
      </c>
      <c r="F83" s="49"/>
      <c r="G83" s="43">
        <f>G84/10</f>
        <v>2.4812578254733206</v>
      </c>
      <c r="H83" s="43">
        <f>H84/10</f>
        <v>2.3590185850386183</v>
      </c>
      <c r="I83" s="43">
        <f>I84/10</f>
        <v>2.2717241944938591</v>
      </c>
      <c r="J83" s="43">
        <f>J84/10</f>
        <v>2.2136645878761825</v>
      </c>
      <c r="K83" s="43"/>
      <c r="L83" s="42">
        <v>0</v>
      </c>
      <c r="O83" s="706"/>
      <c r="P83" s="706"/>
      <c r="Q83" s="706"/>
      <c r="R83" s="706"/>
      <c r="S83" s="707"/>
      <c r="W83" s="112"/>
      <c r="AJ83" s="160">
        <f>U33</f>
        <v>0.2</v>
      </c>
      <c r="AK83" s="4">
        <f t="shared" si="6"/>
        <v>5.08</v>
      </c>
      <c r="AL83" s="5">
        <f>W33</f>
        <v>0.7</v>
      </c>
      <c r="AM83" s="4">
        <f t="shared" si="4"/>
        <v>0.36231884057971009</v>
      </c>
      <c r="AN83" s="5">
        <f>AA33</f>
        <v>0.502</v>
      </c>
      <c r="AO83" s="4">
        <f t="shared" si="7"/>
        <v>0.25983436853002073</v>
      </c>
      <c r="AP83" s="5">
        <f>AE33</f>
        <v>0.34539473684210525</v>
      </c>
      <c r="AQ83" s="162">
        <f t="shared" si="5"/>
        <v>0.17877574370709381</v>
      </c>
    </row>
    <row r="84" spans="2:43" ht="15" customHeight="1" x14ac:dyDescent="0.25">
      <c r="C84" s="94"/>
      <c r="D84" s="94"/>
      <c r="E84" s="94"/>
      <c r="F84" s="49"/>
      <c r="G84" s="43">
        <f>($M$34/(1+(E34*$M$34/100)))*($O$73)</f>
        <v>24.812578254733207</v>
      </c>
      <c r="H84" s="43">
        <f>($M$34/(1+(F34*$M$34/100)))*($O$73)</f>
        <v>23.590185850386181</v>
      </c>
      <c r="I84" s="43">
        <f>($M$34/(1+(G34*$M$34/100)))*($O$73)</f>
        <v>22.717241944938589</v>
      </c>
      <c r="J84" s="43">
        <f>($M$34/(1+(H34*$M$34/100)))*($O$73)</f>
        <v>22.136645878761826</v>
      </c>
      <c r="K84" s="43"/>
      <c r="O84" s="706" t="s">
        <v>146</v>
      </c>
      <c r="P84" s="706"/>
      <c r="Q84" s="706"/>
      <c r="R84" s="706"/>
      <c r="S84" s="707">
        <v>2240</v>
      </c>
      <c r="W84" s="112"/>
      <c r="AJ84" s="160">
        <f>U34</f>
        <v>0.3</v>
      </c>
      <c r="AK84" s="3">
        <f t="shared" si="6"/>
        <v>7.6199999999999992</v>
      </c>
      <c r="AL84" s="5">
        <f>W34</f>
        <v>0.997</v>
      </c>
      <c r="AM84" s="3">
        <f t="shared" si="4"/>
        <v>0.51604554865424435</v>
      </c>
      <c r="AN84" s="5">
        <f>AA34</f>
        <v>0.71399999999999997</v>
      </c>
      <c r="AO84" s="3">
        <f t="shared" si="7"/>
        <v>0.36956521739130432</v>
      </c>
      <c r="AP84" s="5">
        <f>AE34</f>
        <v>0.49194078947368425</v>
      </c>
      <c r="AQ84" s="161">
        <f t="shared" si="5"/>
        <v>0.25462773782281795</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1.323</v>
      </c>
      <c r="AM85" s="3">
        <f t="shared" si="4"/>
        <v>0.68478260869565211</v>
      </c>
      <c r="AN85" s="5">
        <f>AA35</f>
        <v>0.92500000000000004</v>
      </c>
      <c r="AO85" s="3">
        <f t="shared" si="7"/>
        <v>0.47877846790890272</v>
      </c>
      <c r="AP85" s="5">
        <f>AE35</f>
        <v>0.65279605263157892</v>
      </c>
      <c r="AQ85" s="161">
        <f>((AP85/19.32)*10)</f>
        <v>0.33788615560640728</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1.6519999999999999</v>
      </c>
      <c r="AM86" s="164">
        <f t="shared" si="4"/>
        <v>0.85507246376811596</v>
      </c>
      <c r="AN86" s="165">
        <f>AA37</f>
        <v>1.0868421052631578</v>
      </c>
      <c r="AO86" s="164">
        <f t="shared" si="7"/>
        <v>0.56254767353165525</v>
      </c>
      <c r="AP86" s="165">
        <f>AE37</f>
        <v>0.745</v>
      </c>
      <c r="AQ86" s="166">
        <f>((AP86/19.32)*10)</f>
        <v>0.38561076604554867</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2.3284962054347549</v>
      </c>
      <c r="AK91" s="9">
        <f>R31</f>
        <v>2.0125396917832936</v>
      </c>
      <c r="AL91" s="10">
        <f>S31</f>
        <v>1.8579721816929309</v>
      </c>
    </row>
    <row r="92" spans="2:43" ht="21" customHeight="1" thickBot="1" x14ac:dyDescent="0.3">
      <c r="B92" s="92"/>
      <c r="C92" s="93"/>
      <c r="D92" s="93"/>
      <c r="E92" s="93"/>
      <c r="F92" s="62"/>
      <c r="G92" s="63"/>
      <c r="H92" s="49"/>
      <c r="I92" s="49"/>
      <c r="O92" s="725" t="s">
        <v>147</v>
      </c>
      <c r="P92" s="726"/>
      <c r="Q92" s="726"/>
      <c r="R92" s="726"/>
      <c r="S92" s="61">
        <f>M42</f>
        <v>4.2334384858044167</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3.2931256938818376</v>
      </c>
      <c r="AK94" s="158">
        <f>AA42</f>
        <v>2.1665300617643668</v>
      </c>
      <c r="AL94" s="158">
        <f>AD42</f>
        <v>1.5527950310559007</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2178" priority="45">
      <formula>LEN(TRIM(D6))=0</formula>
    </cfRule>
  </conditionalFormatting>
  <conditionalFormatting sqref="D6:H10">
    <cfRule type="containsBlanks" dxfId="2177" priority="44">
      <formula>LEN(TRIM(D6))=0</formula>
    </cfRule>
  </conditionalFormatting>
  <conditionalFormatting sqref="M19">
    <cfRule type="containsBlanks" dxfId="2176" priority="43">
      <formula>LEN(TRIM(M19))=0</formula>
    </cfRule>
  </conditionalFormatting>
  <conditionalFormatting sqref="CP70">
    <cfRule type="containsBlanks" dxfId="2175" priority="42">
      <formula>LEN(TRIM(CP70))=0</formula>
    </cfRule>
  </conditionalFormatting>
  <conditionalFormatting sqref="M21">
    <cfRule type="containsBlanks" dxfId="2174" priority="41">
      <formula>LEN(TRIM(M21))=0</formula>
    </cfRule>
  </conditionalFormatting>
  <conditionalFormatting sqref="D12:M12">
    <cfRule type="containsBlanks" dxfId="2173" priority="40">
      <formula>LEN(TRIM(D12))=0</formula>
    </cfRule>
  </conditionalFormatting>
  <conditionalFormatting sqref="L9:M9">
    <cfRule type="containsBlanks" dxfId="2172" priority="39">
      <formula>LEN(TRIM(L9))=0</formula>
    </cfRule>
  </conditionalFormatting>
  <conditionalFormatting sqref="L25">
    <cfRule type="containsBlanks" dxfId="2171" priority="38">
      <formula>LEN(TRIM(L25))=0</formula>
    </cfRule>
  </conditionalFormatting>
  <conditionalFormatting sqref="Q20:S26">
    <cfRule type="containsBlanks" dxfId="2170" priority="28">
      <formula>LEN(TRIM(Q20))=0</formula>
    </cfRule>
    <cfRule type="containsBlanks" dxfId="2169" priority="37">
      <formula>LEN(TRIM(Q20))=0</formula>
    </cfRule>
  </conditionalFormatting>
  <conditionalFormatting sqref="U26:V27 AC33 AC26">
    <cfRule type="cellIs" dxfId="2168" priority="36" operator="between">
      <formula>0</formula>
      <formula>500</formula>
    </cfRule>
  </conditionalFormatting>
  <conditionalFormatting sqref="U33:V33">
    <cfRule type="cellIs" dxfId="2167" priority="35" operator="between">
      <formula>0</formula>
      <formula>500</formula>
    </cfRule>
  </conditionalFormatting>
  <conditionalFormatting sqref="AF45:AH46">
    <cfRule type="containsBlanks" dxfId="2166" priority="34">
      <formula>LEN(TRIM(AF45))=0</formula>
    </cfRule>
  </conditionalFormatting>
  <conditionalFormatting sqref="AF51:AG53">
    <cfRule type="containsBlanks" dxfId="2165" priority="33">
      <formula>LEN(TRIM(AF51))=0</formula>
    </cfRule>
  </conditionalFormatting>
  <conditionalFormatting sqref="E20:H24">
    <cfRule type="containsBlanks" dxfId="2164" priority="32">
      <formula>LEN(TRIM(E20))=0</formula>
    </cfRule>
  </conditionalFormatting>
  <conditionalFormatting sqref="E28:H33">
    <cfRule type="containsBlanks" dxfId="2163" priority="31">
      <formula>LEN(TRIM(E28))=0</formula>
    </cfRule>
  </conditionalFormatting>
  <conditionalFormatting sqref="Q42:S46">
    <cfRule type="containsBlanks" dxfId="2162" priority="30">
      <formula>LEN(TRIM(Q42))=0</formula>
    </cfRule>
  </conditionalFormatting>
  <conditionalFormatting sqref="Q34:S39">
    <cfRule type="containsBlanks" dxfId="2161" priority="29">
      <formula>LEN(TRIM(Q34))=0</formula>
    </cfRule>
  </conditionalFormatting>
  <conditionalFormatting sqref="M25">
    <cfRule type="containsBlanks" dxfId="2160" priority="27">
      <formula>LEN(TRIM(M25))=0</formula>
    </cfRule>
  </conditionalFormatting>
  <conditionalFormatting sqref="U26:V27 Y26:Z27 AC26:AD27 AG26:AG27">
    <cfRule type="containsBlanks" dxfId="2159" priority="25">
      <formula>LEN(TRIM(U26))=0</formula>
    </cfRule>
    <cfRule type="cellIs" dxfId="2158" priority="26" operator="between">
      <formula>0</formula>
      <formula>1000</formula>
    </cfRule>
  </conditionalFormatting>
  <conditionalFormatting sqref="W87:W88">
    <cfRule type="cellIs" dxfId="2157" priority="24" operator="between">
      <formula>0</formula>
      <formula>500</formula>
    </cfRule>
  </conditionalFormatting>
  <conditionalFormatting sqref="W94">
    <cfRule type="cellIs" dxfId="2156" priority="23" operator="between">
      <formula>0</formula>
      <formula>500</formula>
    </cfRule>
  </conditionalFormatting>
  <conditionalFormatting sqref="W87:W88">
    <cfRule type="containsBlanks" dxfId="2155" priority="21">
      <formula>LEN(TRIM(W87))=0</formula>
    </cfRule>
    <cfRule type="cellIs" dxfId="2154" priority="22" operator="between">
      <formula>0</formula>
      <formula>1000</formula>
    </cfRule>
  </conditionalFormatting>
  <conditionalFormatting sqref="U33:V33 Y33:Z33 AC33:AD33 AG33">
    <cfRule type="cellIs" dxfId="2153" priority="20" operator="between">
      <formula>0</formula>
      <formula>1000</formula>
    </cfRule>
  </conditionalFormatting>
  <conditionalFormatting sqref="Q27:S27">
    <cfRule type="containsBlanks" dxfId="2152" priority="18">
      <formula>LEN(TRIM(Q27))=0</formula>
    </cfRule>
    <cfRule type="containsBlanks" dxfId="2151" priority="19">
      <formula>LEN(TRIM(Q27))=0</formula>
    </cfRule>
  </conditionalFormatting>
  <conditionalFormatting sqref="W30:W31 W33:W35 W37 W28 W22:W26">
    <cfRule type="containsBlanks" dxfId="2150" priority="17">
      <formula>LEN(TRIM(W22))=0</formula>
    </cfRule>
  </conditionalFormatting>
  <conditionalFormatting sqref="W37 W30:W31 W33:W35 W28 W22:W26">
    <cfRule type="containsBlanks" dxfId="2149" priority="16">
      <formula>LEN(TRIM(W22))=0</formula>
    </cfRule>
  </conditionalFormatting>
  <conditionalFormatting sqref="W33:X33">
    <cfRule type="cellIs" dxfId="2148" priority="15" operator="between">
      <formula>0</formula>
      <formula>1000</formula>
    </cfRule>
  </conditionalFormatting>
  <conditionalFormatting sqref="W30:X37 W26 W28 W22:X25">
    <cfRule type="containsBlanks" dxfId="2147" priority="14">
      <formula>LEN(TRIM(W22))=0</formula>
    </cfRule>
  </conditionalFormatting>
  <conditionalFormatting sqref="AA37 AA30:AA31 AA33:AA35 AA22:AA26 AA28">
    <cfRule type="containsBlanks" dxfId="2146" priority="13">
      <formula>LEN(TRIM(AA22))=0</formula>
    </cfRule>
  </conditionalFormatting>
  <conditionalFormatting sqref="AA37 AA30:AA31 AA33:AA35 AA22:AA26 AA28">
    <cfRule type="containsBlanks" dxfId="2145" priority="12">
      <formula>LEN(TRIM(AA22))=0</formula>
    </cfRule>
  </conditionalFormatting>
  <conditionalFormatting sqref="AA33:AB34">
    <cfRule type="cellIs" dxfId="2144" priority="11" operator="between">
      <formula>0</formula>
      <formula>1000</formula>
    </cfRule>
  </conditionalFormatting>
  <conditionalFormatting sqref="AA30:AB30 AA31 AA33:AB37 AA22:AB25 AA26 AA28">
    <cfRule type="containsBlanks" dxfId="2143" priority="10">
      <formula>LEN(TRIM(AA22))=0</formula>
    </cfRule>
  </conditionalFormatting>
  <conditionalFormatting sqref="AE37 AE28 AE30:AE31 AE33:AE35 AE22:AE26">
    <cfRule type="containsBlanks" dxfId="2142" priority="9">
      <formula>LEN(TRIM(AE22))=0</formula>
    </cfRule>
  </conditionalFormatting>
  <conditionalFormatting sqref="AE37 AE28 AE30:AE31 AE33:AE35 AE22:AE26">
    <cfRule type="containsBlanks" dxfId="2141" priority="8">
      <formula>LEN(TRIM(AE22))=0</formula>
    </cfRule>
  </conditionalFormatting>
  <conditionalFormatting sqref="AE33:AF33">
    <cfRule type="cellIs" dxfId="2140" priority="7" operator="between">
      <formula>0</formula>
      <formula>1000</formula>
    </cfRule>
  </conditionalFormatting>
  <conditionalFormatting sqref="AE33:AF37 AE26 AE28 AE30:AE31 AE22:AF25">
    <cfRule type="containsBlanks" dxfId="2139" priority="6">
      <formula>LEN(TRIM(AE22))=0</formula>
    </cfRule>
  </conditionalFormatting>
  <conditionalFormatting sqref="K6:M6">
    <cfRule type="containsBlanks" dxfId="2138" priority="5">
      <formula>LEN(TRIM(K6))=0</formula>
    </cfRule>
  </conditionalFormatting>
  <conditionalFormatting sqref="K7:K8">
    <cfRule type="containsBlanks" dxfId="2137" priority="4">
      <formula>LEN(TRIM(K7))=0</formula>
    </cfRule>
  </conditionalFormatting>
  <conditionalFormatting sqref="D13:M13">
    <cfRule type="containsBlanks" dxfId="2136" priority="3">
      <formula>LEN(TRIM(D13))=0</formula>
    </cfRule>
  </conditionalFormatting>
  <conditionalFormatting sqref="B6:B10">
    <cfRule type="containsBlanks" dxfId="2135" priority="2">
      <formula>LEN(TRIM(B6))=0</formula>
    </cfRule>
  </conditionalFormatting>
  <conditionalFormatting sqref="B12:B13">
    <cfRule type="containsBlanks" dxfId="2134" priority="1">
      <formula>LEN(TRIM(B12))=0</formula>
    </cfRule>
  </conditionalFormatting>
  <dataValidations count="5">
    <dataValidation type="list" allowBlank="1" showInputMessage="1" showErrorMessage="1" sqref="L25" xr:uid="{00000000-0002-0000-0A00-000000000000}">
      <formula1>$D$101:$D$104</formula1>
    </dataValidation>
    <dataValidation type="list" allowBlank="1" showInputMessage="1" showErrorMessage="1" sqref="M21" xr:uid="{00000000-0002-0000-0A00-000001000000}">
      <formula1>$AX$3:$AX$4</formula1>
    </dataValidation>
    <dataValidation type="list" allowBlank="1" showInputMessage="1" showErrorMessage="1" sqref="M19" xr:uid="{00000000-0002-0000-0A00-000002000000}">
      <formula1>$AX$3:$AX$5</formula1>
    </dataValidation>
    <dataValidation type="list" allowBlank="1" showInputMessage="1" showErrorMessage="1" sqref="CP70" xr:uid="{00000000-0002-0000-0A00-000003000000}">
      <formula1>$BA$3:$BA$5</formula1>
    </dataValidation>
    <dataValidation type="list" allowBlank="1" showInputMessage="1" showErrorMessage="1" sqref="D12:E12" xr:uid="{00000000-0002-0000-0A00-000004000000}">
      <formula1>$B$87:$B$94</formula1>
    </dataValidation>
  </dataValidations>
  <hyperlinks>
    <hyperlink ref="D8" r:id="rId1" xr:uid="{00000000-0004-0000-0A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20833"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20834"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20835"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2083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2083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20838"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20839"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2084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2084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2084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2">
    <tabColor rgb="FFFFFF00"/>
  </sheetPr>
  <dimension ref="A1:CP153"/>
  <sheetViews>
    <sheetView view="pageBreakPreview" topLeftCell="T20" zoomScale="96" zoomScaleNormal="100" zoomScaleSheetLayoutView="96"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45917</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45917</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22" t="s">
        <v>204</v>
      </c>
      <c r="AD9" s="222" t="s">
        <v>195</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25-CAV-AP4-2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25-CAV-AP4-2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223</v>
      </c>
      <c r="G12" s="31" t="s">
        <v>4</v>
      </c>
      <c r="H12" s="146">
        <v>2</v>
      </c>
      <c r="I12" s="546" t="s">
        <v>5</v>
      </c>
      <c r="J12" s="546"/>
      <c r="K12" s="209">
        <v>0.2</v>
      </c>
      <c r="L12" s="32" t="s">
        <v>6</v>
      </c>
      <c r="M12" s="147">
        <v>0.8</v>
      </c>
      <c r="N12" s="78"/>
      <c r="O12" s="501" t="s">
        <v>3</v>
      </c>
      <c r="P12" s="501"/>
      <c r="Q12" s="225" t="s">
        <v>56</v>
      </c>
      <c r="R12" s="224" t="str">
        <f>F12</f>
        <v>CAV-AP4</v>
      </c>
      <c r="S12" s="224"/>
      <c r="T12" s="502" t="s">
        <v>4</v>
      </c>
      <c r="U12" s="502"/>
      <c r="V12" s="33">
        <f>+H12</f>
        <v>2</v>
      </c>
      <c r="W12" s="547" t="s">
        <v>5</v>
      </c>
      <c r="X12" s="547"/>
      <c r="Y12" s="547"/>
      <c r="Z12" s="547"/>
      <c r="AA12" s="547"/>
      <c r="AB12" s="547"/>
      <c r="AC12" s="34">
        <f>K12</f>
        <v>0.2</v>
      </c>
      <c r="AD12" s="548" t="s">
        <v>6</v>
      </c>
      <c r="AE12" s="548"/>
      <c r="AF12" s="35">
        <f>+M12</f>
        <v>0.8</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226</v>
      </c>
      <c r="E13" s="479"/>
      <c r="F13" s="479"/>
      <c r="G13" s="479"/>
      <c r="H13" s="479"/>
      <c r="I13" s="479"/>
      <c r="J13" s="479"/>
      <c r="K13" s="479"/>
      <c r="L13" s="479"/>
      <c r="M13" s="480"/>
      <c r="N13" s="188"/>
      <c r="O13" s="526" t="s">
        <v>130</v>
      </c>
      <c r="P13" s="526"/>
      <c r="Q13" s="527" t="str">
        <f>D13</f>
        <v>GRAVAS CON ARENA Y ALGO DE LIMO, COLOR GRIS,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504</v>
      </c>
      <c r="R20" s="156">
        <v>418</v>
      </c>
      <c r="S20" s="157">
        <v>420</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11665</v>
      </c>
      <c r="F22" s="150">
        <v>12548</v>
      </c>
      <c r="G22" s="150">
        <v>11889</v>
      </c>
      <c r="H22" s="151">
        <v>11456</v>
      </c>
      <c r="I22" s="174"/>
      <c r="J22" s="578"/>
      <c r="K22" s="578"/>
      <c r="L22" s="578"/>
      <c r="M22" s="104"/>
      <c r="N22" s="103"/>
      <c r="O22" s="579" t="s">
        <v>132</v>
      </c>
      <c r="P22" s="580"/>
      <c r="Q22" s="219">
        <v>8930</v>
      </c>
      <c r="R22" s="219">
        <v>8498</v>
      </c>
      <c r="S22" s="208">
        <v>8024</v>
      </c>
      <c r="T22" s="174"/>
      <c r="U22" s="112">
        <v>5.0000000000000001E-3</v>
      </c>
      <c r="V22" s="113">
        <f>U22*25.4</f>
        <v>0.127</v>
      </c>
      <c r="W22" s="581">
        <f>AJ2</f>
        <v>0</v>
      </c>
      <c r="X22" s="582"/>
      <c r="Y22" s="449">
        <f>((W22/19.32)*10)</f>
        <v>0</v>
      </c>
      <c r="Z22" s="450"/>
      <c r="AA22" s="581">
        <f>AJ22</f>
        <v>0.23684210526315788</v>
      </c>
      <c r="AB22" s="582"/>
      <c r="AC22" s="449">
        <f>((AA22/19.32)*10)</f>
        <v>0.12258908139915003</v>
      </c>
      <c r="AD22" s="450"/>
      <c r="AE22" s="581">
        <f>AK22</f>
        <v>0.17763157894736842</v>
      </c>
      <c r="AF22" s="582"/>
      <c r="AG22" s="114">
        <f>((AE22/19.32)*10)</f>
        <v>9.1941811049362526E-2</v>
      </c>
      <c r="AH22" s="104"/>
      <c r="AI22" s="42">
        <f>AJ50</f>
        <v>0.36</v>
      </c>
      <c r="AJ22" s="42">
        <f>AJ50/1.52</f>
        <v>0.23684210526315788</v>
      </c>
      <c r="AK22" s="42">
        <f>AJ22*0.75</f>
        <v>0.17763157894736842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3788</v>
      </c>
      <c r="R23" s="150">
        <v>3852</v>
      </c>
      <c r="S23" s="151">
        <v>3832</v>
      </c>
      <c r="T23" s="174"/>
      <c r="U23" s="112">
        <v>2.5000000000000001E-2</v>
      </c>
      <c r="V23" s="113">
        <f>U23*25.4</f>
        <v>0.63500000000000001</v>
      </c>
      <c r="W23" s="581">
        <f>AI23</f>
        <v>2.1509999999999998</v>
      </c>
      <c r="X23" s="582"/>
      <c r="Y23" s="449">
        <f>((W23/19.32)*10)</f>
        <v>1.1133540372670807</v>
      </c>
      <c r="Z23" s="450"/>
      <c r="AA23" s="581">
        <f>AJ23</f>
        <v>1.3700636942675157</v>
      </c>
      <c r="AB23" s="582"/>
      <c r="AC23" s="449">
        <f>((AA23/19.32)*10)</f>
        <v>0.70914269889622961</v>
      </c>
      <c r="AD23" s="450"/>
      <c r="AE23" s="581">
        <f>AK23</f>
        <v>1.0275477707006369</v>
      </c>
      <c r="AF23" s="582"/>
      <c r="AG23" s="114">
        <f>((AE23/19.32)*10)</f>
        <v>0.53185702417217229</v>
      </c>
      <c r="AH23" s="104"/>
      <c r="AI23" s="42">
        <f t="shared" ref="AI23:AI33" si="0">AJ51</f>
        <v>2.1509999999999998</v>
      </c>
      <c r="AJ23" s="42">
        <f t="shared" ref="AJ23:AJ33" si="1">AJ51/1.57</f>
        <v>1.3700636942675157</v>
      </c>
      <c r="AK23" s="42">
        <f t="shared" ref="AK23:AK33" si="2">AJ23*0.75</f>
        <v>1.0275477707006369</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11.7</v>
      </c>
      <c r="S24" s="153">
        <v>11.65</v>
      </c>
      <c r="T24" s="174"/>
      <c r="U24" s="112">
        <v>0.05</v>
      </c>
      <c r="V24" s="113">
        <f>U24*25.4</f>
        <v>1.27</v>
      </c>
      <c r="W24" s="581">
        <f>AI24</f>
        <v>4.7030000000000003</v>
      </c>
      <c r="X24" s="582"/>
      <c r="Y24" s="449">
        <f>((W24/19.32)*10)</f>
        <v>2.4342650103519672</v>
      </c>
      <c r="Z24" s="450"/>
      <c r="AA24" s="581">
        <f>AJ24</f>
        <v>2.9955414012738855</v>
      </c>
      <c r="AB24" s="582"/>
      <c r="AC24" s="449">
        <f>((AA24/19.32)*10)</f>
        <v>1.5504872677401063</v>
      </c>
      <c r="AD24" s="450"/>
      <c r="AE24" s="581">
        <f>AK24</f>
        <v>2.2466560509554139</v>
      </c>
      <c r="AF24" s="582"/>
      <c r="AG24" s="114">
        <f>((AE24/19.32)*10)</f>
        <v>1.1628654508050797</v>
      </c>
      <c r="AH24" s="104"/>
      <c r="AI24" s="42">
        <f t="shared" si="0"/>
        <v>4.7030000000000003</v>
      </c>
      <c r="AJ24" s="42">
        <f t="shared" si="1"/>
        <v>2.9955414012738855</v>
      </c>
      <c r="AK24" s="42">
        <f t="shared" si="2"/>
        <v>2.2466560509554139</v>
      </c>
      <c r="AO24" s="42">
        <v>0.68400000000000005</v>
      </c>
      <c r="AS24" s="42">
        <f t="shared" si="3"/>
        <v>0.55609756097560981</v>
      </c>
    </row>
    <row r="25" spans="1:45" ht="24.95" customHeight="1" thickBot="1" x14ac:dyDescent="0.3">
      <c r="A25" s="103"/>
      <c r="B25" s="602" t="s">
        <v>69</v>
      </c>
      <c r="C25" s="603"/>
      <c r="D25" s="603"/>
      <c r="E25" s="115">
        <f>E22-E23</f>
        <v>4353</v>
      </c>
      <c r="F25" s="115">
        <f>F22-F23</f>
        <v>5236</v>
      </c>
      <c r="G25" s="115">
        <f>G22-G23</f>
        <v>4577</v>
      </c>
      <c r="H25" s="116">
        <f>H22-H23</f>
        <v>4144</v>
      </c>
      <c r="I25" s="174"/>
      <c r="J25" s="174" t="s">
        <v>127</v>
      </c>
      <c r="K25" s="174"/>
      <c r="L25" s="218" t="s">
        <v>128</v>
      </c>
      <c r="M25" s="155">
        <v>35.29</v>
      </c>
      <c r="N25" s="103"/>
      <c r="O25" s="604" t="s">
        <v>46</v>
      </c>
      <c r="P25" s="605"/>
      <c r="Q25" s="618">
        <v>15.2</v>
      </c>
      <c r="R25" s="608">
        <v>15.24</v>
      </c>
      <c r="S25" s="610">
        <v>15.23</v>
      </c>
      <c r="T25" s="174"/>
      <c r="U25" s="112">
        <v>7.4999999999999997E-2</v>
      </c>
      <c r="V25" s="113">
        <f>U25*25.4</f>
        <v>1.9049999999999998</v>
      </c>
      <c r="W25" s="581">
        <f>AI25</f>
        <v>6.7450000000000001</v>
      </c>
      <c r="X25" s="582"/>
      <c r="Y25" s="449">
        <f>((W25/19.32)*10)</f>
        <v>3.4912008281573499</v>
      </c>
      <c r="Z25" s="450"/>
      <c r="AA25" s="581">
        <f>AJ25</f>
        <v>4.2961783439490446</v>
      </c>
      <c r="AB25" s="582"/>
      <c r="AC25" s="449">
        <f>((AA25/19.32)*10)</f>
        <v>2.2236947950046817</v>
      </c>
      <c r="AD25" s="450"/>
      <c r="AE25" s="581">
        <f>AK25</f>
        <v>3.2221337579617835</v>
      </c>
      <c r="AF25" s="582"/>
      <c r="AG25" s="114">
        <f>((AE25/19.32)*10)</f>
        <v>1.6677710962535111</v>
      </c>
      <c r="AH25" s="104"/>
      <c r="AI25" s="42">
        <f t="shared" si="0"/>
        <v>6.7450000000000001</v>
      </c>
      <c r="AJ25" s="42">
        <f t="shared" si="1"/>
        <v>4.2961783439490446</v>
      </c>
      <c r="AK25" s="42">
        <f t="shared" si="2"/>
        <v>3.2221337579617835</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19"/>
      <c r="R26" s="609"/>
      <c r="S26" s="611"/>
      <c r="T26" s="174"/>
      <c r="U26" s="600">
        <v>0.1</v>
      </c>
      <c r="V26" s="601">
        <f>U26*25.4</f>
        <v>2.54</v>
      </c>
      <c r="W26" s="774">
        <f>AI26</f>
        <v>9.1289999999999996</v>
      </c>
      <c r="X26" s="775"/>
      <c r="Y26" s="439">
        <f>((W26/19.32)*10)</f>
        <v>4.7251552795031051</v>
      </c>
      <c r="Z26" s="440"/>
      <c r="AA26" s="593">
        <f>AJ26</f>
        <v>5.8146496815286621</v>
      </c>
      <c r="AB26" s="594"/>
      <c r="AC26" s="439">
        <f>((AA26/19.32)*10)</f>
        <v>3.0096530442694935</v>
      </c>
      <c r="AD26" s="440"/>
      <c r="AE26" s="593">
        <f>AK26</f>
        <v>4.3609872611464962</v>
      </c>
      <c r="AF26" s="594"/>
      <c r="AG26" s="469">
        <f>((AE26/19.32)*10)</f>
        <v>2.2572397832021203</v>
      </c>
      <c r="AH26" s="104"/>
      <c r="AI26" s="42">
        <f t="shared" si="0"/>
        <v>9.1289999999999996</v>
      </c>
      <c r="AJ26" s="42">
        <f t="shared" si="1"/>
        <v>5.8146496815286621</v>
      </c>
      <c r="AK26" s="42">
        <f t="shared" si="2"/>
        <v>4.3609872611464962</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2134.2519019586603</v>
      </c>
      <c r="S27" s="153">
        <f>(PI()*((S25^2)/4)*S24)</f>
        <v>2122.3431962773943</v>
      </c>
      <c r="T27" s="174"/>
      <c r="U27" s="600"/>
      <c r="V27" s="601"/>
      <c r="W27" s="776"/>
      <c r="X27" s="777"/>
      <c r="Y27" s="441"/>
      <c r="Z27" s="442"/>
      <c r="AA27" s="595"/>
      <c r="AB27" s="596"/>
      <c r="AC27" s="441"/>
      <c r="AD27" s="442"/>
      <c r="AE27" s="595"/>
      <c r="AF27" s="596"/>
      <c r="AG27" s="470"/>
      <c r="AH27" s="193"/>
      <c r="AI27" s="42">
        <f t="shared" si="0"/>
        <v>11.848000000000001</v>
      </c>
      <c r="AJ27" s="42">
        <f t="shared" si="1"/>
        <v>7.5464968152866243</v>
      </c>
      <c r="AK27" s="42">
        <f t="shared" si="2"/>
        <v>5.6598726114649685</v>
      </c>
      <c r="AO27" s="42">
        <v>2.387</v>
      </c>
      <c r="AS27" s="42">
        <f t="shared" si="3"/>
        <v>1.9406504065040651</v>
      </c>
    </row>
    <row r="28" spans="1:45" ht="24.95" customHeight="1" thickBot="1" x14ac:dyDescent="0.3">
      <c r="A28" s="103"/>
      <c r="B28" s="560" t="s">
        <v>9</v>
      </c>
      <c r="C28" s="561"/>
      <c r="D28" s="561"/>
      <c r="E28" s="148">
        <v>733</v>
      </c>
      <c r="F28" s="148">
        <v>744</v>
      </c>
      <c r="G28" s="148">
        <v>738</v>
      </c>
      <c r="H28" s="149">
        <v>748</v>
      </c>
      <c r="I28" s="174"/>
      <c r="J28" s="597" t="s">
        <v>107</v>
      </c>
      <c r="K28" s="597"/>
      <c r="L28" s="562" t="s">
        <v>119</v>
      </c>
      <c r="M28" s="459">
        <f>IF(M26="","",(100-M26))</f>
        <v>100</v>
      </c>
      <c r="N28" s="103"/>
      <c r="O28" s="625" t="s">
        <v>136</v>
      </c>
      <c r="P28" s="626"/>
      <c r="Q28" s="115">
        <f>Q22-Q23</f>
        <v>5142</v>
      </c>
      <c r="R28" s="220">
        <f>R22-R23</f>
        <v>4646</v>
      </c>
      <c r="S28" s="221">
        <f>S22-S23</f>
        <v>4192</v>
      </c>
      <c r="T28" s="174"/>
      <c r="U28" s="627">
        <v>0.125</v>
      </c>
      <c r="V28" s="624">
        <f>U28*25.4</f>
        <v>3.1749999999999998</v>
      </c>
      <c r="W28" s="593">
        <f>AI27</f>
        <v>11.848000000000001</v>
      </c>
      <c r="X28" s="594"/>
      <c r="Y28" s="439">
        <f>((W28/19.32)*10)</f>
        <v>6.1325051759834368</v>
      </c>
      <c r="Z28" s="440"/>
      <c r="AA28" s="593">
        <f>AJ27</f>
        <v>7.5464968152866243</v>
      </c>
      <c r="AB28" s="594"/>
      <c r="AC28" s="439">
        <f>((AA28/19.32)*10)</f>
        <v>3.9060542522187496</v>
      </c>
      <c r="AD28" s="440"/>
      <c r="AE28" s="593">
        <f>AK27</f>
        <v>5.6598726114649685</v>
      </c>
      <c r="AF28" s="594"/>
      <c r="AG28" s="443">
        <f>((AE28/19.32)*10)</f>
        <v>2.9295406891640625</v>
      </c>
      <c r="AH28" s="104"/>
      <c r="AI28" s="42">
        <f t="shared" si="0"/>
        <v>13.936999999999999</v>
      </c>
      <c r="AJ28" s="42">
        <f t="shared" si="1"/>
        <v>8.8770700636942674</v>
      </c>
      <c r="AK28" s="42">
        <f t="shared" si="2"/>
        <v>6.6578025477707001</v>
      </c>
      <c r="AO28" s="42">
        <v>2.8959999999999999</v>
      </c>
      <c r="AS28" s="42">
        <f t="shared" si="3"/>
        <v>2.3544715447154472</v>
      </c>
    </row>
    <row r="29" spans="1:45" ht="5.0999999999999996" customHeight="1" thickBot="1" x14ac:dyDescent="0.3">
      <c r="A29" s="103"/>
      <c r="B29" s="612" t="s">
        <v>73</v>
      </c>
      <c r="C29" s="613"/>
      <c r="D29" s="614"/>
      <c r="E29" s="618">
        <v>759.65</v>
      </c>
      <c r="F29" s="618">
        <v>834.34</v>
      </c>
      <c r="G29" s="618">
        <v>948.98</v>
      </c>
      <c r="H29" s="620">
        <v>745.59</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15.885999999999999</v>
      </c>
      <c r="AJ29" s="42">
        <f t="shared" si="1"/>
        <v>10.118471337579617</v>
      </c>
      <c r="AK29" s="42">
        <f t="shared" si="2"/>
        <v>7.5888535031847129</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22.160797213235298</v>
      </c>
      <c r="N30" s="103"/>
      <c r="O30" s="622" t="s">
        <v>134</v>
      </c>
      <c r="P30" s="623"/>
      <c r="Q30" s="229">
        <f>Q28/Q27</f>
        <v>2.4428512673683196</v>
      </c>
      <c r="R30" s="229">
        <f>R28/R27</f>
        <v>2.176875183166636</v>
      </c>
      <c r="S30" s="131">
        <f>S28/S27</f>
        <v>1.9751753662427449</v>
      </c>
      <c r="T30" s="174"/>
      <c r="U30" s="120">
        <v>0.15</v>
      </c>
      <c r="V30" s="113">
        <f>U30*25.4</f>
        <v>3.8099999999999996</v>
      </c>
      <c r="W30" s="581">
        <f>AI28</f>
        <v>13.936999999999999</v>
      </c>
      <c r="X30" s="582"/>
      <c r="Y30" s="449">
        <f>((W30/19.32)*10)</f>
        <v>7.2137681159420284</v>
      </c>
      <c r="Z30" s="450"/>
      <c r="AA30" s="581">
        <f>AJ28</f>
        <v>8.8770700636942674</v>
      </c>
      <c r="AB30" s="582"/>
      <c r="AC30" s="449">
        <f>((AA30/19.32)*10)</f>
        <v>4.594756761746515</v>
      </c>
      <c r="AD30" s="450"/>
      <c r="AE30" s="581">
        <f>AK28</f>
        <v>6.6578025477707001</v>
      </c>
      <c r="AF30" s="582"/>
      <c r="AG30" s="114">
        <f>((AE30/19.32)*10)</f>
        <v>3.4460675713098858</v>
      </c>
      <c r="AH30" s="104"/>
      <c r="AI30" s="42">
        <f t="shared" si="0"/>
        <v>17.792999999999999</v>
      </c>
      <c r="AJ30" s="42">
        <f t="shared" si="1"/>
        <v>11.33312101910828</v>
      </c>
      <c r="AK30" s="42">
        <f t="shared" si="2"/>
        <v>8.4998407643312106</v>
      </c>
      <c r="AO30" s="42">
        <v>3.8439999999999999</v>
      </c>
      <c r="AS30" s="42">
        <f t="shared" si="3"/>
        <v>3.1252032520325201</v>
      </c>
    </row>
    <row r="31" spans="1:45" ht="24.95" customHeight="1" thickBot="1" x14ac:dyDescent="0.3">
      <c r="A31" s="103"/>
      <c r="B31" s="576" t="s">
        <v>74</v>
      </c>
      <c r="C31" s="577"/>
      <c r="D31" s="577"/>
      <c r="E31" s="152">
        <v>745.89</v>
      </c>
      <c r="F31" s="152">
        <v>805.26</v>
      </c>
      <c r="G31" s="152">
        <v>890.64</v>
      </c>
      <c r="H31" s="153">
        <v>688.678</v>
      </c>
      <c r="I31" s="174"/>
      <c r="J31" s="597" t="s">
        <v>138</v>
      </c>
      <c r="K31" s="597"/>
      <c r="L31" s="562" t="s">
        <v>116</v>
      </c>
      <c r="M31" s="457">
        <f>IF(M25="","",S82)</f>
        <v>2.7120000000000002</v>
      </c>
      <c r="N31" s="121"/>
      <c r="O31" s="628" t="s">
        <v>135</v>
      </c>
      <c r="P31" s="629"/>
      <c r="Q31" s="122">
        <f>Q30/(1+Q40/100)</f>
        <v>2.3399781125110763</v>
      </c>
      <c r="R31" s="122">
        <f>R30/(1+R40/100)</f>
        <v>2.079861278476999</v>
      </c>
      <c r="S31" s="123">
        <f>S30/(1+S40/100)</f>
        <v>1.8941051883840563</v>
      </c>
      <c r="T31" s="174"/>
      <c r="U31" s="627">
        <v>0.17499999999999999</v>
      </c>
      <c r="V31" s="624">
        <f>U31*25.4</f>
        <v>4.4449999999999994</v>
      </c>
      <c r="W31" s="593">
        <f>AI29</f>
        <v>15.885999999999999</v>
      </c>
      <c r="X31" s="594"/>
      <c r="Y31" s="439">
        <f>((W31/19.32)*10)</f>
        <v>8.2225672877846794</v>
      </c>
      <c r="Z31" s="440"/>
      <c r="AA31" s="593">
        <f>AJ29</f>
        <v>10.118471337579617</v>
      </c>
      <c r="AB31" s="594"/>
      <c r="AC31" s="439">
        <f>((AA31/19.32)*10)</f>
        <v>5.2373040049583945</v>
      </c>
      <c r="AD31" s="440"/>
      <c r="AE31" s="593">
        <f>AK29</f>
        <v>7.5888535031847129</v>
      </c>
      <c r="AF31" s="594"/>
      <c r="AG31" s="443">
        <f>((AE31/19.32)*10)</f>
        <v>3.9279780037187955</v>
      </c>
      <c r="AH31" s="104"/>
      <c r="AI31" s="42">
        <f t="shared" si="0"/>
        <v>24.315999999999999</v>
      </c>
      <c r="AJ31" s="42">
        <f t="shared" si="1"/>
        <v>15.487898089171972</v>
      </c>
      <c r="AK31" s="42">
        <f t="shared" si="2"/>
        <v>11.61592356687898</v>
      </c>
      <c r="AO31" s="42">
        <v>5.516</v>
      </c>
      <c r="AS31" s="42">
        <f t="shared" si="3"/>
        <v>4.4845528455284551</v>
      </c>
    </row>
    <row r="32" spans="1:45" ht="5.0999999999999996" customHeight="1" thickBot="1" x14ac:dyDescent="0.3">
      <c r="A32" s="103"/>
      <c r="B32" s="612" t="s">
        <v>75</v>
      </c>
      <c r="C32" s="613"/>
      <c r="D32" s="614"/>
      <c r="E32" s="618">
        <v>46.26</v>
      </c>
      <c r="F32" s="618">
        <v>48.38</v>
      </c>
      <c r="G32" s="618">
        <v>49.56</v>
      </c>
      <c r="H32" s="620">
        <v>44.94</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28.617000000000001</v>
      </c>
      <c r="AJ32" s="42">
        <f t="shared" si="1"/>
        <v>18.227388535031846</v>
      </c>
      <c r="AK32" s="42">
        <f t="shared" si="2"/>
        <v>13.670541401273884</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17.792999999999999</v>
      </c>
      <c r="X33" s="582"/>
      <c r="Y33" s="449">
        <f>((W33/19.32)*10)</f>
        <v>9.2096273291925463</v>
      </c>
      <c r="Z33" s="450"/>
      <c r="AA33" s="581">
        <f>AJ30</f>
        <v>11.33312101910828</v>
      </c>
      <c r="AB33" s="582"/>
      <c r="AC33" s="449">
        <f>((AA33/19.32)*10)</f>
        <v>5.8660046682755072</v>
      </c>
      <c r="AD33" s="450"/>
      <c r="AE33" s="581">
        <f>AK30</f>
        <v>8.4998407643312106</v>
      </c>
      <c r="AF33" s="582"/>
      <c r="AG33" s="144">
        <f>((AE33/19.32)*10)</f>
        <v>4.399503501206631</v>
      </c>
      <c r="AH33" s="104"/>
      <c r="AI33" s="42">
        <f t="shared" si="0"/>
        <v>32.212000000000003</v>
      </c>
      <c r="AJ33" s="42">
        <f t="shared" si="1"/>
        <v>20.517197452229301</v>
      </c>
      <c r="AK33" s="42">
        <f t="shared" si="2"/>
        <v>15.387898089171976</v>
      </c>
      <c r="AO33" s="42">
        <v>7.7720000000000002</v>
      </c>
      <c r="AS33" s="42">
        <f t="shared" si="3"/>
        <v>6.3186991869918705</v>
      </c>
    </row>
    <row r="34" spans="1:45" ht="24.95" customHeight="1" thickBot="1" x14ac:dyDescent="0.3">
      <c r="A34" s="103"/>
      <c r="B34" s="602" t="s">
        <v>10</v>
      </c>
      <c r="C34" s="603"/>
      <c r="D34" s="603"/>
      <c r="E34" s="125">
        <f>((E29-E31)/(E31-E32))*100</f>
        <v>1.9667538556093922</v>
      </c>
      <c r="F34" s="125">
        <f>((F29-F31)/(F31-F32))*100</f>
        <v>3.8420885741465014</v>
      </c>
      <c r="G34" s="125">
        <f>((G29-G31)/(G31-G32))*100</f>
        <v>6.9363199695629474</v>
      </c>
      <c r="H34" s="126">
        <f>((H29-H31)/(H31-H32))*100</f>
        <v>8.840863829694694</v>
      </c>
      <c r="I34" s="174"/>
      <c r="J34" s="630" t="s">
        <v>125</v>
      </c>
      <c r="K34" s="630"/>
      <c r="L34" s="184" t="s">
        <v>126</v>
      </c>
      <c r="M34" s="127">
        <v>2.64</v>
      </c>
      <c r="N34" s="128"/>
      <c r="O34" s="631" t="s">
        <v>9</v>
      </c>
      <c r="P34" s="632"/>
      <c r="Q34" s="156">
        <v>305</v>
      </c>
      <c r="R34" s="156">
        <v>738</v>
      </c>
      <c r="S34" s="157">
        <v>707</v>
      </c>
      <c r="T34" s="174"/>
      <c r="U34" s="120">
        <v>0.3</v>
      </c>
      <c r="V34" s="113">
        <f>U34*25.4</f>
        <v>7.6199999999999992</v>
      </c>
      <c r="W34" s="581">
        <f>AI31</f>
        <v>24.315999999999999</v>
      </c>
      <c r="X34" s="582"/>
      <c r="Y34" s="449">
        <f>((W34/19.32)*10)</f>
        <v>12.585921325051759</v>
      </c>
      <c r="Z34" s="450"/>
      <c r="AA34" s="581">
        <f>AJ31</f>
        <v>15.487898089171972</v>
      </c>
      <c r="AB34" s="582"/>
      <c r="AC34" s="449">
        <f>((AA34/19.32)*10)</f>
        <v>8.0165103981221382</v>
      </c>
      <c r="AD34" s="450"/>
      <c r="AE34" s="581">
        <f>AK31</f>
        <v>11.61592356687898</v>
      </c>
      <c r="AF34" s="582"/>
      <c r="AG34" s="114">
        <f>((AE34/19.32)*10)</f>
        <v>6.0123827985916041</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18">
        <v>892.1</v>
      </c>
      <c r="R35" s="608">
        <v>958.78</v>
      </c>
      <c r="S35" s="610">
        <v>869.45</v>
      </c>
      <c r="T35" s="174"/>
      <c r="U35" s="627">
        <v>0.4</v>
      </c>
      <c r="V35" s="624">
        <f>U35*25.4</f>
        <v>10.16</v>
      </c>
      <c r="W35" s="593">
        <f>AI32</f>
        <v>28.617000000000001</v>
      </c>
      <c r="X35" s="594"/>
      <c r="Y35" s="439">
        <f>((W35/19.32)*10)</f>
        <v>14.812111801242235</v>
      </c>
      <c r="Z35" s="440"/>
      <c r="AA35" s="593">
        <f>AJ32</f>
        <v>18.227388535031846</v>
      </c>
      <c r="AB35" s="594"/>
      <c r="AC35" s="439">
        <f>(AA35/19.32)*10</f>
        <v>9.4344661154409142</v>
      </c>
      <c r="AD35" s="440"/>
      <c r="AE35" s="593">
        <f>AK32</f>
        <v>13.670541401273884</v>
      </c>
      <c r="AF35" s="594"/>
      <c r="AG35" s="443">
        <f>((AE35/19.32)*10)</f>
        <v>7.0758495865806843</v>
      </c>
      <c r="AH35" s="104"/>
      <c r="AS35" s="42">
        <f t="shared" si="3"/>
        <v>0</v>
      </c>
    </row>
    <row r="36" spans="1:45" ht="20.100000000000001" customHeight="1" thickBot="1" x14ac:dyDescent="0.3">
      <c r="A36" s="103"/>
      <c r="B36" s="639" t="s">
        <v>71</v>
      </c>
      <c r="C36" s="640"/>
      <c r="D36" s="640"/>
      <c r="E36" s="130">
        <f>E25/E24</f>
        <v>2.0265363128491618</v>
      </c>
      <c r="F36" s="130">
        <f>F25/F24</f>
        <v>2.4376163873370578</v>
      </c>
      <c r="G36" s="130">
        <f>G25/G24</f>
        <v>2.1308193668528865</v>
      </c>
      <c r="H36" s="131">
        <f>H25/H24</f>
        <v>1.9292364990689013</v>
      </c>
      <c r="I36" s="174"/>
      <c r="J36" s="634" t="s">
        <v>102</v>
      </c>
      <c r="K36" s="635"/>
      <c r="L36" s="635"/>
      <c r="M36" s="636"/>
      <c r="N36" s="101"/>
      <c r="O36" s="615"/>
      <c r="P36" s="617"/>
      <c r="Q36" s="61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1.9874481007004012</v>
      </c>
      <c r="F37" s="230">
        <f>F36/(1+F34/100)</f>
        <v>2.3474261937600795</v>
      </c>
      <c r="G37" s="230">
        <f>G36/(1+G34/100)</f>
        <v>1.992605849405868</v>
      </c>
      <c r="H37" s="123">
        <f>H36/(1+H34/100)</f>
        <v>1.7725295731643707</v>
      </c>
      <c r="I37" s="174"/>
      <c r="J37" s="641" t="s">
        <v>139</v>
      </c>
      <c r="K37" s="641"/>
      <c r="L37" s="643" t="s">
        <v>121</v>
      </c>
      <c r="M37" s="433">
        <f>IF(F74="","",(M42^2*F74+M42*F75+F76))</f>
        <v>2.2590007352941179</v>
      </c>
      <c r="N37" s="101"/>
      <c r="O37" s="576" t="s">
        <v>28</v>
      </c>
      <c r="P37" s="577"/>
      <c r="Q37" s="152">
        <v>858.8</v>
      </c>
      <c r="R37" s="150">
        <v>918.26</v>
      </c>
      <c r="S37" s="151">
        <v>836.05</v>
      </c>
      <c r="T37" s="174"/>
      <c r="U37" s="132">
        <v>0.5</v>
      </c>
      <c r="V37" s="133">
        <f>U37*25.4</f>
        <v>12.7</v>
      </c>
      <c r="W37" s="637">
        <f>AI33</f>
        <v>32.212000000000003</v>
      </c>
      <c r="X37" s="638"/>
      <c r="Y37" s="431">
        <f>((W37/19.32)*10)</f>
        <v>16.672877846790893</v>
      </c>
      <c r="Z37" s="432"/>
      <c r="AA37" s="637">
        <f>AJ33</f>
        <v>20.517197452229301</v>
      </c>
      <c r="AB37" s="638"/>
      <c r="AC37" s="431">
        <f>((AA37/19.32)*10)</f>
        <v>10.619667418338148</v>
      </c>
      <c r="AD37" s="432"/>
      <c r="AE37" s="637">
        <f>AK33</f>
        <v>15.387898089171976</v>
      </c>
      <c r="AF37" s="638"/>
      <c r="AG37" s="134">
        <f>((AE37/19.32)*10)</f>
        <v>7.9647505637536113</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101.35</v>
      </c>
      <c r="R38" s="647">
        <v>49.56</v>
      </c>
      <c r="S38" s="648">
        <v>55.7</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2.2590007352941175</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22.160797213235298</v>
      </c>
      <c r="N40" s="103"/>
      <c r="O40" s="628" t="s">
        <v>10</v>
      </c>
      <c r="P40" s="629"/>
      <c r="Q40" s="125">
        <f>((Q35-Q37)/(Q37-Q38))*100</f>
        <v>4.3963297907452725</v>
      </c>
      <c r="R40" s="125">
        <f>((R35-R37)/(R37-R38))*100</f>
        <v>4.6644411189133166</v>
      </c>
      <c r="S40" s="126">
        <f>((S35-S37)/(S37-S38))*100</f>
        <v>4.2801307105785984</v>
      </c>
      <c r="T40" s="174"/>
      <c r="U40" s="645" t="s">
        <v>151</v>
      </c>
      <c r="V40" s="646"/>
      <c r="W40" s="423">
        <f>(AM79/6.9)*100</f>
        <v>68.48051129714645</v>
      </c>
      <c r="X40" s="423"/>
      <c r="Y40" s="423"/>
      <c r="Z40" s="424"/>
      <c r="AA40" s="425">
        <f>(AO79/6.9)*100</f>
        <v>43.618160061876715</v>
      </c>
      <c r="AB40" s="426"/>
      <c r="AC40" s="427"/>
      <c r="AD40" s="425">
        <f>(AQ79/6.9)*100</f>
        <v>32.713620046407534</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22.160797213235295</v>
      </c>
      <c r="N41" s="138"/>
      <c r="O41" s="565" t="s">
        <v>36</v>
      </c>
      <c r="P41" s="566"/>
      <c r="Q41" s="566"/>
      <c r="R41" s="566"/>
      <c r="S41" s="567"/>
      <c r="T41" s="174"/>
      <c r="U41" s="653" t="s">
        <v>152</v>
      </c>
      <c r="V41" s="654"/>
      <c r="W41" s="418">
        <f>(AM83/10.3)*100</f>
        <v>89.413857564976169</v>
      </c>
      <c r="X41" s="418"/>
      <c r="Y41" s="418"/>
      <c r="Z41" s="419"/>
      <c r="AA41" s="420">
        <f>(AO83/10.3)*100</f>
        <v>56.951501633742787</v>
      </c>
      <c r="AB41" s="421"/>
      <c r="AC41" s="418"/>
      <c r="AD41" s="420">
        <f>(AQ83/10.3)*100</f>
        <v>42.713626225307095</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4.6617647058823533</v>
      </c>
      <c r="N42" s="103"/>
      <c r="O42" s="639" t="s">
        <v>9</v>
      </c>
      <c r="P42" s="640"/>
      <c r="Q42" s="148">
        <v>733</v>
      </c>
      <c r="R42" s="148">
        <v>211</v>
      </c>
      <c r="S42" s="149">
        <v>609</v>
      </c>
      <c r="T42" s="174"/>
      <c r="U42" s="651" t="s">
        <v>42</v>
      </c>
      <c r="V42" s="652"/>
      <c r="W42" s="413">
        <f>IF(W40&lt;W41,W40,W41)</f>
        <v>68.48051129714645</v>
      </c>
      <c r="X42" s="414"/>
      <c r="Y42" s="414"/>
      <c r="Z42" s="415"/>
      <c r="AA42" s="416">
        <f>IF(AA40&lt;AA41,AA40,AA41)</f>
        <v>43.618160061876715</v>
      </c>
      <c r="AB42" s="414"/>
      <c r="AC42" s="415"/>
      <c r="AD42" s="416">
        <f>IF(AD40&lt;AD41,AD40,AD41)</f>
        <v>32.713620046407534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3.846323529411765</v>
      </c>
      <c r="N43" s="103"/>
      <c r="O43" s="612" t="s">
        <v>49</v>
      </c>
      <c r="P43" s="614"/>
      <c r="Q43" s="608">
        <v>574.27</v>
      </c>
      <c r="R43" s="608">
        <v>897.45</v>
      </c>
      <c r="S43" s="610">
        <v>965.45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534.11</v>
      </c>
      <c r="R45" s="150">
        <v>813.97</v>
      </c>
      <c r="S45" s="151">
        <v>862.56</v>
      </c>
      <c r="T45" s="174"/>
      <c r="U45" s="656" t="s">
        <v>139</v>
      </c>
      <c r="V45" s="656"/>
      <c r="W45" s="179" t="s">
        <v>121</v>
      </c>
      <c r="X45" s="406">
        <f>MAX(M37:M39)</f>
        <v>2.2590007352941179</v>
      </c>
      <c r="Y45" s="406"/>
      <c r="Z45" s="406"/>
      <c r="AA45" s="174"/>
      <c r="AB45" s="657" t="s">
        <v>31</v>
      </c>
      <c r="AC45" s="658"/>
      <c r="AD45" s="658"/>
      <c r="AE45" s="658"/>
      <c r="AF45" s="231">
        <v>0.18099999999999999</v>
      </c>
      <c r="AG45" s="231">
        <v>9.7519999999999996E-2</v>
      </c>
      <c r="AH45" s="233">
        <v>0.15640000000000001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46.36</v>
      </c>
      <c r="R46" s="152">
        <v>53</v>
      </c>
      <c r="S46" s="151">
        <v>49.11</v>
      </c>
      <c r="T46" s="174"/>
      <c r="U46" s="555" t="s">
        <v>123</v>
      </c>
      <c r="V46" s="555"/>
      <c r="W46" s="179" t="s">
        <v>41</v>
      </c>
      <c r="X46" s="401">
        <f>MIN(M42:M44)</f>
        <v>3.846323529411765</v>
      </c>
      <c r="Y46" s="401"/>
      <c r="Z46" s="401"/>
      <c r="AA46" s="174"/>
      <c r="AB46" s="660" t="s">
        <v>32</v>
      </c>
      <c r="AC46" s="661"/>
      <c r="AD46" s="661"/>
      <c r="AE46" s="661"/>
      <c r="AF46" s="234">
        <v>0.20499999999999999</v>
      </c>
      <c r="AG46" s="234">
        <v>0.1096</v>
      </c>
      <c r="AH46" s="235">
        <v>0.1578</v>
      </c>
      <c r="AL46" s="172">
        <v>11.243212757251705</v>
      </c>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8.2337262942080915</v>
      </c>
      <c r="R47" s="125">
        <f>((R43-R45)/(R45-R46))*100</f>
        <v>10.970209075259211</v>
      </c>
      <c r="S47" s="126">
        <f>((S43-S45)/(S45-S46))*100</f>
        <v>12.648595488352093</v>
      </c>
      <c r="T47" s="174"/>
      <c r="U47" s="555" t="s">
        <v>162</v>
      </c>
      <c r="V47" s="555"/>
      <c r="W47" s="179" t="s">
        <v>41</v>
      </c>
      <c r="X47" s="402">
        <f>IF(L25=D103,"-",IF(L25=D102,"-",IF(L25=D101,M25)))</f>
        <v>35.29</v>
      </c>
      <c r="Y47" s="402"/>
      <c r="Z47" s="402"/>
      <c r="AA47" s="174"/>
      <c r="AB47" s="662" t="s">
        <v>33</v>
      </c>
      <c r="AC47" s="663"/>
      <c r="AD47" s="663"/>
      <c r="AE47" s="663"/>
      <c r="AF47" s="232">
        <f>(AF46-AF45)*2.54</f>
        <v>6.0959999999999986E-2</v>
      </c>
      <c r="AG47" s="232">
        <f>(AG46-AG45)*2.54</f>
        <v>3.0683200000000018E-2</v>
      </c>
      <c r="AH47" s="239">
        <f>(AH46-AH45)*2.54</f>
        <v>3.5559999999999611E-3</v>
      </c>
      <c r="AL47" s="42">
        <v>0</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0.52551724137931022</v>
      </c>
      <c r="AG48" s="142">
        <f>IF(AG47&lt;&gt;"",IF(R24&lt;&gt;"",AG47/R24*100,""),"")</f>
        <v>0.26224957264957283</v>
      </c>
      <c r="AH48" s="173">
        <f>IF(AH47&lt;&gt;"",IF(S24&lt;&gt;"",AH47/S24*100,""),"")</f>
        <v>3.0523605150214256E-2</v>
      </c>
      <c r="AL48" s="42">
        <v>2.0642064870005639</v>
      </c>
    </row>
    <row r="49" spans="1:38"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c r="AL49" s="42">
        <v>9.47283444104084</v>
      </c>
    </row>
    <row r="50" spans="1:38"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0.36</v>
      </c>
      <c r="AL50" s="42">
        <v>12.510643944839483</v>
      </c>
    </row>
    <row r="51" spans="1:38"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2.1509999999999998</v>
      </c>
      <c r="AL51" s="42">
        <f>SUM(AL46:AL50)</f>
        <v>35.290897630132591</v>
      </c>
    </row>
    <row r="52" spans="1:38"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4.7030000000000003</v>
      </c>
    </row>
    <row r="53" spans="1:38"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6.7450000000000001</v>
      </c>
    </row>
    <row r="54" spans="1:38"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9.1289999999999996</v>
      </c>
    </row>
    <row r="55" spans="1:38"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11.848000000000001</v>
      </c>
    </row>
    <row r="56" spans="1:38"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13.936999999999999</v>
      </c>
    </row>
    <row r="57" spans="1:38"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15.885999999999999</v>
      </c>
    </row>
    <row r="58" spans="1:38"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17.792999999999999</v>
      </c>
    </row>
    <row r="59" spans="1:38"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24.315999999999999</v>
      </c>
    </row>
    <row r="60" spans="1:38"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28.617000000000001</v>
      </c>
    </row>
    <row r="61" spans="1:38"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32.212000000000003</v>
      </c>
    </row>
    <row r="62" spans="1:38"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8"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8"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-3.0599999999999999E-2</v>
      </c>
      <c r="G74" s="75">
        <v>-0.12509999999999999</v>
      </c>
      <c r="J74" s="701"/>
      <c r="K74" s="702"/>
      <c r="L74" s="44"/>
      <c r="M74" s="44"/>
      <c r="N74" s="44"/>
    </row>
    <row r="75" spans="1:94" ht="26.25" customHeight="1" thickBot="1" x14ac:dyDescent="0.3">
      <c r="A75" s="11"/>
      <c r="B75" s="377" t="s">
        <v>113</v>
      </c>
      <c r="C75" s="377"/>
      <c r="D75" s="19"/>
      <c r="E75" s="54" t="s">
        <v>12</v>
      </c>
      <c r="F75" s="55">
        <v>0.2853</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0.23684210526315788</v>
      </c>
      <c r="AO75" s="3">
        <f>((AN75/19.32)*10)</f>
        <v>0.12258908139915003</v>
      </c>
      <c r="AP75" s="5">
        <f>AE22</f>
        <v>0.17763157894736842</v>
      </c>
      <c r="AQ75" s="161">
        <f t="shared" ref="AQ75:AQ84" si="5">((AP75/19.32)*10)</f>
        <v>9.1941811049362526E-2</v>
      </c>
    </row>
    <row r="76" spans="1:94" ht="26.25" customHeight="1" thickBot="1" x14ac:dyDescent="0.3">
      <c r="A76" s="11"/>
      <c r="B76" s="377" t="s">
        <v>114</v>
      </c>
      <c r="C76" s="377"/>
      <c r="D76" s="20"/>
      <c r="E76" s="56" t="s">
        <v>13</v>
      </c>
      <c r="F76" s="57">
        <v>1.5940000000000001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2.1509999999999998</v>
      </c>
      <c r="AM76" s="3">
        <f t="shared" si="4"/>
        <v>1.1133540372670807</v>
      </c>
      <c r="AN76" s="5">
        <f>AA23</f>
        <v>1.3700636942675157</v>
      </c>
      <c r="AO76" s="3">
        <f t="shared" ref="AO76:AO86" si="7">((AN76/19.32)*10)</f>
        <v>0.70914269889622961</v>
      </c>
      <c r="AP76" s="5">
        <f>AE23</f>
        <v>1.0275477707006369</v>
      </c>
      <c r="AQ76" s="161">
        <f t="shared" si="5"/>
        <v>0.53185702417217229</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4.7030000000000003</v>
      </c>
      <c r="AM77" s="3">
        <f t="shared" si="4"/>
        <v>2.4342650103519672</v>
      </c>
      <c r="AN77" s="5">
        <f>AA24</f>
        <v>2.9955414012738855</v>
      </c>
      <c r="AO77" s="3">
        <f t="shared" si="7"/>
        <v>1.5504872677401063</v>
      </c>
      <c r="AP77" s="5">
        <f>AE24</f>
        <v>2.2466560509554139</v>
      </c>
      <c r="AQ77" s="161">
        <f t="shared" si="5"/>
        <v>1.1628654508050797</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6.7450000000000001</v>
      </c>
      <c r="AM78" s="3">
        <f t="shared" si="4"/>
        <v>3.4912008281573499</v>
      </c>
      <c r="AN78" s="5">
        <f>AA25</f>
        <v>4.2961783439490446</v>
      </c>
      <c r="AO78" s="3">
        <f t="shared" si="7"/>
        <v>2.2236947950046817</v>
      </c>
      <c r="AP78" s="5">
        <f>AE25</f>
        <v>3.2221337579617835</v>
      </c>
      <c r="AQ78" s="161">
        <f t="shared" si="5"/>
        <v>1.6677710962535111</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9.1289999999999996</v>
      </c>
      <c r="AM79" s="4">
        <f t="shared" si="4"/>
        <v>4.7251552795031051</v>
      </c>
      <c r="AN79" s="5">
        <f>AA26</f>
        <v>5.8146496815286621</v>
      </c>
      <c r="AO79" s="4">
        <f t="shared" si="7"/>
        <v>3.0096530442694935</v>
      </c>
      <c r="AP79" s="5">
        <f>AE26</f>
        <v>4.3609872611464962</v>
      </c>
      <c r="AQ79" s="162">
        <f t="shared" si="5"/>
        <v>2.2572397832021203</v>
      </c>
      <c r="BB79" s="12">
        <v>17</v>
      </c>
      <c r="BC79" s="12">
        <v>18</v>
      </c>
    </row>
    <row r="80" spans="1:94" ht="42" customHeight="1" thickTop="1" thickBot="1" x14ac:dyDescent="0.3">
      <c r="D80" s="49"/>
      <c r="H80" s="711" t="s">
        <v>105</v>
      </c>
      <c r="I80" s="712"/>
      <c r="J80" s="58"/>
      <c r="AJ80" s="160">
        <f>U28</f>
        <v>0.125</v>
      </c>
      <c r="AK80" s="3">
        <f t="shared" si="6"/>
        <v>3.1749999999999998</v>
      </c>
      <c r="AL80" s="5">
        <f>W28</f>
        <v>11.848000000000001</v>
      </c>
      <c r="AM80" s="3">
        <f t="shared" si="4"/>
        <v>6.1325051759834368</v>
      </c>
      <c r="AN80" s="5">
        <f>AA28</f>
        <v>7.5464968152866243</v>
      </c>
      <c r="AO80" s="3">
        <f t="shared" si="7"/>
        <v>3.9060542522187496</v>
      </c>
      <c r="AP80" s="5">
        <f>AE28</f>
        <v>5.6598726114649685</v>
      </c>
      <c r="AQ80" s="161">
        <f t="shared" si="5"/>
        <v>2.9295406891640625</v>
      </c>
      <c r="BC80" s="45">
        <v>0.99880400000000003</v>
      </c>
      <c r="BD80" s="45">
        <v>0.99862499999999998</v>
      </c>
    </row>
    <row r="81" spans="2:43" ht="15.75" customHeight="1" x14ac:dyDescent="0.25">
      <c r="AJ81" s="160">
        <f>U30</f>
        <v>0.15</v>
      </c>
      <c r="AK81" s="3">
        <f t="shared" si="6"/>
        <v>3.8099999999999996</v>
      </c>
      <c r="AL81" s="5">
        <f>W30</f>
        <v>13.936999999999999</v>
      </c>
      <c r="AM81" s="3">
        <f t="shared" si="4"/>
        <v>7.2137681159420284</v>
      </c>
      <c r="AN81" s="5">
        <f>AA30</f>
        <v>8.8770700636942674</v>
      </c>
      <c r="AO81" s="3">
        <f t="shared" si="7"/>
        <v>4.594756761746515</v>
      </c>
      <c r="AP81" s="5">
        <f>AE30</f>
        <v>6.6578025477707001</v>
      </c>
      <c r="AQ81" s="161">
        <f t="shared" si="5"/>
        <v>3.4460675713098858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15.885999999999999</v>
      </c>
      <c r="AM82" s="3">
        <f t="shared" si="4"/>
        <v>8.2225672877846794</v>
      </c>
      <c r="AN82" s="5">
        <f>AA31</f>
        <v>10.118471337579617</v>
      </c>
      <c r="AO82" s="3">
        <f t="shared" si="7"/>
        <v>5.2373040049583945</v>
      </c>
      <c r="AP82" s="5">
        <f>AE31</f>
        <v>7.5888535031847129</v>
      </c>
      <c r="AQ82" s="161">
        <f t="shared" si="5"/>
        <v>3.9279780037187955</v>
      </c>
    </row>
    <row r="83" spans="2:43" ht="15" customHeight="1" x14ac:dyDescent="0.25">
      <c r="B83" s="49"/>
      <c r="C83" s="49"/>
      <c r="D83" s="49">
        <v>0</v>
      </c>
      <c r="E83" s="50">
        <f>M42</f>
        <v>4.6617647058823533</v>
      </c>
      <c r="F83" s="49"/>
      <c r="G83" s="43">
        <f>G84/10</f>
        <v>2.4620069330194019</v>
      </c>
      <c r="H83" s="43">
        <f>H84/10</f>
        <v>2.3513408235962476</v>
      </c>
      <c r="I83" s="43">
        <f>I84/10</f>
        <v>2.1889939511460987</v>
      </c>
      <c r="J83" s="43">
        <f>J84/10</f>
        <v>2.0997588041134447</v>
      </c>
      <c r="K83" s="43"/>
      <c r="L83" s="42">
        <v>0</v>
      </c>
      <c r="O83" s="706"/>
      <c r="P83" s="706"/>
      <c r="Q83" s="706"/>
      <c r="R83" s="706"/>
      <c r="S83" s="707"/>
      <c r="W83" s="112"/>
      <c r="AJ83" s="160">
        <f>U33</f>
        <v>0.2</v>
      </c>
      <c r="AK83" s="4">
        <f t="shared" si="6"/>
        <v>5.08</v>
      </c>
      <c r="AL83" s="5">
        <f>W33</f>
        <v>17.792999999999999</v>
      </c>
      <c r="AM83" s="4">
        <f t="shared" si="4"/>
        <v>9.2096273291925463</v>
      </c>
      <c r="AN83" s="5">
        <f>AA33</f>
        <v>11.33312101910828</v>
      </c>
      <c r="AO83" s="4">
        <f t="shared" si="7"/>
        <v>5.8660046682755072</v>
      </c>
      <c r="AP83" s="5">
        <f>AE33</f>
        <v>8.4998407643312106</v>
      </c>
      <c r="AQ83" s="162">
        <f t="shared" si="5"/>
        <v>4.399503501206631</v>
      </c>
    </row>
    <row r="84" spans="2:43" ht="15" customHeight="1" x14ac:dyDescent="0.25">
      <c r="C84" s="94"/>
      <c r="D84" s="94"/>
      <c r="E84" s="94"/>
      <c r="F84" s="49"/>
      <c r="G84" s="43">
        <f>($M$34/(1+(E34*$M$34/100)))*($O$73)</f>
        <v>24.620069330194021</v>
      </c>
      <c r="H84" s="43">
        <f>($M$34/(1+(F34*$M$34/100)))*($O$73)</f>
        <v>23.513408235962476</v>
      </c>
      <c r="I84" s="43">
        <f>($M$34/(1+(G34*$M$34/100)))*($O$73)</f>
        <v>21.889939511460987</v>
      </c>
      <c r="J84" s="43">
        <f>($M$34/(1+(H34*$M$34/100)))*($O$73)</f>
        <v>20.997588041134446</v>
      </c>
      <c r="K84" s="43"/>
      <c r="O84" s="706" t="s">
        <v>146</v>
      </c>
      <c r="P84" s="706"/>
      <c r="Q84" s="706"/>
      <c r="R84" s="706"/>
      <c r="S84" s="707">
        <v>2240</v>
      </c>
      <c r="W84" s="112"/>
      <c r="AJ84" s="160">
        <f>U34</f>
        <v>0.3</v>
      </c>
      <c r="AK84" s="3">
        <f t="shared" si="6"/>
        <v>7.6199999999999992</v>
      </c>
      <c r="AL84" s="5">
        <f>W34</f>
        <v>24.315999999999999</v>
      </c>
      <c r="AM84" s="3">
        <f t="shared" si="4"/>
        <v>12.585921325051759</v>
      </c>
      <c r="AN84" s="5">
        <f>AA34</f>
        <v>15.487898089171972</v>
      </c>
      <c r="AO84" s="3">
        <f t="shared" si="7"/>
        <v>8.0165103981221382</v>
      </c>
      <c r="AP84" s="5">
        <f>AE34</f>
        <v>11.61592356687898</v>
      </c>
      <c r="AQ84" s="161">
        <f t="shared" si="5"/>
        <v>6.0123827985916041</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28.617000000000001</v>
      </c>
      <c r="AM85" s="3">
        <f t="shared" si="4"/>
        <v>14.812111801242235</v>
      </c>
      <c r="AN85" s="5">
        <f>AA35</f>
        <v>18.227388535031846</v>
      </c>
      <c r="AO85" s="3">
        <f t="shared" si="7"/>
        <v>9.4344661154409142</v>
      </c>
      <c r="AP85" s="5">
        <f>AE35</f>
        <v>13.670541401273884</v>
      </c>
      <c r="AQ85" s="161">
        <f>((AP85/19.32)*10)</f>
        <v>7.0758495865806843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32.212000000000003</v>
      </c>
      <c r="AM86" s="164">
        <f t="shared" si="4"/>
        <v>16.672877846790893</v>
      </c>
      <c r="AN86" s="165">
        <f>AA37</f>
        <v>20.517197452229301</v>
      </c>
      <c r="AO86" s="164">
        <f t="shared" si="7"/>
        <v>10.619667418338148</v>
      </c>
      <c r="AP86" s="165">
        <f>AE37</f>
        <v>15.387898089171976</v>
      </c>
      <c r="AQ86" s="166">
        <f>((AP86/19.32)*10)</f>
        <v>7.9647505637536113</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2.3399781125110763</v>
      </c>
      <c r="AK91" s="9">
        <f>R31</f>
        <v>2.079861278476999</v>
      </c>
      <c r="AL91" s="10">
        <f>S31</f>
        <v>1.8941051883840563</v>
      </c>
    </row>
    <row r="92" spans="2:43" ht="21" customHeight="1" thickBot="1" x14ac:dyDescent="0.3">
      <c r="B92" s="92"/>
      <c r="C92" s="93"/>
      <c r="D92" s="93"/>
      <c r="E92" s="93"/>
      <c r="F92" s="62"/>
      <c r="G92" s="63"/>
      <c r="H92" s="49"/>
      <c r="I92" s="49"/>
      <c r="O92" s="725" t="s">
        <v>147</v>
      </c>
      <c r="P92" s="726"/>
      <c r="Q92" s="726"/>
      <c r="R92" s="726"/>
      <c r="S92" s="61">
        <f>M42</f>
        <v>4.6617647058823533</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68.48051129714645</v>
      </c>
      <c r="AK94" s="158">
        <f>AA42</f>
        <v>43.618160061876715</v>
      </c>
      <c r="AL94" s="158">
        <f>AD42</f>
        <v>32.713620046407534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2133" priority="45">
      <formula>LEN(TRIM(D6))=0</formula>
    </cfRule>
  </conditionalFormatting>
  <conditionalFormatting sqref="D6:H10">
    <cfRule type="containsBlanks" dxfId="2132" priority="44">
      <formula>LEN(TRIM(D6))=0</formula>
    </cfRule>
  </conditionalFormatting>
  <conditionalFormatting sqref="M19">
    <cfRule type="containsBlanks" dxfId="2131" priority="43">
      <formula>LEN(TRIM(M19))=0</formula>
    </cfRule>
  </conditionalFormatting>
  <conditionalFormatting sqref="CP70">
    <cfRule type="containsBlanks" dxfId="2130" priority="42">
      <formula>LEN(TRIM(CP70))=0</formula>
    </cfRule>
  </conditionalFormatting>
  <conditionalFormatting sqref="M21">
    <cfRule type="containsBlanks" dxfId="2129" priority="41">
      <formula>LEN(TRIM(M21))=0</formula>
    </cfRule>
  </conditionalFormatting>
  <conditionalFormatting sqref="D12:M12">
    <cfRule type="containsBlanks" dxfId="2128" priority="40">
      <formula>LEN(TRIM(D12))=0</formula>
    </cfRule>
  </conditionalFormatting>
  <conditionalFormatting sqref="L9:M9">
    <cfRule type="containsBlanks" dxfId="2127" priority="39">
      <formula>LEN(TRIM(L9))=0</formula>
    </cfRule>
  </conditionalFormatting>
  <conditionalFormatting sqref="L25">
    <cfRule type="containsBlanks" dxfId="2126" priority="38">
      <formula>LEN(TRIM(L25))=0</formula>
    </cfRule>
  </conditionalFormatting>
  <conditionalFormatting sqref="Q20:S26">
    <cfRule type="containsBlanks" dxfId="2125" priority="28">
      <formula>LEN(TRIM(Q20))=0</formula>
    </cfRule>
    <cfRule type="containsBlanks" dxfId="2124" priority="37">
      <formula>LEN(TRIM(Q20))=0</formula>
    </cfRule>
  </conditionalFormatting>
  <conditionalFormatting sqref="U26:V27 AC33 AC26">
    <cfRule type="cellIs" dxfId="2123" priority="36" operator="between">
      <formula>0</formula>
      <formula>500</formula>
    </cfRule>
  </conditionalFormatting>
  <conditionalFormatting sqref="U33:V33">
    <cfRule type="cellIs" dxfId="2122" priority="35" operator="between">
      <formula>0</formula>
      <formula>500</formula>
    </cfRule>
  </conditionalFormatting>
  <conditionalFormatting sqref="AF45:AH46">
    <cfRule type="containsBlanks" dxfId="2121" priority="34">
      <formula>LEN(TRIM(AF45))=0</formula>
    </cfRule>
  </conditionalFormatting>
  <conditionalFormatting sqref="AF51:AG53">
    <cfRule type="containsBlanks" dxfId="2120" priority="33">
      <formula>LEN(TRIM(AF51))=0</formula>
    </cfRule>
  </conditionalFormatting>
  <conditionalFormatting sqref="E20:H24">
    <cfRule type="containsBlanks" dxfId="2119" priority="32">
      <formula>LEN(TRIM(E20))=0</formula>
    </cfRule>
  </conditionalFormatting>
  <conditionalFormatting sqref="E28:H33">
    <cfRule type="containsBlanks" dxfId="2118" priority="31">
      <formula>LEN(TRIM(E28))=0</formula>
    </cfRule>
  </conditionalFormatting>
  <conditionalFormatting sqref="Q42:S46">
    <cfRule type="containsBlanks" dxfId="2117" priority="30">
      <formula>LEN(TRIM(Q42))=0</formula>
    </cfRule>
  </conditionalFormatting>
  <conditionalFormatting sqref="Q34:S39">
    <cfRule type="containsBlanks" dxfId="2116" priority="29">
      <formula>LEN(TRIM(Q34))=0</formula>
    </cfRule>
  </conditionalFormatting>
  <conditionalFormatting sqref="M25">
    <cfRule type="containsBlanks" dxfId="2115" priority="27">
      <formula>LEN(TRIM(M25))=0</formula>
    </cfRule>
  </conditionalFormatting>
  <conditionalFormatting sqref="U26:V27 Y26:Z27 AC26:AD27 AG26:AG27">
    <cfRule type="containsBlanks" dxfId="2114" priority="25">
      <formula>LEN(TRIM(U26))=0</formula>
    </cfRule>
    <cfRule type="cellIs" dxfId="2113" priority="26" operator="between">
      <formula>0</formula>
      <formula>1000</formula>
    </cfRule>
  </conditionalFormatting>
  <conditionalFormatting sqref="W87:W88">
    <cfRule type="cellIs" dxfId="2112" priority="24" operator="between">
      <formula>0</formula>
      <formula>500</formula>
    </cfRule>
  </conditionalFormatting>
  <conditionalFormatting sqref="W94">
    <cfRule type="cellIs" dxfId="2111" priority="23" operator="between">
      <formula>0</formula>
      <formula>500</formula>
    </cfRule>
  </conditionalFormatting>
  <conditionalFormatting sqref="W87:W88">
    <cfRule type="containsBlanks" dxfId="2110" priority="21">
      <formula>LEN(TRIM(W87))=0</formula>
    </cfRule>
    <cfRule type="cellIs" dxfId="2109" priority="22" operator="between">
      <formula>0</formula>
      <formula>1000</formula>
    </cfRule>
  </conditionalFormatting>
  <conditionalFormatting sqref="U33:V33 Y33:Z33 AC33:AD33 AG33">
    <cfRule type="cellIs" dxfId="2108" priority="20" operator="between">
      <formula>0</formula>
      <formula>1000</formula>
    </cfRule>
  </conditionalFormatting>
  <conditionalFormatting sqref="Q27:S27">
    <cfRule type="containsBlanks" dxfId="2107" priority="18">
      <formula>LEN(TRIM(Q27))=0</formula>
    </cfRule>
    <cfRule type="containsBlanks" dxfId="2106" priority="19">
      <formula>LEN(TRIM(Q27))=0</formula>
    </cfRule>
  </conditionalFormatting>
  <conditionalFormatting sqref="W30:W31 W33:W35 W37 W28 W22:W26">
    <cfRule type="containsBlanks" dxfId="2105" priority="17">
      <formula>LEN(TRIM(W22))=0</formula>
    </cfRule>
  </conditionalFormatting>
  <conditionalFormatting sqref="W37 W30:W31 W33:W35 W28 W22:W26">
    <cfRule type="containsBlanks" dxfId="2104" priority="16">
      <formula>LEN(TRIM(W22))=0</formula>
    </cfRule>
  </conditionalFormatting>
  <conditionalFormatting sqref="W33:X33">
    <cfRule type="cellIs" dxfId="2103" priority="15" operator="between">
      <formula>0</formula>
      <formula>1000</formula>
    </cfRule>
  </conditionalFormatting>
  <conditionalFormatting sqref="W30:X37 W26 W28 W22:X25">
    <cfRule type="containsBlanks" dxfId="2102" priority="14">
      <formula>LEN(TRIM(W22))=0</formula>
    </cfRule>
  </conditionalFormatting>
  <conditionalFormatting sqref="AA37 AA30:AA31 AA33:AA35 AA22:AA26 AA28">
    <cfRule type="containsBlanks" dxfId="2101" priority="13">
      <formula>LEN(TRIM(AA22))=0</formula>
    </cfRule>
  </conditionalFormatting>
  <conditionalFormatting sqref="AA37 AA30:AA31 AA33:AA35 AA22:AA26 AA28">
    <cfRule type="containsBlanks" dxfId="2100" priority="12">
      <formula>LEN(TRIM(AA22))=0</formula>
    </cfRule>
  </conditionalFormatting>
  <conditionalFormatting sqref="AA33:AB34">
    <cfRule type="cellIs" dxfId="2099" priority="11" operator="between">
      <formula>0</formula>
      <formula>1000</formula>
    </cfRule>
  </conditionalFormatting>
  <conditionalFormatting sqref="AA30:AB30 AA31 AA33:AB37 AA22:AB25 AA26 AA28">
    <cfRule type="containsBlanks" dxfId="2098" priority="10">
      <formula>LEN(TRIM(AA22))=0</formula>
    </cfRule>
  </conditionalFormatting>
  <conditionalFormatting sqref="AE37 AE28 AE30:AE31 AE33:AE35 AE22:AE26">
    <cfRule type="containsBlanks" dxfId="2097" priority="9">
      <formula>LEN(TRIM(AE22))=0</formula>
    </cfRule>
  </conditionalFormatting>
  <conditionalFormatting sqref="AE37 AE28 AE30:AE31 AE33:AE35 AE22:AE26">
    <cfRule type="containsBlanks" dxfId="2096" priority="8">
      <formula>LEN(TRIM(AE22))=0</formula>
    </cfRule>
  </conditionalFormatting>
  <conditionalFormatting sqref="AE33:AF33">
    <cfRule type="cellIs" dxfId="2095" priority="7" operator="between">
      <formula>0</formula>
      <formula>1000</formula>
    </cfRule>
  </conditionalFormatting>
  <conditionalFormatting sqref="AE33:AF37 AE26 AE28 AE30:AE31 AE22:AF25">
    <cfRule type="containsBlanks" dxfId="2094" priority="6">
      <formula>LEN(TRIM(AE22))=0</formula>
    </cfRule>
  </conditionalFormatting>
  <conditionalFormatting sqref="K6:M6">
    <cfRule type="containsBlanks" dxfId="2093" priority="5">
      <formula>LEN(TRIM(K6))=0</formula>
    </cfRule>
  </conditionalFormatting>
  <conditionalFormatting sqref="K7:K8">
    <cfRule type="containsBlanks" dxfId="2092" priority="4">
      <formula>LEN(TRIM(K7))=0</formula>
    </cfRule>
  </conditionalFormatting>
  <conditionalFormatting sqref="D13:M13">
    <cfRule type="containsBlanks" dxfId="2091" priority="3">
      <formula>LEN(TRIM(D13))=0</formula>
    </cfRule>
  </conditionalFormatting>
  <conditionalFormatting sqref="B6:B10">
    <cfRule type="containsBlanks" dxfId="2090" priority="2">
      <formula>LEN(TRIM(B6))=0</formula>
    </cfRule>
  </conditionalFormatting>
  <conditionalFormatting sqref="B12:B13">
    <cfRule type="containsBlanks" dxfId="2089" priority="1">
      <formula>LEN(TRIM(B12))=0</formula>
    </cfRule>
  </conditionalFormatting>
  <dataValidations count="5">
    <dataValidation type="list" allowBlank="1" showInputMessage="1" showErrorMessage="1" sqref="L25" xr:uid="{00000000-0002-0000-0B00-000000000000}">
      <formula1>$D$101:$D$104</formula1>
    </dataValidation>
    <dataValidation type="list" allowBlank="1" showInputMessage="1" showErrorMessage="1" sqref="M21" xr:uid="{00000000-0002-0000-0B00-000001000000}">
      <formula1>$AX$3:$AX$4</formula1>
    </dataValidation>
    <dataValidation type="list" allowBlank="1" showInputMessage="1" showErrorMessage="1" sqref="M19" xr:uid="{00000000-0002-0000-0B00-000002000000}">
      <formula1>$AX$3:$AX$5</formula1>
    </dataValidation>
    <dataValidation type="list" allowBlank="1" showInputMessage="1" showErrorMessage="1" sqref="CP70" xr:uid="{00000000-0002-0000-0B00-000003000000}">
      <formula1>$BA$3:$BA$5</formula1>
    </dataValidation>
    <dataValidation type="list" allowBlank="1" showInputMessage="1" showErrorMessage="1" sqref="D12:E12" xr:uid="{00000000-0002-0000-0B00-000004000000}">
      <formula1>$B$87:$B$94</formula1>
    </dataValidation>
  </dataValidations>
  <hyperlinks>
    <hyperlink ref="D8" r:id="rId1" xr:uid="{00000000-0004-0000-0B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21857"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21858"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21859"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2186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2186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21862"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21863"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2186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2186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2186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53">
    <tabColor rgb="FFFFFF00"/>
  </sheetPr>
  <dimension ref="A1:CP153"/>
  <sheetViews>
    <sheetView view="pageBreakPreview" topLeftCell="R16" zoomScale="87" zoomScaleNormal="100" zoomScaleSheetLayoutView="87" workbookViewId="0">
      <selection activeCell="J17" sqref="J17"/>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45917</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45917</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45922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45922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22" t="s">
        <v>204</v>
      </c>
      <c r="AD9" s="222" t="s">
        <v>195</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25-CAV-AP5-3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25-CAV-AP5-3</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56</v>
      </c>
      <c r="E12" s="545"/>
      <c r="F12" s="145" t="s">
        <v>228</v>
      </c>
      <c r="G12" s="31" t="s">
        <v>4</v>
      </c>
      <c r="H12" s="146">
        <v>3</v>
      </c>
      <c r="I12" s="546" t="s">
        <v>5</v>
      </c>
      <c r="J12" s="546"/>
      <c r="K12" s="209">
        <v>1.1000000000000001</v>
      </c>
      <c r="L12" s="32" t="s">
        <v>6</v>
      </c>
      <c r="M12" s="147">
        <v>1.6</v>
      </c>
      <c r="N12" s="78"/>
      <c r="O12" s="501" t="s">
        <v>3</v>
      </c>
      <c r="P12" s="501"/>
      <c r="Q12" s="225" t="s">
        <v>56</v>
      </c>
      <c r="R12" s="224" t="str">
        <f>F12</f>
        <v>CAV-AP5</v>
      </c>
      <c r="S12" s="224"/>
      <c r="T12" s="502" t="s">
        <v>4</v>
      </c>
      <c r="U12" s="502"/>
      <c r="V12" s="33">
        <f>+H12</f>
        <v>3</v>
      </c>
      <c r="W12" s="547" t="s">
        <v>5</v>
      </c>
      <c r="X12" s="547"/>
      <c r="Y12" s="547"/>
      <c r="Z12" s="547"/>
      <c r="AA12" s="547"/>
      <c r="AB12" s="547"/>
      <c r="AC12" s="34">
        <f>K12</f>
        <v>1.1000000000000001</v>
      </c>
      <c r="AD12" s="548" t="s">
        <v>6</v>
      </c>
      <c r="AE12" s="548"/>
      <c r="AF12" s="35">
        <f>+M12</f>
        <v>1.6</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227</v>
      </c>
      <c r="E13" s="479"/>
      <c r="F13" s="479"/>
      <c r="G13" s="479"/>
      <c r="H13" s="479"/>
      <c r="I13" s="479"/>
      <c r="J13" s="479"/>
      <c r="K13" s="479"/>
      <c r="L13" s="479"/>
      <c r="M13" s="480"/>
      <c r="N13" s="188"/>
      <c r="O13" s="526" t="s">
        <v>130</v>
      </c>
      <c r="P13" s="526"/>
      <c r="Q13" s="527" t="str">
        <f>D13</f>
        <v>ARENA CON ALGO DE LIMO, CEMENTACIÓN DÉBIL,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609</v>
      </c>
      <c r="R20" s="156">
        <v>400</v>
      </c>
      <c r="S20" s="157">
        <v>403</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11398</v>
      </c>
      <c r="F22" s="150">
        <v>11687</v>
      </c>
      <c r="G22" s="150">
        <v>11699</v>
      </c>
      <c r="H22" s="151">
        <v>11421</v>
      </c>
      <c r="I22" s="174"/>
      <c r="J22" s="578"/>
      <c r="K22" s="578"/>
      <c r="L22" s="578"/>
      <c r="M22" s="104"/>
      <c r="N22" s="103"/>
      <c r="O22" s="579" t="s">
        <v>132</v>
      </c>
      <c r="P22" s="580"/>
      <c r="Q22" s="219">
        <v>8200</v>
      </c>
      <c r="R22" s="219">
        <v>8079</v>
      </c>
      <c r="S22" s="208">
        <v>7612</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5.7000000000000002E-2</v>
      </c>
      <c r="AJ22" s="42">
        <f>AJ50/1.52</f>
        <v>3.7499999999999999E-2</v>
      </c>
      <c r="AK22" s="42">
        <f>AJ22*0.75</f>
        <v>2.8124999999999997E-2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3848</v>
      </c>
      <c r="R23" s="150">
        <v>3828</v>
      </c>
      <c r="S23" s="151">
        <v>3834</v>
      </c>
      <c r="T23" s="174"/>
      <c r="U23" s="112">
        <v>2.5000000000000001E-2</v>
      </c>
      <c r="V23" s="113">
        <f>U23*25.4</f>
        <v>0.63500000000000001</v>
      </c>
      <c r="W23" s="581">
        <f>AI23</f>
        <v>0.27600000000000002</v>
      </c>
      <c r="X23" s="582"/>
      <c r="Y23" s="449">
        <f>((W23/19.32)*10)</f>
        <v>0.14285714285714288</v>
      </c>
      <c r="Z23" s="450"/>
      <c r="AA23" s="581">
        <v>0.156</v>
      </c>
      <c r="AB23" s="582"/>
      <c r="AC23" s="449">
        <f>((AA23/19.32)*10)</f>
        <v>8.0745341614906832E-2</v>
      </c>
      <c r="AD23" s="450"/>
      <c r="AE23" s="581">
        <f>AK23</f>
        <v>0.13184713375796181</v>
      </c>
      <c r="AF23" s="582"/>
      <c r="AG23" s="114">
        <f>((AE23/19.32)*10)</f>
        <v>6.8243858052775261E-2</v>
      </c>
      <c r="AH23" s="104"/>
      <c r="AI23" s="42">
        <f t="shared" ref="AI23:AI33" si="0">AJ51</f>
        <v>0.27600000000000002</v>
      </c>
      <c r="AJ23" s="42">
        <f t="shared" ref="AJ23:AJ33" si="1">AJ51/1.57</f>
        <v>0.17579617834394906</v>
      </c>
      <c r="AK23" s="42">
        <f t="shared" ref="AK23:AK33" si="2">AJ23*0.75</f>
        <v>0.13184713375796181</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11.65</v>
      </c>
      <c r="R24" s="152">
        <v>11.75</v>
      </c>
      <c r="S24" s="153">
        <v>11.46</v>
      </c>
      <c r="T24" s="174"/>
      <c r="U24" s="112">
        <v>0.05</v>
      </c>
      <c r="V24" s="113">
        <f>U24*25.4</f>
        <v>1.27</v>
      </c>
      <c r="W24" s="581">
        <f>AI24</f>
        <v>0.57799999999999996</v>
      </c>
      <c r="X24" s="582"/>
      <c r="Y24" s="449">
        <f>((W24/19.32)*10)</f>
        <v>0.29917184265010349</v>
      </c>
      <c r="Z24" s="450"/>
      <c r="AA24" s="581">
        <v>0.35399999999999998</v>
      </c>
      <c r="AB24" s="582"/>
      <c r="AC24" s="449">
        <f>((AA24/19.32)*10)</f>
        <v>0.18322981366459626</v>
      </c>
      <c r="AD24" s="450"/>
      <c r="AE24" s="581">
        <f>AK24</f>
        <v>0.27611464968152866</v>
      </c>
      <c r="AF24" s="582"/>
      <c r="AG24" s="114">
        <f>((AE24/19.32)*10)</f>
        <v>0.14291648534240614</v>
      </c>
      <c r="AH24" s="104"/>
      <c r="AI24" s="42">
        <f t="shared" si="0"/>
        <v>0.57799999999999996</v>
      </c>
      <c r="AJ24" s="42">
        <f t="shared" si="1"/>
        <v>0.36815286624203819</v>
      </c>
      <c r="AK24" s="42">
        <f t="shared" si="2"/>
        <v>0.27611464968152866</v>
      </c>
      <c r="AO24" s="42">
        <v>0.68400000000000005</v>
      </c>
      <c r="AS24" s="42">
        <f t="shared" si="3"/>
        <v>0.55609756097560981</v>
      </c>
    </row>
    <row r="25" spans="1:45" ht="24.95" customHeight="1" thickBot="1" x14ac:dyDescent="0.3">
      <c r="A25" s="103"/>
      <c r="B25" s="602" t="s">
        <v>69</v>
      </c>
      <c r="C25" s="603"/>
      <c r="D25" s="603"/>
      <c r="E25" s="115">
        <f>E22-E23</f>
        <v>4086</v>
      </c>
      <c r="F25" s="115">
        <f>F22-F23</f>
        <v>4375</v>
      </c>
      <c r="G25" s="115">
        <f>G22-G23</f>
        <v>4387</v>
      </c>
      <c r="H25" s="116">
        <f>H22-H23</f>
        <v>4109</v>
      </c>
      <c r="I25" s="174"/>
      <c r="J25" s="174" t="s">
        <v>127</v>
      </c>
      <c r="K25" s="174"/>
      <c r="L25" s="218" t="s">
        <v>128</v>
      </c>
      <c r="M25" s="155">
        <v>0</v>
      </c>
      <c r="N25" s="103"/>
      <c r="O25" s="604" t="s">
        <v>46</v>
      </c>
      <c r="P25" s="605"/>
      <c r="Q25" s="608">
        <v>15.25</v>
      </c>
      <c r="R25" s="608">
        <v>15.2</v>
      </c>
      <c r="S25" s="610">
        <v>15.26</v>
      </c>
      <c r="T25" s="174"/>
      <c r="U25" s="112">
        <v>7.4999999999999997E-2</v>
      </c>
      <c r="V25" s="113">
        <f>U25*25.4</f>
        <v>1.9049999999999998</v>
      </c>
      <c r="W25" s="581">
        <f>AI25</f>
        <v>0.85499999999999998</v>
      </c>
      <c r="X25" s="582"/>
      <c r="Y25" s="449">
        <f>((W25/19.32)*10)</f>
        <v>0.44254658385093171</v>
      </c>
      <c r="Z25" s="450"/>
      <c r="AA25" s="581">
        <v>0.53400000000000003</v>
      </c>
      <c r="AB25" s="582"/>
      <c r="AC25" s="449">
        <f>((AA25/19.32)*10)</f>
        <v>0.27639751552795033</v>
      </c>
      <c r="AD25" s="450"/>
      <c r="AE25" s="581">
        <f>AK25</f>
        <v>0.40843949044585987</v>
      </c>
      <c r="AF25" s="582"/>
      <c r="AG25" s="114">
        <f>((AE25/19.32)*10)</f>
        <v>0.21140760375044507</v>
      </c>
      <c r="AH25" s="104"/>
      <c r="AI25" s="42">
        <f t="shared" si="0"/>
        <v>0.85499999999999998</v>
      </c>
      <c r="AJ25" s="42">
        <f t="shared" si="1"/>
        <v>0.54458598726114649</v>
      </c>
      <c r="AK25" s="42">
        <f t="shared" si="2"/>
        <v>0.40843949044585987</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4">
        <f>AI26</f>
        <v>1.099</v>
      </c>
      <c r="X26" s="775"/>
      <c r="Y26" s="439">
        <f>((W26/19.32)*10)</f>
        <v>0.5688405797101449</v>
      </c>
      <c r="Z26" s="440"/>
      <c r="AA26" s="593">
        <f>AJ26</f>
        <v>0.7</v>
      </c>
      <c r="AB26" s="594"/>
      <c r="AC26" s="439">
        <f>((AA26/19.32)*10)</f>
        <v>0.36231884057971009</v>
      </c>
      <c r="AD26" s="440"/>
      <c r="AE26" s="593">
        <f>AK26</f>
        <v>0.52499999999999991</v>
      </c>
      <c r="AF26" s="594"/>
      <c r="AG26" s="469">
        <f>((AE26/19.32)*10)</f>
        <v>0.27173913043478259</v>
      </c>
      <c r="AH26" s="104"/>
      <c r="AI26" s="42">
        <f t="shared" si="0"/>
        <v>1.099</v>
      </c>
      <c r="AJ26" s="42">
        <f t="shared" si="1"/>
        <v>0.7</v>
      </c>
      <c r="AK26" s="42">
        <f t="shared" si="2"/>
        <v>0.52499999999999991</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2127.920968370137</v>
      </c>
      <c r="R27" s="152">
        <f>(PI()*((R25^2)/4)*R24)</f>
        <v>2132.1361021383209</v>
      </c>
      <c r="S27" s="153">
        <f>(PI()*((S25^2)/4)*S24)</f>
        <v>2095.9627801656829</v>
      </c>
      <c r="T27" s="174"/>
      <c r="U27" s="600"/>
      <c r="V27" s="601"/>
      <c r="W27" s="776"/>
      <c r="X27" s="777"/>
      <c r="Y27" s="441"/>
      <c r="Z27" s="442"/>
      <c r="AA27" s="595"/>
      <c r="AB27" s="596"/>
      <c r="AC27" s="441"/>
      <c r="AD27" s="442"/>
      <c r="AE27" s="595"/>
      <c r="AF27" s="596"/>
      <c r="AG27" s="470"/>
      <c r="AH27" s="193"/>
      <c r="AI27" s="42">
        <f t="shared" si="0"/>
        <v>1.4059999999999999</v>
      </c>
      <c r="AJ27" s="42">
        <f t="shared" si="1"/>
        <v>0.89554140127388526</v>
      </c>
      <c r="AK27" s="42">
        <f t="shared" si="2"/>
        <v>0.67165605095541392</v>
      </c>
      <c r="AO27" s="42">
        <v>2.387</v>
      </c>
      <c r="AS27" s="42">
        <f t="shared" si="3"/>
        <v>1.9406504065040651</v>
      </c>
    </row>
    <row r="28" spans="1:45" ht="24.95" customHeight="1" thickBot="1" x14ac:dyDescent="0.3">
      <c r="A28" s="103"/>
      <c r="B28" s="560" t="s">
        <v>9</v>
      </c>
      <c r="C28" s="561"/>
      <c r="D28" s="561"/>
      <c r="E28" s="148">
        <v>220</v>
      </c>
      <c r="F28" s="148">
        <v>214</v>
      </c>
      <c r="G28" s="148">
        <v>702</v>
      </c>
      <c r="H28" s="149">
        <v>116</v>
      </c>
      <c r="I28" s="174"/>
      <c r="J28" s="597" t="s">
        <v>107</v>
      </c>
      <c r="K28" s="597"/>
      <c r="L28" s="562" t="s">
        <v>119</v>
      </c>
      <c r="M28" s="459">
        <f>IF(M26="","",(100-M26))</f>
        <v>100</v>
      </c>
      <c r="N28" s="103"/>
      <c r="O28" s="625" t="s">
        <v>136</v>
      </c>
      <c r="P28" s="626"/>
      <c r="Q28" s="115">
        <f>Q22-Q23</f>
        <v>4352</v>
      </c>
      <c r="R28" s="220">
        <f>R22-R23</f>
        <v>4251</v>
      </c>
      <c r="S28" s="221">
        <f>S22-S23</f>
        <v>3778</v>
      </c>
      <c r="T28" s="174"/>
      <c r="U28" s="627">
        <v>0.125</v>
      </c>
      <c r="V28" s="624">
        <f>U28*25.4</f>
        <v>3.1749999999999998</v>
      </c>
      <c r="W28" s="593">
        <f>AI27</f>
        <v>1.4059999999999999</v>
      </c>
      <c r="X28" s="594"/>
      <c r="Y28" s="439">
        <f>((W28/19.32)*10)</f>
        <v>0.72774327122153204</v>
      </c>
      <c r="Z28" s="440"/>
      <c r="AA28" s="593">
        <f>AJ27</f>
        <v>0.89554140127388526</v>
      </c>
      <c r="AB28" s="594"/>
      <c r="AC28" s="439">
        <f>((AA28/19.32)*10)</f>
        <v>0.46353074600097577</v>
      </c>
      <c r="AD28" s="440"/>
      <c r="AE28" s="593">
        <f>AK27</f>
        <v>0.67165605095541392</v>
      </c>
      <c r="AF28" s="594"/>
      <c r="AG28" s="443">
        <f>((AE28/19.32)*10)</f>
        <v>0.34764805950073185</v>
      </c>
      <c r="AH28" s="104"/>
      <c r="AI28" s="42">
        <f t="shared" si="0"/>
        <v>1.7</v>
      </c>
      <c r="AJ28" s="42">
        <f t="shared" si="1"/>
        <v>1.0828025477707006</v>
      </c>
      <c r="AK28" s="42">
        <f t="shared" si="2"/>
        <v>0.81210191082802541</v>
      </c>
      <c r="AO28" s="42">
        <v>2.8959999999999999</v>
      </c>
      <c r="AS28" s="42">
        <f t="shared" si="3"/>
        <v>2.3544715447154472</v>
      </c>
    </row>
    <row r="29" spans="1:45" ht="5.0999999999999996" customHeight="1" thickBot="1" x14ac:dyDescent="0.3">
      <c r="A29" s="103"/>
      <c r="B29" s="612" t="s">
        <v>73</v>
      </c>
      <c r="C29" s="613"/>
      <c r="D29" s="614"/>
      <c r="E29" s="618">
        <v>725.63</v>
      </c>
      <c r="F29" s="618">
        <v>895.64</v>
      </c>
      <c r="G29" s="618">
        <v>766.85</v>
      </c>
      <c r="H29" s="620">
        <v>912.56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1.8680000000000001</v>
      </c>
      <c r="AJ29" s="42">
        <f t="shared" si="1"/>
        <v>1.1898089171974522</v>
      </c>
      <c r="AK29" s="42">
        <f t="shared" si="2"/>
        <v>0.89235668789808908</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18.484996625000001</v>
      </c>
      <c r="N30" s="103"/>
      <c r="O30" s="622" t="s">
        <v>134</v>
      </c>
      <c r="P30" s="623"/>
      <c r="Q30" s="229">
        <f>Q28/Q27</f>
        <v>2.0451887380636027</v>
      </c>
      <c r="R30" s="229">
        <f>R28/R27</f>
        <v>1.9937751608523813</v>
      </c>
      <c r="S30" s="131">
        <f>S28/S27</f>
        <v>1.8025129242520967</v>
      </c>
      <c r="T30" s="174"/>
      <c r="U30" s="120">
        <v>0.15</v>
      </c>
      <c r="V30" s="113">
        <f>U30*25.4</f>
        <v>3.8099999999999996</v>
      </c>
      <c r="W30" s="581">
        <f>AI28</f>
        <v>1.7</v>
      </c>
      <c r="X30" s="582"/>
      <c r="Y30" s="449">
        <f>((W30/19.32)*10)</f>
        <v>0.8799171842650102</v>
      </c>
      <c r="Z30" s="450"/>
      <c r="AA30" s="581">
        <f>AJ28</f>
        <v>1.0828025477707006</v>
      </c>
      <c r="AB30" s="582"/>
      <c r="AC30" s="449">
        <f>((AA30/19.32)*10)</f>
        <v>0.56045680526433783</v>
      </c>
      <c r="AD30" s="450"/>
      <c r="AE30" s="581">
        <f>AK28</f>
        <v>0.81210191082802541</v>
      </c>
      <c r="AF30" s="582"/>
      <c r="AG30" s="114">
        <f>((AE30/19.32)*10)</f>
        <v>0.42034260394825329</v>
      </c>
      <c r="AH30" s="104"/>
      <c r="AI30" s="42">
        <f t="shared" si="0"/>
        <v>1.9419999999999999</v>
      </c>
      <c r="AJ30" s="42">
        <f t="shared" si="1"/>
        <v>1.2369426751592356</v>
      </c>
      <c r="AK30" s="42">
        <f t="shared" si="2"/>
        <v>0.92770700636942671</v>
      </c>
      <c r="AO30" s="42">
        <v>3.8439999999999999</v>
      </c>
      <c r="AS30" s="42">
        <f t="shared" si="3"/>
        <v>3.1252032520325201</v>
      </c>
    </row>
    <row r="31" spans="1:45" ht="24.95" customHeight="1" thickBot="1" x14ac:dyDescent="0.3">
      <c r="A31" s="103"/>
      <c r="B31" s="576" t="s">
        <v>74</v>
      </c>
      <c r="C31" s="577"/>
      <c r="D31" s="577"/>
      <c r="E31" s="152">
        <v>685.74</v>
      </c>
      <c r="F31" s="152">
        <v>831.97</v>
      </c>
      <c r="G31" s="152">
        <v>700.08</v>
      </c>
      <c r="H31" s="153">
        <v>820.63</v>
      </c>
      <c r="I31" s="174"/>
      <c r="J31" s="597" t="s">
        <v>138</v>
      </c>
      <c r="K31" s="597"/>
      <c r="L31" s="562" t="s">
        <v>116</v>
      </c>
      <c r="M31" s="457">
        <f>IF(M25="","",S82)</f>
        <v>2.7120000000000002</v>
      </c>
      <c r="N31" s="121"/>
      <c r="O31" s="628" t="s">
        <v>135</v>
      </c>
      <c r="P31" s="629"/>
      <c r="Q31" s="122">
        <f>Q30/(1+Q40/100)</f>
        <v>1.8763552729334183</v>
      </c>
      <c r="R31" s="122">
        <f>R30/(1+R40/100)</f>
        <v>1.8313083626735134</v>
      </c>
      <c r="S31" s="123">
        <f>S30/(1+S40/100)</f>
        <v>1.6554781933832878</v>
      </c>
      <c r="T31" s="174"/>
      <c r="U31" s="627">
        <v>0.17499999999999999</v>
      </c>
      <c r="V31" s="624">
        <f>U31*25.4</f>
        <v>4.4449999999999994</v>
      </c>
      <c r="W31" s="593">
        <v>1.944</v>
      </c>
      <c r="X31" s="594"/>
      <c r="Y31" s="439">
        <f>((W31/19.32)*10)</f>
        <v>1.0062111801242235</v>
      </c>
      <c r="Z31" s="440"/>
      <c r="AA31" s="593">
        <f>AJ29</f>
        <v>1.1898089171974522</v>
      </c>
      <c r="AB31" s="594"/>
      <c r="AC31" s="439">
        <f>((AA31/19.32)*10)</f>
        <v>0.61584312484340176</v>
      </c>
      <c r="AD31" s="440"/>
      <c r="AE31" s="593">
        <f>AK29</f>
        <v>0.89235668789808908</v>
      </c>
      <c r="AF31" s="594"/>
      <c r="AG31" s="443">
        <f>((AE31/19.32)*10)</f>
        <v>0.46188234363255132</v>
      </c>
      <c r="AH31" s="104"/>
      <c r="AI31" s="42">
        <f t="shared" si="0"/>
        <v>2.5409999999999999</v>
      </c>
      <c r="AJ31" s="42">
        <f t="shared" si="1"/>
        <v>1.6184713375796178</v>
      </c>
      <c r="AK31" s="42">
        <f t="shared" si="2"/>
        <v>1.2138535031847133</v>
      </c>
      <c r="AO31" s="42">
        <v>5.516</v>
      </c>
      <c r="AS31" s="42">
        <f t="shared" si="3"/>
        <v>4.4845528455284551</v>
      </c>
    </row>
    <row r="32" spans="1:45" ht="5.0999999999999996" customHeight="1" thickBot="1" x14ac:dyDescent="0.3">
      <c r="A32" s="103"/>
      <c r="B32" s="612" t="s">
        <v>75</v>
      </c>
      <c r="C32" s="613"/>
      <c r="D32" s="614"/>
      <c r="E32" s="618">
        <v>61.46</v>
      </c>
      <c r="F32" s="618">
        <v>65.989999999999995</v>
      </c>
      <c r="G32" s="618">
        <v>44.57</v>
      </c>
      <c r="H32" s="620">
        <v>63.63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3.464</v>
      </c>
      <c r="AJ32" s="42">
        <f t="shared" si="1"/>
        <v>2.2063694267515923</v>
      </c>
      <c r="AK32" s="42">
        <f t="shared" si="2"/>
        <v>1.6547770700636941</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v>2.246</v>
      </c>
      <c r="X33" s="582"/>
      <c r="Y33" s="449">
        <f>((W33/19.32)*10)</f>
        <v>1.1625258799171843</v>
      </c>
      <c r="Z33" s="450"/>
      <c r="AA33" s="581">
        <v>1.3</v>
      </c>
      <c r="AB33" s="582"/>
      <c r="AC33" s="449">
        <f>((AA33/19.32)*10)</f>
        <v>0.67287784679089024</v>
      </c>
      <c r="AD33" s="450"/>
      <c r="AE33" s="581">
        <f>AK30</f>
        <v>0.92770700636942671</v>
      </c>
      <c r="AF33" s="582"/>
      <c r="AG33" s="144">
        <f>((AE33/19.32)*10)</f>
        <v>0.48017960992206349</v>
      </c>
      <c r="AH33" s="104"/>
      <c r="AI33" s="42">
        <f t="shared" si="0"/>
        <v>4.6429999999999998</v>
      </c>
      <c r="AJ33" s="42">
        <f t="shared" si="1"/>
        <v>2.9573248407643309</v>
      </c>
      <c r="AK33" s="42">
        <f t="shared" si="2"/>
        <v>2.2179936305732482</v>
      </c>
      <c r="AO33" s="42">
        <v>7.7720000000000002</v>
      </c>
      <c r="AS33" s="42">
        <f t="shared" si="3"/>
        <v>6.3186991869918705</v>
      </c>
    </row>
    <row r="34" spans="1:45" ht="24.95" customHeight="1" thickBot="1" x14ac:dyDescent="0.3">
      <c r="A34" s="103"/>
      <c r="B34" s="602" t="s">
        <v>10</v>
      </c>
      <c r="C34" s="603"/>
      <c r="D34" s="603"/>
      <c r="E34" s="125">
        <f>((E29-E31)/(E31-E32))*100</f>
        <v>6.3897610046773874</v>
      </c>
      <c r="F34" s="125">
        <f>((F29-F31)/(F31-F32))*100</f>
        <v>8.312227473302169</v>
      </c>
      <c r="G34" s="125">
        <f>((G29-G31)/(G31-G32))*100</f>
        <v>10.185962075330655</v>
      </c>
      <c r="H34" s="126">
        <f>((H29-H31)/(H31-H32))*100</f>
        <v>12.14398943196829</v>
      </c>
      <c r="I34" s="174"/>
      <c r="J34" s="630" t="s">
        <v>125</v>
      </c>
      <c r="K34" s="630"/>
      <c r="L34" s="184" t="s">
        <v>126</v>
      </c>
      <c r="M34" s="127">
        <v>2.56</v>
      </c>
      <c r="N34" s="128"/>
      <c r="O34" s="631" t="s">
        <v>9</v>
      </c>
      <c r="P34" s="632"/>
      <c r="Q34" s="156">
        <v>373</v>
      </c>
      <c r="R34" s="156">
        <v>206</v>
      </c>
      <c r="S34" s="157">
        <v>222</v>
      </c>
      <c r="T34" s="174"/>
      <c r="U34" s="120">
        <v>0.3</v>
      </c>
      <c r="V34" s="113">
        <f>U34*25.4</f>
        <v>7.6199999999999992</v>
      </c>
      <c r="W34" s="581">
        <v>2.8969999999999998</v>
      </c>
      <c r="X34" s="582"/>
      <c r="Y34" s="449">
        <f>((W34/19.32)*10)</f>
        <v>1.4994824016563146</v>
      </c>
      <c r="Z34" s="450"/>
      <c r="AA34" s="581">
        <v>1.8</v>
      </c>
      <c r="AB34" s="582"/>
      <c r="AC34" s="449">
        <f>((AA34/19.32)*10)</f>
        <v>0.93167701863354035</v>
      </c>
      <c r="AD34" s="450"/>
      <c r="AE34" s="581">
        <f>AK31</f>
        <v>1.2138535031847133</v>
      </c>
      <c r="AF34" s="582"/>
      <c r="AG34" s="114">
        <f>((AE34/19.32)*10)</f>
        <v>0.62828856272500688</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721.59</v>
      </c>
      <c r="R35" s="608">
        <v>845.65</v>
      </c>
      <c r="S35" s="610">
        <v>785.26</v>
      </c>
      <c r="T35" s="174"/>
      <c r="U35" s="627">
        <v>0.4</v>
      </c>
      <c r="V35" s="624">
        <f>U35*25.4</f>
        <v>10.16</v>
      </c>
      <c r="W35" s="593">
        <v>3.7040000000000002</v>
      </c>
      <c r="X35" s="594"/>
      <c r="Y35" s="439">
        <f>((W35/19.32)*10)</f>
        <v>1.9171842650103521</v>
      </c>
      <c r="Z35" s="440"/>
      <c r="AA35" s="593">
        <v>2.2999999999999998</v>
      </c>
      <c r="AB35" s="594"/>
      <c r="AC35" s="439">
        <f>(AA35/19.32)*10</f>
        <v>1.1904761904761905</v>
      </c>
      <c r="AD35" s="440"/>
      <c r="AE35" s="593">
        <f>AK32</f>
        <v>1.6547770700636941</v>
      </c>
      <c r="AF35" s="594"/>
      <c r="AG35" s="443">
        <f>((AE35/19.32)*10)</f>
        <v>0.85650987063338202</v>
      </c>
      <c r="AH35" s="104"/>
      <c r="AS35" s="42">
        <f t="shared" si="3"/>
        <v>0</v>
      </c>
    </row>
    <row r="36" spans="1:45" ht="20.100000000000001" customHeight="1" thickBot="1" x14ac:dyDescent="0.3">
      <c r="A36" s="103"/>
      <c r="B36" s="639" t="s">
        <v>71</v>
      </c>
      <c r="C36" s="640"/>
      <c r="D36" s="640"/>
      <c r="E36" s="130">
        <f>E25/E24</f>
        <v>1.9022346368715084</v>
      </c>
      <c r="F36" s="130">
        <f>F25/F24</f>
        <v>2.0367783985102421</v>
      </c>
      <c r="G36" s="130">
        <f>G25/G24</f>
        <v>2.0423649906890131</v>
      </c>
      <c r="H36" s="131">
        <f>H25/H24</f>
        <v>1.9129422718808193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1.7879865683577176</v>
      </c>
      <c r="F37" s="230">
        <f>F36/(1+F34/100)</f>
        <v>1.8804694964031525</v>
      </c>
      <c r="G37" s="230">
        <f>G36/(1+G34/100)</f>
        <v>1.8535618804986365</v>
      </c>
      <c r="H37" s="123">
        <f>H36/(1+H34/100)</f>
        <v>1.7057911721976846</v>
      </c>
      <c r="I37" s="174"/>
      <c r="J37" s="641" t="s">
        <v>139</v>
      </c>
      <c r="K37" s="641"/>
      <c r="L37" s="643" t="s">
        <v>121</v>
      </c>
      <c r="M37" s="433">
        <f>IF(F74="","",(M42^2*F74+M42*F75+F76))</f>
        <v>1.8843013888888889</v>
      </c>
      <c r="N37" s="101"/>
      <c r="O37" s="576" t="s">
        <v>28</v>
      </c>
      <c r="P37" s="577"/>
      <c r="Q37" s="150">
        <v>671.61</v>
      </c>
      <c r="R37" s="150">
        <v>781.36</v>
      </c>
      <c r="S37" s="151">
        <v>726.17</v>
      </c>
      <c r="T37" s="174"/>
      <c r="U37" s="132">
        <v>0.5</v>
      </c>
      <c r="V37" s="133">
        <f>U37*25.4</f>
        <v>12.7</v>
      </c>
      <c r="W37" s="637">
        <f>AI33</f>
        <v>4.6429999999999998</v>
      </c>
      <c r="X37" s="638"/>
      <c r="Y37" s="431">
        <f>((W37/19.32)*10)</f>
        <v>2.4032091097308488</v>
      </c>
      <c r="Z37" s="432"/>
      <c r="AA37" s="637">
        <v>2.8</v>
      </c>
      <c r="AB37" s="638"/>
      <c r="AC37" s="431">
        <f>((AA37/19.32)*10)</f>
        <v>1.4492753623188404</v>
      </c>
      <c r="AD37" s="432"/>
      <c r="AE37" s="637">
        <f>AK33</f>
        <v>2.2179936305732482</v>
      </c>
      <c r="AF37" s="638"/>
      <c r="AG37" s="134">
        <f>((AE37/19.32)*10)</f>
        <v>1.1480298294892588</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116.15</v>
      </c>
      <c r="R38" s="647">
        <v>56.69</v>
      </c>
      <c r="S38" s="648">
        <v>60.87</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18.484996625000001</v>
      </c>
      <c r="N40" s="103"/>
      <c r="O40" s="628" t="s">
        <v>10</v>
      </c>
      <c r="P40" s="629"/>
      <c r="Q40" s="125">
        <f>((Q35-Q37)/(Q37-Q38))*100</f>
        <v>8.9979476469952857</v>
      </c>
      <c r="R40" s="125">
        <f>((R35-R37)/(R37-R38))*100</f>
        <v>8.8716243255550751</v>
      </c>
      <c r="S40" s="126">
        <f>((S35-S37)/(S37-S38))*100</f>
        <v>8.8817075003757751</v>
      </c>
      <c r="T40" s="174"/>
      <c r="U40" s="645" t="s">
        <v>151</v>
      </c>
      <c r="V40" s="646"/>
      <c r="W40" s="423">
        <f>(AM79/6.9)*100</f>
        <v>8.2440663726107957</v>
      </c>
      <c r="X40" s="423"/>
      <c r="Y40" s="423"/>
      <c r="Z40" s="424"/>
      <c r="AA40" s="425">
        <f>(AO79/6.9)*100</f>
        <v>5.2509976895610153</v>
      </c>
      <c r="AB40" s="426"/>
      <c r="AC40" s="427"/>
      <c r="AD40" s="425">
        <f>(AQ79/6.9)*100</f>
        <v>3.9382482671707622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11.286659028322177</v>
      </c>
      <c r="X41" s="418"/>
      <c r="Y41" s="418"/>
      <c r="Z41" s="419"/>
      <c r="AA41" s="420">
        <f>(AO83/10.3)*100</f>
        <v>6.5327946290377694</v>
      </c>
      <c r="AB41" s="421"/>
      <c r="AC41" s="418"/>
      <c r="AD41" s="420">
        <f>(AQ83/10.3)*100</f>
        <v>4.661937960408383</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8.8240740740740744</v>
      </c>
      <c r="N42" s="103"/>
      <c r="O42" s="639" t="s">
        <v>9</v>
      </c>
      <c r="P42" s="640"/>
      <c r="Q42" s="148">
        <v>661</v>
      </c>
      <c r="R42" s="148">
        <v>215</v>
      </c>
      <c r="S42" s="149">
        <v>219</v>
      </c>
      <c r="T42" s="174"/>
      <c r="U42" s="651" t="s">
        <v>42</v>
      </c>
      <c r="V42" s="652"/>
      <c r="W42" s="413">
        <f>IF(W40&lt;W41,W40,W41)</f>
        <v>8.2440663726107957</v>
      </c>
      <c r="X42" s="414"/>
      <c r="Y42" s="414"/>
      <c r="Z42" s="415"/>
      <c r="AA42" s="416">
        <f>IF(AA40&lt;AA41,AA40,AA41)</f>
        <v>5.2509976895610153</v>
      </c>
      <c r="AB42" s="414"/>
      <c r="AC42" s="415"/>
      <c r="AD42" s="416">
        <f>IF(AD40&lt;AD41,AD40,AD41)</f>
        <v>3.9382482671707622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328.69</v>
      </c>
      <c r="R43" s="608">
        <v>456.95</v>
      </c>
      <c r="S43" s="610">
        <v>548.52</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288.7</v>
      </c>
      <c r="R45" s="150">
        <v>400.23</v>
      </c>
      <c r="S45" s="151">
        <v>475.67</v>
      </c>
      <c r="T45" s="174"/>
      <c r="U45" s="656" t="s">
        <v>139</v>
      </c>
      <c r="V45" s="656"/>
      <c r="W45" s="179" t="s">
        <v>121</v>
      </c>
      <c r="X45" s="406">
        <f>MAX(M37:M39)</f>
        <v>1.8843013888888889</v>
      </c>
      <c r="Y45" s="406"/>
      <c r="Z45" s="406"/>
      <c r="AA45" s="174"/>
      <c r="AB45" s="657" t="s">
        <v>31</v>
      </c>
      <c r="AC45" s="658"/>
      <c r="AD45" s="658"/>
      <c r="AE45" s="658"/>
      <c r="AF45" s="231">
        <v>5.8999999999999997E-2</v>
      </c>
      <c r="AG45" s="231">
        <v>0.1055</v>
      </c>
      <c r="AH45" s="233">
        <v>0.122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36.33</v>
      </c>
      <c r="R46" s="152">
        <v>65.45</v>
      </c>
      <c r="S46" s="151">
        <v>59.38</v>
      </c>
      <c r="T46" s="174"/>
      <c r="U46" s="555" t="s">
        <v>123</v>
      </c>
      <c r="V46" s="555"/>
      <c r="W46" s="179" t="s">
        <v>41</v>
      </c>
      <c r="X46" s="401">
        <f>MIN(M42:M44)</f>
        <v>8.8240740740740744</v>
      </c>
      <c r="Y46" s="401"/>
      <c r="Z46" s="401"/>
      <c r="AA46" s="174"/>
      <c r="AB46" s="660" t="s">
        <v>32</v>
      </c>
      <c r="AC46" s="661"/>
      <c r="AD46" s="661"/>
      <c r="AE46" s="661"/>
      <c r="AF46" s="234">
        <v>6.7000000000000004E-2</v>
      </c>
      <c r="AG46" s="234">
        <v>0.1105</v>
      </c>
      <c r="AH46" s="235">
        <v>0.1225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15.845781986765466</v>
      </c>
      <c r="R47" s="125">
        <f>((R43-R45)/(R45-R46))*100</f>
        <v>16.942469681581922</v>
      </c>
      <c r="S47" s="126">
        <f>((S43-S45)/(S45-S46))*100</f>
        <v>17.499819837132762</v>
      </c>
      <c r="T47" s="174"/>
      <c r="U47" s="555" t="s">
        <v>162</v>
      </c>
      <c r="V47" s="555"/>
      <c r="W47" s="179" t="s">
        <v>41</v>
      </c>
      <c r="X47" s="402">
        <f>IF(L25=D103,"-",IF(L25=D102,"-",IF(L25=D101,M25)))</f>
        <v>0</v>
      </c>
      <c r="Y47" s="402"/>
      <c r="Z47" s="402"/>
      <c r="AA47" s="174"/>
      <c r="AB47" s="662" t="s">
        <v>33</v>
      </c>
      <c r="AC47" s="663"/>
      <c r="AD47" s="663"/>
      <c r="AE47" s="663"/>
      <c r="AF47" s="232">
        <f>(AF46-AF45)*2.54</f>
        <v>2.0320000000000019E-2</v>
      </c>
      <c r="AG47" s="232">
        <f>(AG46-AG45)*2.54</f>
        <v>1.2700000000000012E-2</v>
      </c>
      <c r="AH47" s="239">
        <f>(AH46-AH45)*2.54</f>
        <v>1.2700000000000012E-3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0.17442060085836925</v>
      </c>
      <c r="AG48" s="142">
        <f>IF(AG47&lt;&gt;"",IF(R24&lt;&gt;"",AG47/R24*100,""),"")</f>
        <v>0.10808510638297883</v>
      </c>
      <c r="AH48" s="173">
        <f>IF(AH47&lt;&gt;"",IF(S24&lt;&gt;"",AH47/S24*100,""),"")</f>
        <v>1.1082024432809782E-2</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5.7000000000000002E-2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0.27600000000000002</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0.57799999999999996</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0.85499999999999998</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1.099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1.4059999999999999</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1.7</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1.8680000000000001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1.9419999999999999</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2.5409999999999999</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3.464</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4.6429999999999998</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-1.6199999999999999E-2</v>
      </c>
      <c r="G74" s="75">
        <v>-0.12509999999999999</v>
      </c>
      <c r="J74" s="701"/>
      <c r="K74" s="702"/>
      <c r="L74" s="44"/>
      <c r="M74" s="44"/>
      <c r="N74" s="44"/>
    </row>
    <row r="75" spans="1:94" ht="26.25" customHeight="1" thickBot="1" x14ac:dyDescent="0.3">
      <c r="A75" s="11"/>
      <c r="B75" s="377" t="s">
        <v>113</v>
      </c>
      <c r="C75" s="377"/>
      <c r="D75" s="19"/>
      <c r="E75" s="54" t="s">
        <v>12</v>
      </c>
      <c r="F75" s="55">
        <v>0.28589999999999999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0.62290000000000001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0.27600000000000002</v>
      </c>
      <c r="AM76" s="3">
        <f t="shared" si="4"/>
        <v>0.14285714285714288</v>
      </c>
      <c r="AN76" s="5">
        <f>AA23</f>
        <v>0.156</v>
      </c>
      <c r="AO76" s="3">
        <f t="shared" ref="AO76:AO86" si="7">((AN76/19.32)*10)</f>
        <v>8.0745341614906832E-2</v>
      </c>
      <c r="AP76" s="5">
        <f>AE23</f>
        <v>0.13184713375796181</v>
      </c>
      <c r="AQ76" s="161">
        <f t="shared" si="5"/>
        <v>6.8243858052775261E-2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0.57799999999999996</v>
      </c>
      <c r="AM77" s="3">
        <f t="shared" si="4"/>
        <v>0.29917184265010349</v>
      </c>
      <c r="AN77" s="5">
        <f>AA24</f>
        <v>0.35399999999999998</v>
      </c>
      <c r="AO77" s="3">
        <f t="shared" si="7"/>
        <v>0.18322981366459626</v>
      </c>
      <c r="AP77" s="5">
        <f>AE24</f>
        <v>0.27611464968152866</v>
      </c>
      <c r="AQ77" s="161">
        <f t="shared" si="5"/>
        <v>0.14291648534240614</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0.85499999999999998</v>
      </c>
      <c r="AM78" s="3">
        <f t="shared" si="4"/>
        <v>0.44254658385093171</v>
      </c>
      <c r="AN78" s="5">
        <f>AA25</f>
        <v>0.53400000000000003</v>
      </c>
      <c r="AO78" s="3">
        <f t="shared" si="7"/>
        <v>0.27639751552795033</v>
      </c>
      <c r="AP78" s="5">
        <f>AE25</f>
        <v>0.40843949044585987</v>
      </c>
      <c r="AQ78" s="161">
        <f t="shared" si="5"/>
        <v>0.21140760375044507</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1.099</v>
      </c>
      <c r="AM79" s="4">
        <f t="shared" si="4"/>
        <v>0.5688405797101449</v>
      </c>
      <c r="AN79" s="5">
        <f>AA26</f>
        <v>0.7</v>
      </c>
      <c r="AO79" s="4">
        <f t="shared" si="7"/>
        <v>0.36231884057971009</v>
      </c>
      <c r="AP79" s="5">
        <f>AE26</f>
        <v>0.52499999999999991</v>
      </c>
      <c r="AQ79" s="162">
        <f t="shared" si="5"/>
        <v>0.27173913043478259</v>
      </c>
      <c r="BB79" s="12">
        <v>17</v>
      </c>
      <c r="BC79" s="12">
        <v>18</v>
      </c>
    </row>
    <row r="80" spans="1:94" ht="42" customHeight="1" thickTop="1" thickBot="1" x14ac:dyDescent="0.3">
      <c r="D80" s="49"/>
      <c r="H80" s="711" t="s">
        <v>105</v>
      </c>
      <c r="I80" s="712"/>
      <c r="J80" s="58"/>
      <c r="AJ80" s="160">
        <f>U28</f>
        <v>0.125</v>
      </c>
      <c r="AK80" s="3">
        <f t="shared" si="6"/>
        <v>3.1749999999999998</v>
      </c>
      <c r="AL80" s="5">
        <f>W28</f>
        <v>1.4059999999999999</v>
      </c>
      <c r="AM80" s="3">
        <f t="shared" si="4"/>
        <v>0.72774327122153204</v>
      </c>
      <c r="AN80" s="5">
        <f>AA28</f>
        <v>0.89554140127388526</v>
      </c>
      <c r="AO80" s="3">
        <f t="shared" si="7"/>
        <v>0.46353074600097577</v>
      </c>
      <c r="AP80" s="5">
        <f>AE28</f>
        <v>0.67165605095541392</v>
      </c>
      <c r="AQ80" s="161">
        <f t="shared" si="5"/>
        <v>0.34764805950073185</v>
      </c>
      <c r="BC80" s="45">
        <v>0.99880400000000003</v>
      </c>
      <c r="BD80" s="45">
        <v>0.99862499999999998</v>
      </c>
    </row>
    <row r="81" spans="2:43" ht="15.75" customHeight="1" x14ac:dyDescent="0.25">
      <c r="AJ81" s="160">
        <f>U30</f>
        <v>0.15</v>
      </c>
      <c r="AK81" s="3">
        <f t="shared" si="6"/>
        <v>3.8099999999999996</v>
      </c>
      <c r="AL81" s="5">
        <f>W30</f>
        <v>1.7</v>
      </c>
      <c r="AM81" s="3">
        <f t="shared" si="4"/>
        <v>0.8799171842650102</v>
      </c>
      <c r="AN81" s="5">
        <f>AA30</f>
        <v>1.0828025477707006</v>
      </c>
      <c r="AO81" s="3">
        <f t="shared" si="7"/>
        <v>0.56045680526433783</v>
      </c>
      <c r="AP81" s="5">
        <f>AE30</f>
        <v>0.81210191082802541</v>
      </c>
      <c r="AQ81" s="161">
        <f t="shared" si="5"/>
        <v>0.42034260394825329</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1.944</v>
      </c>
      <c r="AM82" s="3">
        <f t="shared" si="4"/>
        <v>1.0062111801242235</v>
      </c>
      <c r="AN82" s="5">
        <f>AA31</f>
        <v>1.1898089171974522</v>
      </c>
      <c r="AO82" s="3">
        <f t="shared" si="7"/>
        <v>0.61584312484340176</v>
      </c>
      <c r="AP82" s="5">
        <f>AE31</f>
        <v>0.89235668789808908</v>
      </c>
      <c r="AQ82" s="161">
        <f t="shared" si="5"/>
        <v>0.46188234363255132</v>
      </c>
    </row>
    <row r="83" spans="2:43" ht="15" customHeight="1" x14ac:dyDescent="0.25">
      <c r="B83" s="49"/>
      <c r="C83" s="49"/>
      <c r="D83" s="49">
        <v>0</v>
      </c>
      <c r="E83" s="50">
        <f>M42</f>
        <v>8.8240740740740744</v>
      </c>
      <c r="F83" s="49"/>
      <c r="G83" s="43">
        <f>G84/10</f>
        <v>2.1583084720450927</v>
      </c>
      <c r="H83" s="43">
        <f>H84/10</f>
        <v>2.0707243129848893</v>
      </c>
      <c r="I83" s="43">
        <f>I84/10</f>
        <v>1.9919403747054241</v>
      </c>
      <c r="J83" s="43">
        <f>J84/10</f>
        <v>1.9157728070840183</v>
      </c>
      <c r="K83" s="43"/>
      <c r="L83" s="42">
        <v>0</v>
      </c>
      <c r="O83" s="706"/>
      <c r="P83" s="706"/>
      <c r="Q83" s="706"/>
      <c r="R83" s="706"/>
      <c r="S83" s="707"/>
      <c r="W83" s="112"/>
      <c r="AJ83" s="160">
        <f>U33</f>
        <v>0.2</v>
      </c>
      <c r="AK83" s="4">
        <f t="shared" si="6"/>
        <v>5.08</v>
      </c>
      <c r="AL83" s="5">
        <f>W33</f>
        <v>2.246</v>
      </c>
      <c r="AM83" s="4">
        <f t="shared" si="4"/>
        <v>1.1625258799171843</v>
      </c>
      <c r="AN83" s="5">
        <f>AA33</f>
        <v>1.3</v>
      </c>
      <c r="AO83" s="4">
        <f t="shared" si="7"/>
        <v>0.67287784679089024</v>
      </c>
      <c r="AP83" s="5">
        <f>AE33</f>
        <v>0.92770700636942671</v>
      </c>
      <c r="AQ83" s="162">
        <f t="shared" si="5"/>
        <v>0.48017960992206349</v>
      </c>
    </row>
    <row r="84" spans="2:43" ht="15" customHeight="1" x14ac:dyDescent="0.25">
      <c r="C84" s="94"/>
      <c r="D84" s="94"/>
      <c r="E84" s="94"/>
      <c r="F84" s="49"/>
      <c r="G84" s="43">
        <f>($M$34/(1+(E34*$M$34/100)))*($O$73)</f>
        <v>21.583084720450927</v>
      </c>
      <c r="H84" s="43">
        <f>($M$34/(1+(F34*$M$34/100)))*($O$73)</f>
        <v>20.707243129848894</v>
      </c>
      <c r="I84" s="43">
        <f>($M$34/(1+(G34*$M$34/100)))*($O$73)</f>
        <v>19.91940374705424</v>
      </c>
      <c r="J84" s="43">
        <f>($M$34/(1+(H34*$M$34/100)))*($O$73)</f>
        <v>19.157728070840182</v>
      </c>
      <c r="K84" s="43"/>
      <c r="O84" s="706" t="s">
        <v>146</v>
      </c>
      <c r="P84" s="706"/>
      <c r="Q84" s="706"/>
      <c r="R84" s="706"/>
      <c r="S84" s="707">
        <v>2240</v>
      </c>
      <c r="W84" s="112"/>
      <c r="AJ84" s="160">
        <f>U34</f>
        <v>0.3</v>
      </c>
      <c r="AK84" s="3">
        <f t="shared" si="6"/>
        <v>7.6199999999999992</v>
      </c>
      <c r="AL84" s="5">
        <f>W34</f>
        <v>2.8969999999999998</v>
      </c>
      <c r="AM84" s="3">
        <f t="shared" si="4"/>
        <v>1.4994824016563146</v>
      </c>
      <c r="AN84" s="5">
        <f>AA34</f>
        <v>1.8</v>
      </c>
      <c r="AO84" s="3">
        <f t="shared" si="7"/>
        <v>0.93167701863354035</v>
      </c>
      <c r="AP84" s="5">
        <f>AE34</f>
        <v>1.2138535031847133</v>
      </c>
      <c r="AQ84" s="161">
        <f t="shared" si="5"/>
        <v>0.62828856272500688</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3.7040000000000002</v>
      </c>
      <c r="AM85" s="3">
        <f t="shared" si="4"/>
        <v>1.9171842650103521</v>
      </c>
      <c r="AN85" s="5">
        <f>AA35</f>
        <v>2.2999999999999998</v>
      </c>
      <c r="AO85" s="3">
        <f t="shared" si="7"/>
        <v>1.1904761904761905</v>
      </c>
      <c r="AP85" s="5">
        <f>AE35</f>
        <v>1.6547770700636941</v>
      </c>
      <c r="AQ85" s="161">
        <f>((AP85/19.32)*10)</f>
        <v>0.85650987063338202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4.6429999999999998</v>
      </c>
      <c r="AM86" s="164">
        <f t="shared" si="4"/>
        <v>2.4032091097308488</v>
      </c>
      <c r="AN86" s="165">
        <f>AA37</f>
        <v>2.8</v>
      </c>
      <c r="AO86" s="164">
        <f t="shared" si="7"/>
        <v>1.4492753623188404</v>
      </c>
      <c r="AP86" s="165">
        <f>AE37</f>
        <v>2.2179936305732482</v>
      </c>
      <c r="AQ86" s="166">
        <f>((AP86/19.32)*10)</f>
        <v>1.1480298294892588</v>
      </c>
    </row>
    <row r="87" spans="2:43" x14ac:dyDescent="0.25">
      <c r="B87" s="92" t="s">
        <v>54</v>
      </c>
      <c r="C87" s="93"/>
      <c r="D87" s="93"/>
      <c r="E87" s="93"/>
      <c r="F87" s="49"/>
      <c r="G87" s="49"/>
      <c r="H87" s="49"/>
      <c r="I87" s="49"/>
      <c r="O87" s="706"/>
      <c r="P87" s="706"/>
      <c r="Q87" s="706"/>
      <c r="R87" s="706"/>
      <c r="S87" s="721"/>
      <c r="W87" s="600"/>
    </row>
    <row r="88" spans="2:43" x14ac:dyDescent="0.25">
      <c r="B88" s="92" t="s">
        <v>56</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1.8763552729334183</v>
      </c>
      <c r="AK91" s="9">
        <f>R31</f>
        <v>1.8313083626735134</v>
      </c>
      <c r="AL91" s="10">
        <f>S31</f>
        <v>1.6554781933832878</v>
      </c>
    </row>
    <row r="92" spans="2:43" ht="21" customHeight="1" thickBot="1" x14ac:dyDescent="0.3">
      <c r="B92" s="92"/>
      <c r="C92" s="93"/>
      <c r="D92" s="93"/>
      <c r="E92" s="93"/>
      <c r="F92" s="62"/>
      <c r="G92" s="63"/>
      <c r="H92" s="49"/>
      <c r="I92" s="49"/>
      <c r="O92" s="725" t="s">
        <v>147</v>
      </c>
      <c r="P92" s="726"/>
      <c r="Q92" s="726"/>
      <c r="R92" s="726"/>
      <c r="S92" s="61">
        <f>M42</f>
        <v>8.8240740740740744</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8.2440663726107957</v>
      </c>
      <c r="AK94" s="158">
        <f>AA42</f>
        <v>5.2509976895610153</v>
      </c>
      <c r="AL94" s="158">
        <f>AD42</f>
        <v>3.9382482671707622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2088" priority="45">
      <formula>LEN(TRIM(D6))=0</formula>
    </cfRule>
  </conditionalFormatting>
  <conditionalFormatting sqref="D6:H10">
    <cfRule type="containsBlanks" dxfId="2087" priority="44">
      <formula>LEN(TRIM(D6))=0</formula>
    </cfRule>
  </conditionalFormatting>
  <conditionalFormatting sqref="M19">
    <cfRule type="containsBlanks" dxfId="2086" priority="43">
      <formula>LEN(TRIM(M19))=0</formula>
    </cfRule>
  </conditionalFormatting>
  <conditionalFormatting sqref="CP70">
    <cfRule type="containsBlanks" dxfId="2085" priority="42">
      <formula>LEN(TRIM(CP70))=0</formula>
    </cfRule>
  </conditionalFormatting>
  <conditionalFormatting sqref="M21">
    <cfRule type="containsBlanks" dxfId="2084" priority="41">
      <formula>LEN(TRIM(M21))=0</formula>
    </cfRule>
  </conditionalFormatting>
  <conditionalFormatting sqref="D12:M12">
    <cfRule type="containsBlanks" dxfId="2083" priority="40">
      <formula>LEN(TRIM(D12))=0</formula>
    </cfRule>
  </conditionalFormatting>
  <conditionalFormatting sqref="L9:M9">
    <cfRule type="containsBlanks" dxfId="2082" priority="39">
      <formula>LEN(TRIM(L9))=0</formula>
    </cfRule>
  </conditionalFormatting>
  <conditionalFormatting sqref="L25">
    <cfRule type="containsBlanks" dxfId="2081" priority="38">
      <formula>LEN(TRIM(L25))=0</formula>
    </cfRule>
  </conditionalFormatting>
  <conditionalFormatting sqref="Q20:S26">
    <cfRule type="containsBlanks" dxfId="2080" priority="28">
      <formula>LEN(TRIM(Q20))=0</formula>
    </cfRule>
    <cfRule type="containsBlanks" dxfId="2079" priority="37">
      <formula>LEN(TRIM(Q20))=0</formula>
    </cfRule>
  </conditionalFormatting>
  <conditionalFormatting sqref="U26:V27 AC33 AC26">
    <cfRule type="cellIs" dxfId="2078" priority="36" operator="between">
      <formula>0</formula>
      <formula>500</formula>
    </cfRule>
  </conditionalFormatting>
  <conditionalFormatting sqref="U33:V33">
    <cfRule type="cellIs" dxfId="2077" priority="35" operator="between">
      <formula>0</formula>
      <formula>500</formula>
    </cfRule>
  </conditionalFormatting>
  <conditionalFormatting sqref="AF45:AH46">
    <cfRule type="containsBlanks" dxfId="2076" priority="34">
      <formula>LEN(TRIM(AF45))=0</formula>
    </cfRule>
  </conditionalFormatting>
  <conditionalFormatting sqref="AF51:AG53">
    <cfRule type="containsBlanks" dxfId="2075" priority="33">
      <formula>LEN(TRIM(AF51))=0</formula>
    </cfRule>
  </conditionalFormatting>
  <conditionalFormatting sqref="E20:H24">
    <cfRule type="containsBlanks" dxfId="2074" priority="32">
      <formula>LEN(TRIM(E20))=0</formula>
    </cfRule>
  </conditionalFormatting>
  <conditionalFormatting sqref="E28:H33">
    <cfRule type="containsBlanks" dxfId="2073" priority="31">
      <formula>LEN(TRIM(E28))=0</formula>
    </cfRule>
  </conditionalFormatting>
  <conditionalFormatting sqref="Q42:S46">
    <cfRule type="containsBlanks" dxfId="2072" priority="30">
      <formula>LEN(TRIM(Q42))=0</formula>
    </cfRule>
  </conditionalFormatting>
  <conditionalFormatting sqref="Q34:S39">
    <cfRule type="containsBlanks" dxfId="2071" priority="29">
      <formula>LEN(TRIM(Q34))=0</formula>
    </cfRule>
  </conditionalFormatting>
  <conditionalFormatting sqref="M25">
    <cfRule type="containsBlanks" dxfId="2070" priority="27">
      <formula>LEN(TRIM(M25))=0</formula>
    </cfRule>
  </conditionalFormatting>
  <conditionalFormatting sqref="U26:V27 Y26:Z27 AC26:AD27 AG26:AG27">
    <cfRule type="containsBlanks" dxfId="2069" priority="25">
      <formula>LEN(TRIM(U26))=0</formula>
    </cfRule>
    <cfRule type="cellIs" dxfId="2068" priority="26" operator="between">
      <formula>0</formula>
      <formula>1000</formula>
    </cfRule>
  </conditionalFormatting>
  <conditionalFormatting sqref="W87:W88">
    <cfRule type="cellIs" dxfId="2067" priority="24" operator="between">
      <formula>0</formula>
      <formula>500</formula>
    </cfRule>
  </conditionalFormatting>
  <conditionalFormatting sqref="W94">
    <cfRule type="cellIs" dxfId="2066" priority="23" operator="between">
      <formula>0</formula>
      <formula>500</formula>
    </cfRule>
  </conditionalFormatting>
  <conditionalFormatting sqref="W87:W88">
    <cfRule type="containsBlanks" dxfId="2065" priority="21">
      <formula>LEN(TRIM(W87))=0</formula>
    </cfRule>
    <cfRule type="cellIs" dxfId="2064" priority="22" operator="between">
      <formula>0</formula>
      <formula>1000</formula>
    </cfRule>
  </conditionalFormatting>
  <conditionalFormatting sqref="U33:V33 Y33:Z33 AC33:AD33 AG33">
    <cfRule type="cellIs" dxfId="2063" priority="20" operator="between">
      <formula>0</formula>
      <formula>1000</formula>
    </cfRule>
  </conditionalFormatting>
  <conditionalFormatting sqref="Q27:S27">
    <cfRule type="containsBlanks" dxfId="2062" priority="18">
      <formula>LEN(TRIM(Q27))=0</formula>
    </cfRule>
    <cfRule type="containsBlanks" dxfId="2061" priority="19">
      <formula>LEN(TRIM(Q27))=0</formula>
    </cfRule>
  </conditionalFormatting>
  <conditionalFormatting sqref="W30:W31 W33:W35 W37 W28 W22:W26">
    <cfRule type="containsBlanks" dxfId="2060" priority="17">
      <formula>LEN(TRIM(W22))=0</formula>
    </cfRule>
  </conditionalFormatting>
  <conditionalFormatting sqref="W37 W30:W31 W33:W35 W28 W22:W26">
    <cfRule type="containsBlanks" dxfId="2059" priority="16">
      <formula>LEN(TRIM(W22))=0</formula>
    </cfRule>
  </conditionalFormatting>
  <conditionalFormatting sqref="W33:X33">
    <cfRule type="cellIs" dxfId="2058" priority="15" operator="between">
      <formula>0</formula>
      <formula>1000</formula>
    </cfRule>
  </conditionalFormatting>
  <conditionalFormatting sqref="W30:X37 W26 W28 W22:X25">
    <cfRule type="containsBlanks" dxfId="2057" priority="14">
      <formula>LEN(TRIM(W22))=0</formula>
    </cfRule>
  </conditionalFormatting>
  <conditionalFormatting sqref="AA37 AA30:AA31 AA33:AA35 AA22:AA26 AA28">
    <cfRule type="containsBlanks" dxfId="2056" priority="13">
      <formula>LEN(TRIM(AA22))=0</formula>
    </cfRule>
  </conditionalFormatting>
  <conditionalFormatting sqref="AA37 AA30:AA31 AA33:AA35 AA22:AA26 AA28">
    <cfRule type="containsBlanks" dxfId="2055" priority="12">
      <formula>LEN(TRIM(AA22))=0</formula>
    </cfRule>
  </conditionalFormatting>
  <conditionalFormatting sqref="AA33:AB34">
    <cfRule type="cellIs" dxfId="2054" priority="11" operator="between">
      <formula>0</formula>
      <formula>1000</formula>
    </cfRule>
  </conditionalFormatting>
  <conditionalFormatting sqref="AA30:AB30 AA31 AA33:AB37 AA22:AB25 AA26 AA28">
    <cfRule type="containsBlanks" dxfId="2053" priority="10">
      <formula>LEN(TRIM(AA22))=0</formula>
    </cfRule>
  </conditionalFormatting>
  <conditionalFormatting sqref="AE37 AE28 AE30:AE31 AE33:AE35 AE22:AE26">
    <cfRule type="containsBlanks" dxfId="2052" priority="9">
      <formula>LEN(TRIM(AE22))=0</formula>
    </cfRule>
  </conditionalFormatting>
  <conditionalFormatting sqref="AE37 AE28 AE30:AE31 AE33:AE35 AE22:AE26">
    <cfRule type="containsBlanks" dxfId="2051" priority="8">
      <formula>LEN(TRIM(AE22))=0</formula>
    </cfRule>
  </conditionalFormatting>
  <conditionalFormatting sqref="AE33:AF33">
    <cfRule type="cellIs" dxfId="2050" priority="7" operator="between">
      <formula>0</formula>
      <formula>1000</formula>
    </cfRule>
  </conditionalFormatting>
  <conditionalFormatting sqref="AE33:AF37 AE26 AE28 AE30:AE31 AE22:AF25">
    <cfRule type="containsBlanks" dxfId="2049" priority="6">
      <formula>LEN(TRIM(AE22))=0</formula>
    </cfRule>
  </conditionalFormatting>
  <conditionalFormatting sqref="K6:M6">
    <cfRule type="containsBlanks" dxfId="2048" priority="5">
      <formula>LEN(TRIM(K6))=0</formula>
    </cfRule>
  </conditionalFormatting>
  <conditionalFormatting sqref="K7:K8">
    <cfRule type="containsBlanks" dxfId="2047" priority="4">
      <formula>LEN(TRIM(K7))=0</formula>
    </cfRule>
  </conditionalFormatting>
  <conditionalFormatting sqref="D13:M13">
    <cfRule type="containsBlanks" dxfId="2046" priority="3">
      <formula>LEN(TRIM(D13))=0</formula>
    </cfRule>
  </conditionalFormatting>
  <conditionalFormatting sqref="B6:B10">
    <cfRule type="containsBlanks" dxfId="2045" priority="2">
      <formula>LEN(TRIM(B6))=0</formula>
    </cfRule>
  </conditionalFormatting>
  <conditionalFormatting sqref="B12:B13">
    <cfRule type="containsBlanks" dxfId="2044" priority="1">
      <formula>LEN(TRIM(B12))=0</formula>
    </cfRule>
  </conditionalFormatting>
  <dataValidations count="5">
    <dataValidation type="list" allowBlank="1" showInputMessage="1" showErrorMessage="1" sqref="D12:E12" xr:uid="{00000000-0002-0000-0C00-000000000000}">
      <formula1>$B$87:$B$94</formula1>
    </dataValidation>
    <dataValidation type="list" allowBlank="1" showInputMessage="1" showErrorMessage="1" sqref="CP70" xr:uid="{00000000-0002-0000-0C00-000001000000}">
      <formula1>$BA$3:$BA$5</formula1>
    </dataValidation>
    <dataValidation type="list" allowBlank="1" showInputMessage="1" showErrorMessage="1" sqref="M19" xr:uid="{00000000-0002-0000-0C00-000002000000}">
      <formula1>$AX$3:$AX$5</formula1>
    </dataValidation>
    <dataValidation type="list" allowBlank="1" showInputMessage="1" showErrorMessage="1" sqref="M21" xr:uid="{00000000-0002-0000-0C00-000003000000}">
      <formula1>$AX$3:$AX$4</formula1>
    </dataValidation>
    <dataValidation type="list" allowBlank="1" showInputMessage="1" showErrorMessage="1" sqref="L25" xr:uid="{00000000-0002-0000-0C00-000004000000}">
      <formula1>$D$101:$D$104</formula1>
    </dataValidation>
  </dataValidations>
  <hyperlinks>
    <hyperlink ref="D8" r:id="rId1" xr:uid="{00000000-0004-0000-0C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22881"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22882"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22883"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2288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2288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22886"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22887"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2288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2288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2289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54">
    <tabColor rgb="FFFFFF00"/>
  </sheetPr>
  <dimension ref="A1:CP153"/>
  <sheetViews>
    <sheetView view="pageBreakPreview" topLeftCell="O39" zoomScale="70" zoomScaleNormal="100" zoomScaleSheetLayoutView="70" workbookViewId="0">
      <selection activeCell="M25" sqref="M25"/>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45930</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45930</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25-PALMASECA-AP1-3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25-PALMASECA-AP1-3</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235</v>
      </c>
      <c r="G12" s="31" t="s">
        <v>4</v>
      </c>
      <c r="H12" s="146">
        <v>3</v>
      </c>
      <c r="I12" s="546" t="s">
        <v>5</v>
      </c>
      <c r="J12" s="546"/>
      <c r="K12" s="209">
        <v>1</v>
      </c>
      <c r="L12" s="32" t="s">
        <v>6</v>
      </c>
      <c r="M12" s="147">
        <v>1.8</v>
      </c>
      <c r="N12" s="78"/>
      <c r="O12" s="501" t="s">
        <v>3</v>
      </c>
      <c r="P12" s="501"/>
      <c r="Q12" s="225" t="s">
        <v>234</v>
      </c>
      <c r="R12" s="224" t="str">
        <f>F12</f>
        <v>PALMASECA-AP1</v>
      </c>
      <c r="S12" s="224"/>
      <c r="T12" s="502" t="s">
        <v>4</v>
      </c>
      <c r="U12" s="502"/>
      <c r="V12" s="33">
        <f>+H12</f>
        <v>3</v>
      </c>
      <c r="W12" s="547" t="s">
        <v>5</v>
      </c>
      <c r="X12" s="547"/>
      <c r="Y12" s="547"/>
      <c r="Z12" s="547"/>
      <c r="AA12" s="547"/>
      <c r="AB12" s="547"/>
      <c r="AC12" s="34">
        <f>K12</f>
        <v>1</v>
      </c>
      <c r="AD12" s="548" t="s">
        <v>6</v>
      </c>
      <c r="AE12" s="548"/>
      <c r="AF12" s="35">
        <f>+M12</f>
        <v>1.8</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229</v>
      </c>
      <c r="E13" s="479"/>
      <c r="F13" s="479"/>
      <c r="G13" s="479"/>
      <c r="H13" s="479"/>
      <c r="I13" s="479"/>
      <c r="J13" s="479"/>
      <c r="K13" s="479"/>
      <c r="L13" s="479"/>
      <c r="M13" s="480"/>
      <c r="N13" s="188"/>
      <c r="O13" s="526" t="s">
        <v>130</v>
      </c>
      <c r="P13" s="526"/>
      <c r="Q13" s="527" t="str">
        <f>D13</f>
        <v>ARCILLA CON ALGO LIMO, COLOR GRIS, CONSISTENCIA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580</v>
      </c>
      <c r="R20" s="156">
        <v>607</v>
      </c>
      <c r="S20" s="157">
        <v>547</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11185-100</f>
        <v>11085</v>
      </c>
      <c r="F22" s="150">
        <f>11674-100</f>
        <v>11574</v>
      </c>
      <c r="G22" s="150">
        <f>11803-100</f>
        <v>11703</v>
      </c>
      <c r="H22" s="151">
        <f>11396-100</f>
        <v>11296</v>
      </c>
      <c r="I22" s="174"/>
      <c r="J22" s="578"/>
      <c r="K22" s="578"/>
      <c r="L22" s="578"/>
      <c r="M22" s="104"/>
      <c r="N22" s="103"/>
      <c r="O22" s="579" t="s">
        <v>132</v>
      </c>
      <c r="P22" s="580"/>
      <c r="Q22" s="219">
        <v>8000</v>
      </c>
      <c r="R22" s="219">
        <v>7906</v>
      </c>
      <c r="S22" s="208">
        <v>7672</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4.4999999999999998E-2</v>
      </c>
      <c r="AJ22" s="42">
        <f>AJ50/1.52</f>
        <v>2.9605263157894735E-2</v>
      </c>
      <c r="AK22" s="42">
        <f>AJ22*0.75</f>
        <v>2.2203947368421052E-2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3868</v>
      </c>
      <c r="R23" s="150">
        <v>3862</v>
      </c>
      <c r="S23" s="151">
        <v>3836</v>
      </c>
      <c r="T23" s="174"/>
      <c r="U23" s="112">
        <v>2.5000000000000001E-2</v>
      </c>
      <c r="V23" s="113">
        <f>U23*25.4</f>
        <v>0.63500000000000001</v>
      </c>
      <c r="W23" s="581">
        <v>7.8E-2</v>
      </c>
      <c r="X23" s="582"/>
      <c r="Y23" s="449">
        <f>((W23/19.32)*10)</f>
        <v>4.0372670807453416E-2</v>
      </c>
      <c r="Z23" s="450"/>
      <c r="AA23" s="581">
        <f>AJ23</f>
        <v>6.1184210526315785E-2</v>
      </c>
      <c r="AB23" s="582"/>
      <c r="AC23" s="449">
        <f>((AA23/19.32)*10)</f>
        <v>3.1668846028113762E-2</v>
      </c>
      <c r="AD23" s="450"/>
      <c r="AE23" s="581">
        <v>2.5000000000000001E-2</v>
      </c>
      <c r="AF23" s="582"/>
      <c r="AG23" s="114">
        <f>((AE23/19.32)*10)</f>
        <v>1.2939958592132504E-2</v>
      </c>
      <c r="AH23" s="104"/>
      <c r="AI23" s="42">
        <f t="shared" ref="AI23:AI33" si="0">AJ51</f>
        <v>9.2999999999999999E-2</v>
      </c>
      <c r="AJ23" s="42">
        <f t="shared" ref="AJ23:AJ33" si="1">AJ51/1.52</f>
        <v>6.1184210526315785E-2</v>
      </c>
      <c r="AK23" s="42">
        <f t="shared" ref="AK23:AK33" si="2">AJ23*0.75</f>
        <v>4.5888157894736839E-2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11.25</v>
      </c>
      <c r="R24" s="152">
        <v>11.2</v>
      </c>
      <c r="S24" s="153">
        <v>11.3</v>
      </c>
      <c r="T24" s="174"/>
      <c r="U24" s="112">
        <v>0.05</v>
      </c>
      <c r="V24" s="113">
        <f>U24*25.4</f>
        <v>1.27</v>
      </c>
      <c r="W24" s="581">
        <v>0.11600000000000001</v>
      </c>
      <c r="X24" s="582"/>
      <c r="Y24" s="449">
        <f>((W24/19.32)*10)</f>
        <v>6.0041407867494824E-2</v>
      </c>
      <c r="Z24" s="450"/>
      <c r="AA24" s="581">
        <f>AJ24</f>
        <v>8.1578947368421056E-2</v>
      </c>
      <c r="AB24" s="582"/>
      <c r="AC24" s="449">
        <f>((AA24/19.32)*10)</f>
        <v>4.2225128037485023E-2</v>
      </c>
      <c r="AD24" s="450"/>
      <c r="AE24" s="581">
        <v>5.0999999999999997E-2</v>
      </c>
      <c r="AF24" s="582"/>
      <c r="AG24" s="114">
        <f>((AE24/19.32)*10)</f>
        <v>2.6397515527950308E-2</v>
      </c>
      <c r="AH24" s="104"/>
      <c r="AI24" s="42">
        <f t="shared" si="0"/>
        <v>0.124</v>
      </c>
      <c r="AJ24" s="42">
        <f t="shared" si="1"/>
        <v>8.1578947368421056E-2</v>
      </c>
      <c r="AK24" s="42">
        <f t="shared" si="2"/>
        <v>6.1184210526315792E-2</v>
      </c>
      <c r="AO24" s="42">
        <v>0.68400000000000005</v>
      </c>
      <c r="AS24" s="42">
        <f t="shared" si="3"/>
        <v>0.55609756097560981</v>
      </c>
    </row>
    <row r="25" spans="1:45" ht="24.95" customHeight="1" thickBot="1" x14ac:dyDescent="0.3">
      <c r="A25" s="103"/>
      <c r="B25" s="602" t="s">
        <v>69</v>
      </c>
      <c r="C25" s="603"/>
      <c r="D25" s="603"/>
      <c r="E25" s="115">
        <f>E22-E23</f>
        <v>3773</v>
      </c>
      <c r="F25" s="115">
        <f>F22-F23</f>
        <v>4262</v>
      </c>
      <c r="G25" s="115">
        <f>G22-G23</f>
        <v>4391</v>
      </c>
      <c r="H25" s="116">
        <f>H22-H23</f>
        <v>3984</v>
      </c>
      <c r="I25" s="174"/>
      <c r="J25" s="174" t="s">
        <v>127</v>
      </c>
      <c r="K25" s="174"/>
      <c r="L25" s="218" t="s">
        <v>128</v>
      </c>
      <c r="M25" s="155">
        <v>0</v>
      </c>
      <c r="N25" s="103"/>
      <c r="O25" s="604" t="s">
        <v>46</v>
      </c>
      <c r="P25" s="605"/>
      <c r="Q25" s="608">
        <v>15.18</v>
      </c>
      <c r="R25" s="608">
        <v>15.2</v>
      </c>
      <c r="S25" s="610">
        <v>15.22</v>
      </c>
      <c r="T25" s="174"/>
      <c r="U25" s="112">
        <v>7.4999999999999997E-2</v>
      </c>
      <c r="V25" s="113">
        <f>U25*25.4</f>
        <v>1.9049999999999998</v>
      </c>
      <c r="W25" s="581">
        <f>AI25</f>
        <v>0.14299999999999999</v>
      </c>
      <c r="X25" s="582"/>
      <c r="Y25" s="449">
        <f>((W25/19.32)*10)</f>
        <v>7.4016563146997921E-2</v>
      </c>
      <c r="Z25" s="450"/>
      <c r="AA25" s="581">
        <f>AJ25</f>
        <v>9.407894736842104E-2</v>
      </c>
      <c r="AB25" s="582"/>
      <c r="AC25" s="449">
        <f>((AA25/19.32)*10)</f>
        <v>4.8695107333551264E-2</v>
      </c>
      <c r="AD25" s="450"/>
      <c r="AE25" s="581">
        <v>6.7000000000000004E-2</v>
      </c>
      <c r="AF25" s="582"/>
      <c r="AG25" s="114">
        <f>((AE25/19.32)*10)</f>
        <v>3.4679089026915112E-2</v>
      </c>
      <c r="AH25" s="104"/>
      <c r="AI25" s="42">
        <f t="shared" si="0"/>
        <v>0.14299999999999999</v>
      </c>
      <c r="AJ25" s="42">
        <f t="shared" si="1"/>
        <v>9.407894736842104E-2</v>
      </c>
      <c r="AK25" s="42">
        <f t="shared" si="2"/>
        <v>7.055921052631578E-2</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1.04</v>
      </c>
      <c r="N26" s="103"/>
      <c r="O26" s="606"/>
      <c r="P26" s="607"/>
      <c r="Q26" s="609"/>
      <c r="R26" s="609"/>
      <c r="S26" s="611"/>
      <c r="T26" s="174"/>
      <c r="U26" s="600">
        <v>0.1</v>
      </c>
      <c r="V26" s="601">
        <f>U26*25.4</f>
        <v>2.54</v>
      </c>
      <c r="W26" s="778">
        <f>AI26</f>
        <v>0.16600000000000001</v>
      </c>
      <c r="X26" s="779"/>
      <c r="Y26" s="461">
        <f>((W26/19.32)*10)</f>
        <v>8.5921325051759839E-2</v>
      </c>
      <c r="Z26" s="462"/>
      <c r="AA26" s="746">
        <f>AJ26</f>
        <v>0.10921052631578948</v>
      </c>
      <c r="AB26" s="747"/>
      <c r="AC26" s="461">
        <f>((AA26/19.32)*10)</f>
        <v>5.6527187534052524E-2</v>
      </c>
      <c r="AD26" s="462"/>
      <c r="AE26" s="746">
        <f>AK26</f>
        <v>8.190789473684211E-2</v>
      </c>
      <c r="AF26" s="747"/>
      <c r="AG26" s="469">
        <f>((AE26/19.32)*10)</f>
        <v>4.2395390650539391E-2</v>
      </c>
      <c r="AH26" s="104"/>
      <c r="AI26" s="42">
        <f t="shared" si="0"/>
        <v>0.16600000000000001</v>
      </c>
      <c r="AJ26" s="42">
        <f t="shared" si="1"/>
        <v>0.10921052631578948</v>
      </c>
      <c r="AK26" s="42">
        <f t="shared" si="2"/>
        <v>8.190789473684211E-2</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2036.0383171567444</v>
      </c>
      <c r="R27" s="152">
        <f>(PI()*((R25^2)/4)*R24)</f>
        <v>2032.33398671908</v>
      </c>
      <c r="S27" s="153">
        <f>(PI()*((S25^2)/4)*S24)</f>
        <v>2055.8793754277194</v>
      </c>
      <c r="T27" s="174"/>
      <c r="U27" s="600"/>
      <c r="V27" s="601"/>
      <c r="W27" s="780"/>
      <c r="X27" s="781"/>
      <c r="Y27" s="463"/>
      <c r="Z27" s="464"/>
      <c r="AA27" s="748"/>
      <c r="AB27" s="749"/>
      <c r="AC27" s="463"/>
      <c r="AD27" s="464"/>
      <c r="AE27" s="748"/>
      <c r="AF27" s="749"/>
      <c r="AG27" s="470"/>
      <c r="AH27" s="193"/>
      <c r="AI27" s="42">
        <f t="shared" si="0"/>
        <v>0.183</v>
      </c>
      <c r="AJ27" s="42">
        <f t="shared" si="1"/>
        <v>0.12039473684210526</v>
      </c>
      <c r="AK27" s="42">
        <f t="shared" si="2"/>
        <v>9.0296052631578944E-2</v>
      </c>
      <c r="AO27" s="42">
        <v>2.387</v>
      </c>
      <c r="AS27" s="42">
        <f t="shared" si="3"/>
        <v>1.9406504065040651</v>
      </c>
    </row>
    <row r="28" spans="1:45" ht="24.95" customHeight="1" thickBot="1" x14ac:dyDescent="0.3">
      <c r="A28" s="103"/>
      <c r="B28" s="560" t="s">
        <v>9</v>
      </c>
      <c r="C28" s="561"/>
      <c r="D28" s="561"/>
      <c r="E28" s="148">
        <v>222</v>
      </c>
      <c r="F28" s="148">
        <v>201</v>
      </c>
      <c r="G28" s="148">
        <v>223</v>
      </c>
      <c r="H28" s="149">
        <v>215</v>
      </c>
      <c r="I28" s="174"/>
      <c r="J28" s="597" t="s">
        <v>107</v>
      </c>
      <c r="K28" s="597"/>
      <c r="L28" s="562" t="s">
        <v>119</v>
      </c>
      <c r="M28" s="459">
        <f>IF(M26="","",(100-M26))</f>
        <v>98.96</v>
      </c>
      <c r="N28" s="103"/>
      <c r="O28" s="625" t="s">
        <v>136</v>
      </c>
      <c r="P28" s="626"/>
      <c r="Q28" s="115">
        <f>Q22-Q23</f>
        <v>4132</v>
      </c>
      <c r="R28" s="220">
        <f>R22-R23</f>
        <v>4044</v>
      </c>
      <c r="S28" s="220">
        <f>S22-S23</f>
        <v>3836</v>
      </c>
      <c r="T28" s="174"/>
      <c r="U28" s="627">
        <v>0.125</v>
      </c>
      <c r="V28" s="624">
        <f>U28*25.4</f>
        <v>3.1749999999999998</v>
      </c>
      <c r="W28" s="593">
        <f>AI27</f>
        <v>0.183</v>
      </c>
      <c r="X28" s="594"/>
      <c r="Y28" s="439">
        <f>((W28/19.32)*10)</f>
        <v>9.4720496894409936E-2</v>
      </c>
      <c r="Z28" s="440"/>
      <c r="AA28" s="593">
        <f>AJ27</f>
        <v>0.12039473684210526</v>
      </c>
      <c r="AB28" s="594"/>
      <c r="AC28" s="439">
        <f>((AA28/19.32)*10)</f>
        <v>6.2316116377901278E-2</v>
      </c>
      <c r="AD28" s="440"/>
      <c r="AE28" s="593">
        <f>AK27</f>
        <v>9.0296052631578944E-2</v>
      </c>
      <c r="AF28" s="594"/>
      <c r="AG28" s="443">
        <f>((AE28/19.32)*10)</f>
        <v>4.6737087283425946E-2</v>
      </c>
      <c r="AH28" s="104"/>
      <c r="AI28" s="42">
        <f t="shared" si="0"/>
        <v>0.19700000000000001</v>
      </c>
      <c r="AJ28" s="42">
        <f t="shared" si="1"/>
        <v>0.12960526315789475</v>
      </c>
      <c r="AK28" s="42">
        <f t="shared" si="2"/>
        <v>9.7203947368421056E-2</v>
      </c>
      <c r="AO28" s="42">
        <v>2.8959999999999999</v>
      </c>
      <c r="AS28" s="42">
        <f t="shared" si="3"/>
        <v>2.3544715447154472</v>
      </c>
    </row>
    <row r="29" spans="1:45" ht="5.0999999999999996" customHeight="1" thickBot="1" x14ac:dyDescent="0.3">
      <c r="A29" s="103"/>
      <c r="B29" s="612" t="s">
        <v>73</v>
      </c>
      <c r="C29" s="613"/>
      <c r="D29" s="614"/>
      <c r="E29" s="618">
        <v>971.43</v>
      </c>
      <c r="F29" s="618">
        <v>925.12</v>
      </c>
      <c r="G29" s="618">
        <v>843.01</v>
      </c>
      <c r="H29" s="620">
        <v>933.87</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0.20599999999999999</v>
      </c>
      <c r="AJ29" s="42">
        <f t="shared" si="1"/>
        <v>0.13552631578947366</v>
      </c>
      <c r="AK29" s="42">
        <f t="shared" si="2"/>
        <v>0.10164473684210525</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17.209623220312505</v>
      </c>
      <c r="N30" s="103"/>
      <c r="O30" s="622" t="s">
        <v>134</v>
      </c>
      <c r="P30" s="623"/>
      <c r="Q30" s="229">
        <f>Q28/Q27</f>
        <v>2.0294313545975853</v>
      </c>
      <c r="R30" s="229">
        <f>R28/R27</f>
        <v>1.9898304247366716</v>
      </c>
      <c r="S30" s="131">
        <f>S28/S27</f>
        <v>1.8658682244924667</v>
      </c>
      <c r="T30" s="174"/>
      <c r="U30" s="120">
        <v>0.15</v>
      </c>
      <c r="V30" s="113">
        <f>U30*25.4</f>
        <v>3.8099999999999996</v>
      </c>
      <c r="W30" s="581">
        <f>AI28</f>
        <v>0.19700000000000001</v>
      </c>
      <c r="X30" s="582"/>
      <c r="Y30" s="449">
        <f>((W30/19.32)*10)</f>
        <v>0.10196687370600414</v>
      </c>
      <c r="Z30" s="450"/>
      <c r="AA30" s="581">
        <f>AJ28</f>
        <v>0.12960526315789475</v>
      </c>
      <c r="AB30" s="582"/>
      <c r="AC30" s="449">
        <f>((AA30/19.32)*10)</f>
        <v>6.7083469543423785E-2</v>
      </c>
      <c r="AD30" s="450"/>
      <c r="AE30" s="581">
        <f>AK28</f>
        <v>9.7203947368421056E-2</v>
      </c>
      <c r="AF30" s="582"/>
      <c r="AG30" s="114">
        <f>((AE30/19.32)*10)</f>
        <v>5.0312602157567832E-2</v>
      </c>
      <c r="AH30" s="104"/>
      <c r="AI30" s="42">
        <f t="shared" si="0"/>
        <v>0.21099999999999999</v>
      </c>
      <c r="AJ30" s="42">
        <f t="shared" si="1"/>
        <v>0.1388157894736842</v>
      </c>
      <c r="AK30" s="42">
        <f t="shared" si="2"/>
        <v>0.10411184210526314</v>
      </c>
      <c r="AO30" s="42">
        <v>3.8439999999999999</v>
      </c>
      <c r="AS30" s="42">
        <f t="shared" si="3"/>
        <v>3.1252032520325201</v>
      </c>
    </row>
    <row r="31" spans="1:45" ht="24.95" customHeight="1" thickBot="1" x14ac:dyDescent="0.3">
      <c r="A31" s="103"/>
      <c r="B31" s="576" t="s">
        <v>74</v>
      </c>
      <c r="C31" s="577"/>
      <c r="D31" s="577"/>
      <c r="E31" s="152">
        <v>861.78</v>
      </c>
      <c r="F31" s="152">
        <v>805.94</v>
      </c>
      <c r="G31" s="152">
        <v>720.69</v>
      </c>
      <c r="H31" s="153">
        <v>784.43</v>
      </c>
      <c r="I31" s="174"/>
      <c r="J31" s="597" t="s">
        <v>138</v>
      </c>
      <c r="K31" s="597"/>
      <c r="L31" s="562" t="s">
        <v>116</v>
      </c>
      <c r="M31" s="457">
        <f>IF(M25="","",S82)</f>
        <v>2.7120000000000002</v>
      </c>
      <c r="N31" s="121"/>
      <c r="O31" s="628" t="s">
        <v>135</v>
      </c>
      <c r="P31" s="629"/>
      <c r="Q31" s="122">
        <f>Q30/(1+Q40/100)</f>
        <v>1.721600746255143</v>
      </c>
      <c r="R31" s="122">
        <f>R30/(1+R40/100)</f>
        <v>1.687601496838913</v>
      </c>
      <c r="S31" s="123">
        <f>S30/(1+S40/100)</f>
        <v>1.5827789091108333</v>
      </c>
      <c r="T31" s="174"/>
      <c r="U31" s="627">
        <v>0.17499999999999999</v>
      </c>
      <c r="V31" s="624">
        <f>U31*25.4</f>
        <v>4.4449999999999994</v>
      </c>
      <c r="W31" s="593">
        <v>0.20899999999999999</v>
      </c>
      <c r="X31" s="594"/>
      <c r="Y31" s="439">
        <f>((W31/19.32)*10)</f>
        <v>0.10817805383022773</v>
      </c>
      <c r="Z31" s="440"/>
      <c r="AA31" s="593">
        <f>AJ29</f>
        <v>0.13552631578947366</v>
      </c>
      <c r="AB31" s="594"/>
      <c r="AC31" s="439">
        <f>((AA31/19.32)*10)</f>
        <v>7.0148196578402516E-2</v>
      </c>
      <c r="AD31" s="440"/>
      <c r="AE31" s="593">
        <f>AK29</f>
        <v>0.10164473684210525</v>
      </c>
      <c r="AF31" s="594"/>
      <c r="AG31" s="443">
        <f>((AE31/19.32)*10)</f>
        <v>5.2611147433801887E-2</v>
      </c>
      <c r="AH31" s="104"/>
      <c r="AI31" s="42">
        <f t="shared" si="0"/>
        <v>0.25800000000000001</v>
      </c>
      <c r="AJ31" s="42">
        <f t="shared" si="1"/>
        <v>0.16973684210526316</v>
      </c>
      <c r="AK31" s="42">
        <f t="shared" si="2"/>
        <v>0.12730263157894736</v>
      </c>
      <c r="AO31" s="42">
        <v>5.516</v>
      </c>
      <c r="AS31" s="42">
        <f t="shared" si="3"/>
        <v>4.4845528455284551</v>
      </c>
    </row>
    <row r="32" spans="1:45" ht="5.0999999999999996" customHeight="1" thickBot="1" x14ac:dyDescent="0.3">
      <c r="A32" s="103"/>
      <c r="B32" s="612" t="s">
        <v>75</v>
      </c>
      <c r="C32" s="613"/>
      <c r="D32" s="614"/>
      <c r="E32" s="618">
        <v>60.99</v>
      </c>
      <c r="F32" s="618">
        <v>65.7</v>
      </c>
      <c r="G32" s="618">
        <v>66.63</v>
      </c>
      <c r="H32" s="620">
        <v>65.540000000000006</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0.30499999999999999</v>
      </c>
      <c r="AJ32" s="42">
        <f t="shared" si="1"/>
        <v>0.20065789473684209</v>
      </c>
      <c r="AK32" s="42">
        <f t="shared" si="2"/>
        <v>0.15049342105263158</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v>0.216</v>
      </c>
      <c r="X33" s="582"/>
      <c r="Y33" s="449">
        <f>((W33/19.32)*10)</f>
        <v>0.11180124223602483</v>
      </c>
      <c r="Z33" s="450"/>
      <c r="AA33" s="581">
        <f>AJ30</f>
        <v>0.1388157894736842</v>
      </c>
      <c r="AB33" s="582"/>
      <c r="AC33" s="449">
        <f>((AA33/19.32)*10)</f>
        <v>7.1850822708946271E-2</v>
      </c>
      <c r="AD33" s="450"/>
      <c r="AE33" s="581">
        <f>AK30</f>
        <v>0.10411184210526314</v>
      </c>
      <c r="AF33" s="582"/>
      <c r="AG33" s="144">
        <f>((AE33/19.32)*10)</f>
        <v>5.3888117031709697E-2</v>
      </c>
      <c r="AH33" s="104"/>
      <c r="AI33" s="42">
        <f t="shared" si="0"/>
        <v>0.34699999999999998</v>
      </c>
      <c r="AJ33" s="42">
        <f t="shared" si="1"/>
        <v>0.22828947368421051</v>
      </c>
      <c r="AK33" s="42">
        <f t="shared" si="2"/>
        <v>0.17121710526315789</v>
      </c>
      <c r="AO33" s="42">
        <v>7.7720000000000002</v>
      </c>
      <c r="AS33" s="42">
        <f t="shared" si="3"/>
        <v>6.3186991869918705</v>
      </c>
    </row>
    <row r="34" spans="1:45" ht="24.95" customHeight="1" thickBot="1" x14ac:dyDescent="0.3">
      <c r="A34" s="103"/>
      <c r="B34" s="602" t="s">
        <v>10</v>
      </c>
      <c r="C34" s="603"/>
      <c r="D34" s="603"/>
      <c r="E34" s="125">
        <f>((E29-E31)/(E31-E32))*100</f>
        <v>13.692728430674705</v>
      </c>
      <c r="F34" s="125">
        <f>((F29-F31)/(F31-F32))*100</f>
        <v>16.100183724197549</v>
      </c>
      <c r="G34" s="125">
        <f>((G29-G31)/(G31-G32))*100</f>
        <v>18.701648166834836</v>
      </c>
      <c r="H34" s="126">
        <f>((H29-H31)/(H31-H32))*100</f>
        <v>20.787603110350688</v>
      </c>
      <c r="I34" s="174"/>
      <c r="J34" s="630" t="s">
        <v>125</v>
      </c>
      <c r="K34" s="630"/>
      <c r="L34" s="184" t="s">
        <v>126</v>
      </c>
      <c r="M34" s="127">
        <v>2.73</v>
      </c>
      <c r="N34" s="128"/>
      <c r="O34" s="631" t="s">
        <v>9</v>
      </c>
      <c r="P34" s="632"/>
      <c r="Q34" s="156">
        <v>373</v>
      </c>
      <c r="R34" s="156">
        <v>311</v>
      </c>
      <c r="S34" s="157">
        <v>356</v>
      </c>
      <c r="T34" s="174"/>
      <c r="U34" s="120">
        <v>0.3</v>
      </c>
      <c r="V34" s="113">
        <f>U34*25.4</f>
        <v>7.6199999999999992</v>
      </c>
      <c r="W34" s="581">
        <f>AI31</f>
        <v>0.25800000000000001</v>
      </c>
      <c r="X34" s="582"/>
      <c r="Y34" s="449">
        <f>((W34/19.32)*10)</f>
        <v>0.13354037267080746</v>
      </c>
      <c r="Z34" s="450"/>
      <c r="AA34" s="449">
        <v>0.17</v>
      </c>
      <c r="AB34" s="450"/>
      <c r="AC34" s="449">
        <f>((AA34/19.32)*10)</f>
        <v>8.7991718426501039E-2</v>
      </c>
      <c r="AD34" s="450"/>
      <c r="AE34" s="581">
        <f>AK31</f>
        <v>0.12730263157894736</v>
      </c>
      <c r="AF34" s="582"/>
      <c r="AG34" s="114">
        <f>((AE34/19.32)*10)</f>
        <v>6.5891631252043156E-2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889.42</v>
      </c>
      <c r="R35" s="608">
        <v>672.65</v>
      </c>
      <c r="S35" s="610">
        <v>914.4</v>
      </c>
      <c r="T35" s="174"/>
      <c r="U35" s="627">
        <v>0.4</v>
      </c>
      <c r="V35" s="624">
        <f>U35*25.4</f>
        <v>10.16</v>
      </c>
      <c r="W35" s="593">
        <v>0.28899999999999998</v>
      </c>
      <c r="X35" s="594"/>
      <c r="Y35" s="439">
        <f>((W35/19.32)*10)</f>
        <v>0.14958592132505175</v>
      </c>
      <c r="Z35" s="440"/>
      <c r="AA35" s="593">
        <f>AJ32</f>
        <v>0.20065789473684209</v>
      </c>
      <c r="AB35" s="594"/>
      <c r="AC35" s="439">
        <f>(AA35/19.32)*10</f>
        <v>0.10386019396316878</v>
      </c>
      <c r="AD35" s="440"/>
      <c r="AE35" s="593">
        <f>AK32</f>
        <v>0.15049342105263158</v>
      </c>
      <c r="AF35" s="594"/>
      <c r="AG35" s="443">
        <f>((AE35/19.32)*10)</f>
        <v>7.7895145472376595E-2</v>
      </c>
      <c r="AH35" s="104"/>
      <c r="AS35" s="42">
        <f t="shared" si="3"/>
        <v>0</v>
      </c>
    </row>
    <row r="36" spans="1:45" ht="20.100000000000001" customHeight="1" thickBot="1" x14ac:dyDescent="0.3">
      <c r="A36" s="103"/>
      <c r="B36" s="639" t="s">
        <v>71</v>
      </c>
      <c r="C36" s="640"/>
      <c r="D36" s="640"/>
      <c r="E36" s="130">
        <f>E25/E24</f>
        <v>1.7565176908752327</v>
      </c>
      <c r="F36" s="130">
        <f>F25/F24</f>
        <v>1.9841713221601489</v>
      </c>
      <c r="G36" s="130">
        <f>G25/G24</f>
        <v>2.0442271880819365</v>
      </c>
      <c r="H36" s="131">
        <f>H25/H24</f>
        <v>1.8547486033519553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1.5449692474803145</v>
      </c>
      <c r="F37" s="230">
        <f>F36/(1+F34/100)</f>
        <v>1.7090165222078015</v>
      </c>
      <c r="G37" s="230">
        <f>G36/(1+G34/100)</f>
        <v>1.722155690044658</v>
      </c>
      <c r="H37" s="123">
        <f>H36/(1+H34/100)</f>
        <v>1.5355454993650883</v>
      </c>
      <c r="I37" s="174"/>
      <c r="J37" s="641" t="s">
        <v>139</v>
      </c>
      <c r="K37" s="641"/>
      <c r="L37" s="643" t="s">
        <v>121</v>
      </c>
      <c r="M37" s="433">
        <f>IF(F74="","",(M42^2*F74+M42*F75+F76))</f>
        <v>1.7542939062500005</v>
      </c>
      <c r="N37" s="101"/>
      <c r="O37" s="576" t="s">
        <v>28</v>
      </c>
      <c r="P37" s="577"/>
      <c r="Q37" s="150">
        <v>769.88</v>
      </c>
      <c r="R37" s="150">
        <v>585.83000000000004</v>
      </c>
      <c r="S37" s="151">
        <v>791.34</v>
      </c>
      <c r="T37" s="174"/>
      <c r="U37" s="132">
        <v>0.5</v>
      </c>
      <c r="V37" s="133">
        <f>U37*25.4</f>
        <v>12.7</v>
      </c>
      <c r="W37" s="637">
        <v>0.318</v>
      </c>
      <c r="X37" s="638"/>
      <c r="Y37" s="431">
        <f>((W37/19.32)*10)</f>
        <v>0.16459627329192544</v>
      </c>
      <c r="Z37" s="432"/>
      <c r="AA37" s="637">
        <f>AJ33</f>
        <v>0.22828947368421051</v>
      </c>
      <c r="AB37" s="638"/>
      <c r="AC37" s="431">
        <f>((AA37/19.32)*10)</f>
        <v>0.1181622534597363</v>
      </c>
      <c r="AD37" s="432"/>
      <c r="AE37" s="637">
        <v>0.16500000000000001</v>
      </c>
      <c r="AF37" s="638"/>
      <c r="AG37" s="134">
        <f>((AE37/19.32)*10)</f>
        <v>8.5403726708074543E-2</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101.33</v>
      </c>
      <c r="R38" s="647">
        <v>101.04</v>
      </c>
      <c r="S38" s="648">
        <v>103.3</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17.209623220312505</v>
      </c>
      <c r="N40" s="103"/>
      <c r="O40" s="628" t="s">
        <v>10</v>
      </c>
      <c r="P40" s="629"/>
      <c r="Q40" s="125">
        <f>((Q35-Q37)/(Q37-Q38))*100</f>
        <v>17.880487622466529</v>
      </c>
      <c r="R40" s="125">
        <f>((R35-R37)/(R37-R38))*100</f>
        <v>17.908785247220433</v>
      </c>
      <c r="S40" s="126">
        <f>((S35-S37)/(S37-S38))*100</f>
        <v>17.885588047206546</v>
      </c>
      <c r="T40" s="174"/>
      <c r="U40" s="645" t="s">
        <v>151</v>
      </c>
      <c r="V40" s="646"/>
      <c r="W40" s="423">
        <f>(AM79/6.9)*100</f>
        <v>1.2452365949530411</v>
      </c>
      <c r="X40" s="423"/>
      <c r="Y40" s="423"/>
      <c r="Z40" s="424"/>
      <c r="AA40" s="425">
        <f>(AO79/6.9)*100</f>
        <v>0.81923460194279019</v>
      </c>
      <c r="AB40" s="426"/>
      <c r="AC40" s="427"/>
      <c r="AD40" s="425">
        <f>(AQ79/6.9)*100</f>
        <v>0.61442595145709256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1.0854489537478138</v>
      </c>
      <c r="X41" s="418"/>
      <c r="Y41" s="418"/>
      <c r="Z41" s="419"/>
      <c r="AA41" s="420">
        <f>(AO83/10.3)*100</f>
        <v>0.69758080299947833</v>
      </c>
      <c r="AB41" s="421"/>
      <c r="AC41" s="418"/>
      <c r="AD41" s="420">
        <f>(AQ83/10.3)*100</f>
        <v>0.52318560224960864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17.284375000000001</v>
      </c>
      <c r="N42" s="103"/>
      <c r="O42" s="639" t="s">
        <v>9</v>
      </c>
      <c r="P42" s="640"/>
      <c r="Q42" s="148">
        <v>219</v>
      </c>
      <c r="R42" s="148">
        <v>367</v>
      </c>
      <c r="S42" s="149">
        <v>206</v>
      </c>
      <c r="T42" s="174"/>
      <c r="U42" s="651" t="s">
        <v>42</v>
      </c>
      <c r="V42" s="652"/>
      <c r="W42" s="413">
        <f>IF(W40&lt;W41,W40,W41)</f>
        <v>1.0854489537478138</v>
      </c>
      <c r="X42" s="414"/>
      <c r="Y42" s="414"/>
      <c r="Z42" s="415"/>
      <c r="AA42" s="416">
        <f>IF(AA40&lt;AA41,AA40,AA41)</f>
        <v>0.69758080299947833</v>
      </c>
      <c r="AB42" s="414"/>
      <c r="AC42" s="415"/>
      <c r="AD42" s="416">
        <f>IF(AD40&lt;AD41,AD40,AD41)</f>
        <v>0.52318560224960864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973.13</v>
      </c>
      <c r="R43" s="608">
        <v>849.81</v>
      </c>
      <c r="S43" s="610">
        <v>1141.1300000000001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818.29</v>
      </c>
      <c r="R45" s="150">
        <v>705.82</v>
      </c>
      <c r="S45" s="151">
        <v>923.62</v>
      </c>
      <c r="T45" s="174"/>
      <c r="U45" s="656" t="s">
        <v>139</v>
      </c>
      <c r="V45" s="656"/>
      <c r="W45" s="179" t="s">
        <v>121</v>
      </c>
      <c r="X45" s="406">
        <f>MAX(M37:M39)</f>
        <v>1.7542939062500005</v>
      </c>
      <c r="Y45" s="406"/>
      <c r="Z45" s="406"/>
      <c r="AA45" s="174"/>
      <c r="AB45" s="657" t="s">
        <v>31</v>
      </c>
      <c r="AC45" s="658"/>
      <c r="AD45" s="658"/>
      <c r="AE45" s="658"/>
      <c r="AF45" s="231">
        <v>1.4999999999999999E-2</v>
      </c>
      <c r="AG45" s="231">
        <v>0.1245</v>
      </c>
      <c r="AH45" s="233">
        <v>0.11650000000000001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59.48</v>
      </c>
      <c r="R46" s="152">
        <v>99.42</v>
      </c>
      <c r="S46" s="151">
        <v>56.74</v>
      </c>
      <c r="T46" s="174"/>
      <c r="U46" s="555" t="s">
        <v>123</v>
      </c>
      <c r="V46" s="555"/>
      <c r="W46" s="179" t="s">
        <v>41</v>
      </c>
      <c r="X46" s="401">
        <f>MIN(M42:M44)</f>
        <v>17.284375000000001</v>
      </c>
      <c r="Y46" s="401"/>
      <c r="Z46" s="401"/>
      <c r="AA46" s="174"/>
      <c r="AB46" s="660" t="s">
        <v>32</v>
      </c>
      <c r="AC46" s="661"/>
      <c r="AD46" s="661"/>
      <c r="AE46" s="661"/>
      <c r="AF46" s="234">
        <v>0.36449999999999999</v>
      </c>
      <c r="AG46" s="234">
        <v>0.29499999999999998</v>
      </c>
      <c r="AH46" s="235">
        <v>0.16789999999999999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20.405635139231173</v>
      </c>
      <c r="R47" s="125">
        <f>((R43-R45)/(R45-R46))*100</f>
        <v>23.745052770448527</v>
      </c>
      <c r="S47" s="126">
        <f>((S43-S45)/(S45-S46))*100</f>
        <v>25.091131413805844</v>
      </c>
      <c r="T47" s="174"/>
      <c r="U47" s="555" t="s">
        <v>162</v>
      </c>
      <c r="V47" s="555"/>
      <c r="W47" s="179" t="s">
        <v>41</v>
      </c>
      <c r="X47" s="402">
        <f>IF(L25=D103,"-",IF(L25=D102,"-",IF(L25=D101,M25)))</f>
        <v>0</v>
      </c>
      <c r="Y47" s="402"/>
      <c r="Z47" s="402"/>
      <c r="AA47" s="174"/>
      <c r="AB47" s="662" t="s">
        <v>33</v>
      </c>
      <c r="AC47" s="663"/>
      <c r="AD47" s="663"/>
      <c r="AE47" s="663"/>
      <c r="AF47" s="232">
        <f>(AF46-AF45)*2.54</f>
        <v>0.88772999999999991</v>
      </c>
      <c r="AG47" s="232">
        <f>(AG46-AG45)*2.54</f>
        <v>0.43306999999999995</v>
      </c>
      <c r="AH47" s="239">
        <f>(AH46-AH45)*2.54</f>
        <v>0.13055599999999998</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7.8909333333333329</v>
      </c>
      <c r="AG48" s="142">
        <f>IF(AG47&lt;&gt;"",IF(R24&lt;&gt;"",AG47/R24*100,""),"")</f>
        <v>3.8666964285714283</v>
      </c>
      <c r="AH48" s="173">
        <f>IF(AH47&lt;&gt;"",IF(S24&lt;&gt;"",AH47/S24*100,""),"")</f>
        <v>1.1553628318584068</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4.4999999999999998E-2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9.2999999999999999E-2</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0.124</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0.14299999999999999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0.16600000000000001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0.183</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0.19700000000000001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0.20599999999999999</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0.21099999999999999</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0.25800000000000001</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0.30499999999999999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0.34699999999999998</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-1.6E-2</v>
      </c>
      <c r="G74" s="75">
        <v>-0.12509999999999999</v>
      </c>
      <c r="J74" s="701"/>
      <c r="K74" s="702"/>
      <c r="L74" s="44"/>
      <c r="M74" s="44"/>
      <c r="N74" s="44"/>
    </row>
    <row r="75" spans="1:94" ht="26.25" customHeight="1" thickBot="1" x14ac:dyDescent="0.3">
      <c r="A75" s="11"/>
      <c r="B75" s="377" t="s">
        <v>113</v>
      </c>
      <c r="C75" s="377"/>
      <c r="D75" s="19"/>
      <c r="E75" s="54" t="s">
        <v>12</v>
      </c>
      <c r="F75" s="55">
        <v>0.55310000000000004</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-3.0257000000000001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7.8E-2</v>
      </c>
      <c r="AM76" s="3">
        <f t="shared" si="4"/>
        <v>4.0372670807453416E-2</v>
      </c>
      <c r="AN76" s="5">
        <f>AA23</f>
        <v>6.1184210526315785E-2</v>
      </c>
      <c r="AO76" s="3">
        <f t="shared" ref="AO76:AO86" si="7">((AN76/19.32)*10)</f>
        <v>3.1668846028113762E-2</v>
      </c>
      <c r="AP76" s="5">
        <f>AE23</f>
        <v>2.5000000000000001E-2</v>
      </c>
      <c r="AQ76" s="161">
        <f t="shared" si="5"/>
        <v>1.2939958592132504E-2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0.11600000000000001</v>
      </c>
      <c r="AM77" s="3">
        <f t="shared" si="4"/>
        <v>6.0041407867494824E-2</v>
      </c>
      <c r="AN77" s="5">
        <f>AA24</f>
        <v>8.1578947368421056E-2</v>
      </c>
      <c r="AO77" s="3">
        <f t="shared" si="7"/>
        <v>4.2225128037485023E-2</v>
      </c>
      <c r="AP77" s="5">
        <f>AE24</f>
        <v>5.0999999999999997E-2</v>
      </c>
      <c r="AQ77" s="161">
        <f t="shared" si="5"/>
        <v>2.6397515527950308E-2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0.14299999999999999</v>
      </c>
      <c r="AM78" s="3">
        <f t="shared" si="4"/>
        <v>7.4016563146997921E-2</v>
      </c>
      <c r="AN78" s="5">
        <f>AA25</f>
        <v>9.407894736842104E-2</v>
      </c>
      <c r="AO78" s="3">
        <f t="shared" si="7"/>
        <v>4.8695107333551264E-2</v>
      </c>
      <c r="AP78" s="5">
        <f>AE25</f>
        <v>6.7000000000000004E-2</v>
      </c>
      <c r="AQ78" s="161">
        <f t="shared" si="5"/>
        <v>3.4679089026915112E-2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0.16600000000000001</v>
      </c>
      <c r="AM79" s="4">
        <f t="shared" si="4"/>
        <v>8.5921325051759839E-2</v>
      </c>
      <c r="AN79" s="5">
        <f>AA26</f>
        <v>0.10921052631578948</v>
      </c>
      <c r="AO79" s="4">
        <f t="shared" si="7"/>
        <v>5.6527187534052524E-2</v>
      </c>
      <c r="AP79" s="5">
        <f>AE26</f>
        <v>8.190789473684211E-2</v>
      </c>
      <c r="AQ79" s="162">
        <f t="shared" si="5"/>
        <v>4.2395390650539391E-2</v>
      </c>
      <c r="BB79" s="12">
        <v>17</v>
      </c>
      <c r="BC79" s="12">
        <v>18</v>
      </c>
    </row>
    <row r="80" spans="1:94" ht="42" customHeight="1" thickTop="1" thickBot="1" x14ac:dyDescent="0.3">
      <c r="D80" s="49"/>
      <c r="H80" s="711" t="s">
        <v>105</v>
      </c>
      <c r="I80" s="712"/>
      <c r="J80" s="58"/>
      <c r="AJ80" s="160">
        <f>U28</f>
        <v>0.125</v>
      </c>
      <c r="AK80" s="3">
        <f t="shared" si="6"/>
        <v>3.1749999999999998</v>
      </c>
      <c r="AL80" s="5">
        <f>W28</f>
        <v>0.183</v>
      </c>
      <c r="AM80" s="3">
        <f t="shared" si="4"/>
        <v>9.4720496894409936E-2</v>
      </c>
      <c r="AN80" s="5">
        <f>AA28</f>
        <v>0.12039473684210526</v>
      </c>
      <c r="AO80" s="3">
        <f t="shared" si="7"/>
        <v>6.2316116377901278E-2</v>
      </c>
      <c r="AP80" s="5">
        <f>AE28</f>
        <v>9.0296052631578944E-2</v>
      </c>
      <c r="AQ80" s="161">
        <f t="shared" si="5"/>
        <v>4.6737087283425946E-2</v>
      </c>
      <c r="BC80" s="45">
        <v>0.99880400000000003</v>
      </c>
      <c r="BD80" s="45">
        <v>0.99862499999999998</v>
      </c>
    </row>
    <row r="81" spans="2:43" ht="15.75" customHeight="1" x14ac:dyDescent="0.25">
      <c r="AJ81" s="160">
        <f>U30</f>
        <v>0.15</v>
      </c>
      <c r="AK81" s="3">
        <f t="shared" si="6"/>
        <v>3.8099999999999996</v>
      </c>
      <c r="AL81" s="5">
        <f>W30</f>
        <v>0.19700000000000001</v>
      </c>
      <c r="AM81" s="3">
        <f t="shared" si="4"/>
        <v>0.10196687370600414</v>
      </c>
      <c r="AN81" s="5">
        <f>AA30</f>
        <v>0.12960526315789475</v>
      </c>
      <c r="AO81" s="3">
        <f t="shared" si="7"/>
        <v>6.7083469543423785E-2</v>
      </c>
      <c r="AP81" s="5">
        <f>AE30</f>
        <v>9.7203947368421056E-2</v>
      </c>
      <c r="AQ81" s="161">
        <f t="shared" si="5"/>
        <v>5.0312602157567832E-2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0.20899999999999999</v>
      </c>
      <c r="AM82" s="3">
        <f t="shared" si="4"/>
        <v>0.10817805383022773</v>
      </c>
      <c r="AN82" s="5">
        <f>AA31</f>
        <v>0.13552631578947366</v>
      </c>
      <c r="AO82" s="3">
        <f t="shared" si="7"/>
        <v>7.0148196578402516E-2</v>
      </c>
      <c r="AP82" s="5">
        <f>AE31</f>
        <v>0.10164473684210525</v>
      </c>
      <c r="AQ82" s="161">
        <f t="shared" si="5"/>
        <v>5.2611147433801887E-2</v>
      </c>
    </row>
    <row r="83" spans="2:43" ht="15" customHeight="1" x14ac:dyDescent="0.25">
      <c r="B83" s="49"/>
      <c r="C83" s="49"/>
      <c r="D83" s="49">
        <v>0</v>
      </c>
      <c r="E83" s="50">
        <f>M42</f>
        <v>17.284375000000001</v>
      </c>
      <c r="F83" s="49"/>
      <c r="G83" s="43">
        <f>G84/10</f>
        <v>1.9494159329609246</v>
      </c>
      <c r="H83" s="43">
        <f>H84/10</f>
        <v>1.8604132381958212</v>
      </c>
      <c r="I83" s="43">
        <f>I84/10</f>
        <v>1.772944387291578</v>
      </c>
      <c r="J83" s="43">
        <f>J84/10</f>
        <v>1.7085341794535123</v>
      </c>
      <c r="K83" s="43"/>
      <c r="L83" s="42">
        <v>0</v>
      </c>
      <c r="O83" s="706"/>
      <c r="P83" s="706"/>
      <c r="Q83" s="706"/>
      <c r="R83" s="706"/>
      <c r="S83" s="707"/>
      <c r="W83" s="112"/>
      <c r="AJ83" s="160">
        <f>U33</f>
        <v>0.2</v>
      </c>
      <c r="AK83" s="4">
        <f t="shared" si="6"/>
        <v>5.08</v>
      </c>
      <c r="AL83" s="5">
        <f>W33</f>
        <v>0.216</v>
      </c>
      <c r="AM83" s="4">
        <f t="shared" si="4"/>
        <v>0.11180124223602483</v>
      </c>
      <c r="AN83" s="5">
        <f>AA33</f>
        <v>0.1388157894736842</v>
      </c>
      <c r="AO83" s="4">
        <f t="shared" si="7"/>
        <v>7.1850822708946271E-2</v>
      </c>
      <c r="AP83" s="5">
        <f>AE33</f>
        <v>0.10411184210526314</v>
      </c>
      <c r="AQ83" s="162">
        <f t="shared" si="5"/>
        <v>5.3888117031709697E-2</v>
      </c>
    </row>
    <row r="84" spans="2:43" ht="15" customHeight="1" x14ac:dyDescent="0.25">
      <c r="C84" s="94"/>
      <c r="D84" s="94"/>
      <c r="E84" s="94"/>
      <c r="F84" s="49"/>
      <c r="G84" s="43">
        <f>($M$34/(1+(E34*$M$34/100)))*($O$73)</f>
        <v>19.494159329609246</v>
      </c>
      <c r="H84" s="43">
        <f>($M$34/(1+(F34*$M$34/100)))*($O$73)</f>
        <v>18.604132381958213</v>
      </c>
      <c r="I84" s="43">
        <f>($M$34/(1+(G34*$M$34/100)))*($O$73)</f>
        <v>17.72944387291578</v>
      </c>
      <c r="J84" s="43">
        <f>($M$34/(1+(H34*$M$34/100)))*($O$73)</f>
        <v>17.085341794535122</v>
      </c>
      <c r="K84" s="43"/>
      <c r="O84" s="706" t="s">
        <v>146</v>
      </c>
      <c r="P84" s="706"/>
      <c r="Q84" s="706"/>
      <c r="R84" s="706"/>
      <c r="S84" s="707">
        <v>2240</v>
      </c>
      <c r="W84" s="112"/>
      <c r="AJ84" s="160">
        <f>U34</f>
        <v>0.3</v>
      </c>
      <c r="AK84" s="3">
        <f t="shared" si="6"/>
        <v>7.6199999999999992</v>
      </c>
      <c r="AL84" s="5">
        <f>W34</f>
        <v>0.25800000000000001</v>
      </c>
      <c r="AM84" s="3">
        <f t="shared" si="4"/>
        <v>0.13354037267080746</v>
      </c>
      <c r="AN84" s="5">
        <f>AA34</f>
        <v>0.17</v>
      </c>
      <c r="AO84" s="3">
        <f t="shared" si="7"/>
        <v>8.7991718426501039E-2</v>
      </c>
      <c r="AP84" s="5">
        <f>AE34</f>
        <v>0.12730263157894736</v>
      </c>
      <c r="AQ84" s="161">
        <f t="shared" si="5"/>
        <v>6.5891631252043156E-2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0.28899999999999998</v>
      </c>
      <c r="AM85" s="3">
        <f t="shared" si="4"/>
        <v>0.14958592132505175</v>
      </c>
      <c r="AN85" s="5">
        <f>AA35</f>
        <v>0.20065789473684209</v>
      </c>
      <c r="AO85" s="3">
        <f t="shared" si="7"/>
        <v>0.10386019396316878</v>
      </c>
      <c r="AP85" s="5">
        <f>AE35</f>
        <v>0.15049342105263158</v>
      </c>
      <c r="AQ85" s="161">
        <f>((AP85/19.32)*10)</f>
        <v>7.7895145472376595E-2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0.318</v>
      </c>
      <c r="AM86" s="164">
        <f t="shared" si="4"/>
        <v>0.16459627329192544</v>
      </c>
      <c r="AN86" s="165">
        <f>AA37</f>
        <v>0.22828947368421051</v>
      </c>
      <c r="AO86" s="164">
        <f t="shared" si="7"/>
        <v>0.1181622534597363</v>
      </c>
      <c r="AP86" s="165">
        <f>AE37</f>
        <v>0.16500000000000001</v>
      </c>
      <c r="AQ86" s="166">
        <f>((AP86/19.32)*10)</f>
        <v>8.5403726708074543E-2</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1.721600746255143</v>
      </c>
      <c r="AK91" s="9">
        <f>R31</f>
        <v>1.687601496838913</v>
      </c>
      <c r="AL91" s="10">
        <f>S31</f>
        <v>1.5827789091108333</v>
      </c>
    </row>
    <row r="92" spans="2:43" ht="21" customHeight="1" thickBot="1" x14ac:dyDescent="0.3">
      <c r="B92" s="92"/>
      <c r="C92" s="93"/>
      <c r="D92" s="93"/>
      <c r="E92" s="93"/>
      <c r="F92" s="62"/>
      <c r="G92" s="63"/>
      <c r="H92" s="49"/>
      <c r="I92" s="49"/>
      <c r="O92" s="725" t="s">
        <v>147</v>
      </c>
      <c r="P92" s="726"/>
      <c r="Q92" s="726"/>
      <c r="R92" s="726"/>
      <c r="S92" s="61">
        <f>M42</f>
        <v>17.284375000000001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1.0854489537478138</v>
      </c>
      <c r="AK94" s="158">
        <f>AA42</f>
        <v>0.69758080299947833</v>
      </c>
      <c r="AL94" s="158">
        <f>AD42</f>
        <v>0.52318560224960864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2043" priority="45">
      <formula>LEN(TRIM(D6))=0</formula>
    </cfRule>
  </conditionalFormatting>
  <conditionalFormatting sqref="D6:H10">
    <cfRule type="containsBlanks" dxfId="2042" priority="44">
      <formula>LEN(TRIM(D6))=0</formula>
    </cfRule>
  </conditionalFormatting>
  <conditionalFormatting sqref="M19">
    <cfRule type="containsBlanks" dxfId="2041" priority="43">
      <formula>LEN(TRIM(M19))=0</formula>
    </cfRule>
  </conditionalFormatting>
  <conditionalFormatting sqref="CP70">
    <cfRule type="containsBlanks" dxfId="2040" priority="42">
      <formula>LEN(TRIM(CP70))=0</formula>
    </cfRule>
  </conditionalFormatting>
  <conditionalFormatting sqref="M21">
    <cfRule type="containsBlanks" dxfId="2039" priority="41">
      <formula>LEN(TRIM(M21))=0</formula>
    </cfRule>
  </conditionalFormatting>
  <conditionalFormatting sqref="D12:M12">
    <cfRule type="containsBlanks" dxfId="2038" priority="40">
      <formula>LEN(TRIM(D12))=0</formula>
    </cfRule>
  </conditionalFormatting>
  <conditionalFormatting sqref="L9:M9">
    <cfRule type="containsBlanks" dxfId="2037" priority="39">
      <formula>LEN(TRIM(L9))=0</formula>
    </cfRule>
  </conditionalFormatting>
  <conditionalFormatting sqref="L25">
    <cfRule type="containsBlanks" dxfId="2036" priority="38">
      <formula>LEN(TRIM(L25))=0</formula>
    </cfRule>
  </conditionalFormatting>
  <conditionalFormatting sqref="Q20:S26">
    <cfRule type="containsBlanks" dxfId="2035" priority="28">
      <formula>LEN(TRIM(Q20))=0</formula>
    </cfRule>
    <cfRule type="containsBlanks" dxfId="2034" priority="37">
      <formula>LEN(TRIM(Q20))=0</formula>
    </cfRule>
  </conditionalFormatting>
  <conditionalFormatting sqref="U26:V27 AC33 AC26">
    <cfRule type="cellIs" dxfId="2033" priority="36" operator="between">
      <formula>0</formula>
      <formula>500</formula>
    </cfRule>
  </conditionalFormatting>
  <conditionalFormatting sqref="U33:V33">
    <cfRule type="cellIs" dxfId="2032" priority="35" operator="between">
      <formula>0</formula>
      <formula>500</formula>
    </cfRule>
  </conditionalFormatting>
  <conditionalFormatting sqref="AF45:AH46">
    <cfRule type="containsBlanks" dxfId="2031" priority="34">
      <formula>LEN(TRIM(AF45))=0</formula>
    </cfRule>
  </conditionalFormatting>
  <conditionalFormatting sqref="AF51:AG53">
    <cfRule type="containsBlanks" dxfId="2030" priority="33">
      <formula>LEN(TRIM(AF51))=0</formula>
    </cfRule>
  </conditionalFormatting>
  <conditionalFormatting sqref="E20:H24">
    <cfRule type="containsBlanks" dxfId="2029" priority="32">
      <formula>LEN(TRIM(E20))=0</formula>
    </cfRule>
  </conditionalFormatting>
  <conditionalFormatting sqref="E28:H33">
    <cfRule type="containsBlanks" dxfId="2028" priority="31">
      <formula>LEN(TRIM(E28))=0</formula>
    </cfRule>
  </conditionalFormatting>
  <conditionalFormatting sqref="Q42:S46">
    <cfRule type="containsBlanks" dxfId="2027" priority="30">
      <formula>LEN(TRIM(Q42))=0</formula>
    </cfRule>
  </conditionalFormatting>
  <conditionalFormatting sqref="Q34:S39">
    <cfRule type="containsBlanks" dxfId="2026" priority="29">
      <formula>LEN(TRIM(Q34))=0</formula>
    </cfRule>
  </conditionalFormatting>
  <conditionalFormatting sqref="M25">
    <cfRule type="containsBlanks" dxfId="2025" priority="27">
      <formula>LEN(TRIM(M25))=0</formula>
    </cfRule>
  </conditionalFormatting>
  <conditionalFormatting sqref="U26:V27 Y26:Z27 AC26:AD27 AG26:AG27">
    <cfRule type="containsBlanks" dxfId="2024" priority="25">
      <formula>LEN(TRIM(U26))=0</formula>
    </cfRule>
    <cfRule type="cellIs" dxfId="2023" priority="26" operator="between">
      <formula>0</formula>
      <formula>1000</formula>
    </cfRule>
  </conditionalFormatting>
  <conditionalFormatting sqref="W87:W88">
    <cfRule type="cellIs" dxfId="2022" priority="24" operator="between">
      <formula>0</formula>
      <formula>500</formula>
    </cfRule>
  </conditionalFormatting>
  <conditionalFormatting sqref="W94">
    <cfRule type="cellIs" dxfId="2021" priority="23" operator="between">
      <formula>0</formula>
      <formula>500</formula>
    </cfRule>
  </conditionalFormatting>
  <conditionalFormatting sqref="W87:W88">
    <cfRule type="containsBlanks" dxfId="2020" priority="21">
      <formula>LEN(TRIM(W87))=0</formula>
    </cfRule>
    <cfRule type="cellIs" dxfId="2019" priority="22" operator="between">
      <formula>0</formula>
      <formula>1000</formula>
    </cfRule>
  </conditionalFormatting>
  <conditionalFormatting sqref="U33:V33 Y33:Z33 AC33:AD33 AG33">
    <cfRule type="cellIs" dxfId="2018" priority="20" operator="between">
      <formula>0</formula>
      <formula>1000</formula>
    </cfRule>
  </conditionalFormatting>
  <conditionalFormatting sqref="Q27:S27">
    <cfRule type="containsBlanks" dxfId="2017" priority="18">
      <formula>LEN(TRIM(Q27))=0</formula>
    </cfRule>
    <cfRule type="containsBlanks" dxfId="2016" priority="19">
      <formula>LEN(TRIM(Q27))=0</formula>
    </cfRule>
  </conditionalFormatting>
  <conditionalFormatting sqref="W30:W31 W33:W35 W37 W28 W22:W26">
    <cfRule type="containsBlanks" dxfId="2015" priority="17">
      <formula>LEN(TRIM(W22))=0</formula>
    </cfRule>
  </conditionalFormatting>
  <conditionalFormatting sqref="W37 W30:W31 W33:W35 W28 W22:W26">
    <cfRule type="containsBlanks" dxfId="2014" priority="16">
      <formula>LEN(TRIM(W22))=0</formula>
    </cfRule>
  </conditionalFormatting>
  <conditionalFormatting sqref="W33:X33">
    <cfRule type="cellIs" dxfId="2013" priority="15" operator="between">
      <formula>0</formula>
      <formula>1000</formula>
    </cfRule>
  </conditionalFormatting>
  <conditionalFormatting sqref="W30:X37 W26 W28 W22:X25">
    <cfRule type="containsBlanks" dxfId="2012" priority="14">
      <formula>LEN(TRIM(W22))=0</formula>
    </cfRule>
  </conditionalFormatting>
  <conditionalFormatting sqref="AA37 AA30:AA31 AA33 AA22:AA26 AA28 AA35">
    <cfRule type="containsBlanks" dxfId="2011" priority="13">
      <formula>LEN(TRIM(AA22))=0</formula>
    </cfRule>
  </conditionalFormatting>
  <conditionalFormatting sqref="AA37 AA30:AA31 AA33 AA22:AA26 AA28 AA35">
    <cfRule type="containsBlanks" dxfId="2010" priority="12">
      <formula>LEN(TRIM(AA22))=0</formula>
    </cfRule>
  </conditionalFormatting>
  <conditionalFormatting sqref="AA33:AB33">
    <cfRule type="cellIs" dxfId="2009" priority="11" operator="between">
      <formula>0</formula>
      <formula>1000</formula>
    </cfRule>
  </conditionalFormatting>
  <conditionalFormatting sqref="AA30:AB30 AA31 AA33:AB33 AA22:AB25 AA26 AA28 AA35:AB37">
    <cfRule type="containsBlanks" dxfId="2008" priority="10">
      <formula>LEN(TRIM(AA22))=0</formula>
    </cfRule>
  </conditionalFormatting>
  <conditionalFormatting sqref="AE37 AE28 AE30:AE31 AE33:AE35 AE22:AE26">
    <cfRule type="containsBlanks" dxfId="2007" priority="9">
      <formula>LEN(TRIM(AE22))=0</formula>
    </cfRule>
  </conditionalFormatting>
  <conditionalFormatting sqref="AE37 AE28 AE30:AE31 AE33:AE35 AE22:AE26">
    <cfRule type="containsBlanks" dxfId="2006" priority="8">
      <formula>LEN(TRIM(AE22))=0</formula>
    </cfRule>
  </conditionalFormatting>
  <conditionalFormatting sqref="AE33:AF33">
    <cfRule type="cellIs" dxfId="2005" priority="7" operator="between">
      <formula>0</formula>
      <formula>1000</formula>
    </cfRule>
  </conditionalFormatting>
  <conditionalFormatting sqref="AE33:AF37 AE26 AE28 AE30:AE31 AE22:AF25">
    <cfRule type="containsBlanks" dxfId="2004" priority="6">
      <formula>LEN(TRIM(AE22))=0</formula>
    </cfRule>
  </conditionalFormatting>
  <conditionalFormatting sqref="K6:M6">
    <cfRule type="containsBlanks" dxfId="2003" priority="5">
      <formula>LEN(TRIM(K6))=0</formula>
    </cfRule>
  </conditionalFormatting>
  <conditionalFormatting sqref="K7:K8">
    <cfRule type="containsBlanks" dxfId="2002" priority="4">
      <formula>LEN(TRIM(K7))=0</formula>
    </cfRule>
  </conditionalFormatting>
  <conditionalFormatting sqref="D13:M13">
    <cfRule type="containsBlanks" dxfId="2001" priority="3">
      <formula>LEN(TRIM(D13))=0</formula>
    </cfRule>
  </conditionalFormatting>
  <conditionalFormatting sqref="B6:B10">
    <cfRule type="containsBlanks" dxfId="2000" priority="2">
      <formula>LEN(TRIM(B6))=0</formula>
    </cfRule>
  </conditionalFormatting>
  <conditionalFormatting sqref="B12:B13">
    <cfRule type="containsBlanks" dxfId="1999" priority="1">
      <formula>LEN(TRIM(B12))=0</formula>
    </cfRule>
  </conditionalFormatting>
  <dataValidations count="5">
    <dataValidation type="list" allowBlank="1" showInputMessage="1" showErrorMessage="1" sqref="L25" xr:uid="{00000000-0002-0000-0E00-000000000000}">
      <formula1>$D$101:$D$104</formula1>
    </dataValidation>
    <dataValidation type="list" allowBlank="1" showInputMessage="1" showErrorMessage="1" sqref="M21" xr:uid="{00000000-0002-0000-0E00-000001000000}">
      <formula1>$AX$3:$AX$4</formula1>
    </dataValidation>
    <dataValidation type="list" allowBlank="1" showInputMessage="1" showErrorMessage="1" sqref="M19" xr:uid="{00000000-0002-0000-0E00-000002000000}">
      <formula1>$AX$3:$AX$5</formula1>
    </dataValidation>
    <dataValidation type="list" allowBlank="1" showInputMessage="1" showErrorMessage="1" sqref="CP70" xr:uid="{00000000-0002-0000-0E00-000003000000}">
      <formula1>$BA$3:$BA$5</formula1>
    </dataValidation>
    <dataValidation type="list" allowBlank="1" showInputMessage="1" showErrorMessage="1" sqref="D12:E12" xr:uid="{00000000-0002-0000-0E00-000004000000}">
      <formula1>$B$87:$B$94</formula1>
    </dataValidation>
  </dataValidations>
  <hyperlinks>
    <hyperlink ref="D8" r:id="rId1" xr:uid="{00000000-0004-0000-0E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23905"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23906"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23907"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2390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2390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23910"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23911"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2391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2391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2391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56">
    <tabColor rgb="FFFFFF00"/>
  </sheetPr>
  <dimension ref="A1:CP153"/>
  <sheetViews>
    <sheetView view="pageBreakPreview" topLeftCell="M39" zoomScale="70" zoomScaleNormal="100" zoomScaleSheetLayoutView="70" workbookViewId="0">
      <selection activeCell="M25" sqref="M25"/>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45930</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45930</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25-PALMASECA-AP2-2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25-PALMASECA-AP2-2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236</v>
      </c>
      <c r="G12" s="31" t="s">
        <v>4</v>
      </c>
      <c r="H12" s="146">
        <v>2</v>
      </c>
      <c r="I12" s="546" t="s">
        <v>5</v>
      </c>
      <c r="J12" s="546"/>
      <c r="K12" s="209">
        <v>0.5</v>
      </c>
      <c r="L12" s="32" t="s">
        <v>6</v>
      </c>
      <c r="M12" s="147">
        <v>1.8</v>
      </c>
      <c r="N12" s="78"/>
      <c r="O12" s="501" t="s">
        <v>3</v>
      </c>
      <c r="P12" s="501"/>
      <c r="Q12" s="225" t="s">
        <v>234</v>
      </c>
      <c r="R12" s="224" t="str">
        <f>F12</f>
        <v>PALMASECA-AP2</v>
      </c>
      <c r="S12" s="224"/>
      <c r="T12" s="502" t="s">
        <v>4</v>
      </c>
      <c r="U12" s="502"/>
      <c r="V12" s="33">
        <f>+H12</f>
        <v>2</v>
      </c>
      <c r="W12" s="547" t="s">
        <v>5</v>
      </c>
      <c r="X12" s="547"/>
      <c r="Y12" s="547"/>
      <c r="Z12" s="547"/>
      <c r="AA12" s="547"/>
      <c r="AB12" s="547"/>
      <c r="AC12" s="34">
        <f>K12</f>
        <v>0.5</v>
      </c>
      <c r="AD12" s="548" t="s">
        <v>6</v>
      </c>
      <c r="AE12" s="548"/>
      <c r="AF12" s="35">
        <f>+M12</f>
        <v>1.8</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230</v>
      </c>
      <c r="E13" s="479"/>
      <c r="F13" s="479"/>
      <c r="G13" s="479"/>
      <c r="H13" s="479"/>
      <c r="I13" s="479"/>
      <c r="J13" s="479"/>
      <c r="K13" s="479"/>
      <c r="L13" s="479"/>
      <c r="M13" s="480"/>
      <c r="N13" s="188"/>
      <c r="O13" s="526" t="s">
        <v>130</v>
      </c>
      <c r="P13" s="526"/>
      <c r="Q13" s="527" t="str">
        <f>D13</f>
        <v>ARCILLA CON ALGO DE LIMO, COLOR GRIS, DE CONSISTENCIA FIRME,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588</v>
      </c>
      <c r="R20" s="156">
        <v>607</v>
      </c>
      <c r="S20" s="157">
        <v>547</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11451-250</f>
        <v>11201</v>
      </c>
      <c r="F22" s="150">
        <f>11769-250</f>
        <v>11519</v>
      </c>
      <c r="G22" s="150">
        <f>11847-200</f>
        <v>11647</v>
      </c>
      <c r="H22" s="151">
        <f>11695-250</f>
        <v>11445</v>
      </c>
      <c r="I22" s="174"/>
      <c r="J22" s="578"/>
      <c r="K22" s="578"/>
      <c r="L22" s="578"/>
      <c r="M22" s="104"/>
      <c r="N22" s="103"/>
      <c r="O22" s="579" t="s">
        <v>132</v>
      </c>
      <c r="P22" s="580"/>
      <c r="Q22" s="219">
        <v>8109</v>
      </c>
      <c r="R22" s="219">
        <v>7837</v>
      </c>
      <c r="S22" s="208">
        <v>7677</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6.4000000000000001E-2</v>
      </c>
      <c r="AJ22" s="42">
        <f>AJ50/1.52</f>
        <v>4.2105263157894736E-2</v>
      </c>
      <c r="AK22" s="42">
        <f>AJ22*0.75</f>
        <v>3.1578947368421054E-2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3868</v>
      </c>
      <c r="R23" s="150">
        <v>3788</v>
      </c>
      <c r="S23" s="151">
        <v>3784</v>
      </c>
      <c r="T23" s="174"/>
      <c r="U23" s="112">
        <v>2.5000000000000001E-2</v>
      </c>
      <c r="V23" s="113">
        <f>U23*25.4</f>
        <v>0.63500000000000001</v>
      </c>
      <c r="W23" s="581">
        <v>0.111</v>
      </c>
      <c r="X23" s="582"/>
      <c r="Y23" s="449">
        <f>((W23/19.32)*10)</f>
        <v>5.745341614906832E-2</v>
      </c>
      <c r="Z23" s="450"/>
      <c r="AA23" s="581">
        <v>6.2E-2</v>
      </c>
      <c r="AB23" s="582"/>
      <c r="AC23" s="449">
        <f>((AA23/19.32)*10)</f>
        <v>3.2091097308488616E-2</v>
      </c>
      <c r="AD23" s="450"/>
      <c r="AE23" s="581">
        <v>2.4E-2</v>
      </c>
      <c r="AF23" s="582"/>
      <c r="AG23" s="114">
        <f>((AE23/19.32)*10)</f>
        <v>1.2422360248447206E-2</v>
      </c>
      <c r="AH23" s="104"/>
      <c r="AI23" s="42">
        <f t="shared" ref="AI23:AI33" si="0">AJ51</f>
        <v>0.128</v>
      </c>
      <c r="AJ23" s="42">
        <f t="shared" ref="AJ23:AJ33" si="1">AJ51/1.52</f>
        <v>8.4210526315789472E-2</v>
      </c>
      <c r="AK23" s="42">
        <f t="shared" ref="AK23:AK33" si="2">AJ23*0.75</f>
        <v>6.3157894736842107E-2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11.24</v>
      </c>
      <c r="R24" s="152">
        <v>11.3</v>
      </c>
      <c r="S24" s="153">
        <v>11.35</v>
      </c>
      <c r="T24" s="174"/>
      <c r="U24" s="112">
        <v>0.05</v>
      </c>
      <c r="V24" s="113">
        <f>U24*25.4</f>
        <v>1.27</v>
      </c>
      <c r="W24" s="581">
        <v>0.159</v>
      </c>
      <c r="X24" s="582"/>
      <c r="Y24" s="449">
        <f>((W24/19.32)*10)</f>
        <v>8.2298136645962722E-2</v>
      </c>
      <c r="Z24" s="450"/>
      <c r="AA24" s="581">
        <v>9.8000000000000004E-2</v>
      </c>
      <c r="AB24" s="582"/>
      <c r="AC24" s="449">
        <f>((AA24/19.32)*10)</f>
        <v>5.0724637681159424E-2</v>
      </c>
      <c r="AD24" s="450"/>
      <c r="AE24" s="581">
        <v>6.5000000000000002E-2</v>
      </c>
      <c r="AF24" s="582"/>
      <c r="AG24" s="114">
        <f>((AE24/19.32)*10)</f>
        <v>3.3643892339544512E-2</v>
      </c>
      <c r="AH24" s="104"/>
      <c r="AI24" s="42">
        <f t="shared" si="0"/>
        <v>0.17699999999999999</v>
      </c>
      <c r="AJ24" s="42">
        <f t="shared" si="1"/>
        <v>0.11644736842105262</v>
      </c>
      <c r="AK24" s="42">
        <f t="shared" si="2"/>
        <v>8.7335526315789461E-2</v>
      </c>
      <c r="AO24" s="42">
        <v>0.68400000000000005</v>
      </c>
      <c r="AS24" s="42">
        <f t="shared" si="3"/>
        <v>0.55609756097560981</v>
      </c>
    </row>
    <row r="25" spans="1:45" ht="24.95" customHeight="1" thickBot="1" x14ac:dyDescent="0.3">
      <c r="A25" s="103"/>
      <c r="B25" s="602" t="s">
        <v>69</v>
      </c>
      <c r="C25" s="603"/>
      <c r="D25" s="603"/>
      <c r="E25" s="115">
        <f>E22-E23</f>
        <v>3889</v>
      </c>
      <c r="F25" s="115">
        <f>F22-F23</f>
        <v>4207</v>
      </c>
      <c r="G25" s="115">
        <f>G22-G23</f>
        <v>4335</v>
      </c>
      <c r="H25" s="116">
        <f>H22-H23</f>
        <v>4133</v>
      </c>
      <c r="I25" s="174"/>
      <c r="J25" s="174" t="s">
        <v>127</v>
      </c>
      <c r="K25" s="174"/>
      <c r="L25" s="218" t="s">
        <v>128</v>
      </c>
      <c r="M25" s="246">
        <v>0</v>
      </c>
      <c r="N25" s="103"/>
      <c r="O25" s="604" t="s">
        <v>46</v>
      </c>
      <c r="P25" s="605"/>
      <c r="Q25" s="608">
        <v>15.25</v>
      </c>
      <c r="R25" s="608">
        <v>15.2</v>
      </c>
      <c r="S25" s="610">
        <v>15.29</v>
      </c>
      <c r="T25" s="174"/>
      <c r="U25" s="112">
        <v>7.4999999999999997E-2</v>
      </c>
      <c r="V25" s="113">
        <f>U25*25.4</f>
        <v>1.9049999999999998</v>
      </c>
      <c r="W25" s="581">
        <v>0.18099999999999999</v>
      </c>
      <c r="X25" s="582"/>
      <c r="Y25" s="449">
        <f>((W25/19.32)*10)</f>
        <v>9.3685300207039329E-2</v>
      </c>
      <c r="Z25" s="450"/>
      <c r="AA25" s="581">
        <v>0.121</v>
      </c>
      <c r="AB25" s="582"/>
      <c r="AC25" s="449">
        <f>((AA25/19.32)*10)</f>
        <v>6.2629399585921328E-2</v>
      </c>
      <c r="AD25" s="450"/>
      <c r="AE25" s="581">
        <v>8.7999999999999995E-2</v>
      </c>
      <c r="AF25" s="582"/>
      <c r="AG25" s="114">
        <f>((AE25/19.32)*10)</f>
        <v>4.5548654244306416E-2</v>
      </c>
      <c r="AH25" s="104"/>
      <c r="AI25" s="42">
        <f t="shared" si="0"/>
        <v>0.193</v>
      </c>
      <c r="AJ25" s="42">
        <f t="shared" si="1"/>
        <v>0.12697368421052632</v>
      </c>
      <c r="AK25" s="42">
        <f t="shared" si="2"/>
        <v>9.5230263157894735E-2</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v>0.19400000000000001</v>
      </c>
      <c r="X26" s="779"/>
      <c r="Y26" s="461">
        <f>((W26/19.32)*10)</f>
        <v>0.10041407867494825</v>
      </c>
      <c r="Z26" s="462"/>
      <c r="AA26" s="746">
        <f>AJ26</f>
        <v>0.13421052631578947</v>
      </c>
      <c r="AB26" s="747"/>
      <c r="AC26" s="461">
        <f>((AA26/19.32)*10)</f>
        <v>6.9467146126185028E-2</v>
      </c>
      <c r="AD26" s="462"/>
      <c r="AE26" s="746">
        <f>AK26</f>
        <v>0.10065789473684211</v>
      </c>
      <c r="AF26" s="747"/>
      <c r="AG26" s="469">
        <f>((AE26/19.32)*10)</f>
        <v>5.2100359594638775E-2</v>
      </c>
      <c r="AH26" s="104"/>
      <c r="AI26" s="42">
        <f t="shared" si="0"/>
        <v>0.20399999999999999</v>
      </c>
      <c r="AJ26" s="42">
        <f t="shared" si="1"/>
        <v>0.13421052631578947</v>
      </c>
      <c r="AK26" s="42">
        <f t="shared" si="2"/>
        <v>0.10065789473684211</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2053.0327626163385</v>
      </c>
      <c r="R27" s="152">
        <f>(PI()*((R25^2)/4)*R24)</f>
        <v>2050.4798258862152</v>
      </c>
      <c r="S27" s="153">
        <f>(PI()*((S25^2)/4)*S24)</f>
        <v>2084.014391456813</v>
      </c>
      <c r="T27" s="174"/>
      <c r="U27" s="600"/>
      <c r="V27" s="601"/>
      <c r="W27" s="780"/>
      <c r="X27" s="781"/>
      <c r="Y27" s="463"/>
      <c r="Z27" s="464"/>
      <c r="AA27" s="748"/>
      <c r="AB27" s="749"/>
      <c r="AC27" s="463"/>
      <c r="AD27" s="464"/>
      <c r="AE27" s="748"/>
      <c r="AF27" s="749"/>
      <c r="AG27" s="470"/>
      <c r="AH27" s="193"/>
      <c r="AI27" s="42">
        <f t="shared" si="0"/>
        <v>0.21299999999999999</v>
      </c>
      <c r="AJ27" s="42">
        <f t="shared" si="1"/>
        <v>0.14013157894736841</v>
      </c>
      <c r="AK27" s="42">
        <f t="shared" si="2"/>
        <v>0.10509868421052632</v>
      </c>
      <c r="AO27" s="42">
        <v>2.387</v>
      </c>
      <c r="AS27" s="42">
        <f t="shared" si="3"/>
        <v>1.9406504065040651</v>
      </c>
    </row>
    <row r="28" spans="1:45" ht="24.95" customHeight="1" thickBot="1" x14ac:dyDescent="0.3">
      <c r="A28" s="103"/>
      <c r="B28" s="560" t="s">
        <v>9</v>
      </c>
      <c r="C28" s="561"/>
      <c r="D28" s="561"/>
      <c r="E28" s="148">
        <v>372</v>
      </c>
      <c r="F28" s="148">
        <v>371</v>
      </c>
      <c r="G28" s="148">
        <v>314</v>
      </c>
      <c r="H28" s="149">
        <v>377</v>
      </c>
      <c r="I28" s="174"/>
      <c r="J28" s="597" t="s">
        <v>107</v>
      </c>
      <c r="K28" s="597"/>
      <c r="L28" s="562" t="s">
        <v>119</v>
      </c>
      <c r="M28" s="459">
        <f>IF(M26="","",(100-M26))</f>
        <v>100</v>
      </c>
      <c r="N28" s="103"/>
      <c r="O28" s="625" t="s">
        <v>136</v>
      </c>
      <c r="P28" s="626"/>
      <c r="Q28" s="115">
        <f>Q22-Q23</f>
        <v>4241</v>
      </c>
      <c r="R28" s="220">
        <f>R22-R23</f>
        <v>4049</v>
      </c>
      <c r="S28" s="220">
        <f>S22-S23</f>
        <v>3893</v>
      </c>
      <c r="T28" s="174"/>
      <c r="U28" s="627">
        <v>0.125</v>
      </c>
      <c r="V28" s="624">
        <f>U28*25.4</f>
        <v>3.1749999999999998</v>
      </c>
      <c r="W28" s="593">
        <f>AI27</f>
        <v>0.21299999999999999</v>
      </c>
      <c r="X28" s="594"/>
      <c r="Y28" s="439">
        <f>((W28/19.32)*10)</f>
        <v>0.11024844720496893</v>
      </c>
      <c r="Z28" s="440"/>
      <c r="AA28" s="593">
        <f>AJ27</f>
        <v>0.14013157894736841</v>
      </c>
      <c r="AB28" s="594"/>
      <c r="AC28" s="439">
        <f>((AA28/19.32)*10)</f>
        <v>7.2531873161163773E-2</v>
      </c>
      <c r="AD28" s="440"/>
      <c r="AE28" s="593">
        <f>AK27</f>
        <v>0.10509868421052632</v>
      </c>
      <c r="AF28" s="594"/>
      <c r="AG28" s="443">
        <f>((AE28/19.32)*10)</f>
        <v>5.439890487087283E-2</v>
      </c>
      <c r="AH28" s="104"/>
      <c r="AI28" s="42">
        <f t="shared" si="0"/>
        <v>0.22700000000000001</v>
      </c>
      <c r="AJ28" s="42">
        <f t="shared" si="1"/>
        <v>0.14934210526315789</v>
      </c>
      <c r="AK28" s="42">
        <f t="shared" si="2"/>
        <v>0.11200657894736842</v>
      </c>
      <c r="AO28" s="42">
        <v>2.8959999999999999</v>
      </c>
      <c r="AS28" s="42">
        <f t="shared" si="3"/>
        <v>2.3544715447154472</v>
      </c>
    </row>
    <row r="29" spans="1:45" ht="5.0999999999999996" customHeight="1" thickBot="1" x14ac:dyDescent="0.3">
      <c r="A29" s="103"/>
      <c r="B29" s="612" t="s">
        <v>73</v>
      </c>
      <c r="C29" s="613"/>
      <c r="D29" s="614"/>
      <c r="E29" s="618">
        <v>941.78</v>
      </c>
      <c r="F29" s="618">
        <v>988.01</v>
      </c>
      <c r="G29" s="618">
        <v>810.13</v>
      </c>
      <c r="H29" s="620">
        <v>925.9</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0.23899999999999999</v>
      </c>
      <c r="AJ29" s="42">
        <f t="shared" si="1"/>
        <v>0.15723684210526315</v>
      </c>
      <c r="AK29" s="42">
        <f t="shared" si="2"/>
        <v>0.11792763157894737</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16.335673845652181</v>
      </c>
      <c r="N30" s="103"/>
      <c r="O30" s="622" t="s">
        <v>134</v>
      </c>
      <c r="P30" s="623"/>
      <c r="Q30" s="229">
        <f>Q28/Q27</f>
        <v>2.0657244624753894</v>
      </c>
      <c r="R30" s="229">
        <f>R28/R27</f>
        <v>1.9746597595760429</v>
      </c>
      <c r="S30" s="131">
        <f>S28/S27</f>
        <v>1.8680293264571128</v>
      </c>
      <c r="T30" s="174"/>
      <c r="U30" s="120">
        <v>0.15</v>
      </c>
      <c r="V30" s="113">
        <f>U30*25.4</f>
        <v>3.8099999999999996</v>
      </c>
      <c r="W30" s="581">
        <f>AI28</f>
        <v>0.22700000000000001</v>
      </c>
      <c r="X30" s="582"/>
      <c r="Y30" s="449">
        <f>((W30/19.32)*10)</f>
        <v>0.11749482401656314</v>
      </c>
      <c r="Z30" s="450"/>
      <c r="AA30" s="581">
        <f>AJ28</f>
        <v>0.14934210526315789</v>
      </c>
      <c r="AB30" s="582"/>
      <c r="AC30" s="449">
        <f>((AA30/19.32)*10)</f>
        <v>7.7299226326686274E-2</v>
      </c>
      <c r="AD30" s="450"/>
      <c r="AE30" s="581">
        <f>AK28</f>
        <v>0.11200657894736842</v>
      </c>
      <c r="AF30" s="582"/>
      <c r="AG30" s="114">
        <f>((AE30/19.32)*10)</f>
        <v>5.7974419745014702E-2</v>
      </c>
      <c r="AH30" s="104"/>
      <c r="AI30" s="42">
        <f t="shared" si="0"/>
        <v>0.253</v>
      </c>
      <c r="AJ30" s="42">
        <f t="shared" si="1"/>
        <v>0.16644736842105262</v>
      </c>
      <c r="AK30" s="42">
        <f t="shared" si="2"/>
        <v>0.12483552631578947</v>
      </c>
      <c r="AO30" s="42">
        <v>3.8439999999999999</v>
      </c>
      <c r="AS30" s="42">
        <f t="shared" si="3"/>
        <v>3.1252032520325201</v>
      </c>
    </row>
    <row r="31" spans="1:45" ht="24.95" customHeight="1" thickBot="1" x14ac:dyDescent="0.3">
      <c r="A31" s="103"/>
      <c r="B31" s="576" t="s">
        <v>74</v>
      </c>
      <c r="C31" s="577"/>
      <c r="D31" s="577"/>
      <c r="E31" s="152">
        <v>806.47</v>
      </c>
      <c r="F31" s="152">
        <v>830.69</v>
      </c>
      <c r="G31" s="152">
        <v>675.9</v>
      </c>
      <c r="H31" s="153">
        <v>757.23</v>
      </c>
      <c r="I31" s="174"/>
      <c r="J31" s="597" t="s">
        <v>138</v>
      </c>
      <c r="K31" s="597"/>
      <c r="L31" s="562" t="s">
        <v>116</v>
      </c>
      <c r="M31" s="457">
        <f>IF(M25="","",S82)</f>
        <v>2.7120000000000002</v>
      </c>
      <c r="N31" s="121"/>
      <c r="O31" s="628" t="s">
        <v>135</v>
      </c>
      <c r="P31" s="629"/>
      <c r="Q31" s="122">
        <f>Q30/(1+Q40/100)</f>
        <v>1.6838744085800781</v>
      </c>
      <c r="R31" s="122">
        <f>R30/(1+R40/100)</f>
        <v>1.6142545760003713</v>
      </c>
      <c r="S31" s="123">
        <f>S30/(1+S40/100)</f>
        <v>1.5238725010795457</v>
      </c>
      <c r="T31" s="174"/>
      <c r="U31" s="627">
        <v>0.17499999999999999</v>
      </c>
      <c r="V31" s="624">
        <f>U31*25.4</f>
        <v>4.4449999999999994</v>
      </c>
      <c r="W31" s="593">
        <f>AI29</f>
        <v>0.23899999999999999</v>
      </c>
      <c r="X31" s="594"/>
      <c r="Y31" s="439">
        <f>((W31/19.32)*10)</f>
        <v>0.12370600414078675</v>
      </c>
      <c r="Z31" s="440"/>
      <c r="AA31" s="593">
        <v>0.159</v>
      </c>
      <c r="AB31" s="594"/>
      <c r="AC31" s="439">
        <f>((AA31/19.32)*10)</f>
        <v>8.2298136645962722E-2</v>
      </c>
      <c r="AD31" s="440"/>
      <c r="AE31" s="593">
        <f>AK29</f>
        <v>0.11792763157894737</v>
      </c>
      <c r="AF31" s="594"/>
      <c r="AG31" s="443">
        <f>((AE31/19.32)*10)</f>
        <v>6.1039146779993461E-2</v>
      </c>
      <c r="AH31" s="104"/>
      <c r="AI31" s="42">
        <f t="shared" si="0"/>
        <v>0.314</v>
      </c>
      <c r="AJ31" s="42">
        <f t="shared" si="1"/>
        <v>0.20657894736842106</v>
      </c>
      <c r="AK31" s="42">
        <f t="shared" si="2"/>
        <v>0.15493421052631579</v>
      </c>
      <c r="AO31" s="42">
        <v>5.516</v>
      </c>
      <c r="AS31" s="42">
        <f t="shared" si="3"/>
        <v>4.4845528455284551</v>
      </c>
    </row>
    <row r="32" spans="1:45" ht="5.0999999999999996" customHeight="1" thickBot="1" x14ac:dyDescent="0.3">
      <c r="A32" s="103"/>
      <c r="B32" s="612" t="s">
        <v>75</v>
      </c>
      <c r="C32" s="613"/>
      <c r="D32" s="614"/>
      <c r="E32" s="618">
        <v>101.33</v>
      </c>
      <c r="F32" s="618">
        <v>87.14</v>
      </c>
      <c r="G32" s="618">
        <v>100.52</v>
      </c>
      <c r="H32" s="620">
        <v>95.41</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0.47699999999999998</v>
      </c>
      <c r="AJ32" s="42">
        <f t="shared" si="1"/>
        <v>0.31381578947368421</v>
      </c>
      <c r="AK32" s="42">
        <f t="shared" si="2"/>
        <v>0.23536184210526317</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0.253</v>
      </c>
      <c r="X33" s="582"/>
      <c r="Y33" s="449">
        <f>((W33/19.32)*10)</f>
        <v>0.13095238095238096</v>
      </c>
      <c r="Z33" s="450"/>
      <c r="AA33" s="581">
        <v>0.17199999999999999</v>
      </c>
      <c r="AB33" s="582"/>
      <c r="AC33" s="449">
        <f>((AA33/19.32)*10)</f>
        <v>8.9026915113871619E-2</v>
      </c>
      <c r="AD33" s="450"/>
      <c r="AE33" s="581">
        <f>AK30</f>
        <v>0.12483552631578947</v>
      </c>
      <c r="AF33" s="582"/>
      <c r="AG33" s="144">
        <f>((AE33/19.32)*10)</f>
        <v>6.4614661654135333E-2</v>
      </c>
      <c r="AH33" s="104"/>
      <c r="AI33" s="42">
        <f t="shared" si="0"/>
        <v>0.754</v>
      </c>
      <c r="AJ33" s="42">
        <f t="shared" si="1"/>
        <v>0.49605263157894736</v>
      </c>
      <c r="AK33" s="42">
        <f t="shared" si="2"/>
        <v>0.37203947368421053</v>
      </c>
      <c r="AO33" s="42">
        <v>7.7720000000000002</v>
      </c>
      <c r="AS33" s="42">
        <f t="shared" si="3"/>
        <v>6.3186991869918705</v>
      </c>
    </row>
    <row r="34" spans="1:45" ht="24.95" customHeight="1" thickBot="1" x14ac:dyDescent="0.3">
      <c r="A34" s="103"/>
      <c r="B34" s="602" t="s">
        <v>10</v>
      </c>
      <c r="C34" s="603"/>
      <c r="D34" s="603"/>
      <c r="E34" s="125">
        <f>((E29-E31)/(E31-E32))*100</f>
        <v>19.18909720055591</v>
      </c>
      <c r="F34" s="125">
        <f>((F29-F31)/(F31-F32))*100</f>
        <v>21.157958442606407</v>
      </c>
      <c r="G34" s="125">
        <f>((G29-G31)/(G31-G32))*100</f>
        <v>23.328930445966147</v>
      </c>
      <c r="H34" s="126">
        <f>((H29-H31)/(H31-H32))*100</f>
        <v>25.485781632468036</v>
      </c>
      <c r="I34" s="174"/>
      <c r="J34" s="630" t="s">
        <v>125</v>
      </c>
      <c r="K34" s="630"/>
      <c r="L34" s="184" t="s">
        <v>126</v>
      </c>
      <c r="M34" s="127">
        <v>2.75</v>
      </c>
      <c r="N34" s="128"/>
      <c r="O34" s="631" t="s">
        <v>9</v>
      </c>
      <c r="P34" s="632"/>
      <c r="Q34" s="156">
        <v>308</v>
      </c>
      <c r="R34" s="156">
        <v>364</v>
      </c>
      <c r="S34" s="157">
        <v>724</v>
      </c>
      <c r="T34" s="174"/>
      <c r="U34" s="120">
        <v>0.3</v>
      </c>
      <c r="V34" s="113">
        <f>U34*25.4</f>
        <v>7.6199999999999992</v>
      </c>
      <c r="W34" s="581">
        <f>AI31</f>
        <v>0.314</v>
      </c>
      <c r="X34" s="582"/>
      <c r="Y34" s="449">
        <f>((W34/19.32)*10)</f>
        <v>0.16252587991718426</v>
      </c>
      <c r="Z34" s="450"/>
      <c r="AA34" s="449">
        <v>0.222</v>
      </c>
      <c r="AB34" s="450"/>
      <c r="AC34" s="449">
        <f>((AA34/19.32)*10)</f>
        <v>0.11490683229813664</v>
      </c>
      <c r="AD34" s="450"/>
      <c r="AE34" s="581">
        <f>AK31</f>
        <v>0.15493421052631579</v>
      </c>
      <c r="AF34" s="582"/>
      <c r="AG34" s="114">
        <f>((AE34/19.32)*10)</f>
        <v>8.0193690748610658E-2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833.81</v>
      </c>
      <c r="R35" s="608">
        <v>758.9</v>
      </c>
      <c r="S35" s="610">
        <v>621.83000000000004</v>
      </c>
      <c r="T35" s="174"/>
      <c r="U35" s="627">
        <v>0.4</v>
      </c>
      <c r="V35" s="624">
        <f>U35*25.4</f>
        <v>10.16</v>
      </c>
      <c r="W35" s="593">
        <v>0.374</v>
      </c>
      <c r="X35" s="594"/>
      <c r="Y35" s="439">
        <f>((W35/19.32)*10)</f>
        <v>0.19358178053830227</v>
      </c>
      <c r="Z35" s="440"/>
      <c r="AA35" s="593">
        <v>0.27500000000000002</v>
      </c>
      <c r="AB35" s="594"/>
      <c r="AC35" s="439">
        <f>(AA35/19.32)*10</f>
        <v>0.14233954451345757</v>
      </c>
      <c r="AD35" s="440"/>
      <c r="AE35" s="593">
        <v>0.17799999999999999</v>
      </c>
      <c r="AF35" s="594"/>
      <c r="AG35" s="443">
        <f>((AE35/19.32)*10)</f>
        <v>9.213250517598344E-2</v>
      </c>
      <c r="AH35" s="104"/>
      <c r="AS35" s="42">
        <f t="shared" si="3"/>
        <v>0</v>
      </c>
    </row>
    <row r="36" spans="1:45" ht="20.100000000000001" customHeight="1" thickBot="1" x14ac:dyDescent="0.3">
      <c r="A36" s="103"/>
      <c r="B36" s="639" t="s">
        <v>71</v>
      </c>
      <c r="C36" s="640"/>
      <c r="D36" s="640"/>
      <c r="E36" s="130">
        <f>E25/E24</f>
        <v>1.8105214152700186</v>
      </c>
      <c r="F36" s="130">
        <f>F25/F24</f>
        <v>1.9585661080074488</v>
      </c>
      <c r="G36" s="130">
        <f>G25/G24</f>
        <v>2.0181564245810057</v>
      </c>
      <c r="H36" s="131">
        <f>H25/H24</f>
        <v>1.9241154562383613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1.5190327452715819</v>
      </c>
      <c r="F37" s="230">
        <f>F36/(1+F34/100)</f>
        <v>1.6165393781665931</v>
      </c>
      <c r="G37" s="230">
        <f>G36/(1+G34/100)</f>
        <v>1.6364014649954468</v>
      </c>
      <c r="H37" s="123">
        <f>H36/(1+H34/100)</f>
        <v>1.5333334432054238</v>
      </c>
      <c r="I37" s="174"/>
      <c r="J37" s="641" t="s">
        <v>139</v>
      </c>
      <c r="K37" s="641"/>
      <c r="L37" s="643" t="s">
        <v>121</v>
      </c>
      <c r="M37" s="433">
        <f>IF(F74="","",(M42^2*F74+M42*F75+F76))</f>
        <v>1.6652063043478265</v>
      </c>
      <c r="N37" s="101"/>
      <c r="O37" s="576" t="s">
        <v>28</v>
      </c>
      <c r="P37" s="577"/>
      <c r="Q37" s="150">
        <v>698.42</v>
      </c>
      <c r="R37" s="150">
        <v>639.38</v>
      </c>
      <c r="S37" s="153">
        <v>515.88</v>
      </c>
      <c r="T37" s="174"/>
      <c r="U37" s="132">
        <v>0.5</v>
      </c>
      <c r="V37" s="133">
        <f>U37*25.4</f>
        <v>12.7</v>
      </c>
      <c r="W37" s="637">
        <v>0.41399999999999998</v>
      </c>
      <c r="X37" s="638"/>
      <c r="Y37" s="431">
        <f>((W37/19.32)*10)</f>
        <v>0.2142857142857143</v>
      </c>
      <c r="Z37" s="432"/>
      <c r="AA37" s="637">
        <v>0.32600000000000001</v>
      </c>
      <c r="AB37" s="638"/>
      <c r="AC37" s="431">
        <f>((AA37/19.32)*10)</f>
        <v>0.16873706004140787</v>
      </c>
      <c r="AD37" s="432"/>
      <c r="AE37" s="637">
        <v>0.20100000000000001</v>
      </c>
      <c r="AF37" s="638"/>
      <c r="AG37" s="134">
        <f>((AE37/19.32)*10)</f>
        <v>0.10403726708074534</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101.38</v>
      </c>
      <c r="R38" s="647">
        <v>104.05</v>
      </c>
      <c r="S38" s="648">
        <v>46.75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16.335673845652181</v>
      </c>
      <c r="N40" s="103"/>
      <c r="O40" s="628" t="s">
        <v>10</v>
      </c>
      <c r="P40" s="629"/>
      <c r="Q40" s="125">
        <f>((Q35-Q37)/(Q37-Q38))*100</f>
        <v>22.676872571352003</v>
      </c>
      <c r="R40" s="125">
        <f>((R35-R37)/(R37-R38))*100</f>
        <v>22.32641548203911</v>
      </c>
      <c r="S40" s="126">
        <f>((S35-S37)/(S37-S38))*100</f>
        <v>22.584358280220844</v>
      </c>
      <c r="T40" s="174"/>
      <c r="U40" s="645" t="s">
        <v>151</v>
      </c>
      <c r="V40" s="646"/>
      <c r="W40" s="423">
        <f>(AM79/6.9)*100</f>
        <v>1.4552765025354819</v>
      </c>
      <c r="X40" s="423"/>
      <c r="Y40" s="423"/>
      <c r="Z40" s="424"/>
      <c r="AA40" s="425">
        <f>(AO79/6.9)*100</f>
        <v>1.0067702337128264</v>
      </c>
      <c r="AB40" s="426"/>
      <c r="AC40" s="427"/>
      <c r="AD40" s="425">
        <f>(AQ79/6.9)*100</f>
        <v>0.75507767528461989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1.2713823393435044</v>
      </c>
      <c r="X41" s="418"/>
      <c r="Y41" s="418"/>
      <c r="Z41" s="419"/>
      <c r="AA41" s="420">
        <f>(AO83/10.3)*100</f>
        <v>0.86433898168807399</v>
      </c>
      <c r="AB41" s="421"/>
      <c r="AC41" s="418"/>
      <c r="AD41" s="420">
        <f>(AQ83/10.3)*100</f>
        <v>0.62732681217607111</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22.552173913043482</v>
      </c>
      <c r="N42" s="103"/>
      <c r="O42" s="639" t="s">
        <v>9</v>
      </c>
      <c r="P42" s="640"/>
      <c r="Q42" s="148">
        <v>355</v>
      </c>
      <c r="R42" s="148">
        <v>319</v>
      </c>
      <c r="S42" s="149">
        <v>364</v>
      </c>
      <c r="T42" s="174"/>
      <c r="U42" s="651" t="s">
        <v>42</v>
      </c>
      <c r="V42" s="652"/>
      <c r="W42" s="413">
        <f>IF(W40&lt;W41,W40,W41)</f>
        <v>1.2713823393435044</v>
      </c>
      <c r="X42" s="414"/>
      <c r="Y42" s="414"/>
      <c r="Z42" s="415"/>
      <c r="AA42" s="416">
        <f>IF(AA40&lt;AA41,AA40,AA41)</f>
        <v>0.86433898168807399</v>
      </c>
      <c r="AB42" s="414"/>
      <c r="AC42" s="415"/>
      <c r="AD42" s="416">
        <f>IF(AD40&lt;AD41,AD40,AD41)</f>
        <v>0.62732681217607111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1051.1300000000001</v>
      </c>
      <c r="R43" s="608">
        <v>982.75</v>
      </c>
      <c r="S43" s="610">
        <v>925.01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854.23</v>
      </c>
      <c r="R45" s="150">
        <v>797.13</v>
      </c>
      <c r="S45" s="151">
        <v>750.63</v>
      </c>
      <c r="T45" s="174"/>
      <c r="U45" s="656" t="s">
        <v>139</v>
      </c>
      <c r="V45" s="656"/>
      <c r="W45" s="179" t="s">
        <v>121</v>
      </c>
      <c r="X45" s="406">
        <f>MAX(M37:M39)</f>
        <v>1.6652063043478265</v>
      </c>
      <c r="Y45" s="406"/>
      <c r="Z45" s="406"/>
      <c r="AA45" s="174"/>
      <c r="AB45" s="657" t="s">
        <v>31</v>
      </c>
      <c r="AC45" s="658"/>
      <c r="AD45" s="658"/>
      <c r="AE45" s="658"/>
      <c r="AF45" s="231">
        <v>0.32600000000000001</v>
      </c>
      <c r="AG45" s="231">
        <v>0.2195</v>
      </c>
      <c r="AH45" s="233">
        <v>0.56210000000000004</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105.56</v>
      </c>
      <c r="R46" s="152">
        <v>105.16</v>
      </c>
      <c r="S46" s="151">
        <v>104.05</v>
      </c>
      <c r="T46" s="174"/>
      <c r="U46" s="555" t="s">
        <v>123</v>
      </c>
      <c r="V46" s="555"/>
      <c r="W46" s="179" t="s">
        <v>41</v>
      </c>
      <c r="X46" s="401">
        <f>MIN(M42:M44)</f>
        <v>22.552173913043482</v>
      </c>
      <c r="Y46" s="401"/>
      <c r="Z46" s="401"/>
      <c r="AA46" s="174"/>
      <c r="AB46" s="660" t="s">
        <v>32</v>
      </c>
      <c r="AC46" s="661"/>
      <c r="AD46" s="661"/>
      <c r="AE46" s="661"/>
      <c r="AF46" s="234">
        <v>0.48199999999999998</v>
      </c>
      <c r="AG46" s="234">
        <v>0.30559999999999998</v>
      </c>
      <c r="AH46" s="235">
        <v>0.61585999999999996</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26.299971950258467</v>
      </c>
      <c r="R47" s="125">
        <f>((R43-R45)/(R45-R46))*100</f>
        <v>26.824862349523819</v>
      </c>
      <c r="S47" s="126">
        <f>((S43-S45)/(S45-S46))*100</f>
        <v>26.969593863095053</v>
      </c>
      <c r="T47" s="174"/>
      <c r="U47" s="555" t="s">
        <v>162</v>
      </c>
      <c r="V47" s="555"/>
      <c r="W47" s="179" t="s">
        <v>41</v>
      </c>
      <c r="X47" s="402">
        <f>IF(L25=D103,"-",IF(L25=D102,"-",IF(L25=D101,M25)))</f>
        <v>0</v>
      </c>
      <c r="Y47" s="402"/>
      <c r="Z47" s="402"/>
      <c r="AA47" s="174"/>
      <c r="AB47" s="662" t="s">
        <v>33</v>
      </c>
      <c r="AC47" s="663"/>
      <c r="AD47" s="663"/>
      <c r="AE47" s="663"/>
      <c r="AF47" s="232">
        <f>(AF46-AF45)*2.54</f>
        <v>0.39623999999999993</v>
      </c>
      <c r="AG47" s="232">
        <f>(AG46-AG45)*2.54</f>
        <v>0.21869399999999994</v>
      </c>
      <c r="AH47" s="239">
        <f>(AH46-AH45)*2.54</f>
        <v>0.13655039999999979</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3.5252669039145901</v>
      </c>
      <c r="AG48" s="142">
        <f>IF(AG47&lt;&gt;"",IF(R24&lt;&gt;"",AG47/R24*100,""),"")</f>
        <v>1.9353451327433622</v>
      </c>
      <c r="AH48" s="173">
        <f>IF(AH47&lt;&gt;"",IF(S24&lt;&gt;"",AH47/S24*100,""),"")</f>
        <v>1.2030872246696018</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6.4000000000000001E-2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0.128</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0.17699999999999999</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0.193</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0.20399999999999999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0.21299999999999999</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0.22700000000000001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0.23899999999999999</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0.253</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0.314</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0.47699999999999998</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0.754</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-1.15E-2</v>
      </c>
      <c r="G74" s="75">
        <v>-0.12509999999999999</v>
      </c>
      <c r="J74" s="701"/>
      <c r="K74" s="702"/>
      <c r="L74" s="44"/>
      <c r="M74" s="44"/>
      <c r="N74" s="44"/>
    </row>
    <row r="75" spans="1:94" ht="26.25" customHeight="1" thickBot="1" x14ac:dyDescent="0.3">
      <c r="A75" s="11"/>
      <c r="B75" s="377" t="s">
        <v>113</v>
      </c>
      <c r="C75" s="377"/>
      <c r="D75" s="19"/>
      <c r="E75" s="54" t="s">
        <v>12</v>
      </c>
      <c r="F75" s="55">
        <v>0.51870000000000005</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-4.1837</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0.111</v>
      </c>
      <c r="AM76" s="3">
        <f t="shared" si="4"/>
        <v>5.745341614906832E-2</v>
      </c>
      <c r="AN76" s="5">
        <f>AA23</f>
        <v>6.2E-2</v>
      </c>
      <c r="AO76" s="3">
        <f t="shared" ref="AO76:AO86" si="7">((AN76/19.32)*10)</f>
        <v>3.2091097308488616E-2</v>
      </c>
      <c r="AP76" s="5">
        <f>AE23</f>
        <v>2.4E-2</v>
      </c>
      <c r="AQ76" s="161">
        <f t="shared" si="5"/>
        <v>1.2422360248447206E-2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0.159</v>
      </c>
      <c r="AM77" s="3">
        <f t="shared" si="4"/>
        <v>8.2298136645962722E-2</v>
      </c>
      <c r="AN77" s="5">
        <f>AA24</f>
        <v>9.8000000000000004E-2</v>
      </c>
      <c r="AO77" s="3">
        <f t="shared" si="7"/>
        <v>5.0724637681159424E-2</v>
      </c>
      <c r="AP77" s="5">
        <f>AE24</f>
        <v>6.5000000000000002E-2</v>
      </c>
      <c r="AQ77" s="161">
        <f t="shared" si="5"/>
        <v>3.3643892339544512E-2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0.18099999999999999</v>
      </c>
      <c r="AM78" s="3">
        <f t="shared" si="4"/>
        <v>9.3685300207039329E-2</v>
      </c>
      <c r="AN78" s="5">
        <f>AA25</f>
        <v>0.121</v>
      </c>
      <c r="AO78" s="3">
        <f t="shared" si="7"/>
        <v>6.2629399585921328E-2</v>
      </c>
      <c r="AP78" s="5">
        <f>AE25</f>
        <v>8.7999999999999995E-2</v>
      </c>
      <c r="AQ78" s="161">
        <f t="shared" si="5"/>
        <v>4.5548654244306416E-2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0.19400000000000001</v>
      </c>
      <c r="AM79" s="4">
        <f t="shared" si="4"/>
        <v>0.10041407867494825</v>
      </c>
      <c r="AN79" s="5">
        <f>AA26</f>
        <v>0.13421052631578947</v>
      </c>
      <c r="AO79" s="4">
        <f t="shared" si="7"/>
        <v>6.9467146126185028E-2</v>
      </c>
      <c r="AP79" s="5">
        <f>AE26</f>
        <v>0.10065789473684211</v>
      </c>
      <c r="AQ79" s="162">
        <f t="shared" si="5"/>
        <v>5.2100359594638775E-2</v>
      </c>
      <c r="BB79" s="12">
        <v>17</v>
      </c>
      <c r="BC79" s="12">
        <v>18</v>
      </c>
    </row>
    <row r="80" spans="1:94" ht="42" customHeight="1" thickTop="1" thickBot="1" x14ac:dyDescent="0.3">
      <c r="D80" s="49"/>
      <c r="H80" s="711" t="s">
        <v>105</v>
      </c>
      <c r="I80" s="712"/>
      <c r="J80" s="58"/>
      <c r="AJ80" s="160">
        <f>U28</f>
        <v>0.125</v>
      </c>
      <c r="AK80" s="3">
        <f t="shared" si="6"/>
        <v>3.1749999999999998</v>
      </c>
      <c r="AL80" s="5">
        <f>W28</f>
        <v>0.21299999999999999</v>
      </c>
      <c r="AM80" s="3">
        <f t="shared" si="4"/>
        <v>0.11024844720496893</v>
      </c>
      <c r="AN80" s="5">
        <f>AA28</f>
        <v>0.14013157894736841</v>
      </c>
      <c r="AO80" s="3">
        <f t="shared" si="7"/>
        <v>7.2531873161163773E-2</v>
      </c>
      <c r="AP80" s="5">
        <f>AE28</f>
        <v>0.10509868421052632</v>
      </c>
      <c r="AQ80" s="161">
        <f t="shared" si="5"/>
        <v>5.439890487087283E-2</v>
      </c>
      <c r="BC80" s="45">
        <v>0.99880400000000003</v>
      </c>
      <c r="BD80" s="45">
        <v>0.99862499999999998</v>
      </c>
    </row>
    <row r="81" spans="2:43" ht="15.75" customHeight="1" x14ac:dyDescent="0.25">
      <c r="AJ81" s="160">
        <f>U30</f>
        <v>0.15</v>
      </c>
      <c r="AK81" s="3">
        <f t="shared" si="6"/>
        <v>3.8099999999999996</v>
      </c>
      <c r="AL81" s="5">
        <f>W30</f>
        <v>0.22700000000000001</v>
      </c>
      <c r="AM81" s="3">
        <f t="shared" si="4"/>
        <v>0.11749482401656314</v>
      </c>
      <c r="AN81" s="5">
        <f>AA30</f>
        <v>0.14934210526315789</v>
      </c>
      <c r="AO81" s="3">
        <f t="shared" si="7"/>
        <v>7.7299226326686274E-2</v>
      </c>
      <c r="AP81" s="5">
        <f>AE30</f>
        <v>0.11200657894736842</v>
      </c>
      <c r="AQ81" s="161">
        <f t="shared" si="5"/>
        <v>5.7974419745014702E-2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0.23899999999999999</v>
      </c>
      <c r="AM82" s="3">
        <f t="shared" si="4"/>
        <v>0.12370600414078675</v>
      </c>
      <c r="AN82" s="5">
        <f>AA31</f>
        <v>0.159</v>
      </c>
      <c r="AO82" s="3">
        <f t="shared" si="7"/>
        <v>8.2298136645962722E-2</v>
      </c>
      <c r="AP82" s="5">
        <f>AE31</f>
        <v>0.11792763157894737</v>
      </c>
      <c r="AQ82" s="161">
        <f t="shared" si="5"/>
        <v>6.1039146779993461E-2</v>
      </c>
    </row>
    <row r="83" spans="2:43" ht="15" customHeight="1" x14ac:dyDescent="0.25">
      <c r="B83" s="49"/>
      <c r="C83" s="49"/>
      <c r="D83" s="49">
        <v>0</v>
      </c>
      <c r="E83" s="50">
        <f>M42</f>
        <v>22.552173913043482</v>
      </c>
      <c r="F83" s="49"/>
      <c r="G83" s="43">
        <f>G84/10</f>
        <v>1.7658896998586673</v>
      </c>
      <c r="H83" s="43">
        <f>H84/10</f>
        <v>1.7054464558996074</v>
      </c>
      <c r="I83" s="43">
        <f>I84/10</f>
        <v>1.6434207011553579</v>
      </c>
      <c r="J83" s="43">
        <f>J84/10</f>
        <v>1.5861103172576152</v>
      </c>
      <c r="K83" s="43"/>
      <c r="L83" s="42">
        <v>0</v>
      </c>
      <c r="O83" s="706"/>
      <c r="P83" s="706"/>
      <c r="Q83" s="706"/>
      <c r="R83" s="706"/>
      <c r="S83" s="707"/>
      <c r="W83" s="112"/>
      <c r="AJ83" s="160">
        <f>U33</f>
        <v>0.2</v>
      </c>
      <c r="AK83" s="4">
        <f t="shared" si="6"/>
        <v>5.08</v>
      </c>
      <c r="AL83" s="5">
        <f>W33</f>
        <v>0.253</v>
      </c>
      <c r="AM83" s="4">
        <f t="shared" si="4"/>
        <v>0.13095238095238096</v>
      </c>
      <c r="AN83" s="5">
        <f>AA33</f>
        <v>0.17199999999999999</v>
      </c>
      <c r="AO83" s="4">
        <f t="shared" si="7"/>
        <v>8.9026915113871619E-2</v>
      </c>
      <c r="AP83" s="5">
        <f>AE33</f>
        <v>0.12483552631578947</v>
      </c>
      <c r="AQ83" s="162">
        <f t="shared" si="5"/>
        <v>6.4614661654135333E-2</v>
      </c>
    </row>
    <row r="84" spans="2:43" ht="15" customHeight="1" x14ac:dyDescent="0.25">
      <c r="C84" s="94"/>
      <c r="D84" s="94"/>
      <c r="E84" s="94"/>
      <c r="F84" s="49"/>
      <c r="G84" s="43">
        <f>($M$34/(1+(E34*$M$34/100)))*($O$73)</f>
        <v>17.658896998586673</v>
      </c>
      <c r="H84" s="43">
        <f>($M$34/(1+(F34*$M$34/100)))*($O$73)</f>
        <v>17.054464558996074</v>
      </c>
      <c r="I84" s="43">
        <f>($M$34/(1+(G34*$M$34/100)))*($O$73)</f>
        <v>16.434207011553578</v>
      </c>
      <c r="J84" s="43">
        <f>($M$34/(1+(H34*$M$34/100)))*($O$73)</f>
        <v>15.861103172576152</v>
      </c>
      <c r="K84" s="43"/>
      <c r="O84" s="706" t="s">
        <v>146</v>
      </c>
      <c r="P84" s="706"/>
      <c r="Q84" s="706"/>
      <c r="R84" s="706"/>
      <c r="S84" s="707">
        <v>2240</v>
      </c>
      <c r="W84" s="112"/>
      <c r="AJ84" s="160">
        <f>U34</f>
        <v>0.3</v>
      </c>
      <c r="AK84" s="3">
        <f t="shared" si="6"/>
        <v>7.6199999999999992</v>
      </c>
      <c r="AL84" s="5">
        <f>W34</f>
        <v>0.314</v>
      </c>
      <c r="AM84" s="3">
        <f t="shared" si="4"/>
        <v>0.16252587991718426</v>
      </c>
      <c r="AN84" s="5">
        <f>AA34</f>
        <v>0.222</v>
      </c>
      <c r="AO84" s="3">
        <f t="shared" si="7"/>
        <v>0.11490683229813664</v>
      </c>
      <c r="AP84" s="5">
        <f>AE34</f>
        <v>0.15493421052631579</v>
      </c>
      <c r="AQ84" s="161">
        <f t="shared" si="5"/>
        <v>8.0193690748610658E-2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0.374</v>
      </c>
      <c r="AM85" s="3">
        <f t="shared" si="4"/>
        <v>0.19358178053830227</v>
      </c>
      <c r="AN85" s="5">
        <f>AA35</f>
        <v>0.27500000000000002</v>
      </c>
      <c r="AO85" s="3">
        <f t="shared" si="7"/>
        <v>0.14233954451345757</v>
      </c>
      <c r="AP85" s="5">
        <f>AE35</f>
        <v>0.17799999999999999</v>
      </c>
      <c r="AQ85" s="161">
        <f>((AP85/19.32)*10)</f>
        <v>9.213250517598344E-2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0.41399999999999998</v>
      </c>
      <c r="AM86" s="164">
        <f t="shared" si="4"/>
        <v>0.2142857142857143</v>
      </c>
      <c r="AN86" s="165">
        <f>AA37</f>
        <v>0.32600000000000001</v>
      </c>
      <c r="AO86" s="164">
        <f t="shared" si="7"/>
        <v>0.16873706004140787</v>
      </c>
      <c r="AP86" s="165">
        <f>AE37</f>
        <v>0.20100000000000001</v>
      </c>
      <c r="AQ86" s="166">
        <f>((AP86/19.32)*10)</f>
        <v>0.10403726708074534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1.6838744085800781</v>
      </c>
      <c r="AK91" s="9">
        <f>R31</f>
        <v>1.6142545760003713</v>
      </c>
      <c r="AL91" s="10">
        <f>S31</f>
        <v>1.5238725010795457</v>
      </c>
    </row>
    <row r="92" spans="2:43" ht="21" customHeight="1" thickBot="1" x14ac:dyDescent="0.3">
      <c r="B92" s="92"/>
      <c r="C92" s="93"/>
      <c r="D92" s="93"/>
      <c r="E92" s="93"/>
      <c r="F92" s="62"/>
      <c r="G92" s="63"/>
      <c r="H92" s="49"/>
      <c r="I92" s="49"/>
      <c r="O92" s="725" t="s">
        <v>147</v>
      </c>
      <c r="P92" s="726"/>
      <c r="Q92" s="726"/>
      <c r="R92" s="726"/>
      <c r="S92" s="61">
        <f>M42</f>
        <v>22.552173913043482</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1.2713823393435044</v>
      </c>
      <c r="AK94" s="158">
        <f>AA42</f>
        <v>0.86433898168807399</v>
      </c>
      <c r="AL94" s="158">
        <f>AD42</f>
        <v>0.62732681217607111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998" priority="45">
      <formula>LEN(TRIM(D6))=0</formula>
    </cfRule>
  </conditionalFormatting>
  <conditionalFormatting sqref="D6:H10">
    <cfRule type="containsBlanks" dxfId="1997" priority="44">
      <formula>LEN(TRIM(D6))=0</formula>
    </cfRule>
  </conditionalFormatting>
  <conditionalFormatting sqref="M19">
    <cfRule type="containsBlanks" dxfId="1996" priority="43">
      <formula>LEN(TRIM(M19))=0</formula>
    </cfRule>
  </conditionalFormatting>
  <conditionalFormatting sqref="CP70">
    <cfRule type="containsBlanks" dxfId="1995" priority="42">
      <formula>LEN(TRIM(CP70))=0</formula>
    </cfRule>
  </conditionalFormatting>
  <conditionalFormatting sqref="M21">
    <cfRule type="containsBlanks" dxfId="1994" priority="41">
      <formula>LEN(TRIM(M21))=0</formula>
    </cfRule>
  </conditionalFormatting>
  <conditionalFormatting sqref="D12:M12">
    <cfRule type="containsBlanks" dxfId="1993" priority="40">
      <formula>LEN(TRIM(D12))=0</formula>
    </cfRule>
  </conditionalFormatting>
  <conditionalFormatting sqref="L9:M9">
    <cfRule type="containsBlanks" dxfId="1992" priority="39">
      <formula>LEN(TRIM(L9))=0</formula>
    </cfRule>
  </conditionalFormatting>
  <conditionalFormatting sqref="L25">
    <cfRule type="containsBlanks" dxfId="1991" priority="38">
      <formula>LEN(TRIM(L25))=0</formula>
    </cfRule>
  </conditionalFormatting>
  <conditionalFormatting sqref="Q20:S26">
    <cfRule type="containsBlanks" dxfId="1990" priority="28">
      <formula>LEN(TRIM(Q20))=0</formula>
    </cfRule>
    <cfRule type="containsBlanks" dxfId="1989" priority="37">
      <formula>LEN(TRIM(Q20))=0</formula>
    </cfRule>
  </conditionalFormatting>
  <conditionalFormatting sqref="U26:V27 AC33 AC26">
    <cfRule type="cellIs" dxfId="1988" priority="36" operator="between">
      <formula>0</formula>
      <formula>500</formula>
    </cfRule>
  </conditionalFormatting>
  <conditionalFormatting sqref="U33:V33">
    <cfRule type="cellIs" dxfId="1987" priority="35" operator="between">
      <formula>0</formula>
      <formula>500</formula>
    </cfRule>
  </conditionalFormatting>
  <conditionalFormatting sqref="AF45:AH46">
    <cfRule type="containsBlanks" dxfId="1986" priority="34">
      <formula>LEN(TRIM(AF45))=0</formula>
    </cfRule>
  </conditionalFormatting>
  <conditionalFormatting sqref="AF51:AG53">
    <cfRule type="containsBlanks" dxfId="1985" priority="33">
      <formula>LEN(TRIM(AF51))=0</formula>
    </cfRule>
  </conditionalFormatting>
  <conditionalFormatting sqref="E20:H24">
    <cfRule type="containsBlanks" dxfId="1984" priority="32">
      <formula>LEN(TRIM(E20))=0</formula>
    </cfRule>
  </conditionalFormatting>
  <conditionalFormatting sqref="E28:H33">
    <cfRule type="containsBlanks" dxfId="1983" priority="31">
      <formula>LEN(TRIM(E28))=0</formula>
    </cfRule>
  </conditionalFormatting>
  <conditionalFormatting sqref="Q42:S46">
    <cfRule type="containsBlanks" dxfId="1982" priority="30">
      <formula>LEN(TRIM(Q42))=0</formula>
    </cfRule>
  </conditionalFormatting>
  <conditionalFormatting sqref="Q34:S39">
    <cfRule type="containsBlanks" dxfId="1981" priority="29">
      <formula>LEN(TRIM(Q34))=0</formula>
    </cfRule>
  </conditionalFormatting>
  <conditionalFormatting sqref="M25">
    <cfRule type="containsBlanks" dxfId="1980" priority="27">
      <formula>LEN(TRIM(M25))=0</formula>
    </cfRule>
  </conditionalFormatting>
  <conditionalFormatting sqref="U26:V27 Y26:Z27 AC26:AD27 AG26:AG27">
    <cfRule type="containsBlanks" dxfId="1979" priority="25">
      <formula>LEN(TRIM(U26))=0</formula>
    </cfRule>
    <cfRule type="cellIs" dxfId="1978" priority="26" operator="between">
      <formula>0</formula>
      <formula>1000</formula>
    </cfRule>
  </conditionalFormatting>
  <conditionalFormatting sqref="W87:W88">
    <cfRule type="cellIs" dxfId="1977" priority="24" operator="between">
      <formula>0</formula>
      <formula>500</formula>
    </cfRule>
  </conditionalFormatting>
  <conditionalFormatting sqref="W94">
    <cfRule type="cellIs" dxfId="1976" priority="23" operator="between">
      <formula>0</formula>
      <formula>500</formula>
    </cfRule>
  </conditionalFormatting>
  <conditionalFormatting sqref="W87:W88">
    <cfRule type="containsBlanks" dxfId="1975" priority="21">
      <formula>LEN(TRIM(W87))=0</formula>
    </cfRule>
    <cfRule type="cellIs" dxfId="1974" priority="22" operator="between">
      <formula>0</formula>
      <formula>1000</formula>
    </cfRule>
  </conditionalFormatting>
  <conditionalFormatting sqref="U33:V33 Y33:Z33 AC33:AD33 AG33">
    <cfRule type="cellIs" dxfId="1973" priority="20" operator="between">
      <formula>0</formula>
      <formula>1000</formula>
    </cfRule>
  </conditionalFormatting>
  <conditionalFormatting sqref="Q27:S27">
    <cfRule type="containsBlanks" dxfId="1972" priority="18">
      <formula>LEN(TRIM(Q27))=0</formula>
    </cfRule>
    <cfRule type="containsBlanks" dxfId="1971" priority="19">
      <formula>LEN(TRIM(Q27))=0</formula>
    </cfRule>
  </conditionalFormatting>
  <conditionalFormatting sqref="W30:W31 W33:W35 W37 W28 W22:W26">
    <cfRule type="containsBlanks" dxfId="1970" priority="17">
      <formula>LEN(TRIM(W22))=0</formula>
    </cfRule>
  </conditionalFormatting>
  <conditionalFormatting sqref="W37 W30:W31 W33:W35 W28 W22:W26">
    <cfRule type="containsBlanks" dxfId="1969" priority="16">
      <formula>LEN(TRIM(W22))=0</formula>
    </cfRule>
  </conditionalFormatting>
  <conditionalFormatting sqref="W33:X33">
    <cfRule type="cellIs" dxfId="1968" priority="15" operator="between">
      <formula>0</formula>
      <formula>1000</formula>
    </cfRule>
  </conditionalFormatting>
  <conditionalFormatting sqref="W30:X37 W26 W28 W22:X25">
    <cfRule type="containsBlanks" dxfId="1967" priority="14">
      <formula>LEN(TRIM(W22))=0</formula>
    </cfRule>
  </conditionalFormatting>
  <conditionalFormatting sqref="AA37 AA30:AA31 AA33 AA22:AA26 AA28 AA35">
    <cfRule type="containsBlanks" dxfId="1966" priority="13">
      <formula>LEN(TRIM(AA22))=0</formula>
    </cfRule>
  </conditionalFormatting>
  <conditionalFormatting sqref="AA37 AA30:AA31 AA33 AA22:AA26 AA28 AA35">
    <cfRule type="containsBlanks" dxfId="1965" priority="12">
      <formula>LEN(TRIM(AA22))=0</formula>
    </cfRule>
  </conditionalFormatting>
  <conditionalFormatting sqref="AA33:AB33">
    <cfRule type="cellIs" dxfId="1964" priority="11" operator="between">
      <formula>0</formula>
      <formula>1000</formula>
    </cfRule>
  </conditionalFormatting>
  <conditionalFormatting sqref="AA30:AB30 AA31 AA33:AB33 AA22:AB25 AA26 AA28 AA35:AB37">
    <cfRule type="containsBlanks" dxfId="1963" priority="10">
      <formula>LEN(TRIM(AA22))=0</formula>
    </cfRule>
  </conditionalFormatting>
  <conditionalFormatting sqref="AE37 AE28 AE30:AE31 AE33:AE35 AE22:AE26">
    <cfRule type="containsBlanks" dxfId="1962" priority="9">
      <formula>LEN(TRIM(AE22))=0</formula>
    </cfRule>
  </conditionalFormatting>
  <conditionalFormatting sqref="AE37 AE28 AE30:AE31 AE33:AE35 AE22:AE26">
    <cfRule type="containsBlanks" dxfId="1961" priority="8">
      <formula>LEN(TRIM(AE22))=0</formula>
    </cfRule>
  </conditionalFormatting>
  <conditionalFormatting sqref="AE33:AF33">
    <cfRule type="cellIs" dxfId="1960" priority="7" operator="between">
      <formula>0</formula>
      <formula>1000</formula>
    </cfRule>
  </conditionalFormatting>
  <conditionalFormatting sqref="AE33:AF37 AE26 AE28 AE30:AE31 AE22:AF25">
    <cfRule type="containsBlanks" dxfId="1959" priority="6">
      <formula>LEN(TRIM(AE22))=0</formula>
    </cfRule>
  </conditionalFormatting>
  <conditionalFormatting sqref="K6:M6">
    <cfRule type="containsBlanks" dxfId="1958" priority="5">
      <formula>LEN(TRIM(K6))=0</formula>
    </cfRule>
  </conditionalFormatting>
  <conditionalFormatting sqref="K7:K8">
    <cfRule type="containsBlanks" dxfId="1957" priority="4">
      <formula>LEN(TRIM(K7))=0</formula>
    </cfRule>
  </conditionalFormatting>
  <conditionalFormatting sqref="D13:M13">
    <cfRule type="containsBlanks" dxfId="1956" priority="3">
      <formula>LEN(TRIM(D13))=0</formula>
    </cfRule>
  </conditionalFormatting>
  <conditionalFormatting sqref="B6:B10">
    <cfRule type="containsBlanks" dxfId="1955" priority="2">
      <formula>LEN(TRIM(B6))=0</formula>
    </cfRule>
  </conditionalFormatting>
  <conditionalFormatting sqref="B12:B13">
    <cfRule type="containsBlanks" dxfId="1954" priority="1">
      <formula>LEN(TRIM(B12))=0</formula>
    </cfRule>
  </conditionalFormatting>
  <dataValidations count="5">
    <dataValidation type="list" allowBlank="1" showInputMessage="1" showErrorMessage="1" sqref="D12:E12" xr:uid="{00000000-0002-0000-0F00-000000000000}">
      <formula1>$B$87:$B$94</formula1>
    </dataValidation>
    <dataValidation type="list" allowBlank="1" showInputMessage="1" showErrorMessage="1" sqref="CP70" xr:uid="{00000000-0002-0000-0F00-000001000000}">
      <formula1>$BA$3:$BA$5</formula1>
    </dataValidation>
    <dataValidation type="list" allowBlank="1" showInputMessage="1" showErrorMessage="1" sqref="M19" xr:uid="{00000000-0002-0000-0F00-000002000000}">
      <formula1>$AX$3:$AX$5</formula1>
    </dataValidation>
    <dataValidation type="list" allowBlank="1" showInputMessage="1" showErrorMessage="1" sqref="M21" xr:uid="{00000000-0002-0000-0F00-000003000000}">
      <formula1>$AX$3:$AX$4</formula1>
    </dataValidation>
    <dataValidation type="list" allowBlank="1" showInputMessage="1" showErrorMessage="1" sqref="L25" xr:uid="{00000000-0002-0000-0F00-000004000000}">
      <formula1>$D$101:$D$104</formula1>
    </dataValidation>
  </dataValidations>
  <hyperlinks>
    <hyperlink ref="D8" r:id="rId1" xr:uid="{00000000-0004-0000-0F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29025"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29026"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29027"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2902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2902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29030"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29031"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2903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2903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2903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57">
    <tabColor rgb="FFFFFF00"/>
  </sheetPr>
  <dimension ref="A1:CP153"/>
  <sheetViews>
    <sheetView view="pageBreakPreview" topLeftCell="O31" zoomScale="70" zoomScaleNormal="100" zoomScaleSheetLayoutView="70" workbookViewId="0">
      <selection activeCell="M25" sqref="M25"/>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45930</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45930</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25-PALMASECA-AP3-2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25-PALMASECA-AP3-2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237</v>
      </c>
      <c r="G12" s="31" t="s">
        <v>4</v>
      </c>
      <c r="H12" s="146">
        <v>2</v>
      </c>
      <c r="I12" s="546" t="s">
        <v>5</v>
      </c>
      <c r="J12" s="546"/>
      <c r="K12" s="209">
        <v>0.7</v>
      </c>
      <c r="L12" s="32" t="s">
        <v>6</v>
      </c>
      <c r="M12" s="147">
        <v>1.6</v>
      </c>
      <c r="N12" s="78"/>
      <c r="O12" s="501" t="s">
        <v>3</v>
      </c>
      <c r="P12" s="501"/>
      <c r="Q12" s="225" t="s">
        <v>234</v>
      </c>
      <c r="R12" s="224" t="str">
        <f>F12</f>
        <v>PALMASECA-AP3</v>
      </c>
      <c r="S12" s="224"/>
      <c r="T12" s="502" t="s">
        <v>4</v>
      </c>
      <c r="U12" s="502"/>
      <c r="V12" s="33">
        <f>+H12</f>
        <v>2</v>
      </c>
      <c r="W12" s="547" t="s">
        <v>5</v>
      </c>
      <c r="X12" s="547"/>
      <c r="Y12" s="547"/>
      <c r="Z12" s="547"/>
      <c r="AA12" s="547"/>
      <c r="AB12" s="547"/>
      <c r="AC12" s="34">
        <f>K12</f>
        <v>0.7</v>
      </c>
      <c r="AD12" s="548" t="s">
        <v>6</v>
      </c>
      <c r="AE12" s="548"/>
      <c r="AF12" s="35">
        <f>+M12</f>
        <v>1.6</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231</v>
      </c>
      <c r="E13" s="479"/>
      <c r="F13" s="479"/>
      <c r="G13" s="479"/>
      <c r="H13" s="479"/>
      <c r="I13" s="479"/>
      <c r="J13" s="479"/>
      <c r="K13" s="479"/>
      <c r="L13" s="479"/>
      <c r="M13" s="480"/>
      <c r="N13" s="188"/>
      <c r="O13" s="526" t="s">
        <v>130</v>
      </c>
      <c r="P13" s="526"/>
      <c r="Q13" s="527" t="str">
        <f>D13</f>
        <v>GRAVAS CON ARENA, COLOR GRIS, CEMENTACION DEBIL,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602</v>
      </c>
      <c r="R20" s="156">
        <v>610</v>
      </c>
      <c r="S20" s="157">
        <v>503</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11769-600</f>
        <v>11169</v>
      </c>
      <c r="F22" s="150">
        <f>12897-600</f>
        <v>12297</v>
      </c>
      <c r="G22" s="150">
        <f>13001-600</f>
        <v>12401</v>
      </c>
      <c r="H22" s="151">
        <f>11937-600</f>
        <v>11337</v>
      </c>
      <c r="I22" s="174"/>
      <c r="J22" s="578"/>
      <c r="K22" s="578"/>
      <c r="L22" s="578"/>
      <c r="M22" s="104"/>
      <c r="N22" s="103"/>
      <c r="O22" s="579" t="s">
        <v>132</v>
      </c>
      <c r="P22" s="580"/>
      <c r="Q22" s="219">
        <v>8797</v>
      </c>
      <c r="R22" s="219">
        <v>8528</v>
      </c>
      <c r="S22" s="208">
        <v>8362</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0.115</v>
      </c>
      <c r="AJ22" s="42">
        <f>AJ50/1.52</f>
        <v>7.5657894736842105E-2</v>
      </c>
      <c r="AK22" s="42">
        <f>AJ22*0.75</f>
        <v>5.6743421052631582E-2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3844</v>
      </c>
      <c r="R23" s="150">
        <v>3892</v>
      </c>
      <c r="S23" s="151">
        <v>3852</v>
      </c>
      <c r="T23" s="174"/>
      <c r="U23" s="112">
        <v>2.5000000000000001E-2</v>
      </c>
      <c r="V23" s="113">
        <f>U23*25.4</f>
        <v>0.63500000000000001</v>
      </c>
      <c r="W23" s="581">
        <v>0.625</v>
      </c>
      <c r="X23" s="582"/>
      <c r="Y23" s="449">
        <f>((W23/19.32)*10)</f>
        <v>0.32349896480331264</v>
      </c>
      <c r="Z23" s="450"/>
      <c r="AA23" s="581">
        <v>0.38900000000000001</v>
      </c>
      <c r="AB23" s="582"/>
      <c r="AC23" s="449">
        <f>((AA23/19.32)*10)</f>
        <v>0.20134575569358176</v>
      </c>
      <c r="AD23" s="450"/>
      <c r="AE23" s="581">
        <v>0.19889999999999999</v>
      </c>
      <c r="AF23" s="582"/>
      <c r="AG23" s="114">
        <f>((AE23/19.32)*10)</f>
        <v>0.10295031055900621</v>
      </c>
      <c r="AH23" s="104"/>
      <c r="AI23" s="42">
        <f t="shared" ref="AI23:AI33" si="0">AJ51</f>
        <v>0.47399999999999998</v>
      </c>
      <c r="AJ23" s="42">
        <f t="shared" ref="AJ23:AJ33" si="1">AJ51/1.52</f>
        <v>0.31184210526315786</v>
      </c>
      <c r="AK23" s="42">
        <f t="shared" ref="AK23:AK33" si="2">AJ23*0.75</f>
        <v>0.23388157894736838</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11.28</v>
      </c>
      <c r="R24" s="152">
        <v>11.3</v>
      </c>
      <c r="S24" s="153">
        <v>11.25</v>
      </c>
      <c r="T24" s="174"/>
      <c r="U24" s="112">
        <v>0.05</v>
      </c>
      <c r="V24" s="113">
        <f>U24*25.4</f>
        <v>1.27</v>
      </c>
      <c r="W24" s="581">
        <v>1.264</v>
      </c>
      <c r="X24" s="582"/>
      <c r="Y24" s="449">
        <f>((W24/19.32)*10)</f>
        <v>0.65424430641821951</v>
      </c>
      <c r="Z24" s="450"/>
      <c r="AA24" s="581">
        <v>0.67900000000000005</v>
      </c>
      <c r="AB24" s="582"/>
      <c r="AC24" s="449">
        <f>((AA24/19.32)*10)</f>
        <v>0.35144927536231885</v>
      </c>
      <c r="AD24" s="450"/>
      <c r="AE24" s="581">
        <f>AK24</f>
        <v>0.48601973684210525</v>
      </c>
      <c r="AF24" s="582"/>
      <c r="AG24" s="114">
        <f>((AE24/19.32)*10)</f>
        <v>0.25156301078783916</v>
      </c>
      <c r="AH24" s="104"/>
      <c r="AI24" s="42">
        <f t="shared" si="0"/>
        <v>0.98499999999999999</v>
      </c>
      <c r="AJ24" s="42">
        <f t="shared" si="1"/>
        <v>0.64802631578947367</v>
      </c>
      <c r="AK24" s="42">
        <f t="shared" si="2"/>
        <v>0.48601973684210525</v>
      </c>
      <c r="AO24" s="42">
        <v>0.68400000000000005</v>
      </c>
      <c r="AS24" s="42">
        <f t="shared" si="3"/>
        <v>0.55609756097560981</v>
      </c>
    </row>
    <row r="25" spans="1:45" ht="24.95" customHeight="1" thickBot="1" x14ac:dyDescent="0.3">
      <c r="A25" s="103"/>
      <c r="B25" s="602" t="s">
        <v>69</v>
      </c>
      <c r="C25" s="603"/>
      <c r="D25" s="603"/>
      <c r="E25" s="115">
        <f>E22-E23</f>
        <v>3857</v>
      </c>
      <c r="F25" s="115">
        <f>F22-F23</f>
        <v>4985</v>
      </c>
      <c r="G25" s="115">
        <f>G22-G23</f>
        <v>5089</v>
      </c>
      <c r="H25" s="116">
        <f>H22-H23</f>
        <v>4025</v>
      </c>
      <c r="I25" s="174"/>
      <c r="J25" s="174" t="s">
        <v>127</v>
      </c>
      <c r="K25" s="174"/>
      <c r="L25" s="218" t="s">
        <v>128</v>
      </c>
      <c r="M25" s="246">
        <v>37.979999999999997</v>
      </c>
      <c r="N25" s="103"/>
      <c r="O25" s="604" t="s">
        <v>46</v>
      </c>
      <c r="P25" s="605"/>
      <c r="Q25" s="608">
        <v>15.25</v>
      </c>
      <c r="R25" s="608">
        <v>15.21</v>
      </c>
      <c r="S25" s="610">
        <v>15.28</v>
      </c>
      <c r="T25" s="174"/>
      <c r="U25" s="112">
        <v>7.4999999999999997E-2</v>
      </c>
      <c r="V25" s="113">
        <f>U25*25.4</f>
        <v>1.9049999999999998</v>
      </c>
      <c r="W25" s="581">
        <v>1.8660000000000001</v>
      </c>
      <c r="X25" s="582"/>
      <c r="Y25" s="449">
        <f>((W25/19.32)*10)</f>
        <v>0.96583850931677029</v>
      </c>
      <c r="Z25" s="450"/>
      <c r="AA25" s="581">
        <f>AJ25</f>
        <v>1.0763157894736841</v>
      </c>
      <c r="AB25" s="582"/>
      <c r="AC25" s="449">
        <f>((AA25/19.32)*10)</f>
        <v>0.55709926991391523</v>
      </c>
      <c r="AD25" s="450"/>
      <c r="AE25" s="581">
        <f>AK25</f>
        <v>0.80723684210526314</v>
      </c>
      <c r="AF25" s="582"/>
      <c r="AG25" s="114">
        <f>((AE25/19.32)*10)</f>
        <v>0.41782445243543637</v>
      </c>
      <c r="AH25" s="104"/>
      <c r="AI25" s="42">
        <f t="shared" si="0"/>
        <v>1.6359999999999999</v>
      </c>
      <c r="AJ25" s="42">
        <f t="shared" si="1"/>
        <v>1.0763157894736841</v>
      </c>
      <c r="AK25" s="42">
        <f t="shared" si="2"/>
        <v>0.80723684210526314</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61.1</v>
      </c>
      <c r="N26" s="103"/>
      <c r="O26" s="606"/>
      <c r="P26" s="607"/>
      <c r="Q26" s="609"/>
      <c r="R26" s="609"/>
      <c r="S26" s="611"/>
      <c r="T26" s="174"/>
      <c r="U26" s="600">
        <v>0.1</v>
      </c>
      <c r="V26" s="601">
        <f>U26*25.4</f>
        <v>2.54</v>
      </c>
      <c r="W26" s="778">
        <v>2.4647999999999999</v>
      </c>
      <c r="X26" s="779"/>
      <c r="Y26" s="461">
        <f>((W26/19.32)*10)</f>
        <v>1.2757763975155278</v>
      </c>
      <c r="Z26" s="462"/>
      <c r="AA26" s="746">
        <f>AJ26</f>
        <v>1.5039473684210527</v>
      </c>
      <c r="AB26" s="747"/>
      <c r="AC26" s="461">
        <f>((AA26/19.32)*10)</f>
        <v>0.77844066688460278</v>
      </c>
      <c r="AD26" s="462"/>
      <c r="AE26" s="746">
        <f>AK26</f>
        <v>1.1279605263157895</v>
      </c>
      <c r="AF26" s="747"/>
      <c r="AG26" s="469">
        <f>((AE26/19.32)*10)</f>
        <v>0.58383050016345206</v>
      </c>
      <c r="AH26" s="104"/>
      <c r="AI26" s="42">
        <f t="shared" si="0"/>
        <v>2.286</v>
      </c>
      <c r="AJ26" s="42">
        <f t="shared" si="1"/>
        <v>1.5039473684210527</v>
      </c>
      <c r="AK26" s="42">
        <f t="shared" si="2"/>
        <v>1.1279605263157895</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2060.338929031343</v>
      </c>
      <c r="R27" s="152">
        <f>(PI()*((R25^2)/4)*R24)</f>
        <v>2053.1787131570427</v>
      </c>
      <c r="S27" s="153">
        <f>(PI()*((S25^2)/4)*S24)</f>
        <v>2062.9519487209664</v>
      </c>
      <c r="T27" s="174"/>
      <c r="U27" s="600"/>
      <c r="V27" s="601"/>
      <c r="W27" s="780"/>
      <c r="X27" s="781"/>
      <c r="Y27" s="463"/>
      <c r="Z27" s="464"/>
      <c r="AA27" s="748"/>
      <c r="AB27" s="749"/>
      <c r="AC27" s="463"/>
      <c r="AD27" s="464"/>
      <c r="AE27" s="748"/>
      <c r="AF27" s="749"/>
      <c r="AG27" s="470"/>
      <c r="AH27" s="193"/>
      <c r="AI27" s="42">
        <f t="shared" si="0"/>
        <v>2.9830000000000001</v>
      </c>
      <c r="AJ27" s="42">
        <f t="shared" si="1"/>
        <v>1.9625000000000001</v>
      </c>
      <c r="AK27" s="42">
        <f t="shared" si="2"/>
        <v>1.471875</v>
      </c>
      <c r="AO27" s="42">
        <v>2.387</v>
      </c>
      <c r="AS27" s="42">
        <f t="shared" si="3"/>
        <v>1.9406504065040651</v>
      </c>
    </row>
    <row r="28" spans="1:45" ht="24.95" customHeight="1" thickBot="1" x14ac:dyDescent="0.3">
      <c r="A28" s="103"/>
      <c r="B28" s="560" t="s">
        <v>9</v>
      </c>
      <c r="C28" s="561"/>
      <c r="D28" s="561"/>
      <c r="E28" s="148">
        <v>354</v>
      </c>
      <c r="F28" s="148">
        <v>612</v>
      </c>
      <c r="G28" s="148">
        <v>366</v>
      </c>
      <c r="H28" s="149">
        <v>319</v>
      </c>
      <c r="I28" s="174"/>
      <c r="J28" s="597" t="s">
        <v>107</v>
      </c>
      <c r="K28" s="597"/>
      <c r="L28" s="562" t="s">
        <v>119</v>
      </c>
      <c r="M28" s="459">
        <f>IF(M26="","",(100-M26))</f>
        <v>38.9</v>
      </c>
      <c r="N28" s="103"/>
      <c r="O28" s="625" t="s">
        <v>136</v>
      </c>
      <c r="P28" s="626"/>
      <c r="Q28" s="115">
        <f>Q22-Q23</f>
        <v>4953</v>
      </c>
      <c r="R28" s="220">
        <f>R22-R23</f>
        <v>4636</v>
      </c>
      <c r="S28" s="220">
        <f>S22-S23</f>
        <v>4510</v>
      </c>
      <c r="T28" s="174"/>
      <c r="U28" s="627">
        <v>0.125</v>
      </c>
      <c r="V28" s="624">
        <f>U28*25.4</f>
        <v>3.1749999999999998</v>
      </c>
      <c r="W28" s="593">
        <v>3.1645599999999998</v>
      </c>
      <c r="X28" s="594"/>
      <c r="Y28" s="439">
        <f>((W28/19.32)*10)</f>
        <v>1.6379710144927535</v>
      </c>
      <c r="Z28" s="440"/>
      <c r="AA28" s="593">
        <v>2.016</v>
      </c>
      <c r="AB28" s="594"/>
      <c r="AC28" s="439">
        <f>((AA28/19.32)*10)</f>
        <v>1.0434782608695652</v>
      </c>
      <c r="AD28" s="440"/>
      <c r="AE28" s="593">
        <f>AK27</f>
        <v>1.471875</v>
      </c>
      <c r="AF28" s="594"/>
      <c r="AG28" s="443">
        <f>((AE28/19.32)*10)</f>
        <v>0.76184006211180133</v>
      </c>
      <c r="AH28" s="104"/>
      <c r="AI28" s="42">
        <f t="shared" si="0"/>
        <v>3.8620000000000001</v>
      </c>
      <c r="AJ28" s="42">
        <f t="shared" si="1"/>
        <v>2.5407894736842107</v>
      </c>
      <c r="AK28" s="42">
        <f t="shared" si="2"/>
        <v>1.9055921052631581</v>
      </c>
      <c r="AO28" s="42">
        <v>2.8959999999999999</v>
      </c>
      <c r="AS28" s="42">
        <f t="shared" si="3"/>
        <v>2.3544715447154472</v>
      </c>
    </row>
    <row r="29" spans="1:45" ht="5.0999999999999996" customHeight="1" thickBot="1" x14ac:dyDescent="0.3">
      <c r="A29" s="103"/>
      <c r="B29" s="612" t="s">
        <v>73</v>
      </c>
      <c r="C29" s="613"/>
      <c r="D29" s="614"/>
      <c r="E29" s="618">
        <v>842.61</v>
      </c>
      <c r="F29" s="618">
        <v>971.03</v>
      </c>
      <c r="G29" s="618">
        <v>943.28</v>
      </c>
      <c r="H29" s="620">
        <v>721.15</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4.798</v>
      </c>
      <c r="AJ29" s="42">
        <f t="shared" si="1"/>
        <v>3.1565789473684212</v>
      </c>
      <c r="AK29" s="42">
        <f t="shared" si="2"/>
        <v>2.3674342105263158</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22.633220726851849</v>
      </c>
      <c r="N30" s="103"/>
      <c r="O30" s="622" t="s">
        <v>134</v>
      </c>
      <c r="P30" s="623"/>
      <c r="Q30" s="229">
        <f>Q28/Q27</f>
        <v>2.4039734095247258</v>
      </c>
      <c r="R30" s="229">
        <f>R28/R27</f>
        <v>2.2579622369411365</v>
      </c>
      <c r="S30" s="131">
        <f>S28/S27</f>
        <v>2.1861876146927259</v>
      </c>
      <c r="T30" s="174"/>
      <c r="U30" s="120">
        <v>0.15</v>
      </c>
      <c r="V30" s="113">
        <f>U30*25.4</f>
        <v>3.8099999999999996</v>
      </c>
      <c r="W30" s="581">
        <f>AI28</f>
        <v>3.8620000000000001</v>
      </c>
      <c r="X30" s="582"/>
      <c r="Y30" s="449">
        <f>((W30/19.32)*10)</f>
        <v>1.9989648033126295</v>
      </c>
      <c r="Z30" s="450"/>
      <c r="AA30" s="581">
        <f>AJ28</f>
        <v>2.5407894736842107</v>
      </c>
      <c r="AB30" s="582"/>
      <c r="AC30" s="449">
        <f>((AA30/19.32)*10)</f>
        <v>1.3151084232319932</v>
      </c>
      <c r="AD30" s="450"/>
      <c r="AE30" s="581">
        <f>AK28</f>
        <v>1.9055921052631581</v>
      </c>
      <c r="AF30" s="582"/>
      <c r="AG30" s="114">
        <f>((AE30/19.32)*10)</f>
        <v>0.98633131742399494</v>
      </c>
      <c r="AH30" s="104"/>
      <c r="AI30" s="42">
        <f t="shared" si="0"/>
        <v>5.6139999999999999</v>
      </c>
      <c r="AJ30" s="42">
        <f t="shared" si="1"/>
        <v>3.6934210526315789</v>
      </c>
      <c r="AK30" s="42">
        <f t="shared" si="2"/>
        <v>2.7700657894736844</v>
      </c>
      <c r="AO30" s="42">
        <v>3.8439999999999999</v>
      </c>
      <c r="AS30" s="42">
        <f t="shared" si="3"/>
        <v>3.1252032520325201</v>
      </c>
    </row>
    <row r="31" spans="1:45" ht="24.95" customHeight="1" thickBot="1" x14ac:dyDescent="0.3">
      <c r="A31" s="103"/>
      <c r="B31" s="576" t="s">
        <v>74</v>
      </c>
      <c r="C31" s="577"/>
      <c r="D31" s="577"/>
      <c r="E31" s="152">
        <v>832.4</v>
      </c>
      <c r="F31" s="152">
        <v>938.71</v>
      </c>
      <c r="G31" s="152">
        <v>896.74</v>
      </c>
      <c r="H31" s="153">
        <v>674.69</v>
      </c>
      <c r="I31" s="174"/>
      <c r="J31" s="597" t="s">
        <v>138</v>
      </c>
      <c r="K31" s="597"/>
      <c r="L31" s="562" t="s">
        <v>116</v>
      </c>
      <c r="M31" s="457">
        <f>IF(M25="","",S82)</f>
        <v>2.7120000000000002</v>
      </c>
      <c r="N31" s="121"/>
      <c r="O31" s="628" t="s">
        <v>135</v>
      </c>
      <c r="P31" s="629"/>
      <c r="Q31" s="122">
        <f>Q30/(1+Q40/100)</f>
        <v>2.2856306394454031</v>
      </c>
      <c r="R31" s="122">
        <f>R30/(1+R40/100)</f>
        <v>2.1442741722087613</v>
      </c>
      <c r="S31" s="123">
        <f>S30/(1+S40/100)</f>
        <v>2.0781152243105998</v>
      </c>
      <c r="T31" s="174"/>
      <c r="U31" s="627">
        <v>0.17499999999999999</v>
      </c>
      <c r="V31" s="624">
        <f>U31*25.4</f>
        <v>4.4449999999999994</v>
      </c>
      <c r="W31" s="593">
        <f>AI29</f>
        <v>4.798</v>
      </c>
      <c r="X31" s="594"/>
      <c r="Y31" s="439">
        <f>((W31/19.32)*10)</f>
        <v>2.4834368530020705</v>
      </c>
      <c r="Z31" s="440"/>
      <c r="AA31" s="593">
        <f>AJ29</f>
        <v>3.1565789473684212</v>
      </c>
      <c r="AB31" s="594"/>
      <c r="AC31" s="439">
        <f>((AA31/19.32)*10)</f>
        <v>1.6338400348697832</v>
      </c>
      <c r="AD31" s="440"/>
      <c r="AE31" s="593">
        <f>AK29</f>
        <v>2.3674342105263158</v>
      </c>
      <c r="AF31" s="594"/>
      <c r="AG31" s="443">
        <f>((AE31/19.32)*10)</f>
        <v>1.2253800261523373</v>
      </c>
      <c r="AH31" s="104"/>
      <c r="AI31" s="42">
        <f t="shared" si="0"/>
        <v>8.5</v>
      </c>
      <c r="AJ31" s="42">
        <f t="shared" si="1"/>
        <v>5.5921052631578947</v>
      </c>
      <c r="AK31" s="42">
        <f t="shared" si="2"/>
        <v>4.1940789473684212</v>
      </c>
      <c r="AO31" s="42">
        <v>5.516</v>
      </c>
      <c r="AS31" s="42">
        <f t="shared" si="3"/>
        <v>4.4845528455284551</v>
      </c>
    </row>
    <row r="32" spans="1:45" ht="5.0999999999999996" customHeight="1" thickBot="1" x14ac:dyDescent="0.3">
      <c r="A32" s="103"/>
      <c r="B32" s="612" t="s">
        <v>75</v>
      </c>
      <c r="C32" s="613"/>
      <c r="D32" s="614"/>
      <c r="E32" s="618">
        <v>102.3</v>
      </c>
      <c r="F32" s="618">
        <v>48</v>
      </c>
      <c r="G32" s="618">
        <v>123.9</v>
      </c>
      <c r="H32" s="620">
        <v>105.16</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11.122</v>
      </c>
      <c r="AJ32" s="42">
        <f t="shared" si="1"/>
        <v>7.3171052631578943</v>
      </c>
      <c r="AK32" s="42">
        <f t="shared" si="2"/>
        <v>5.4878289473684205</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5.6139999999999999</v>
      </c>
      <c r="X33" s="582"/>
      <c r="Y33" s="449">
        <f>((W33/19.32)*10)</f>
        <v>2.9057971014492749</v>
      </c>
      <c r="Z33" s="450"/>
      <c r="AA33" s="581">
        <f>AJ30</f>
        <v>3.6934210526315789</v>
      </c>
      <c r="AB33" s="582"/>
      <c r="AC33" s="449">
        <f>((AA33/19.32)*10)</f>
        <v>1.9117086193745234</v>
      </c>
      <c r="AD33" s="450"/>
      <c r="AE33" s="581">
        <f>AK30</f>
        <v>2.7700657894736844</v>
      </c>
      <c r="AF33" s="582"/>
      <c r="AG33" s="144">
        <f>((AE33/19.32)*10)</f>
        <v>1.4337814645308924</v>
      </c>
      <c r="AH33" s="104"/>
      <c r="AI33" s="42">
        <f t="shared" si="0"/>
        <v>13.05</v>
      </c>
      <c r="AJ33" s="42">
        <f t="shared" si="1"/>
        <v>8.5855263157894743</v>
      </c>
      <c r="AK33" s="42">
        <f t="shared" si="2"/>
        <v>6.4391447368421062</v>
      </c>
      <c r="AO33" s="42">
        <v>7.7720000000000002</v>
      </c>
      <c r="AS33" s="42">
        <f t="shared" si="3"/>
        <v>6.3186991869918705</v>
      </c>
    </row>
    <row r="34" spans="1:45" ht="24.95" customHeight="1" thickBot="1" x14ac:dyDescent="0.3">
      <c r="A34" s="103"/>
      <c r="B34" s="602" t="s">
        <v>10</v>
      </c>
      <c r="C34" s="603"/>
      <c r="D34" s="603"/>
      <c r="E34" s="125">
        <f>((E29-E31)/(E31-E32))*100</f>
        <v>1.398438570058901</v>
      </c>
      <c r="F34" s="125">
        <f>((F29-F31)/(F31-F32))*100</f>
        <v>3.6285659754577737</v>
      </c>
      <c r="G34" s="125">
        <f>((G29-G31)/(G31-G32))*100</f>
        <v>6.0219450339009324</v>
      </c>
      <c r="H34" s="126">
        <f>((H29-H31)/(H31-H32))*100</f>
        <v>8.1576036380875312</v>
      </c>
      <c r="I34" s="174"/>
      <c r="J34" s="630" t="s">
        <v>125</v>
      </c>
      <c r="K34" s="630"/>
      <c r="L34" s="184" t="s">
        <v>126</v>
      </c>
      <c r="M34" s="127">
        <v>2.7</v>
      </c>
      <c r="N34" s="128"/>
      <c r="O34" s="631" t="s">
        <v>9</v>
      </c>
      <c r="P34" s="632"/>
      <c r="Q34" s="156">
        <v>308</v>
      </c>
      <c r="R34" s="156">
        <v>702</v>
      </c>
      <c r="S34" s="157">
        <v>730</v>
      </c>
      <c r="T34" s="174"/>
      <c r="U34" s="120">
        <v>0.3</v>
      </c>
      <c r="V34" s="113">
        <f>U34*25.4</f>
        <v>7.6199999999999992</v>
      </c>
      <c r="W34" s="581">
        <f>AI31</f>
        <v>8.5</v>
      </c>
      <c r="X34" s="582"/>
      <c r="Y34" s="449">
        <f>((W34/19.32)*10)</f>
        <v>4.3995859213250519</v>
      </c>
      <c r="Z34" s="450"/>
      <c r="AA34" s="449">
        <v>5.5919999999999996</v>
      </c>
      <c r="AB34" s="450"/>
      <c r="AC34" s="449">
        <f>((AA34/19.32)*10)</f>
        <v>2.8944099378881987</v>
      </c>
      <c r="AD34" s="450"/>
      <c r="AE34" s="581">
        <f>AK31</f>
        <v>4.1940789473684212</v>
      </c>
      <c r="AF34" s="582"/>
      <c r="AG34" s="114">
        <f>((AE34/19.32)*10)</f>
        <v>2.1708483164432821</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1030.1199999999999</v>
      </c>
      <c r="R35" s="608">
        <v>737.7</v>
      </c>
      <c r="S35" s="610">
        <v>810.44</v>
      </c>
      <c r="T35" s="174"/>
      <c r="U35" s="627">
        <v>0.4</v>
      </c>
      <c r="V35" s="624">
        <f>U35*25.4</f>
        <v>10.16</v>
      </c>
      <c r="W35" s="593">
        <f>AI32</f>
        <v>11.122</v>
      </c>
      <c r="X35" s="594"/>
      <c r="Y35" s="439">
        <f>((W35/19.32)*10)</f>
        <v>5.7567287784679086</v>
      </c>
      <c r="Z35" s="440"/>
      <c r="AA35" s="593">
        <f>AJ32</f>
        <v>7.3171052631578943</v>
      </c>
      <c r="AB35" s="594"/>
      <c r="AC35" s="439">
        <f>(AA35/19.32)*10</f>
        <v>3.7873215647815188</v>
      </c>
      <c r="AD35" s="440"/>
      <c r="AE35" s="593">
        <v>4.8929999999999998</v>
      </c>
      <c r="AF35" s="594"/>
      <c r="AG35" s="443">
        <f>((AE35/19.32)*10)</f>
        <v>2.5326086956521738</v>
      </c>
      <c r="AH35" s="104"/>
      <c r="AS35" s="42">
        <f t="shared" si="3"/>
        <v>0</v>
      </c>
    </row>
    <row r="36" spans="1:45" ht="20.100000000000001" customHeight="1" thickBot="1" x14ac:dyDescent="0.3">
      <c r="A36" s="103"/>
      <c r="B36" s="639" t="s">
        <v>71</v>
      </c>
      <c r="C36" s="640"/>
      <c r="D36" s="640"/>
      <c r="E36" s="130">
        <f>E25/E24</f>
        <v>1.7956238361266295</v>
      </c>
      <c r="F36" s="130">
        <f>F25/F24</f>
        <v>2.3207635009310987</v>
      </c>
      <c r="G36" s="130">
        <f>G25/G24</f>
        <v>2.3691806331471135</v>
      </c>
      <c r="H36" s="131">
        <f>H25/H24</f>
        <v>1.8738361266294228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1.7708594544934582</v>
      </c>
      <c r="F37" s="230">
        <f>F36/(1+F34/100)</f>
        <v>2.2395017040771581</v>
      </c>
      <c r="G37" s="230">
        <f>G36/(1+G34/100)</f>
        <v>2.2346134400661666</v>
      </c>
      <c r="H37" s="123">
        <f>H36/(1+H34/100)</f>
        <v>1.7325052179406408</v>
      </c>
      <c r="I37" s="174"/>
      <c r="J37" s="641" t="s">
        <v>139</v>
      </c>
      <c r="K37" s="641"/>
      <c r="L37" s="643" t="s">
        <v>121</v>
      </c>
      <c r="M37" s="433">
        <f>IF(F74="","",(M42^2*F74+M42*F75+F76))</f>
        <v>2.307158076131687</v>
      </c>
      <c r="N37" s="101"/>
      <c r="O37" s="576" t="s">
        <v>28</v>
      </c>
      <c r="P37" s="577"/>
      <c r="Q37" s="150">
        <v>984.4</v>
      </c>
      <c r="R37" s="150">
        <v>702.8</v>
      </c>
      <c r="S37" s="153">
        <v>772.61</v>
      </c>
      <c r="T37" s="174"/>
      <c r="U37" s="132">
        <v>0.5</v>
      </c>
      <c r="V37" s="133">
        <f>U37*25.4</f>
        <v>12.7</v>
      </c>
      <c r="W37" s="637">
        <f>AI33</f>
        <v>13.05</v>
      </c>
      <c r="X37" s="638"/>
      <c r="Y37" s="431">
        <f>((W37/19.32)*10)</f>
        <v>6.754658385093169</v>
      </c>
      <c r="Z37" s="432"/>
      <c r="AA37" s="637">
        <f>AJ33</f>
        <v>8.5855263157894743</v>
      </c>
      <c r="AB37" s="638"/>
      <c r="AC37" s="431">
        <f>((AA37/19.32)*10)</f>
        <v>4.4438542007191897</v>
      </c>
      <c r="AD37" s="432"/>
      <c r="AE37" s="637">
        <v>5.2465000000000002</v>
      </c>
      <c r="AF37" s="638"/>
      <c r="AG37" s="134">
        <f>((AE37/19.32)*10)</f>
        <v>2.7155797101449277</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101.38</v>
      </c>
      <c r="R38" s="647">
        <v>44.55</v>
      </c>
      <c r="S38" s="648">
        <v>45.18</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2.5387110003244966</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22.633220726851849</v>
      </c>
      <c r="N40" s="103"/>
      <c r="O40" s="628" t="s">
        <v>10</v>
      </c>
      <c r="P40" s="629"/>
      <c r="Q40" s="125">
        <f>((Q35-Q37)/(Q37-Q38))*100</f>
        <v>5.177685669633747</v>
      </c>
      <c r="R40" s="125">
        <f>((R35-R37)/(R37-R38))*100</f>
        <v>5.3019369540448293</v>
      </c>
      <c r="S40" s="126">
        <f>((S35-S37)/(S37-S38))*100</f>
        <v>5.2005003917902801</v>
      </c>
      <c r="T40" s="174"/>
      <c r="U40" s="645" t="s">
        <v>151</v>
      </c>
      <c r="V40" s="646"/>
      <c r="W40" s="423">
        <f>(AM79/6.9)*100</f>
        <v>18.489513007471416</v>
      </c>
      <c r="X40" s="423"/>
      <c r="Y40" s="423"/>
      <c r="Z40" s="424"/>
      <c r="AA40" s="425">
        <f>(AO79/6.9)*100</f>
        <v>11.281748795429024</v>
      </c>
      <c r="AB40" s="426"/>
      <c r="AC40" s="427"/>
      <c r="AD40" s="425">
        <f>(AQ79/6.9)*100</f>
        <v>8.4613115965717682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24.904754913183311</v>
      </c>
      <c r="N41" s="138"/>
      <c r="O41" s="565" t="s">
        <v>36</v>
      </c>
      <c r="P41" s="566"/>
      <c r="Q41" s="566"/>
      <c r="R41" s="566"/>
      <c r="S41" s="567"/>
      <c r="T41" s="174"/>
      <c r="U41" s="653" t="s">
        <v>152</v>
      </c>
      <c r="V41" s="654"/>
      <c r="W41" s="418">
        <f>(AM83/10.3)*100</f>
        <v>28.211622344167715</v>
      </c>
      <c r="X41" s="418"/>
      <c r="Y41" s="418"/>
      <c r="Z41" s="419"/>
      <c r="AA41" s="420">
        <f>(AO83/10.3)*100</f>
        <v>18.56027785800508</v>
      </c>
      <c r="AB41" s="421"/>
      <c r="AC41" s="418"/>
      <c r="AD41" s="420">
        <f>(AQ83/10.3)*100</f>
        <v>13.920208393503808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4.7294238683127574</v>
      </c>
      <c r="N42" s="103"/>
      <c r="O42" s="639" t="s">
        <v>9</v>
      </c>
      <c r="P42" s="640"/>
      <c r="Q42" s="148">
        <v>331</v>
      </c>
      <c r="R42" s="148">
        <v>702</v>
      </c>
      <c r="S42" s="149">
        <v>730</v>
      </c>
      <c r="T42" s="174"/>
      <c r="U42" s="651" t="s">
        <v>42</v>
      </c>
      <c r="V42" s="652"/>
      <c r="W42" s="413">
        <f>IF(W40&lt;W41,W40,W41)</f>
        <v>18.489513007471416</v>
      </c>
      <c r="X42" s="414"/>
      <c r="Y42" s="414"/>
      <c r="Z42" s="415"/>
      <c r="AA42" s="416">
        <f>IF(AA40&lt;AA41,AA40,AA41)</f>
        <v>11.281748795429024</v>
      </c>
      <c r="AB42" s="414"/>
      <c r="AC42" s="415"/>
      <c r="AD42" s="416">
        <f>IF(AD40&lt;AD41,AD40,AD41)</f>
        <v>8.4613115965717682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3.8970679012345681</v>
      </c>
      <c r="N43" s="103"/>
      <c r="O43" s="612" t="s">
        <v>49</v>
      </c>
      <c r="P43" s="614"/>
      <c r="Q43" s="608">
        <v>1074.0999999999999</v>
      </c>
      <c r="R43" s="608">
        <v>1154.83</v>
      </c>
      <c r="S43" s="610">
        <v>988.33</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1012.85</v>
      </c>
      <c r="R45" s="150">
        <v>1076.24</v>
      </c>
      <c r="S45" s="151">
        <v>908.41</v>
      </c>
      <c r="T45" s="174"/>
      <c r="U45" s="656" t="s">
        <v>139</v>
      </c>
      <c r="V45" s="656"/>
      <c r="W45" s="179" t="s">
        <v>121</v>
      </c>
      <c r="X45" s="406">
        <f>MAX(M37:M39)</f>
        <v>2.5387110003244966</v>
      </c>
      <c r="Y45" s="406"/>
      <c r="Z45" s="406"/>
      <c r="AA45" s="174"/>
      <c r="AB45" s="657" t="s">
        <v>31</v>
      </c>
      <c r="AC45" s="658"/>
      <c r="AD45" s="658"/>
      <c r="AE45" s="658"/>
      <c r="AF45" s="231">
        <v>1.6E-2</v>
      </c>
      <c r="AG45" s="231">
        <v>9.8000000000000004E-2</v>
      </c>
      <c r="AH45" s="233">
        <v>0.11135</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123.9</v>
      </c>
      <c r="R46" s="152">
        <v>101.04</v>
      </c>
      <c r="S46" s="151">
        <v>48.84</v>
      </c>
      <c r="T46" s="174"/>
      <c r="U46" s="555" t="s">
        <v>123</v>
      </c>
      <c r="V46" s="555"/>
      <c r="W46" s="179" t="s">
        <v>41</v>
      </c>
      <c r="X46" s="401">
        <f>MIN(M42:M44)</f>
        <v>3.8970679012345681</v>
      </c>
      <c r="Y46" s="401"/>
      <c r="Z46" s="401"/>
      <c r="AA46" s="174"/>
      <c r="AB46" s="660" t="s">
        <v>32</v>
      </c>
      <c r="AC46" s="661"/>
      <c r="AD46" s="661"/>
      <c r="AE46" s="661"/>
      <c r="AF46" s="234">
        <v>2.5000000000000001E-2</v>
      </c>
      <c r="AG46" s="234">
        <v>0.106596</v>
      </c>
      <c r="AH46" s="235">
        <v>0.11909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6.8901513020979674</v>
      </c>
      <c r="R47" s="125">
        <f>((R43-R45)/(R45-R46))*100</f>
        <v>8.0588597210828468</v>
      </c>
      <c r="S47" s="126">
        <f>((S43-S45)/(S45-S46))*100</f>
        <v>9.2976720918598925</v>
      </c>
      <c r="T47" s="174"/>
      <c r="U47" s="555" t="s">
        <v>162</v>
      </c>
      <c r="V47" s="555"/>
      <c r="W47" s="179" t="s">
        <v>41</v>
      </c>
      <c r="X47" s="402">
        <f>IF(L25=D103,"-",IF(L25=D102,"-",IF(L25=D101,M25)))</f>
        <v>37.979999999999997</v>
      </c>
      <c r="Y47" s="402"/>
      <c r="Z47" s="402"/>
      <c r="AA47" s="174"/>
      <c r="AB47" s="662" t="s">
        <v>33</v>
      </c>
      <c r="AC47" s="663"/>
      <c r="AD47" s="663"/>
      <c r="AE47" s="663"/>
      <c r="AF47" s="232">
        <f>(AF46-AF45)*2.54</f>
        <v>2.2860000000000002E-2</v>
      </c>
      <c r="AG47" s="232">
        <f>(AG46-AG45)*2.54</f>
        <v>2.1833839999999983E-2</v>
      </c>
      <c r="AH47" s="239">
        <f>(AH46-AH45)*2.54</f>
        <v>1.9659599999999992E-2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0.20265957446808514</v>
      </c>
      <c r="AG48" s="142">
        <f>IF(AG47&lt;&gt;"",IF(R24&lt;&gt;"",AG47/R24*100,""),"")</f>
        <v>0.19321982300884941</v>
      </c>
      <c r="AH48" s="173">
        <f>IF(AH47&lt;&gt;"",IF(S24&lt;&gt;"",AH47/S24*100,""),"")</f>
        <v>0.17475199999999994</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0.115</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0.47399999999999998</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0.98499999999999999</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1.6359999999999999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2.286</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2.9830000000000001</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3.8620000000000001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4.798</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5.6139999999999999</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8.5</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11.122</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13.05</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-4.8599999999999997E-2</v>
      </c>
      <c r="G74" s="75">
        <v>-0.12509999999999999</v>
      </c>
      <c r="J74" s="701"/>
      <c r="K74" s="702"/>
      <c r="L74" s="44"/>
      <c r="M74" s="44"/>
      <c r="N74" s="44"/>
    </row>
    <row r="75" spans="1:94" ht="26.25" customHeight="1" thickBot="1" x14ac:dyDescent="0.3">
      <c r="A75" s="11"/>
      <c r="B75" s="377" t="s">
        <v>113</v>
      </c>
      <c r="C75" s="377"/>
      <c r="D75" s="19"/>
      <c r="E75" s="54" t="s">
        <v>12</v>
      </c>
      <c r="F75" s="55">
        <v>0.4597</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1.2201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0.625</v>
      </c>
      <c r="AM76" s="3">
        <f t="shared" si="4"/>
        <v>0.32349896480331264</v>
      </c>
      <c r="AN76" s="5">
        <f>AA23</f>
        <v>0.38900000000000001</v>
      </c>
      <c r="AO76" s="3">
        <f t="shared" ref="AO76:AO86" si="7">((AN76/19.32)*10)</f>
        <v>0.20134575569358176</v>
      </c>
      <c r="AP76" s="5">
        <f>AE23</f>
        <v>0.19889999999999999</v>
      </c>
      <c r="AQ76" s="161">
        <f t="shared" si="5"/>
        <v>0.10295031055900621</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1.264</v>
      </c>
      <c r="AM77" s="3">
        <f t="shared" si="4"/>
        <v>0.65424430641821951</v>
      </c>
      <c r="AN77" s="5">
        <f>AA24</f>
        <v>0.67900000000000005</v>
      </c>
      <c r="AO77" s="3">
        <f t="shared" si="7"/>
        <v>0.35144927536231885</v>
      </c>
      <c r="AP77" s="5">
        <f>AE24</f>
        <v>0.48601973684210525</v>
      </c>
      <c r="AQ77" s="161">
        <f t="shared" si="5"/>
        <v>0.25156301078783916</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1.8660000000000001</v>
      </c>
      <c r="AM78" s="3">
        <f t="shared" si="4"/>
        <v>0.96583850931677029</v>
      </c>
      <c r="AN78" s="5">
        <f>AA25</f>
        <v>1.0763157894736841</v>
      </c>
      <c r="AO78" s="3">
        <f t="shared" si="7"/>
        <v>0.55709926991391523</v>
      </c>
      <c r="AP78" s="5">
        <f>AE25</f>
        <v>0.80723684210526314</v>
      </c>
      <c r="AQ78" s="161">
        <f t="shared" si="5"/>
        <v>0.41782445243543637</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2.4647999999999999</v>
      </c>
      <c r="AM79" s="4">
        <f t="shared" si="4"/>
        <v>1.2757763975155278</v>
      </c>
      <c r="AN79" s="5">
        <f>AA26</f>
        <v>1.5039473684210527</v>
      </c>
      <c r="AO79" s="4">
        <f t="shared" si="7"/>
        <v>0.77844066688460278</v>
      </c>
      <c r="AP79" s="5">
        <f>AE26</f>
        <v>1.1279605263157895</v>
      </c>
      <c r="AQ79" s="162">
        <f t="shared" si="5"/>
        <v>0.58383050016345206</v>
      </c>
      <c r="BB79" s="12">
        <v>17</v>
      </c>
      <c r="BC79" s="12">
        <v>18</v>
      </c>
    </row>
    <row r="80" spans="1:94" ht="42" customHeight="1" thickTop="1" thickBot="1" x14ac:dyDescent="0.3">
      <c r="D80" s="49"/>
      <c r="H80" s="711" t="s">
        <v>105</v>
      </c>
      <c r="I80" s="712"/>
      <c r="J80" s="58"/>
      <c r="AJ80" s="160">
        <f>U28</f>
        <v>0.125</v>
      </c>
      <c r="AK80" s="3">
        <f t="shared" si="6"/>
        <v>3.1749999999999998</v>
      </c>
      <c r="AL80" s="5">
        <f>W28</f>
        <v>3.1645599999999998</v>
      </c>
      <c r="AM80" s="3">
        <f t="shared" si="4"/>
        <v>1.6379710144927535</v>
      </c>
      <c r="AN80" s="5">
        <f>AA28</f>
        <v>2.016</v>
      </c>
      <c r="AO80" s="3">
        <f t="shared" si="7"/>
        <v>1.0434782608695652</v>
      </c>
      <c r="AP80" s="5">
        <f>AE28</f>
        <v>1.471875</v>
      </c>
      <c r="AQ80" s="161">
        <f t="shared" si="5"/>
        <v>0.76184006211180133</v>
      </c>
      <c r="BC80" s="45">
        <v>0.99880400000000003</v>
      </c>
      <c r="BD80" s="45">
        <v>0.99862499999999998</v>
      </c>
    </row>
    <row r="81" spans="2:43" ht="15.75" customHeight="1" x14ac:dyDescent="0.25">
      <c r="AJ81" s="160">
        <f>U30</f>
        <v>0.15</v>
      </c>
      <c r="AK81" s="3">
        <f t="shared" si="6"/>
        <v>3.8099999999999996</v>
      </c>
      <c r="AL81" s="5">
        <f>W30</f>
        <v>3.8620000000000001</v>
      </c>
      <c r="AM81" s="3">
        <f t="shared" si="4"/>
        <v>1.9989648033126295</v>
      </c>
      <c r="AN81" s="5">
        <f>AA30</f>
        <v>2.5407894736842107</v>
      </c>
      <c r="AO81" s="3">
        <f t="shared" si="7"/>
        <v>1.3151084232319932</v>
      </c>
      <c r="AP81" s="5">
        <f>AE30</f>
        <v>1.9055921052631581</v>
      </c>
      <c r="AQ81" s="161">
        <f t="shared" si="5"/>
        <v>0.98633131742399494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4.798</v>
      </c>
      <c r="AM82" s="3">
        <f t="shared" si="4"/>
        <v>2.4834368530020705</v>
      </c>
      <c r="AN82" s="5">
        <f>AA31</f>
        <v>3.1565789473684212</v>
      </c>
      <c r="AO82" s="3">
        <f t="shared" si="7"/>
        <v>1.6338400348697832</v>
      </c>
      <c r="AP82" s="5">
        <f>AE31</f>
        <v>2.3674342105263158</v>
      </c>
      <c r="AQ82" s="161">
        <f t="shared" si="5"/>
        <v>1.2253800261523373</v>
      </c>
    </row>
    <row r="83" spans="2:43" ht="15" customHeight="1" x14ac:dyDescent="0.25">
      <c r="B83" s="49"/>
      <c r="C83" s="49"/>
      <c r="D83" s="49">
        <v>0</v>
      </c>
      <c r="E83" s="50">
        <f>M42</f>
        <v>4.7294238683127574</v>
      </c>
      <c r="F83" s="49"/>
      <c r="G83" s="43">
        <f>G84/10</f>
        <v>2.5523295458295006</v>
      </c>
      <c r="H83" s="43">
        <f>H84/10</f>
        <v>2.4123581782337782</v>
      </c>
      <c r="I83" s="43">
        <f>I84/10</f>
        <v>2.2782702999895386</v>
      </c>
      <c r="J83" s="43">
        <f>J84/10</f>
        <v>2.1706113498097772</v>
      </c>
      <c r="K83" s="43"/>
      <c r="L83" s="42">
        <v>0</v>
      </c>
      <c r="O83" s="706"/>
      <c r="P83" s="706"/>
      <c r="Q83" s="706"/>
      <c r="R83" s="706"/>
      <c r="S83" s="707"/>
      <c r="W83" s="112"/>
      <c r="AJ83" s="160">
        <f>U33</f>
        <v>0.2</v>
      </c>
      <c r="AK83" s="4">
        <f t="shared" si="6"/>
        <v>5.08</v>
      </c>
      <c r="AL83" s="5">
        <f>W33</f>
        <v>5.6139999999999999</v>
      </c>
      <c r="AM83" s="4">
        <f t="shared" si="4"/>
        <v>2.9057971014492749</v>
      </c>
      <c r="AN83" s="5">
        <f>AA33</f>
        <v>3.6934210526315789</v>
      </c>
      <c r="AO83" s="4">
        <f t="shared" si="7"/>
        <v>1.9117086193745234</v>
      </c>
      <c r="AP83" s="5">
        <f>AE33</f>
        <v>2.7700657894736844</v>
      </c>
      <c r="AQ83" s="162">
        <f t="shared" si="5"/>
        <v>1.4337814645308924</v>
      </c>
    </row>
    <row r="84" spans="2:43" ht="15" customHeight="1" x14ac:dyDescent="0.25">
      <c r="C84" s="94"/>
      <c r="D84" s="94"/>
      <c r="E84" s="94"/>
      <c r="F84" s="49"/>
      <c r="G84" s="43">
        <f>($M$34/(1+(E34*$M$34/100)))*($O$73)</f>
        <v>25.523295458295006</v>
      </c>
      <c r="H84" s="43">
        <f>($M$34/(1+(F34*$M$34/100)))*($O$73)</f>
        <v>24.12358178233778</v>
      </c>
      <c r="I84" s="43">
        <f>($M$34/(1+(G34*$M$34/100)))*($O$73)</f>
        <v>22.782702999895385</v>
      </c>
      <c r="J84" s="43">
        <f>($M$34/(1+(H34*$M$34/100)))*($O$73)</f>
        <v>21.706113498097771</v>
      </c>
      <c r="K84" s="43"/>
      <c r="O84" s="706" t="s">
        <v>146</v>
      </c>
      <c r="P84" s="706"/>
      <c r="Q84" s="706"/>
      <c r="R84" s="706"/>
      <c r="S84" s="707">
        <v>2240</v>
      </c>
      <c r="W84" s="112"/>
      <c r="AJ84" s="160">
        <f>U34</f>
        <v>0.3</v>
      </c>
      <c r="AK84" s="3">
        <f t="shared" si="6"/>
        <v>7.6199999999999992</v>
      </c>
      <c r="AL84" s="5">
        <f>W34</f>
        <v>8.5</v>
      </c>
      <c r="AM84" s="3">
        <f t="shared" si="4"/>
        <v>4.3995859213250519</v>
      </c>
      <c r="AN84" s="5">
        <f>AA34</f>
        <v>5.5919999999999996</v>
      </c>
      <c r="AO84" s="3">
        <f t="shared" si="7"/>
        <v>2.8944099378881987</v>
      </c>
      <c r="AP84" s="5">
        <f>AE34</f>
        <v>4.1940789473684212</v>
      </c>
      <c r="AQ84" s="161">
        <f t="shared" si="5"/>
        <v>2.1708483164432821</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11.122</v>
      </c>
      <c r="AM85" s="3">
        <f t="shared" si="4"/>
        <v>5.7567287784679086</v>
      </c>
      <c r="AN85" s="5">
        <f>AA35</f>
        <v>7.3171052631578943</v>
      </c>
      <c r="AO85" s="3">
        <f t="shared" si="7"/>
        <v>3.7873215647815188</v>
      </c>
      <c r="AP85" s="5">
        <f>AE35</f>
        <v>4.8929999999999998</v>
      </c>
      <c r="AQ85" s="161">
        <f>((AP85/19.32)*10)</f>
        <v>2.5326086956521738</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13.05</v>
      </c>
      <c r="AM86" s="164">
        <f t="shared" si="4"/>
        <v>6.754658385093169</v>
      </c>
      <c r="AN86" s="165">
        <f>AA37</f>
        <v>8.5855263157894743</v>
      </c>
      <c r="AO86" s="164">
        <f t="shared" si="7"/>
        <v>4.4438542007191897</v>
      </c>
      <c r="AP86" s="165">
        <f>AE37</f>
        <v>5.2465000000000002</v>
      </c>
      <c r="AQ86" s="166">
        <f>((AP86/19.32)*10)</f>
        <v>2.7155797101449277</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2.2856306394454031</v>
      </c>
      <c r="AK91" s="9">
        <f>R31</f>
        <v>2.1442741722087613</v>
      </c>
      <c r="AL91" s="10">
        <f>S31</f>
        <v>2.0781152243105998</v>
      </c>
    </row>
    <row r="92" spans="2:43" ht="21" customHeight="1" thickBot="1" x14ac:dyDescent="0.3">
      <c r="B92" s="92"/>
      <c r="C92" s="93"/>
      <c r="D92" s="93"/>
      <c r="E92" s="93"/>
      <c r="F92" s="62"/>
      <c r="G92" s="63"/>
      <c r="H92" s="49"/>
      <c r="I92" s="49"/>
      <c r="O92" s="725" t="s">
        <v>147</v>
      </c>
      <c r="P92" s="726"/>
      <c r="Q92" s="726"/>
      <c r="R92" s="726"/>
      <c r="S92" s="61">
        <f>M42</f>
        <v>4.7294238683127574</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18.489513007471416</v>
      </c>
      <c r="AK94" s="158">
        <f>AA42</f>
        <v>11.281748795429024</v>
      </c>
      <c r="AL94" s="158">
        <f>AD42</f>
        <v>8.4613115965717682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953" priority="45">
      <formula>LEN(TRIM(D6))=0</formula>
    </cfRule>
  </conditionalFormatting>
  <conditionalFormatting sqref="D6:H10">
    <cfRule type="containsBlanks" dxfId="1952" priority="44">
      <formula>LEN(TRIM(D6))=0</formula>
    </cfRule>
  </conditionalFormatting>
  <conditionalFormatting sqref="M19">
    <cfRule type="containsBlanks" dxfId="1951" priority="43">
      <formula>LEN(TRIM(M19))=0</formula>
    </cfRule>
  </conditionalFormatting>
  <conditionalFormatting sqref="CP70">
    <cfRule type="containsBlanks" dxfId="1950" priority="42">
      <formula>LEN(TRIM(CP70))=0</formula>
    </cfRule>
  </conditionalFormatting>
  <conditionalFormatting sqref="M21">
    <cfRule type="containsBlanks" dxfId="1949" priority="41">
      <formula>LEN(TRIM(M21))=0</formula>
    </cfRule>
  </conditionalFormatting>
  <conditionalFormatting sqref="D12:M12">
    <cfRule type="containsBlanks" dxfId="1948" priority="40">
      <formula>LEN(TRIM(D12))=0</formula>
    </cfRule>
  </conditionalFormatting>
  <conditionalFormatting sqref="L9:M9">
    <cfRule type="containsBlanks" dxfId="1947" priority="39">
      <formula>LEN(TRIM(L9))=0</formula>
    </cfRule>
  </conditionalFormatting>
  <conditionalFormatting sqref="L25">
    <cfRule type="containsBlanks" dxfId="1946" priority="38">
      <formula>LEN(TRIM(L25))=0</formula>
    </cfRule>
  </conditionalFormatting>
  <conditionalFormatting sqref="Q20:S26">
    <cfRule type="containsBlanks" dxfId="1945" priority="28">
      <formula>LEN(TRIM(Q20))=0</formula>
    </cfRule>
    <cfRule type="containsBlanks" dxfId="1944" priority="37">
      <formula>LEN(TRIM(Q20))=0</formula>
    </cfRule>
  </conditionalFormatting>
  <conditionalFormatting sqref="U26:V27 AC33 AC26">
    <cfRule type="cellIs" dxfId="1943" priority="36" operator="between">
      <formula>0</formula>
      <formula>500</formula>
    </cfRule>
  </conditionalFormatting>
  <conditionalFormatting sqref="U33:V33">
    <cfRule type="cellIs" dxfId="1942" priority="35" operator="between">
      <formula>0</formula>
      <formula>500</formula>
    </cfRule>
  </conditionalFormatting>
  <conditionalFormatting sqref="AF45:AH46">
    <cfRule type="containsBlanks" dxfId="1941" priority="34">
      <formula>LEN(TRIM(AF45))=0</formula>
    </cfRule>
  </conditionalFormatting>
  <conditionalFormatting sqref="AF51:AG53">
    <cfRule type="containsBlanks" dxfId="1940" priority="33">
      <formula>LEN(TRIM(AF51))=0</formula>
    </cfRule>
  </conditionalFormatting>
  <conditionalFormatting sqref="E20:H24">
    <cfRule type="containsBlanks" dxfId="1939" priority="32">
      <formula>LEN(TRIM(E20))=0</formula>
    </cfRule>
  </conditionalFormatting>
  <conditionalFormatting sqref="E28:H33">
    <cfRule type="containsBlanks" dxfId="1938" priority="31">
      <formula>LEN(TRIM(E28))=0</formula>
    </cfRule>
  </conditionalFormatting>
  <conditionalFormatting sqref="Q42:S46">
    <cfRule type="containsBlanks" dxfId="1937" priority="30">
      <formula>LEN(TRIM(Q42))=0</formula>
    </cfRule>
  </conditionalFormatting>
  <conditionalFormatting sqref="Q34:S39">
    <cfRule type="containsBlanks" dxfId="1936" priority="29">
      <formula>LEN(TRIM(Q34))=0</formula>
    </cfRule>
  </conditionalFormatting>
  <conditionalFormatting sqref="M25">
    <cfRule type="containsBlanks" dxfId="1935" priority="27">
      <formula>LEN(TRIM(M25))=0</formula>
    </cfRule>
  </conditionalFormatting>
  <conditionalFormatting sqref="U26:V27 Y26:Z27 AC26:AD27 AG26:AG27">
    <cfRule type="containsBlanks" dxfId="1934" priority="25">
      <formula>LEN(TRIM(U26))=0</formula>
    </cfRule>
    <cfRule type="cellIs" dxfId="1933" priority="26" operator="between">
      <formula>0</formula>
      <formula>1000</formula>
    </cfRule>
  </conditionalFormatting>
  <conditionalFormatting sqref="W87:W88">
    <cfRule type="cellIs" dxfId="1932" priority="24" operator="between">
      <formula>0</formula>
      <formula>500</formula>
    </cfRule>
  </conditionalFormatting>
  <conditionalFormatting sqref="W94">
    <cfRule type="cellIs" dxfId="1931" priority="23" operator="between">
      <formula>0</formula>
      <formula>500</formula>
    </cfRule>
  </conditionalFormatting>
  <conditionalFormatting sqref="W87:W88">
    <cfRule type="containsBlanks" dxfId="1930" priority="21">
      <formula>LEN(TRIM(W87))=0</formula>
    </cfRule>
    <cfRule type="cellIs" dxfId="1929" priority="22" operator="between">
      <formula>0</formula>
      <formula>1000</formula>
    </cfRule>
  </conditionalFormatting>
  <conditionalFormatting sqref="U33:V33 Y33:Z33 AC33:AD33 AG33">
    <cfRule type="cellIs" dxfId="1928" priority="20" operator="between">
      <formula>0</formula>
      <formula>1000</formula>
    </cfRule>
  </conditionalFormatting>
  <conditionalFormatting sqref="Q27:S27">
    <cfRule type="containsBlanks" dxfId="1927" priority="18">
      <formula>LEN(TRIM(Q27))=0</formula>
    </cfRule>
    <cfRule type="containsBlanks" dxfId="1926" priority="19">
      <formula>LEN(TRIM(Q27))=0</formula>
    </cfRule>
  </conditionalFormatting>
  <conditionalFormatting sqref="W30:W31 W33:W35 W37 W28 W22:W26">
    <cfRule type="containsBlanks" dxfId="1925" priority="17">
      <formula>LEN(TRIM(W22))=0</formula>
    </cfRule>
  </conditionalFormatting>
  <conditionalFormatting sqref="W37 W30:W31 W33:W35 W28 W22:W26">
    <cfRule type="containsBlanks" dxfId="1924" priority="16">
      <formula>LEN(TRIM(W22))=0</formula>
    </cfRule>
  </conditionalFormatting>
  <conditionalFormatting sqref="W33:X33">
    <cfRule type="cellIs" dxfId="1923" priority="15" operator="between">
      <formula>0</formula>
      <formula>1000</formula>
    </cfRule>
  </conditionalFormatting>
  <conditionalFormatting sqref="W30:X37 W26 W28 W22:X25">
    <cfRule type="containsBlanks" dxfId="1922" priority="14">
      <formula>LEN(TRIM(W22))=0</formula>
    </cfRule>
  </conditionalFormatting>
  <conditionalFormatting sqref="AA37 AA30:AA31 AA33 AA22:AA26 AA28 AA35">
    <cfRule type="containsBlanks" dxfId="1921" priority="13">
      <formula>LEN(TRIM(AA22))=0</formula>
    </cfRule>
  </conditionalFormatting>
  <conditionalFormatting sqref="AA37 AA30:AA31 AA33 AA22:AA26 AA28 AA35">
    <cfRule type="containsBlanks" dxfId="1920" priority="12">
      <formula>LEN(TRIM(AA22))=0</formula>
    </cfRule>
  </conditionalFormatting>
  <conditionalFormatting sqref="AA33:AB33">
    <cfRule type="cellIs" dxfId="1919" priority="11" operator="between">
      <formula>0</formula>
      <formula>1000</formula>
    </cfRule>
  </conditionalFormatting>
  <conditionalFormatting sqref="AA30:AB30 AA31 AA33:AB33 AA22:AB25 AA26 AA28 AA35:AB37">
    <cfRule type="containsBlanks" dxfId="1918" priority="10">
      <formula>LEN(TRIM(AA22))=0</formula>
    </cfRule>
  </conditionalFormatting>
  <conditionalFormatting sqref="AE37 AE28 AE30:AE31 AE33:AE35 AE22:AE26">
    <cfRule type="containsBlanks" dxfId="1917" priority="9">
      <formula>LEN(TRIM(AE22))=0</formula>
    </cfRule>
  </conditionalFormatting>
  <conditionalFormatting sqref="AE37 AE28 AE30:AE31 AE33:AE35 AE22:AE26">
    <cfRule type="containsBlanks" dxfId="1916" priority="8">
      <formula>LEN(TRIM(AE22))=0</formula>
    </cfRule>
  </conditionalFormatting>
  <conditionalFormatting sqref="AE33:AF33">
    <cfRule type="cellIs" dxfId="1915" priority="7" operator="between">
      <formula>0</formula>
      <formula>1000</formula>
    </cfRule>
  </conditionalFormatting>
  <conditionalFormatting sqref="AE33:AF37 AE26 AE28 AE30:AE31 AE22:AF25">
    <cfRule type="containsBlanks" dxfId="1914" priority="6">
      <formula>LEN(TRIM(AE22))=0</formula>
    </cfRule>
  </conditionalFormatting>
  <conditionalFormatting sqref="K6:M6">
    <cfRule type="containsBlanks" dxfId="1913" priority="5">
      <formula>LEN(TRIM(K6))=0</formula>
    </cfRule>
  </conditionalFormatting>
  <conditionalFormatting sqref="K7:K8">
    <cfRule type="containsBlanks" dxfId="1912" priority="4">
      <formula>LEN(TRIM(K7))=0</formula>
    </cfRule>
  </conditionalFormatting>
  <conditionalFormatting sqref="D13:M13">
    <cfRule type="containsBlanks" dxfId="1911" priority="3">
      <formula>LEN(TRIM(D13))=0</formula>
    </cfRule>
  </conditionalFormatting>
  <conditionalFormatting sqref="B6:B10">
    <cfRule type="containsBlanks" dxfId="1910" priority="2">
      <formula>LEN(TRIM(B6))=0</formula>
    </cfRule>
  </conditionalFormatting>
  <conditionalFormatting sqref="B12:B13">
    <cfRule type="containsBlanks" dxfId="1909" priority="1">
      <formula>LEN(TRIM(B12))=0</formula>
    </cfRule>
  </conditionalFormatting>
  <dataValidations count="5">
    <dataValidation type="list" allowBlank="1" showInputMessage="1" showErrorMessage="1" sqref="L25" xr:uid="{00000000-0002-0000-1000-000000000000}">
      <formula1>$D$101:$D$104</formula1>
    </dataValidation>
    <dataValidation type="list" allowBlank="1" showInputMessage="1" showErrorMessage="1" sqref="M21" xr:uid="{00000000-0002-0000-1000-000001000000}">
      <formula1>$AX$3:$AX$4</formula1>
    </dataValidation>
    <dataValidation type="list" allowBlank="1" showInputMessage="1" showErrorMessage="1" sqref="M19" xr:uid="{00000000-0002-0000-1000-000002000000}">
      <formula1>$AX$3:$AX$5</formula1>
    </dataValidation>
    <dataValidation type="list" allowBlank="1" showInputMessage="1" showErrorMessage="1" sqref="CP70" xr:uid="{00000000-0002-0000-1000-000003000000}">
      <formula1>$BA$3:$BA$5</formula1>
    </dataValidation>
    <dataValidation type="list" allowBlank="1" showInputMessage="1" showErrorMessage="1" sqref="D12:E12" xr:uid="{00000000-0002-0000-1000-000004000000}">
      <formula1>$B$87:$B$94</formula1>
    </dataValidation>
  </dataValidations>
  <hyperlinks>
    <hyperlink ref="D8" r:id="rId1" xr:uid="{00000000-0004-0000-10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30049"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30050"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30051"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3005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3005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30054"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30055"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3005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3005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3005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58">
    <tabColor rgb="FFFFFF00"/>
  </sheetPr>
  <dimension ref="A1:CP153"/>
  <sheetViews>
    <sheetView view="pageBreakPreview" topLeftCell="O24" zoomScale="70" zoomScaleNormal="100" zoomScaleSheetLayoutView="70" workbookViewId="0">
      <selection activeCell="M25" sqref="M25"/>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45930</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45930</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770">
        <v>25</v>
      </c>
      <c r="AF9" s="770"/>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25-PALMASECA-AP4-4</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25-PALMASECA-AP4-4</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239</v>
      </c>
      <c r="G12" s="31" t="s">
        <v>4</v>
      </c>
      <c r="H12" s="146">
        <v>4</v>
      </c>
      <c r="I12" s="546" t="s">
        <v>5</v>
      </c>
      <c r="J12" s="546"/>
      <c r="K12" s="209">
        <v>1.5</v>
      </c>
      <c r="L12" s="32" t="s">
        <v>6</v>
      </c>
      <c r="M12" s="147">
        <v>2</v>
      </c>
      <c r="N12" s="78"/>
      <c r="O12" s="501" t="s">
        <v>3</v>
      </c>
      <c r="P12" s="501"/>
      <c r="Q12" s="225" t="s">
        <v>234</v>
      </c>
      <c r="R12" s="224" t="str">
        <f>F12</f>
        <v>PALMASECA-AP4</v>
      </c>
      <c r="S12" s="224"/>
      <c r="T12" s="502" t="s">
        <v>4</v>
      </c>
      <c r="U12" s="502"/>
      <c r="V12" s="33">
        <f>+H12</f>
        <v>4</v>
      </c>
      <c r="W12" s="547" t="s">
        <v>5</v>
      </c>
      <c r="X12" s="547"/>
      <c r="Y12" s="547"/>
      <c r="Z12" s="547"/>
      <c r="AA12" s="547"/>
      <c r="AB12" s="547"/>
      <c r="AC12" s="34">
        <f>K12</f>
        <v>1.5</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232</v>
      </c>
      <c r="E13" s="479"/>
      <c r="F13" s="479"/>
      <c r="G13" s="479"/>
      <c r="H13" s="479"/>
      <c r="I13" s="479"/>
      <c r="J13" s="479"/>
      <c r="K13" s="479"/>
      <c r="L13" s="479"/>
      <c r="M13" s="480"/>
      <c r="N13" s="188"/>
      <c r="O13" s="526" t="s">
        <v>130</v>
      </c>
      <c r="P13" s="526"/>
      <c r="Q13" s="527" t="str">
        <f>D13</f>
        <v>ARCILLA DE BAJA PLASTICIDAD, DE COLOR GRIS VERDOSO, DE CONSISTENCIA MUY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606</v>
      </c>
      <c r="R20" s="156">
        <v>503</v>
      </c>
      <c r="S20" s="157">
        <v>610</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f>11818-500</f>
        <v>11318</v>
      </c>
      <c r="F22" s="150">
        <f>12351-500</f>
        <v>11851</v>
      </c>
      <c r="G22" s="150">
        <f>12574-500</f>
        <v>12074</v>
      </c>
      <c r="H22" s="151">
        <f>11849-500</f>
        <v>11349</v>
      </c>
      <c r="I22" s="174"/>
      <c r="J22" s="578"/>
      <c r="K22" s="578"/>
      <c r="L22" s="578"/>
      <c r="M22" s="104"/>
      <c r="N22" s="103"/>
      <c r="O22" s="579" t="s">
        <v>132</v>
      </c>
      <c r="P22" s="580"/>
      <c r="Q22" s="219">
        <v>8302</v>
      </c>
      <c r="R22" s="219">
        <v>8180</v>
      </c>
      <c r="S22" s="208">
        <v>7818</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5.7000000000000002E-2</v>
      </c>
      <c r="AJ22" s="42">
        <f>AJ50/1.52</f>
        <v>3.7499999999999999E-2</v>
      </c>
      <c r="AK22" s="42">
        <f>AJ22*0.75</f>
        <v>2.8124999999999997E-2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3798</v>
      </c>
      <c r="R23" s="150">
        <v>3852</v>
      </c>
      <c r="S23" s="151">
        <v>3842</v>
      </c>
      <c r="T23" s="174"/>
      <c r="U23" s="112">
        <v>2.5000000000000001E-2</v>
      </c>
      <c r="V23" s="113">
        <f>U23*25.4</f>
        <v>0.63500000000000001</v>
      </c>
      <c r="W23" s="581">
        <f>AI23</f>
        <v>9.1999999999999998E-2</v>
      </c>
      <c r="X23" s="582"/>
      <c r="Y23" s="449">
        <f>((W23/19.32)*10)</f>
        <v>4.7619047619047616E-2</v>
      </c>
      <c r="Z23" s="450"/>
      <c r="AA23" s="581">
        <v>5.0999999999999997E-2</v>
      </c>
      <c r="AB23" s="582"/>
      <c r="AC23" s="449">
        <f>((AA23/19.32)*10)</f>
        <v>2.6397515527950308E-2</v>
      </c>
      <c r="AD23" s="450"/>
      <c r="AE23" s="581">
        <v>3.5000000000000003E-2</v>
      </c>
      <c r="AF23" s="582"/>
      <c r="AG23" s="114">
        <f>((AE23/19.32)*10)</f>
        <v>1.8115942028985511E-2</v>
      </c>
      <c r="AH23" s="104"/>
      <c r="AI23" s="42">
        <f t="shared" ref="AI23:AI33" si="0">AJ51</f>
        <v>9.1999999999999998E-2</v>
      </c>
      <c r="AJ23" s="42">
        <f t="shared" ref="AJ23:AJ33" si="1">AJ51/1.52</f>
        <v>6.0526315789473685E-2</v>
      </c>
      <c r="AK23" s="42">
        <f t="shared" ref="AK23:AK33" si="2">AJ23*0.75</f>
        <v>4.5394736842105265E-2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11.3</v>
      </c>
      <c r="R24" s="152">
        <v>11.3</v>
      </c>
      <c r="S24" s="153">
        <v>11.22</v>
      </c>
      <c r="T24" s="174"/>
      <c r="U24" s="112">
        <v>0.05</v>
      </c>
      <c r="V24" s="113">
        <f>U24*25.4</f>
        <v>1.27</v>
      </c>
      <c r="W24" s="581">
        <f>AI24</f>
        <v>0.13200000000000001</v>
      </c>
      <c r="X24" s="582"/>
      <c r="Y24" s="449">
        <f>((W24/19.32)*10)</f>
        <v>6.8322981366459631E-2</v>
      </c>
      <c r="Z24" s="450"/>
      <c r="AA24" s="581">
        <v>8.3000000000000004E-2</v>
      </c>
      <c r="AB24" s="582"/>
      <c r="AC24" s="449">
        <f>((AA24/19.32)*10)</f>
        <v>4.296066252587992E-2</v>
      </c>
      <c r="AD24" s="450"/>
      <c r="AE24" s="581">
        <v>5.8000000000000003E-2</v>
      </c>
      <c r="AF24" s="582"/>
      <c r="AG24" s="114">
        <f>((AE24/19.32)*10)</f>
        <v>3.0020703933747412E-2</v>
      </c>
      <c r="AH24" s="104"/>
      <c r="AI24" s="42">
        <f t="shared" si="0"/>
        <v>0.13200000000000001</v>
      </c>
      <c r="AJ24" s="42">
        <f t="shared" si="1"/>
        <v>8.6842105263157901E-2</v>
      </c>
      <c r="AK24" s="42">
        <f t="shared" si="2"/>
        <v>6.5131578947368429E-2</v>
      </c>
      <c r="AO24" s="42">
        <v>0.68400000000000005</v>
      </c>
      <c r="AS24" s="42">
        <f t="shared" si="3"/>
        <v>0.55609756097560981</v>
      </c>
    </row>
    <row r="25" spans="1:45" ht="24.95" customHeight="1" thickBot="1" x14ac:dyDescent="0.3">
      <c r="A25" s="103"/>
      <c r="B25" s="602" t="s">
        <v>69</v>
      </c>
      <c r="C25" s="603"/>
      <c r="D25" s="603"/>
      <c r="E25" s="115">
        <f>E22-E23</f>
        <v>4006</v>
      </c>
      <c r="F25" s="115">
        <f>F22-F23</f>
        <v>4539</v>
      </c>
      <c r="G25" s="115">
        <f>G22-G23</f>
        <v>4762</v>
      </c>
      <c r="H25" s="116">
        <f>H22-H23</f>
        <v>4037</v>
      </c>
      <c r="I25" s="174"/>
      <c r="J25" s="174" t="s">
        <v>127</v>
      </c>
      <c r="K25" s="174"/>
      <c r="L25" s="218" t="s">
        <v>128</v>
      </c>
      <c r="M25" s="246">
        <v>0</v>
      </c>
      <c r="N25" s="103"/>
      <c r="O25" s="604" t="s">
        <v>46</v>
      </c>
      <c r="P25" s="605"/>
      <c r="Q25" s="608">
        <v>15.25</v>
      </c>
      <c r="R25" s="608">
        <v>15.22</v>
      </c>
      <c r="S25" s="610">
        <v>15.28</v>
      </c>
      <c r="T25" s="174"/>
      <c r="U25" s="112">
        <v>7.4999999999999997E-2</v>
      </c>
      <c r="V25" s="113">
        <f>U25*25.4</f>
        <v>1.9049999999999998</v>
      </c>
      <c r="W25" s="581">
        <f>AI25</f>
        <v>0.16500000000000001</v>
      </c>
      <c r="X25" s="582"/>
      <c r="Y25" s="449">
        <f>((W25/19.32)*10)</f>
        <v>8.5403726708074543E-2</v>
      </c>
      <c r="Z25" s="450"/>
      <c r="AA25" s="581">
        <f>AJ25</f>
        <v>0.10855263157894737</v>
      </c>
      <c r="AB25" s="582"/>
      <c r="AC25" s="449">
        <f>((AA25/19.32)*10)</f>
        <v>5.6186662307943773E-2</v>
      </c>
      <c r="AD25" s="450"/>
      <c r="AE25" s="581">
        <v>7.1999999999999995E-2</v>
      </c>
      <c r="AF25" s="582"/>
      <c r="AG25" s="114">
        <f>((AE25/19.32)*10)</f>
        <v>3.7267080745341609E-2</v>
      </c>
      <c r="AH25" s="104"/>
      <c r="AI25" s="42">
        <f t="shared" si="0"/>
        <v>0.16500000000000001</v>
      </c>
      <c r="AJ25" s="42">
        <f t="shared" si="1"/>
        <v>0.10855263157894737</v>
      </c>
      <c r="AK25" s="42">
        <f t="shared" si="2"/>
        <v>8.1414473684210537E-2</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0.188</v>
      </c>
      <c r="X26" s="779"/>
      <c r="Y26" s="461">
        <f>((W26/19.32)*10)</f>
        <v>9.7308488612836433E-2</v>
      </c>
      <c r="Z26" s="462"/>
      <c r="AA26" s="746">
        <f>AJ26</f>
        <v>0.12368421052631579</v>
      </c>
      <c r="AB26" s="747"/>
      <c r="AC26" s="461">
        <f>((AA26/19.32)*10)</f>
        <v>6.4018742508445026E-2</v>
      </c>
      <c r="AD26" s="462"/>
      <c r="AE26" s="746">
        <v>8.8999999999999996E-2</v>
      </c>
      <c r="AF26" s="747"/>
      <c r="AG26" s="469">
        <f>((AE26/19.32)*10)</f>
        <v>4.606625258799172E-2</v>
      </c>
      <c r="AH26" s="104"/>
      <c r="AI26" s="42">
        <f t="shared" si="0"/>
        <v>0.188</v>
      </c>
      <c r="AJ26" s="42">
        <f t="shared" si="1"/>
        <v>0.12368421052631579</v>
      </c>
      <c r="AK26" s="42">
        <f t="shared" si="2"/>
        <v>9.2763157894736839E-2</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2063.9920122388457</v>
      </c>
      <c r="R27" s="152">
        <f>(PI()*((R25^2)/4)*R24)</f>
        <v>2055.8793754277194</v>
      </c>
      <c r="S27" s="153">
        <f>(PI()*((S25^2)/4)*S24)</f>
        <v>2057.4507435243772</v>
      </c>
      <c r="T27" s="174"/>
      <c r="U27" s="600"/>
      <c r="V27" s="601"/>
      <c r="W27" s="780"/>
      <c r="X27" s="781"/>
      <c r="Y27" s="463"/>
      <c r="Z27" s="464"/>
      <c r="AA27" s="748"/>
      <c r="AB27" s="749"/>
      <c r="AC27" s="463"/>
      <c r="AD27" s="464"/>
      <c r="AE27" s="748"/>
      <c r="AF27" s="749"/>
      <c r="AG27" s="470"/>
      <c r="AH27" s="193"/>
      <c r="AI27" s="42">
        <f t="shared" si="0"/>
        <v>0.20300000000000001</v>
      </c>
      <c r="AJ27" s="42">
        <f t="shared" si="1"/>
        <v>0.13355263157894737</v>
      </c>
      <c r="AK27" s="42">
        <f t="shared" si="2"/>
        <v>0.10016447368421053</v>
      </c>
      <c r="AO27" s="42">
        <v>2.387</v>
      </c>
      <c r="AS27" s="42">
        <f t="shared" si="3"/>
        <v>1.9406504065040651</v>
      </c>
    </row>
    <row r="28" spans="1:45" ht="24.95" customHeight="1" thickBot="1" x14ac:dyDescent="0.3">
      <c r="A28" s="103"/>
      <c r="B28" s="560" t="s">
        <v>9</v>
      </c>
      <c r="C28" s="561"/>
      <c r="D28" s="561"/>
      <c r="E28" s="148">
        <v>641</v>
      </c>
      <c r="F28" s="148">
        <v>648</v>
      </c>
      <c r="G28" s="148">
        <v>471</v>
      </c>
      <c r="H28" s="149">
        <v>657</v>
      </c>
      <c r="I28" s="174"/>
      <c r="J28" s="597" t="s">
        <v>107</v>
      </c>
      <c r="K28" s="597"/>
      <c r="L28" s="562" t="s">
        <v>119</v>
      </c>
      <c r="M28" s="459">
        <f>IF(M26="","",(100-M26))</f>
        <v>100</v>
      </c>
      <c r="N28" s="103"/>
      <c r="O28" s="625" t="s">
        <v>136</v>
      </c>
      <c r="P28" s="626"/>
      <c r="Q28" s="115">
        <f>Q22-Q23</f>
        <v>4504</v>
      </c>
      <c r="R28" s="220">
        <f>R22-R23</f>
        <v>4328</v>
      </c>
      <c r="S28" s="220">
        <f>S22-S23</f>
        <v>3976</v>
      </c>
      <c r="T28" s="174"/>
      <c r="U28" s="627">
        <v>0.125</v>
      </c>
      <c r="V28" s="624">
        <f>U28*25.4</f>
        <v>3.1749999999999998</v>
      </c>
      <c r="W28" s="593">
        <v>0.20499999999999999</v>
      </c>
      <c r="X28" s="594"/>
      <c r="Y28" s="439">
        <f>((W28/19.32)*10)</f>
        <v>0.10610766045548654</v>
      </c>
      <c r="Z28" s="440"/>
      <c r="AA28" s="593">
        <v>0.13700000000000001</v>
      </c>
      <c r="AB28" s="594"/>
      <c r="AC28" s="439">
        <f>((AA28/19.32)*10)</f>
        <v>7.0910973084886128E-2</v>
      </c>
      <c r="AD28" s="440"/>
      <c r="AE28" s="593">
        <v>0.10100000000000001</v>
      </c>
      <c r="AF28" s="594"/>
      <c r="AG28" s="443">
        <f>((AE28/19.32)*10)</f>
        <v>5.227743271221532E-2</v>
      </c>
      <c r="AH28" s="104"/>
      <c r="AI28" s="42">
        <f t="shared" si="0"/>
        <v>0.22600000000000001</v>
      </c>
      <c r="AJ28" s="42">
        <f t="shared" si="1"/>
        <v>0.14868421052631578</v>
      </c>
      <c r="AK28" s="42">
        <f t="shared" si="2"/>
        <v>0.11151315789473684</v>
      </c>
      <c r="AO28" s="42">
        <v>2.8959999999999999</v>
      </c>
      <c r="AS28" s="42">
        <f t="shared" si="3"/>
        <v>2.3544715447154472</v>
      </c>
    </row>
    <row r="29" spans="1:45" ht="5.0999999999999996" customHeight="1" thickBot="1" x14ac:dyDescent="0.3">
      <c r="A29" s="103"/>
      <c r="B29" s="612" t="s">
        <v>73</v>
      </c>
      <c r="C29" s="613"/>
      <c r="D29" s="614"/>
      <c r="E29" s="618">
        <v>991.1</v>
      </c>
      <c r="F29" s="618">
        <v>843.13</v>
      </c>
      <c r="G29" s="618">
        <v>855.23</v>
      </c>
      <c r="H29" s="620">
        <v>912.97</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0.247</v>
      </c>
      <c r="AJ29" s="42">
        <f t="shared" si="1"/>
        <v>0.16250000000000001</v>
      </c>
      <c r="AK29" s="42">
        <f t="shared" si="2"/>
        <v>0.12187500000000001</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19.597519771875</v>
      </c>
      <c r="N30" s="103"/>
      <c r="O30" s="622" t="s">
        <v>134</v>
      </c>
      <c r="P30" s="623"/>
      <c r="Q30" s="229">
        <f>Q28/Q27</f>
        <v>2.1821789877541424</v>
      </c>
      <c r="R30" s="229">
        <f>R28/R27</f>
        <v>2.1051818758090186</v>
      </c>
      <c r="S30" s="131">
        <f>S28/S27</f>
        <v>1.9324885480316196</v>
      </c>
      <c r="T30" s="174"/>
      <c r="U30" s="120">
        <v>0.15</v>
      </c>
      <c r="V30" s="113">
        <f>U30*25.4</f>
        <v>3.8099999999999996</v>
      </c>
      <c r="W30" s="581">
        <f>AI28</f>
        <v>0.22600000000000001</v>
      </c>
      <c r="X30" s="582"/>
      <c r="Y30" s="449">
        <f>((W30/19.32)*10)</f>
        <v>0.11697722567287785</v>
      </c>
      <c r="Z30" s="450"/>
      <c r="AA30" s="581">
        <f>AJ28</f>
        <v>0.14868421052631578</v>
      </c>
      <c r="AB30" s="582"/>
      <c r="AC30" s="449">
        <f>((AA30/19.32)*10)</f>
        <v>7.6958701100577523E-2</v>
      </c>
      <c r="AD30" s="450"/>
      <c r="AE30" s="581">
        <v>0.112</v>
      </c>
      <c r="AF30" s="582"/>
      <c r="AG30" s="114">
        <f>((AE30/19.32)*10)</f>
        <v>5.7971014492753624E-2</v>
      </c>
      <c r="AH30" s="104"/>
      <c r="AI30" s="42">
        <f t="shared" si="0"/>
        <v>0.26800000000000002</v>
      </c>
      <c r="AJ30" s="42">
        <f t="shared" si="1"/>
        <v>0.17631578947368423</v>
      </c>
      <c r="AK30" s="42">
        <f t="shared" si="2"/>
        <v>0.13223684210526318</v>
      </c>
      <c r="AO30" s="42">
        <v>3.8439999999999999</v>
      </c>
      <c r="AS30" s="42">
        <f t="shared" si="3"/>
        <v>3.1252032520325201</v>
      </c>
    </row>
    <row r="31" spans="1:45" ht="24.95" customHeight="1" thickBot="1" x14ac:dyDescent="0.3">
      <c r="A31" s="103"/>
      <c r="B31" s="576" t="s">
        <v>74</v>
      </c>
      <c r="C31" s="577"/>
      <c r="D31" s="577"/>
      <c r="E31" s="152">
        <v>934.52</v>
      </c>
      <c r="F31" s="152">
        <v>778.04</v>
      </c>
      <c r="G31" s="152">
        <v>774.57</v>
      </c>
      <c r="H31" s="153">
        <v>810.12</v>
      </c>
      <c r="I31" s="174"/>
      <c r="J31" s="597" t="s">
        <v>138</v>
      </c>
      <c r="K31" s="597"/>
      <c r="L31" s="562" t="s">
        <v>116</v>
      </c>
      <c r="M31" s="457">
        <f>IF(M25="","",S82)</f>
        <v>2.7120000000000002</v>
      </c>
      <c r="N31" s="121"/>
      <c r="O31" s="628" t="s">
        <v>135</v>
      </c>
      <c r="P31" s="629"/>
      <c r="Q31" s="122">
        <f>Q30/(1+Q40/100)</f>
        <v>1.9838907229177958</v>
      </c>
      <c r="R31" s="122">
        <f>R30/(1+R40/100)</f>
        <v>1.9159975981825126</v>
      </c>
      <c r="S31" s="123">
        <f>S30/(1+S40/100)</f>
        <v>1.7675578272408352</v>
      </c>
      <c r="T31" s="174"/>
      <c r="U31" s="627">
        <v>0.17499999999999999</v>
      </c>
      <c r="V31" s="624">
        <f>U31*25.4</f>
        <v>4.4449999999999994</v>
      </c>
      <c r="W31" s="593">
        <v>0.249</v>
      </c>
      <c r="X31" s="594"/>
      <c r="Y31" s="439">
        <f>((W31/19.32)*10)</f>
        <v>0.12888198757763975</v>
      </c>
      <c r="Z31" s="440"/>
      <c r="AA31" s="593">
        <f>AJ29</f>
        <v>0.16250000000000001</v>
      </c>
      <c r="AB31" s="594"/>
      <c r="AC31" s="439">
        <f>((AA31/19.32)*10)</f>
        <v>8.410973084886128E-2</v>
      </c>
      <c r="AD31" s="440"/>
      <c r="AE31" s="593">
        <f>AK29</f>
        <v>0.12187500000000001</v>
      </c>
      <c r="AF31" s="594"/>
      <c r="AG31" s="443">
        <f>((AE31/19.32)*10)</f>
        <v>6.3082298136645967E-2</v>
      </c>
      <c r="AH31" s="104"/>
      <c r="AI31" s="42">
        <f t="shared" si="0"/>
        <v>0.33500000000000002</v>
      </c>
      <c r="AJ31" s="42">
        <f t="shared" si="1"/>
        <v>0.22039473684210528</v>
      </c>
      <c r="AK31" s="42">
        <f t="shared" si="2"/>
        <v>0.16529605263157895</v>
      </c>
      <c r="AO31" s="42">
        <v>5.516</v>
      </c>
      <c r="AS31" s="42">
        <f t="shared" si="3"/>
        <v>4.4845528455284551</v>
      </c>
    </row>
    <row r="32" spans="1:45" ht="5.0999999999999996" customHeight="1" thickBot="1" x14ac:dyDescent="0.3">
      <c r="A32" s="103"/>
      <c r="B32" s="612" t="s">
        <v>75</v>
      </c>
      <c r="C32" s="613"/>
      <c r="D32" s="614"/>
      <c r="E32" s="618">
        <v>36.24</v>
      </c>
      <c r="F32" s="618">
        <v>37.85</v>
      </c>
      <c r="G32" s="618">
        <v>46.93</v>
      </c>
      <c r="H32" s="620">
        <v>36.32</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0.40100000000000002</v>
      </c>
      <c r="AJ32" s="42">
        <f t="shared" si="1"/>
        <v>0.26381578947368423</v>
      </c>
      <c r="AK32" s="42">
        <f t="shared" si="2"/>
        <v>0.19786184210526317</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0.26800000000000002</v>
      </c>
      <c r="X33" s="582"/>
      <c r="Y33" s="449">
        <f>((W33/19.32)*10)</f>
        <v>0.13871635610766045</v>
      </c>
      <c r="Z33" s="450"/>
      <c r="AA33" s="581">
        <f>AJ30</f>
        <v>0.17631578947368423</v>
      </c>
      <c r="AB33" s="582"/>
      <c r="AC33" s="449">
        <f>((AA33/19.32)*10)</f>
        <v>9.1260760597145052E-2</v>
      </c>
      <c r="AD33" s="450"/>
      <c r="AE33" s="581">
        <f>AK30</f>
        <v>0.13223684210526318</v>
      </c>
      <c r="AF33" s="582"/>
      <c r="AG33" s="144">
        <f>((AE33/19.32)*10)</f>
        <v>6.8445570447858789E-2</v>
      </c>
      <c r="AH33" s="104"/>
      <c r="AI33" s="42">
        <f t="shared" si="0"/>
        <v>0.47099999999999997</v>
      </c>
      <c r="AJ33" s="42">
        <f t="shared" si="1"/>
        <v>0.30986842105263157</v>
      </c>
      <c r="AK33" s="42">
        <f t="shared" si="2"/>
        <v>0.23240131578947368</v>
      </c>
      <c r="AO33" s="42">
        <v>7.7720000000000002</v>
      </c>
      <c r="AS33" s="42">
        <f t="shared" si="3"/>
        <v>6.3186991869918705</v>
      </c>
    </row>
    <row r="34" spans="1:45" ht="24.95" customHeight="1" thickBot="1" x14ac:dyDescent="0.3">
      <c r="A34" s="103"/>
      <c r="B34" s="602" t="s">
        <v>10</v>
      </c>
      <c r="C34" s="603"/>
      <c r="D34" s="603"/>
      <c r="E34" s="125">
        <f>((E29-E31)/(E31-E32))*100</f>
        <v>6.2987041902302225</v>
      </c>
      <c r="F34" s="125">
        <f>((F29-F31)/(F31-F32))*100</f>
        <v>8.7936881071076396</v>
      </c>
      <c r="G34" s="125">
        <f>((G29-G31)/(G31-G32))*100</f>
        <v>11.085151998240883</v>
      </c>
      <c r="H34" s="126">
        <f>((H29-H31)/(H31-H32))*100</f>
        <v>13.291548203670203</v>
      </c>
      <c r="I34" s="174"/>
      <c r="J34" s="630" t="s">
        <v>125</v>
      </c>
      <c r="K34" s="630"/>
      <c r="L34" s="184" t="s">
        <v>126</v>
      </c>
      <c r="M34" s="127">
        <v>2.73</v>
      </c>
      <c r="N34" s="128"/>
      <c r="O34" s="631" t="s">
        <v>9</v>
      </c>
      <c r="P34" s="632"/>
      <c r="Q34" s="156">
        <v>712</v>
      </c>
      <c r="R34" s="156">
        <v>353</v>
      </c>
      <c r="S34" s="157">
        <v>736</v>
      </c>
      <c r="T34" s="174"/>
      <c r="U34" s="120">
        <v>0.3</v>
      </c>
      <c r="V34" s="113">
        <f>U34*25.4</f>
        <v>7.6199999999999992</v>
      </c>
      <c r="W34" s="581">
        <v>0.34</v>
      </c>
      <c r="X34" s="582"/>
      <c r="Y34" s="449">
        <f>((W34/19.32)*10)</f>
        <v>0.17598343685300208</v>
      </c>
      <c r="Z34" s="450"/>
      <c r="AA34" s="449">
        <v>0.22</v>
      </c>
      <c r="AB34" s="450"/>
      <c r="AC34" s="449">
        <f>((AA34/19.32)*10)</f>
        <v>0.11387163561076605</v>
      </c>
      <c r="AD34" s="450"/>
      <c r="AE34" s="581">
        <f>AK31</f>
        <v>0.16529605263157895</v>
      </c>
      <c r="AF34" s="582"/>
      <c r="AG34" s="114">
        <f>((AE34/19.32)*10)</f>
        <v>8.5556963059823465E-2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698.31</v>
      </c>
      <c r="R35" s="608">
        <v>962.46</v>
      </c>
      <c r="S35" s="610">
        <v>731.19</v>
      </c>
      <c r="T35" s="174"/>
      <c r="U35" s="627">
        <v>0.4</v>
      </c>
      <c r="V35" s="624">
        <f>U35*25.4</f>
        <v>10.16</v>
      </c>
      <c r="W35" s="593">
        <v>0.41099999999999998</v>
      </c>
      <c r="X35" s="594"/>
      <c r="Y35" s="439">
        <f>((W35/19.32)*10)</f>
        <v>0.21273291925465837</v>
      </c>
      <c r="Z35" s="440"/>
      <c r="AA35" s="593">
        <f>AJ32</f>
        <v>0.26381578947368423</v>
      </c>
      <c r="AB35" s="594"/>
      <c r="AC35" s="439">
        <f>(AA35/19.32)*10</f>
        <v>0.1365506156696088</v>
      </c>
      <c r="AD35" s="440"/>
      <c r="AE35" s="593">
        <v>0.187</v>
      </c>
      <c r="AF35" s="594"/>
      <c r="AG35" s="443">
        <f>((AE35/19.32)*10)</f>
        <v>9.6790890269151136E-2</v>
      </c>
      <c r="AH35" s="104"/>
      <c r="AS35" s="42">
        <f t="shared" si="3"/>
        <v>0</v>
      </c>
    </row>
    <row r="36" spans="1:45" ht="20.100000000000001" customHeight="1" thickBot="1" x14ac:dyDescent="0.3">
      <c r="A36" s="103"/>
      <c r="B36" s="782" t="s">
        <v>71</v>
      </c>
      <c r="C36" s="783"/>
      <c r="D36" s="783"/>
      <c r="E36" s="229">
        <f>E25/E24</f>
        <v>1.8649906890130354</v>
      </c>
      <c r="F36" s="229">
        <f>F25/F24</f>
        <v>2.1131284916201118</v>
      </c>
      <c r="G36" s="229">
        <f>G25/G24</f>
        <v>2.2169459962756051</v>
      </c>
      <c r="H36" s="250">
        <f>H25/H24</f>
        <v>1.8794227188081936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784" t="s">
        <v>72</v>
      </c>
      <c r="C37" s="785"/>
      <c r="D37" s="785"/>
      <c r="E37" s="230">
        <f>E36/(1+E34/100)</f>
        <v>1.7544811135942751</v>
      </c>
      <c r="F37" s="230">
        <f>F36/(1+F34/100)</f>
        <v>1.9423263687317338</v>
      </c>
      <c r="G37" s="230">
        <f>G36/(1+G34/100)</f>
        <v>1.9957176601880258</v>
      </c>
      <c r="H37" s="249">
        <f>H36/(1+H34/100)</f>
        <v>1.6589257968559632</v>
      </c>
      <c r="I37" s="174"/>
      <c r="J37" s="641" t="s">
        <v>139</v>
      </c>
      <c r="K37" s="641"/>
      <c r="L37" s="643" t="s">
        <v>121</v>
      </c>
      <c r="M37" s="433">
        <f>IF(F74="","",(M42^2*F74+M42*F75+F76))</f>
        <v>1.9977084374999998</v>
      </c>
      <c r="N37" s="101"/>
      <c r="O37" s="576" t="s">
        <v>28</v>
      </c>
      <c r="P37" s="577"/>
      <c r="Q37" s="150">
        <v>639.29999999999995</v>
      </c>
      <c r="R37" s="152">
        <v>885</v>
      </c>
      <c r="S37" s="153">
        <v>672.68</v>
      </c>
      <c r="T37" s="174"/>
      <c r="U37" s="132">
        <v>0.5</v>
      </c>
      <c r="V37" s="133">
        <f>U37*25.4</f>
        <v>12.7</v>
      </c>
      <c r="W37" s="637">
        <v>0.46500000000000002</v>
      </c>
      <c r="X37" s="638"/>
      <c r="Y37" s="431">
        <f>((W37/19.32)*10)</f>
        <v>0.24068322981366461</v>
      </c>
      <c r="Z37" s="432"/>
      <c r="AA37" s="637">
        <f>AJ33</f>
        <v>0.30986842105263157</v>
      </c>
      <c r="AB37" s="638"/>
      <c r="AC37" s="431">
        <f>((AA37/19.32)*10)</f>
        <v>0.16038738149722132</v>
      </c>
      <c r="AD37" s="432"/>
      <c r="AE37" s="637">
        <v>0.20100000000000001</v>
      </c>
      <c r="AF37" s="638"/>
      <c r="AG37" s="134">
        <f>((AE37/19.32)*10)</f>
        <v>0.10403726708074534</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48.9</v>
      </c>
      <c r="R38" s="647">
        <v>100.51</v>
      </c>
      <c r="S38" s="648">
        <v>45.63</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19.597519771875</v>
      </c>
      <c r="N40" s="103"/>
      <c r="O40" s="628" t="s">
        <v>10</v>
      </c>
      <c r="P40" s="629"/>
      <c r="Q40" s="125">
        <f>((Q35-Q37)/(Q37-Q38))*100</f>
        <v>9.9949186991869894</v>
      </c>
      <c r="R40" s="125">
        <f>((R35-R37)/(R37-R38))*100</f>
        <v>9.8739308340450531</v>
      </c>
      <c r="S40" s="126">
        <f>((S35-S37)/(S37-S38))*100</f>
        <v>9.3309943385695089</v>
      </c>
      <c r="T40" s="174"/>
      <c r="U40" s="645" t="s">
        <v>151</v>
      </c>
      <c r="V40" s="646"/>
      <c r="W40" s="423">
        <f>(AM79/6.9)*100</f>
        <v>1.4102679509106728</v>
      </c>
      <c r="X40" s="423"/>
      <c r="Y40" s="423"/>
      <c r="Z40" s="424"/>
      <c r="AA40" s="425">
        <f>(AO79/6.9)*100</f>
        <v>0.92780786244123226</v>
      </c>
      <c r="AB40" s="426"/>
      <c r="AC40" s="427"/>
      <c r="AD40" s="425">
        <f>(AQ79/6.9)*100</f>
        <v>0.6676268491013293</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1.3467607389093246</v>
      </c>
      <c r="X41" s="418"/>
      <c r="Y41" s="418"/>
      <c r="Z41" s="419"/>
      <c r="AA41" s="420">
        <f>(AO83/10.3)*100</f>
        <v>0.8860268019140296</v>
      </c>
      <c r="AB41" s="421"/>
      <c r="AC41" s="418"/>
      <c r="AD41" s="420">
        <f>(AQ83/10.3)*100</f>
        <v>0.6645201014355222</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9.5812499999999989</v>
      </c>
      <c r="N42" s="103"/>
      <c r="O42" s="639" t="s">
        <v>9</v>
      </c>
      <c r="P42" s="640"/>
      <c r="Q42" s="148">
        <v>608</v>
      </c>
      <c r="R42" s="148">
        <v>364</v>
      </c>
      <c r="S42" s="149">
        <v>354</v>
      </c>
      <c r="T42" s="174"/>
      <c r="U42" s="651" t="s">
        <v>42</v>
      </c>
      <c r="V42" s="652"/>
      <c r="W42" s="413">
        <f>IF(W40&lt;W41,W40,W41)</f>
        <v>1.3467607389093246</v>
      </c>
      <c r="X42" s="414"/>
      <c r="Y42" s="414"/>
      <c r="Z42" s="415"/>
      <c r="AA42" s="416">
        <f>IF(AA40&lt;AA41,AA40,AA41)</f>
        <v>0.8860268019140296</v>
      </c>
      <c r="AB42" s="414"/>
      <c r="AC42" s="415"/>
      <c r="AD42" s="416">
        <f>IF(AD40&lt;AD41,AD40,AD41)</f>
        <v>0.6645201014355222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18">
        <v>988.9</v>
      </c>
      <c r="R43" s="608">
        <v>1037.47</v>
      </c>
      <c r="S43" s="610">
        <v>950.09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885.31</v>
      </c>
      <c r="R45" s="150">
        <v>897.99</v>
      </c>
      <c r="S45" s="151">
        <v>798.03</v>
      </c>
      <c r="T45" s="174"/>
      <c r="U45" s="656" t="s">
        <v>139</v>
      </c>
      <c r="V45" s="656"/>
      <c r="W45" s="179" t="s">
        <v>121</v>
      </c>
      <c r="X45" s="406">
        <f>MAX(M37:M39)</f>
        <v>1.9977084374999998</v>
      </c>
      <c r="Y45" s="406"/>
      <c r="Z45" s="406"/>
      <c r="AA45" s="174"/>
      <c r="AB45" s="657" t="s">
        <v>31</v>
      </c>
      <c r="AC45" s="658"/>
      <c r="AD45" s="658"/>
      <c r="AE45" s="658"/>
      <c r="AF45" s="231">
        <v>0.13900000000000001</v>
      </c>
      <c r="AG45" s="231">
        <v>0.25640000000000002</v>
      </c>
      <c r="AH45" s="233">
        <v>0.10920000000000001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48.84</v>
      </c>
      <c r="R46" s="152">
        <v>100.45</v>
      </c>
      <c r="S46" s="153">
        <v>102.3</v>
      </c>
      <c r="T46" s="174"/>
      <c r="U46" s="555" t="s">
        <v>123</v>
      </c>
      <c r="V46" s="555"/>
      <c r="W46" s="179" t="s">
        <v>41</v>
      </c>
      <c r="X46" s="401">
        <f>MIN(M42:M44)</f>
        <v>9.5812499999999989</v>
      </c>
      <c r="Y46" s="401"/>
      <c r="Z46" s="401"/>
      <c r="AA46" s="174"/>
      <c r="AB46" s="660" t="s">
        <v>32</v>
      </c>
      <c r="AC46" s="661"/>
      <c r="AD46" s="661"/>
      <c r="AE46" s="661"/>
      <c r="AF46" s="234">
        <v>0.378</v>
      </c>
      <c r="AG46" s="234">
        <v>0.39460000000000001</v>
      </c>
      <c r="AH46" s="235">
        <v>0.18659999999999999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12.384185924181386</v>
      </c>
      <c r="R47" s="125">
        <f>((R43-R45)/(R45-R46))*100</f>
        <v>17.488777992326408</v>
      </c>
      <c r="S47" s="126">
        <f>((S43-S45)/(S45-S46))*100</f>
        <v>21.856179839880422</v>
      </c>
      <c r="T47" s="174"/>
      <c r="U47" s="555" t="s">
        <v>162</v>
      </c>
      <c r="V47" s="555"/>
      <c r="W47" s="179" t="s">
        <v>41</v>
      </c>
      <c r="X47" s="402">
        <f>IF(L25=D103,"-",IF(L25=D102,"-",IF(L25=D101,M25)))</f>
        <v>0</v>
      </c>
      <c r="Y47" s="402"/>
      <c r="Z47" s="402"/>
      <c r="AA47" s="174"/>
      <c r="AB47" s="662" t="s">
        <v>33</v>
      </c>
      <c r="AC47" s="663"/>
      <c r="AD47" s="663"/>
      <c r="AE47" s="663"/>
      <c r="AF47" s="232">
        <f>(AF46-AF45)*2.54</f>
        <v>0.60705999999999993</v>
      </c>
      <c r="AG47" s="232">
        <f>(AG46-AG45)*2.54</f>
        <v>0.35102799999999995</v>
      </c>
      <c r="AH47" s="239">
        <f>(AH46-AH45)*2.54</f>
        <v>0.19659599999999997</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5.3722123893805298</v>
      </c>
      <c r="AG48" s="142">
        <f>IF(AG47&lt;&gt;"",IF(R24&lt;&gt;"",AG47/R24*100,""),"")</f>
        <v>3.1064424778761057</v>
      </c>
      <c r="AH48" s="173">
        <f>IF(AH47&lt;&gt;"",IF(S24&lt;&gt;"",AH47/S24*100,""),"")</f>
        <v>1.7521925133689835</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5.7000000000000002E-2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9.1999999999999998E-2</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0.13200000000000001</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0.16500000000000001</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0.188</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0.20300000000000001</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0.22600000000000001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0.247</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0.26800000000000002</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0.33500000000000002</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0.40100000000000002</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0.47099999999999997</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-2.4E-2</v>
      </c>
      <c r="G74" s="75">
        <v>-0.12509999999999999</v>
      </c>
      <c r="J74" s="701"/>
      <c r="K74" s="702"/>
      <c r="L74" s="44"/>
      <c r="M74" s="44"/>
      <c r="N74" s="44"/>
    </row>
    <row r="75" spans="1:94" ht="26.25" customHeight="1" thickBot="1" x14ac:dyDescent="0.3">
      <c r="A75" s="11"/>
      <c r="B75" s="377" t="s">
        <v>113</v>
      </c>
      <c r="C75" s="377"/>
      <c r="D75" s="19"/>
      <c r="E75" s="54" t="s">
        <v>12</v>
      </c>
      <c r="F75" s="55">
        <v>0.45989999999999998</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-0.20549999999999999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9.1999999999999998E-2</v>
      </c>
      <c r="AM76" s="3">
        <f t="shared" si="4"/>
        <v>4.7619047619047616E-2</v>
      </c>
      <c r="AN76" s="5">
        <f>AA23</f>
        <v>5.0999999999999997E-2</v>
      </c>
      <c r="AO76" s="3">
        <f t="shared" ref="AO76:AO86" si="7">((AN76/19.32)*10)</f>
        <v>2.6397515527950308E-2</v>
      </c>
      <c r="AP76" s="5">
        <f>AE23</f>
        <v>3.5000000000000003E-2</v>
      </c>
      <c r="AQ76" s="161">
        <f t="shared" si="5"/>
        <v>1.8115942028985511E-2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0.13200000000000001</v>
      </c>
      <c r="AM77" s="3">
        <f t="shared" si="4"/>
        <v>6.8322981366459631E-2</v>
      </c>
      <c r="AN77" s="5">
        <f>AA24</f>
        <v>8.3000000000000004E-2</v>
      </c>
      <c r="AO77" s="3">
        <f t="shared" si="7"/>
        <v>4.296066252587992E-2</v>
      </c>
      <c r="AP77" s="5">
        <f>AE24</f>
        <v>5.8000000000000003E-2</v>
      </c>
      <c r="AQ77" s="161">
        <f t="shared" si="5"/>
        <v>3.0020703933747412E-2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0.16500000000000001</v>
      </c>
      <c r="AM78" s="3">
        <f t="shared" si="4"/>
        <v>8.5403726708074543E-2</v>
      </c>
      <c r="AN78" s="5">
        <f>AA25</f>
        <v>0.10855263157894737</v>
      </c>
      <c r="AO78" s="3">
        <f t="shared" si="7"/>
        <v>5.6186662307943773E-2</v>
      </c>
      <c r="AP78" s="5">
        <f>AE25</f>
        <v>7.1999999999999995E-2</v>
      </c>
      <c r="AQ78" s="161">
        <f t="shared" si="5"/>
        <v>3.7267080745341609E-2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0.188</v>
      </c>
      <c r="AM79" s="4">
        <f t="shared" si="4"/>
        <v>9.7308488612836433E-2</v>
      </c>
      <c r="AN79" s="5">
        <f>AA26</f>
        <v>0.12368421052631579</v>
      </c>
      <c r="AO79" s="4">
        <f t="shared" si="7"/>
        <v>6.4018742508445026E-2</v>
      </c>
      <c r="AP79" s="5">
        <f>AE26</f>
        <v>8.8999999999999996E-2</v>
      </c>
      <c r="AQ79" s="162">
        <f t="shared" si="5"/>
        <v>4.606625258799172E-2</v>
      </c>
      <c r="BB79" s="12">
        <v>17</v>
      </c>
      <c r="BC79" s="12">
        <v>18</v>
      </c>
    </row>
    <row r="80" spans="1:94" ht="42" customHeight="1" thickTop="1" thickBot="1" x14ac:dyDescent="0.3">
      <c r="D80" s="49"/>
      <c r="H80" s="711" t="s">
        <v>105</v>
      </c>
      <c r="I80" s="712"/>
      <c r="J80" s="58"/>
      <c r="AJ80" s="160">
        <f>U28</f>
        <v>0.125</v>
      </c>
      <c r="AK80" s="3">
        <f t="shared" si="6"/>
        <v>3.1749999999999998</v>
      </c>
      <c r="AL80" s="5">
        <f>W28</f>
        <v>0.20499999999999999</v>
      </c>
      <c r="AM80" s="3">
        <f t="shared" si="4"/>
        <v>0.10610766045548654</v>
      </c>
      <c r="AN80" s="5">
        <f>AA28</f>
        <v>0.13700000000000001</v>
      </c>
      <c r="AO80" s="3">
        <f t="shared" si="7"/>
        <v>7.0910973084886128E-2</v>
      </c>
      <c r="AP80" s="5">
        <f>AE28</f>
        <v>0.10100000000000001</v>
      </c>
      <c r="AQ80" s="161">
        <f t="shared" si="5"/>
        <v>5.227743271221532E-2</v>
      </c>
      <c r="BC80" s="45">
        <v>0.99880400000000003</v>
      </c>
      <c r="BD80" s="45">
        <v>0.99862499999999998</v>
      </c>
    </row>
    <row r="81" spans="2:43" ht="15.75" customHeight="1" x14ac:dyDescent="0.25">
      <c r="AJ81" s="160">
        <f>U30</f>
        <v>0.15</v>
      </c>
      <c r="AK81" s="3">
        <f t="shared" si="6"/>
        <v>3.8099999999999996</v>
      </c>
      <c r="AL81" s="5">
        <f>W30</f>
        <v>0.22600000000000001</v>
      </c>
      <c r="AM81" s="3">
        <f t="shared" si="4"/>
        <v>0.11697722567287785</v>
      </c>
      <c r="AN81" s="5">
        <f>AA30</f>
        <v>0.14868421052631578</v>
      </c>
      <c r="AO81" s="3">
        <f t="shared" si="7"/>
        <v>7.6958701100577523E-2</v>
      </c>
      <c r="AP81" s="5">
        <f>AE30</f>
        <v>0.112</v>
      </c>
      <c r="AQ81" s="161">
        <f t="shared" si="5"/>
        <v>5.7971014492753624E-2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0.249</v>
      </c>
      <c r="AM82" s="3">
        <f t="shared" si="4"/>
        <v>0.12888198757763975</v>
      </c>
      <c r="AN82" s="5">
        <f>AA31</f>
        <v>0.16250000000000001</v>
      </c>
      <c r="AO82" s="3">
        <f t="shared" si="7"/>
        <v>8.410973084886128E-2</v>
      </c>
      <c r="AP82" s="5">
        <f>AE31</f>
        <v>0.12187500000000001</v>
      </c>
      <c r="AQ82" s="161">
        <f t="shared" si="5"/>
        <v>6.3082298136645967E-2</v>
      </c>
    </row>
    <row r="83" spans="2:43" ht="15" customHeight="1" x14ac:dyDescent="0.25">
      <c r="B83" s="49"/>
      <c r="C83" s="49"/>
      <c r="D83" s="49">
        <v>0</v>
      </c>
      <c r="E83" s="50">
        <f>M42</f>
        <v>9.5812499999999989</v>
      </c>
      <c r="F83" s="49"/>
      <c r="G83" s="43">
        <f>G84/10</f>
        <v>2.2851823306610139</v>
      </c>
      <c r="H83" s="43">
        <f>H84/10</f>
        <v>2.1596643729170197</v>
      </c>
      <c r="I83" s="43">
        <f>I84/10</f>
        <v>2.0559491185132375</v>
      </c>
      <c r="J83" s="43">
        <f>J84/10</f>
        <v>1.9650818443921536</v>
      </c>
      <c r="K83" s="43"/>
      <c r="L83" s="42">
        <v>0</v>
      </c>
      <c r="O83" s="706"/>
      <c r="P83" s="706"/>
      <c r="Q83" s="706"/>
      <c r="R83" s="706"/>
      <c r="S83" s="707"/>
      <c r="W83" s="112"/>
      <c r="AJ83" s="160">
        <f>U33</f>
        <v>0.2</v>
      </c>
      <c r="AK83" s="4">
        <f t="shared" si="6"/>
        <v>5.08</v>
      </c>
      <c r="AL83" s="5">
        <f>W33</f>
        <v>0.26800000000000002</v>
      </c>
      <c r="AM83" s="4">
        <f t="shared" si="4"/>
        <v>0.13871635610766045</v>
      </c>
      <c r="AN83" s="5">
        <f>AA33</f>
        <v>0.17631578947368423</v>
      </c>
      <c r="AO83" s="4">
        <f t="shared" si="7"/>
        <v>9.1260760597145052E-2</v>
      </c>
      <c r="AP83" s="5">
        <f>AE33</f>
        <v>0.13223684210526318</v>
      </c>
      <c r="AQ83" s="162">
        <f t="shared" si="5"/>
        <v>6.8445570447858789E-2</v>
      </c>
    </row>
    <row r="84" spans="2:43" ht="15" customHeight="1" x14ac:dyDescent="0.25">
      <c r="C84" s="94"/>
      <c r="D84" s="94"/>
      <c r="E84" s="94"/>
      <c r="F84" s="49"/>
      <c r="G84" s="43">
        <f>($M$34/(1+(E34*$M$34/100)))*($O$73)</f>
        <v>22.851823306610139</v>
      </c>
      <c r="H84" s="43">
        <f>($M$34/(1+(F34*$M$34/100)))*($O$73)</f>
        <v>21.596643729170196</v>
      </c>
      <c r="I84" s="43">
        <f>($M$34/(1+(G34*$M$34/100)))*($O$73)</f>
        <v>20.559491185132377</v>
      </c>
      <c r="J84" s="43">
        <f>($M$34/(1+(H34*$M$34/100)))*($O$73)</f>
        <v>19.650818443921537</v>
      </c>
      <c r="K84" s="43"/>
      <c r="O84" s="706" t="s">
        <v>146</v>
      </c>
      <c r="P84" s="706"/>
      <c r="Q84" s="706"/>
      <c r="R84" s="706"/>
      <c r="S84" s="707">
        <v>2240</v>
      </c>
      <c r="W84" s="112"/>
      <c r="AJ84" s="160">
        <f>U34</f>
        <v>0.3</v>
      </c>
      <c r="AK84" s="3">
        <f t="shared" si="6"/>
        <v>7.6199999999999992</v>
      </c>
      <c r="AL84" s="5">
        <f>W34</f>
        <v>0.34</v>
      </c>
      <c r="AM84" s="3">
        <f t="shared" si="4"/>
        <v>0.17598343685300208</v>
      </c>
      <c r="AN84" s="5">
        <f>AA34</f>
        <v>0.22</v>
      </c>
      <c r="AO84" s="3">
        <f t="shared" si="7"/>
        <v>0.11387163561076605</v>
      </c>
      <c r="AP84" s="5">
        <f>AE34</f>
        <v>0.16529605263157895</v>
      </c>
      <c r="AQ84" s="161">
        <f t="shared" si="5"/>
        <v>8.5556963059823465E-2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0.41099999999999998</v>
      </c>
      <c r="AM85" s="3">
        <f t="shared" si="4"/>
        <v>0.21273291925465837</v>
      </c>
      <c r="AN85" s="5">
        <f>AA35</f>
        <v>0.26381578947368423</v>
      </c>
      <c r="AO85" s="3">
        <f t="shared" si="7"/>
        <v>0.1365506156696088</v>
      </c>
      <c r="AP85" s="5">
        <f>AE35</f>
        <v>0.187</v>
      </c>
      <c r="AQ85" s="161">
        <f>((AP85/19.32)*10)</f>
        <v>9.6790890269151136E-2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0.46500000000000002</v>
      </c>
      <c r="AM86" s="164">
        <f t="shared" si="4"/>
        <v>0.24068322981366461</v>
      </c>
      <c r="AN86" s="165">
        <f>AA37</f>
        <v>0.30986842105263157</v>
      </c>
      <c r="AO86" s="164">
        <f t="shared" si="7"/>
        <v>0.16038738149722132</v>
      </c>
      <c r="AP86" s="165">
        <f>AE37</f>
        <v>0.20100000000000001</v>
      </c>
      <c r="AQ86" s="166">
        <f>((AP86/19.32)*10)</f>
        <v>0.10403726708074534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1.9838907229177958</v>
      </c>
      <c r="AK91" s="9">
        <f>R31</f>
        <v>1.9159975981825126</v>
      </c>
      <c r="AL91" s="10">
        <f>S31</f>
        <v>1.7675578272408352</v>
      </c>
    </row>
    <row r="92" spans="2:43" ht="21" customHeight="1" thickBot="1" x14ac:dyDescent="0.3">
      <c r="B92" s="92"/>
      <c r="C92" s="93"/>
      <c r="D92" s="93"/>
      <c r="E92" s="93"/>
      <c r="F92" s="62"/>
      <c r="G92" s="63"/>
      <c r="H92" s="49"/>
      <c r="I92" s="49"/>
      <c r="O92" s="725" t="s">
        <v>147</v>
      </c>
      <c r="P92" s="726"/>
      <c r="Q92" s="726"/>
      <c r="R92" s="726"/>
      <c r="S92" s="61">
        <f>M42</f>
        <v>9.5812499999999989</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1.3467607389093246</v>
      </c>
      <c r="AK94" s="158">
        <f>AA42</f>
        <v>0.8860268019140296</v>
      </c>
      <c r="AL94" s="158">
        <f>AD42</f>
        <v>0.6645201014355222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908" priority="45">
      <formula>LEN(TRIM(D6))=0</formula>
    </cfRule>
  </conditionalFormatting>
  <conditionalFormatting sqref="D6:H10">
    <cfRule type="containsBlanks" dxfId="1907" priority="44">
      <formula>LEN(TRIM(D6))=0</formula>
    </cfRule>
  </conditionalFormatting>
  <conditionalFormatting sqref="M19">
    <cfRule type="containsBlanks" dxfId="1906" priority="43">
      <formula>LEN(TRIM(M19))=0</formula>
    </cfRule>
  </conditionalFormatting>
  <conditionalFormatting sqref="CP70">
    <cfRule type="containsBlanks" dxfId="1905" priority="42">
      <formula>LEN(TRIM(CP70))=0</formula>
    </cfRule>
  </conditionalFormatting>
  <conditionalFormatting sqref="M21">
    <cfRule type="containsBlanks" dxfId="1904" priority="41">
      <formula>LEN(TRIM(M21))=0</formula>
    </cfRule>
  </conditionalFormatting>
  <conditionalFormatting sqref="D12:M12">
    <cfRule type="containsBlanks" dxfId="1903" priority="40">
      <formula>LEN(TRIM(D12))=0</formula>
    </cfRule>
  </conditionalFormatting>
  <conditionalFormatting sqref="L9:M9">
    <cfRule type="containsBlanks" dxfId="1902" priority="39">
      <formula>LEN(TRIM(L9))=0</formula>
    </cfRule>
  </conditionalFormatting>
  <conditionalFormatting sqref="L25">
    <cfRule type="containsBlanks" dxfId="1901" priority="38">
      <formula>LEN(TRIM(L25))=0</formula>
    </cfRule>
  </conditionalFormatting>
  <conditionalFormatting sqref="Q20:S26">
    <cfRule type="containsBlanks" dxfId="1900" priority="28">
      <formula>LEN(TRIM(Q20))=0</formula>
    </cfRule>
    <cfRule type="containsBlanks" dxfId="1899" priority="37">
      <formula>LEN(TRIM(Q20))=0</formula>
    </cfRule>
  </conditionalFormatting>
  <conditionalFormatting sqref="U26:V27 AC33 AC26">
    <cfRule type="cellIs" dxfId="1898" priority="36" operator="between">
      <formula>0</formula>
      <formula>500</formula>
    </cfRule>
  </conditionalFormatting>
  <conditionalFormatting sqref="U33:V33">
    <cfRule type="cellIs" dxfId="1897" priority="35" operator="between">
      <formula>0</formula>
      <formula>500</formula>
    </cfRule>
  </conditionalFormatting>
  <conditionalFormatting sqref="AF45:AH46">
    <cfRule type="containsBlanks" dxfId="1896" priority="34">
      <formula>LEN(TRIM(AF45))=0</formula>
    </cfRule>
  </conditionalFormatting>
  <conditionalFormatting sqref="AF51:AG53">
    <cfRule type="containsBlanks" dxfId="1895" priority="33">
      <formula>LEN(TRIM(AF51))=0</formula>
    </cfRule>
  </conditionalFormatting>
  <conditionalFormatting sqref="E20:H24">
    <cfRule type="containsBlanks" dxfId="1894" priority="32">
      <formula>LEN(TRIM(E20))=0</formula>
    </cfRule>
  </conditionalFormatting>
  <conditionalFormatting sqref="E28:H33">
    <cfRule type="containsBlanks" dxfId="1893" priority="31">
      <formula>LEN(TRIM(E28))=0</formula>
    </cfRule>
  </conditionalFormatting>
  <conditionalFormatting sqref="Q42:S46">
    <cfRule type="containsBlanks" dxfId="1892" priority="30">
      <formula>LEN(TRIM(Q42))=0</formula>
    </cfRule>
  </conditionalFormatting>
  <conditionalFormatting sqref="Q34:S39">
    <cfRule type="containsBlanks" dxfId="1891" priority="29">
      <formula>LEN(TRIM(Q34))=0</formula>
    </cfRule>
  </conditionalFormatting>
  <conditionalFormatting sqref="M25">
    <cfRule type="containsBlanks" dxfId="1890" priority="27">
      <formula>LEN(TRIM(M25))=0</formula>
    </cfRule>
  </conditionalFormatting>
  <conditionalFormatting sqref="U26:V27 Y26:Z27 AC26:AD27 AG26:AG27">
    <cfRule type="containsBlanks" dxfId="1889" priority="25">
      <formula>LEN(TRIM(U26))=0</formula>
    </cfRule>
    <cfRule type="cellIs" dxfId="1888" priority="26" operator="between">
      <formula>0</formula>
      <formula>1000</formula>
    </cfRule>
  </conditionalFormatting>
  <conditionalFormatting sqref="W87:W88">
    <cfRule type="cellIs" dxfId="1887" priority="24" operator="between">
      <formula>0</formula>
      <formula>500</formula>
    </cfRule>
  </conditionalFormatting>
  <conditionalFormatting sqref="W94">
    <cfRule type="cellIs" dxfId="1886" priority="23" operator="between">
      <formula>0</formula>
      <formula>500</formula>
    </cfRule>
  </conditionalFormatting>
  <conditionalFormatting sqref="W87:W88">
    <cfRule type="containsBlanks" dxfId="1885" priority="21">
      <formula>LEN(TRIM(W87))=0</formula>
    </cfRule>
    <cfRule type="cellIs" dxfId="1884" priority="22" operator="between">
      <formula>0</formula>
      <formula>1000</formula>
    </cfRule>
  </conditionalFormatting>
  <conditionalFormatting sqref="U33:V33 Y33:Z33 AC33:AD33 AG33">
    <cfRule type="cellIs" dxfId="1883" priority="20" operator="between">
      <formula>0</formula>
      <formula>1000</formula>
    </cfRule>
  </conditionalFormatting>
  <conditionalFormatting sqref="Q27:S27">
    <cfRule type="containsBlanks" dxfId="1882" priority="18">
      <formula>LEN(TRIM(Q27))=0</formula>
    </cfRule>
    <cfRule type="containsBlanks" dxfId="1881" priority="19">
      <formula>LEN(TRIM(Q27))=0</formula>
    </cfRule>
  </conditionalFormatting>
  <conditionalFormatting sqref="W30:W31 W33:W35 W37 W28 W22:W26">
    <cfRule type="containsBlanks" dxfId="1880" priority="17">
      <formula>LEN(TRIM(W22))=0</formula>
    </cfRule>
  </conditionalFormatting>
  <conditionalFormatting sqref="W37 W30:W31 W33:W35 W28 W22:W26">
    <cfRule type="containsBlanks" dxfId="1879" priority="16">
      <formula>LEN(TRIM(W22))=0</formula>
    </cfRule>
  </conditionalFormatting>
  <conditionalFormatting sqref="W33:X33">
    <cfRule type="cellIs" dxfId="1878" priority="15" operator="between">
      <formula>0</formula>
      <formula>1000</formula>
    </cfRule>
  </conditionalFormatting>
  <conditionalFormatting sqref="W30:X37 W26 W28 W22:X25">
    <cfRule type="containsBlanks" dxfId="1877" priority="14">
      <formula>LEN(TRIM(W22))=0</formula>
    </cfRule>
  </conditionalFormatting>
  <conditionalFormatting sqref="AA37 AA30:AA31 AA33 AA22:AA26 AA28 AA35">
    <cfRule type="containsBlanks" dxfId="1876" priority="13">
      <formula>LEN(TRIM(AA22))=0</formula>
    </cfRule>
  </conditionalFormatting>
  <conditionalFormatting sqref="AA37 AA30:AA31 AA33 AA22:AA26 AA28 AA35">
    <cfRule type="containsBlanks" dxfId="1875" priority="12">
      <formula>LEN(TRIM(AA22))=0</formula>
    </cfRule>
  </conditionalFormatting>
  <conditionalFormatting sqref="AA33:AB33">
    <cfRule type="cellIs" dxfId="1874" priority="11" operator="between">
      <formula>0</formula>
      <formula>1000</formula>
    </cfRule>
  </conditionalFormatting>
  <conditionalFormatting sqref="AA30:AB30 AA31 AA33:AB33 AA22:AB25 AA26 AA28 AA35:AB37">
    <cfRule type="containsBlanks" dxfId="1873" priority="10">
      <formula>LEN(TRIM(AA22))=0</formula>
    </cfRule>
  </conditionalFormatting>
  <conditionalFormatting sqref="AE37 AE28 AE30:AE31 AE33:AE35 AE22:AE26">
    <cfRule type="containsBlanks" dxfId="1872" priority="9">
      <formula>LEN(TRIM(AE22))=0</formula>
    </cfRule>
  </conditionalFormatting>
  <conditionalFormatting sqref="AE37 AE28 AE30:AE31 AE33:AE35 AE22:AE26">
    <cfRule type="containsBlanks" dxfId="1871" priority="8">
      <formula>LEN(TRIM(AE22))=0</formula>
    </cfRule>
  </conditionalFormatting>
  <conditionalFormatting sqref="AE33:AF33">
    <cfRule type="cellIs" dxfId="1870" priority="7" operator="between">
      <formula>0</formula>
      <formula>1000</formula>
    </cfRule>
  </conditionalFormatting>
  <conditionalFormatting sqref="AE33:AF37 AE26 AE28 AE30:AE31 AE22:AF25">
    <cfRule type="containsBlanks" dxfId="1869" priority="6">
      <formula>LEN(TRIM(AE22))=0</formula>
    </cfRule>
  </conditionalFormatting>
  <conditionalFormatting sqref="K6:M6">
    <cfRule type="containsBlanks" dxfId="1868" priority="5">
      <formula>LEN(TRIM(K6))=0</formula>
    </cfRule>
  </conditionalFormatting>
  <conditionalFormatting sqref="K7:K8">
    <cfRule type="containsBlanks" dxfId="1867" priority="4">
      <formula>LEN(TRIM(K7))=0</formula>
    </cfRule>
  </conditionalFormatting>
  <conditionalFormatting sqref="D13:M13">
    <cfRule type="containsBlanks" dxfId="1866" priority="3">
      <formula>LEN(TRIM(D13))=0</formula>
    </cfRule>
  </conditionalFormatting>
  <conditionalFormatting sqref="B6:B10">
    <cfRule type="containsBlanks" dxfId="1865" priority="2">
      <formula>LEN(TRIM(B6))=0</formula>
    </cfRule>
  </conditionalFormatting>
  <conditionalFormatting sqref="B12:B13">
    <cfRule type="containsBlanks" dxfId="1864" priority="1">
      <formula>LEN(TRIM(B12))=0</formula>
    </cfRule>
  </conditionalFormatting>
  <dataValidations count="5">
    <dataValidation type="list" allowBlank="1" showInputMessage="1" showErrorMessage="1" sqref="D12:E12" xr:uid="{00000000-0002-0000-1100-000000000000}">
      <formula1>$B$87:$B$94</formula1>
    </dataValidation>
    <dataValidation type="list" allowBlank="1" showInputMessage="1" showErrorMessage="1" sqref="CP70" xr:uid="{00000000-0002-0000-1100-000001000000}">
      <formula1>$BA$3:$BA$5</formula1>
    </dataValidation>
    <dataValidation type="list" allowBlank="1" showInputMessage="1" showErrorMessage="1" sqref="M19" xr:uid="{00000000-0002-0000-1100-000002000000}">
      <formula1>$AX$3:$AX$5</formula1>
    </dataValidation>
    <dataValidation type="list" allowBlank="1" showInputMessage="1" showErrorMessage="1" sqref="M21" xr:uid="{00000000-0002-0000-1100-000003000000}">
      <formula1>$AX$3:$AX$4</formula1>
    </dataValidation>
    <dataValidation type="list" allowBlank="1" showInputMessage="1" showErrorMessage="1" sqref="L25" xr:uid="{00000000-0002-0000-1100-000004000000}">
      <formula1>$D$101:$D$104</formula1>
    </dataValidation>
  </dataValidations>
  <hyperlinks>
    <hyperlink ref="D8" r:id="rId1" xr:uid="{00000000-0004-0000-11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31073"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31074"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31075"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3107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3107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31078"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31079"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3108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3108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3108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62"/>
  <dimension ref="A1:CP153"/>
  <sheetViews>
    <sheetView tabSelected="1" view="pageBreakPreview" topLeftCell="A12" zoomScale="70" zoomScaleNormal="100" zoomScaleSheetLayoutView="70" workbookViewId="0">
      <selection activeCell="J23" sqref="J23:M24"/>
    </sheetView>
  </sheetViews>
  <sheetFormatPr baseColWidth="10" defaultRowHeight="15" x14ac:dyDescent="0.25"/>
  <cols>
    <col min="1" max="1" width="0.7109375" style="265" customWidth="1"/>
    <col min="2" max="2" width="34.42578125" style="265" customWidth="1"/>
    <col min="3" max="3" width="20" style="265" customWidth="1"/>
    <col min="4" max="4" width="15.28515625" style="265" customWidth="1"/>
    <col min="5" max="8" width="23.7109375" style="265" customWidth="1"/>
    <col min="9" max="9" width="14.7109375" style="265" customWidth="1"/>
    <col min="10" max="10" width="35.85546875" style="265" customWidth="1"/>
    <col min="11" max="11" width="35.140625" style="265" customWidth="1"/>
    <col min="12" max="12" width="16.42578125" style="265" customWidth="1"/>
    <col min="13" max="13" width="23.85546875" style="265" customWidth="1"/>
    <col min="14" max="14" width="0.7109375" style="265" customWidth="1"/>
    <col min="15" max="15" width="30.5703125" style="265" customWidth="1"/>
    <col min="16" max="16" width="20" style="265" customWidth="1"/>
    <col min="17" max="19" width="21.7109375" style="265" customWidth="1"/>
    <col min="20" max="20" width="1.28515625" style="265" customWidth="1"/>
    <col min="21" max="22" width="23.7109375" style="265" customWidth="1"/>
    <col min="23" max="23" width="17" style="265" customWidth="1"/>
    <col min="24" max="25" width="3" style="265" customWidth="1"/>
    <col min="26" max="26" width="15.7109375" style="265" customWidth="1"/>
    <col min="27" max="27" width="6.85546875" style="265" customWidth="1"/>
    <col min="28" max="28" width="11.28515625" style="265" customWidth="1"/>
    <col min="29" max="29" width="19.5703125" style="265" customWidth="1"/>
    <col min="30" max="31" width="4.85546875" style="265" customWidth="1"/>
    <col min="32" max="32" width="15.7109375" style="265" customWidth="1"/>
    <col min="33" max="33" width="16.28515625" style="265" customWidth="1"/>
    <col min="34" max="34" width="14.7109375" style="265" customWidth="1"/>
    <col min="35" max="36" width="18.85546875" style="265" customWidth="1"/>
    <col min="37" max="43" width="25.5703125" style="265" customWidth="1"/>
    <col min="44" max="49" width="11.42578125" style="265"/>
    <col min="50" max="50" width="32" style="265" customWidth="1"/>
    <col min="51" max="51" width="19.5703125" style="265" customWidth="1"/>
    <col min="52" max="52" width="38.85546875" style="265" customWidth="1"/>
    <col min="53" max="53" width="11.42578125" style="265"/>
    <col min="54" max="54" width="16" style="265" customWidth="1"/>
    <col min="55" max="16384" width="11.42578125" style="265"/>
  </cols>
  <sheetData>
    <row r="1" spans="1:57" s="22" customFormat="1" ht="20.25" customHeight="1" x14ac:dyDescent="0.25">
      <c r="A1" s="95"/>
      <c r="B1" s="502"/>
      <c r="C1" s="502"/>
      <c r="D1" s="502"/>
      <c r="E1" s="505" t="s">
        <v>51</v>
      </c>
      <c r="F1" s="502"/>
      <c r="G1" s="502"/>
      <c r="H1" s="502"/>
      <c r="I1" s="502"/>
      <c r="J1" s="502"/>
      <c r="K1" s="506"/>
      <c r="L1" s="792" t="s">
        <v>341</v>
      </c>
      <c r="M1" s="793"/>
      <c r="N1" s="794"/>
      <c r="O1" s="502"/>
      <c r="P1" s="502"/>
      <c r="Q1" s="506"/>
      <c r="R1" s="502" t="str">
        <f>E1</f>
        <v>INFORME DE RESULTADOS</v>
      </c>
      <c r="S1" s="502"/>
      <c r="T1" s="502"/>
      <c r="U1" s="502"/>
      <c r="V1" s="502"/>
      <c r="W1" s="502"/>
      <c r="X1" s="502"/>
      <c r="Y1" s="502"/>
      <c r="Z1" s="502"/>
      <c r="AA1" s="502"/>
      <c r="AB1" s="502"/>
      <c r="AC1" s="502"/>
      <c r="AD1" s="502"/>
      <c r="AE1" s="506"/>
      <c r="AF1" s="792" t="s">
        <v>345</v>
      </c>
      <c r="AG1" s="795"/>
      <c r="AH1" s="793"/>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796" t="s">
        <v>342</v>
      </c>
      <c r="M2" s="797"/>
      <c r="N2" s="798"/>
      <c r="O2" s="503"/>
      <c r="P2" s="503"/>
      <c r="Q2" s="509"/>
      <c r="R2" s="513" t="s">
        <v>50</v>
      </c>
      <c r="S2" s="513"/>
      <c r="T2" s="513"/>
      <c r="U2" s="513"/>
      <c r="V2" s="513"/>
      <c r="W2" s="513"/>
      <c r="X2" s="513"/>
      <c r="Y2" s="513"/>
      <c r="Z2" s="513"/>
      <c r="AA2" s="513"/>
      <c r="AB2" s="513"/>
      <c r="AC2" s="513"/>
      <c r="AD2" s="513"/>
      <c r="AE2" s="514"/>
      <c r="AF2" s="796" t="s">
        <v>346</v>
      </c>
      <c r="AG2" s="799"/>
      <c r="AH2" s="797"/>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796" t="s">
        <v>343</v>
      </c>
      <c r="M3" s="797" t="s">
        <v>0</v>
      </c>
      <c r="N3" s="798"/>
      <c r="O3" s="503"/>
      <c r="P3" s="503"/>
      <c r="Q3" s="509"/>
      <c r="R3" s="513"/>
      <c r="S3" s="513"/>
      <c r="T3" s="513"/>
      <c r="U3" s="513"/>
      <c r="V3" s="513"/>
      <c r="W3" s="513"/>
      <c r="X3" s="513"/>
      <c r="Y3" s="513"/>
      <c r="Z3" s="513"/>
      <c r="AA3" s="513"/>
      <c r="AB3" s="513"/>
      <c r="AC3" s="513"/>
      <c r="AD3" s="513"/>
      <c r="AE3" s="514"/>
      <c r="AF3" s="800"/>
      <c r="AG3" s="801" t="s">
        <v>343</v>
      </c>
      <c r="AH3" s="802"/>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803" t="s">
        <v>344</v>
      </c>
      <c r="M4" s="804"/>
      <c r="N4" s="805"/>
      <c r="O4" s="504"/>
      <c r="P4" s="504"/>
      <c r="Q4" s="510"/>
      <c r="R4" s="516"/>
      <c r="S4" s="516"/>
      <c r="T4" s="516"/>
      <c r="U4" s="516"/>
      <c r="V4" s="516"/>
      <c r="W4" s="516"/>
      <c r="X4" s="516"/>
      <c r="Y4" s="516"/>
      <c r="Z4" s="516"/>
      <c r="AA4" s="516"/>
      <c r="AB4" s="516"/>
      <c r="AC4" s="516"/>
      <c r="AD4" s="516"/>
      <c r="AE4" s="517"/>
      <c r="AF4" s="803" t="s">
        <v>344</v>
      </c>
      <c r="AG4" s="806"/>
      <c r="AH4" s="804"/>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T5" s="46"/>
      <c r="AU5" s="46"/>
      <c r="AV5" s="46"/>
      <c r="AW5" s="46"/>
      <c r="AX5" s="24"/>
      <c r="AY5" s="24"/>
      <c r="AZ5" s="24"/>
      <c r="BA5" s="47"/>
      <c r="BB5" s="25" t="s">
        <v>90</v>
      </c>
      <c r="BC5" s="24"/>
      <c r="BD5" s="24"/>
      <c r="BE5" s="24"/>
    </row>
    <row r="6" spans="1:57" s="22" customFormat="1" ht="22.5" customHeight="1" x14ac:dyDescent="0.25">
      <c r="A6" s="95"/>
      <c r="B6" s="769" t="s">
        <v>1</v>
      </c>
      <c r="C6" s="769"/>
      <c r="D6" s="483"/>
      <c r="E6" s="483"/>
      <c r="F6" s="483"/>
      <c r="G6" s="483"/>
      <c r="H6" s="483"/>
      <c r="I6" s="498" t="s">
        <v>53</v>
      </c>
      <c r="J6" s="498"/>
      <c r="K6" s="486"/>
      <c r="L6" s="486"/>
      <c r="M6" s="487"/>
      <c r="N6" s="88"/>
      <c r="O6" s="501" t="str">
        <f>B6</f>
        <v>CLIENTE:</v>
      </c>
      <c r="P6" s="501"/>
      <c r="Q6" s="519">
        <f>+D6</f>
        <v>0</v>
      </c>
      <c r="R6" s="519"/>
      <c r="S6" s="519"/>
      <c r="T6" s="519"/>
      <c r="U6" s="519"/>
      <c r="V6" s="519"/>
      <c r="W6" s="520" t="str">
        <f>I6</f>
        <v>FECHA DE RECEPCIÓN:</v>
      </c>
      <c r="X6" s="520"/>
      <c r="Y6" s="520"/>
      <c r="Z6" s="520"/>
      <c r="AA6" s="520"/>
      <c r="AB6" s="521">
        <f>K6</f>
        <v>0</v>
      </c>
      <c r="AC6" s="521"/>
      <c r="AD6" s="521"/>
      <c r="AE6" s="521"/>
      <c r="AF6" s="521"/>
      <c r="AG6" s="87"/>
      <c r="AH6" s="21"/>
      <c r="AR6" s="24"/>
      <c r="AS6" s="24"/>
      <c r="AT6" s="24"/>
      <c r="AV6" s="24"/>
      <c r="AW6" s="24"/>
      <c r="AX6" s="24"/>
      <c r="AY6" s="25"/>
      <c r="AZ6" s="24"/>
      <c r="BA6" s="24"/>
      <c r="BB6" s="24"/>
      <c r="BE6" s="23" t="s">
        <v>54</v>
      </c>
    </row>
    <row r="7" spans="1:57" s="22" customFormat="1" ht="30" customHeight="1" x14ac:dyDescent="0.25">
      <c r="A7" s="90"/>
      <c r="B7" s="768" t="s">
        <v>2</v>
      </c>
      <c r="C7" s="768"/>
      <c r="D7" s="483"/>
      <c r="E7" s="483"/>
      <c r="F7" s="483"/>
      <c r="G7" s="483"/>
      <c r="H7" s="483"/>
      <c r="I7" s="523" t="s">
        <v>55</v>
      </c>
      <c r="J7" s="523"/>
      <c r="K7" s="483"/>
      <c r="L7" s="483"/>
      <c r="M7" s="485"/>
      <c r="N7" s="89"/>
      <c r="O7" s="526" t="str">
        <f>B7</f>
        <v>PROYECTO:</v>
      </c>
      <c r="P7" s="526"/>
      <c r="Q7" s="527">
        <f>D7</f>
        <v>0</v>
      </c>
      <c r="R7" s="527"/>
      <c r="S7" s="527"/>
      <c r="T7" s="527"/>
      <c r="U7" s="527"/>
      <c r="V7" s="527"/>
      <c r="W7" s="528" t="str">
        <f>I7</f>
        <v xml:space="preserve">FECHA DE EJECUCIÓN: </v>
      </c>
      <c r="X7" s="528"/>
      <c r="Y7" s="528"/>
      <c r="Z7" s="528"/>
      <c r="AA7" s="528"/>
      <c r="AB7" s="529">
        <f>K7</f>
        <v>0</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483"/>
      <c r="E8" s="483"/>
      <c r="F8" s="483"/>
      <c r="G8" s="483"/>
      <c r="H8" s="483"/>
      <c r="I8" s="523" t="s">
        <v>58</v>
      </c>
      <c r="J8" s="523"/>
      <c r="K8" s="483"/>
      <c r="L8" s="483"/>
      <c r="M8" s="485"/>
      <c r="N8" s="89"/>
      <c r="O8" s="526" t="str">
        <f>B8</f>
        <v>CORREO ELECTRÓNICO:</v>
      </c>
      <c r="P8" s="526"/>
      <c r="Q8" s="531">
        <f>D8</f>
        <v>0</v>
      </c>
      <c r="R8" s="531"/>
      <c r="S8" s="531"/>
      <c r="T8" s="531"/>
      <c r="U8" s="531"/>
      <c r="V8" s="531"/>
      <c r="W8" s="528" t="str">
        <f>I8</f>
        <v>FECHA DE EMISIÓN:</v>
      </c>
      <c r="X8" s="528"/>
      <c r="Y8" s="528"/>
      <c r="Z8" s="528"/>
      <c r="AA8" s="528"/>
      <c r="AB8" s="529">
        <f>K8</f>
        <v>0</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3"/>
      <c r="E9" s="483"/>
      <c r="F9" s="483"/>
      <c r="G9" s="483"/>
      <c r="H9" s="483"/>
      <c r="I9" s="523" t="s">
        <v>61</v>
      </c>
      <c r="J9" s="523"/>
      <c r="K9" s="27" t="s">
        <v>62</v>
      </c>
      <c r="L9" s="259"/>
      <c r="M9" s="260"/>
      <c r="N9" s="89"/>
      <c r="O9" s="526" t="str">
        <f>B9</f>
        <v>LOCALIZACIÓN:</v>
      </c>
      <c r="P9" s="526"/>
      <c r="Q9" s="531">
        <f>D9</f>
        <v>0</v>
      </c>
      <c r="R9" s="531"/>
      <c r="S9" s="531"/>
      <c r="T9" s="531"/>
      <c r="U9" s="531"/>
      <c r="V9" s="531"/>
      <c r="W9" s="528" t="str">
        <f>I9</f>
        <v xml:space="preserve">ORDEN INTERNA: </v>
      </c>
      <c r="X9" s="528"/>
      <c r="Y9" s="528"/>
      <c r="Z9" s="528"/>
      <c r="AA9" s="528"/>
      <c r="AB9" s="222" t="str">
        <f>K9</f>
        <v>GDA</v>
      </c>
      <c r="AC9" s="807">
        <f>L9</f>
        <v>0</v>
      </c>
      <c r="AD9" s="807"/>
      <c r="AE9" s="536">
        <f>M9</f>
        <v>0</v>
      </c>
      <c r="AF9" s="536"/>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3"/>
      <c r="E10" s="483"/>
      <c r="F10" s="483"/>
      <c r="G10" s="483"/>
      <c r="H10" s="483"/>
      <c r="I10" s="535" t="s">
        <v>65</v>
      </c>
      <c r="J10" s="535"/>
      <c r="K10" s="536" t="str">
        <f>CONCATENATE(L9," ",M9,"-",B68,"-",E12,,"-",H12)</f>
        <v xml:space="preserve"> ---</v>
      </c>
      <c r="L10" s="536"/>
      <c r="M10" s="537"/>
      <c r="N10" s="80"/>
      <c r="O10" s="538" t="str">
        <f>B10</f>
        <v>MUESTRA TOMADA POR:</v>
      </c>
      <c r="P10" s="538"/>
      <c r="Q10" s="539">
        <f>D10</f>
        <v>0</v>
      </c>
      <c r="R10" s="539"/>
      <c r="S10" s="539"/>
      <c r="T10" s="539"/>
      <c r="U10" s="539"/>
      <c r="V10" s="539"/>
      <c r="W10" s="540" t="str">
        <f>I10</f>
        <v>INFORME ID No:</v>
      </c>
      <c r="X10" s="540"/>
      <c r="Y10" s="540"/>
      <c r="Z10" s="540"/>
      <c r="AA10" s="540"/>
      <c r="AB10" s="539" t="str">
        <f>CONCATENATE(L9," ",M9,"-",O68,"-",E12,,"-",H12)</f>
        <v xml:space="preserve"> ---</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T11" s="23"/>
      <c r="AU11" s="24"/>
      <c r="AV11" s="24"/>
      <c r="AW11" s="24"/>
      <c r="AX11" s="24"/>
      <c r="AY11" s="24"/>
      <c r="AZ11" s="24"/>
      <c r="BA11" s="24"/>
      <c r="BB11" s="24"/>
      <c r="BC11" s="24"/>
      <c r="BD11" s="24"/>
      <c r="BE11" s="24"/>
    </row>
    <row r="12" spans="1:57" s="22" customFormat="1" ht="22.5" customHeight="1" x14ac:dyDescent="0.25">
      <c r="A12" s="95"/>
      <c r="B12" s="769" t="s">
        <v>3</v>
      </c>
      <c r="C12" s="769"/>
      <c r="D12" s="481"/>
      <c r="E12" s="481"/>
      <c r="F12" s="261"/>
      <c r="G12" s="31" t="s">
        <v>4</v>
      </c>
      <c r="H12" s="258"/>
      <c r="I12" s="808" t="s">
        <v>5</v>
      </c>
      <c r="J12" s="808"/>
      <c r="K12" s="262"/>
      <c r="L12" s="32" t="s">
        <v>6</v>
      </c>
      <c r="M12" s="263"/>
      <c r="N12" s="78"/>
      <c r="O12" s="501" t="s">
        <v>3</v>
      </c>
      <c r="P12" s="501"/>
      <c r="Q12" s="809">
        <f>D12</f>
        <v>0</v>
      </c>
      <c r="R12" s="224">
        <f>F12</f>
        <v>0</v>
      </c>
      <c r="S12" s="224"/>
      <c r="T12" s="502" t="s">
        <v>4</v>
      </c>
      <c r="U12" s="502"/>
      <c r="V12" s="33">
        <f>H12</f>
        <v>0</v>
      </c>
      <c r="W12" s="547" t="s">
        <v>5</v>
      </c>
      <c r="X12" s="547"/>
      <c r="Y12" s="547"/>
      <c r="Z12" s="547"/>
      <c r="AA12" s="547"/>
      <c r="AB12" s="547"/>
      <c r="AC12" s="34">
        <f>K12</f>
        <v>0</v>
      </c>
      <c r="AD12" s="548" t="s">
        <v>6</v>
      </c>
      <c r="AE12" s="548"/>
      <c r="AF12" s="35">
        <f>M12</f>
        <v>0</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c r="E13" s="479"/>
      <c r="F13" s="479"/>
      <c r="G13" s="479"/>
      <c r="H13" s="479"/>
      <c r="I13" s="479"/>
      <c r="J13" s="479"/>
      <c r="K13" s="479"/>
      <c r="L13" s="479"/>
      <c r="M13" s="480"/>
      <c r="N13" s="188"/>
      <c r="O13" s="526" t="s">
        <v>130</v>
      </c>
      <c r="P13" s="526"/>
      <c r="Q13" s="527">
        <f>D13</f>
        <v>0</v>
      </c>
      <c r="R13" s="527"/>
      <c r="S13" s="527"/>
      <c r="T13" s="527"/>
      <c r="U13" s="527"/>
      <c r="V13" s="527"/>
      <c r="W13" s="527"/>
      <c r="X13" s="527"/>
      <c r="Y13" s="527"/>
      <c r="Z13" s="527"/>
      <c r="AA13" s="527"/>
      <c r="AB13" s="527"/>
      <c r="AC13" s="527"/>
      <c r="AD13" s="527"/>
      <c r="AE13" s="527"/>
      <c r="AF13" s="527"/>
      <c r="AG13" s="527"/>
      <c r="AH13" s="553"/>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49" t="s">
        <v>93</v>
      </c>
      <c r="C16" s="549"/>
      <c r="D16" s="213"/>
      <c r="E16" s="549" t="s">
        <v>94</v>
      </c>
      <c r="F16" s="549"/>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49" t="s">
        <v>164</v>
      </c>
      <c r="C17" s="549"/>
      <c r="D17" s="213"/>
      <c r="E17" s="213" t="s">
        <v>76</v>
      </c>
      <c r="F17" s="213"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266"/>
      <c r="N19" s="103"/>
      <c r="O19" s="568" t="s">
        <v>26</v>
      </c>
      <c r="P19" s="767"/>
      <c r="Q19" s="242">
        <v>10</v>
      </c>
      <c r="R19" s="243">
        <v>25</v>
      </c>
      <c r="S19" s="244">
        <v>56</v>
      </c>
      <c r="T19" s="174"/>
      <c r="U19" s="570" t="s">
        <v>14</v>
      </c>
      <c r="V19" s="571"/>
      <c r="W19" s="574" t="str">
        <f>_xlfn.CONCAT(Q19," "," ",AK1)</f>
        <v xml:space="preserve">10  GOLPES </v>
      </c>
      <c r="X19" s="558"/>
      <c r="Y19" s="558"/>
      <c r="Z19" s="575"/>
      <c r="AA19" s="557" t="str">
        <f>_xlfn.CONCAT(R19," "," ",AK1)</f>
        <v xml:space="preserve">25  GOLPES </v>
      </c>
      <c r="AB19" s="558"/>
      <c r="AC19" s="558"/>
      <c r="AD19" s="558"/>
      <c r="AE19" s="557" t="str">
        <f>_xlfn.CONCAT(S19," "," ",AK1)</f>
        <v xml:space="preserve">56  GOLPES </v>
      </c>
      <c r="AF19" s="558"/>
      <c r="AG19" s="559"/>
      <c r="AH19" s="192"/>
      <c r="AJ19" s="265">
        <v>1.53</v>
      </c>
      <c r="AK19" s="265">
        <v>1.0900000000000001</v>
      </c>
    </row>
    <row r="20" spans="1:45" ht="24.95" customHeight="1" thickBot="1" x14ac:dyDescent="0.3">
      <c r="A20" s="103"/>
      <c r="B20" s="560" t="s">
        <v>7</v>
      </c>
      <c r="C20" s="561"/>
      <c r="D20" s="561"/>
      <c r="E20" s="267"/>
      <c r="F20" s="267"/>
      <c r="G20" s="267"/>
      <c r="H20" s="268"/>
      <c r="I20" s="174"/>
      <c r="J20" s="562" t="s">
        <v>96</v>
      </c>
      <c r="K20" s="562"/>
      <c r="L20" s="562"/>
      <c r="M20" s="39" t="b">
        <f>IF(M19=" ","-",IF(M19=" ","-",IF(M19=AX4,AW4,IF(M19=AX3,AW3))))</f>
        <v>0</v>
      </c>
      <c r="N20" s="103"/>
      <c r="O20" s="560" t="s">
        <v>24</v>
      </c>
      <c r="P20" s="561"/>
      <c r="Q20" s="269"/>
      <c r="R20" s="269"/>
      <c r="S20" s="270"/>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271"/>
      <c r="F21" s="271"/>
      <c r="G21" s="271"/>
      <c r="H21" s="272"/>
      <c r="I21" s="174"/>
      <c r="J21" s="562" t="s">
        <v>47</v>
      </c>
      <c r="K21" s="562"/>
      <c r="L21" s="562"/>
      <c r="M21" s="266"/>
      <c r="N21" s="103"/>
      <c r="O21" s="579" t="s">
        <v>131</v>
      </c>
      <c r="P21" s="580"/>
      <c r="Q21" s="271"/>
      <c r="R21" s="271"/>
      <c r="S21" s="272"/>
      <c r="T21" s="174"/>
      <c r="U21" s="109" t="s">
        <v>18</v>
      </c>
      <c r="V21" s="110" t="s">
        <v>19</v>
      </c>
      <c r="W21" s="477" t="s">
        <v>20</v>
      </c>
      <c r="X21" s="478"/>
      <c r="Y21" s="477" t="s">
        <v>21</v>
      </c>
      <c r="Z21" s="478"/>
      <c r="AA21" s="477" t="s">
        <v>20</v>
      </c>
      <c r="AB21" s="478"/>
      <c r="AC21" s="477" t="s">
        <v>21</v>
      </c>
      <c r="AD21" s="478"/>
      <c r="AE21" s="477" t="s">
        <v>20</v>
      </c>
      <c r="AF21" s="478"/>
      <c r="AG21" s="111" t="s">
        <v>21</v>
      </c>
      <c r="AH21" s="104"/>
      <c r="AS21" s="265" t="s">
        <v>189</v>
      </c>
    </row>
    <row r="22" spans="1:45" ht="24.95" customHeight="1" thickBot="1" x14ac:dyDescent="0.3">
      <c r="A22" s="103"/>
      <c r="B22" s="576" t="s">
        <v>67</v>
      </c>
      <c r="C22" s="577"/>
      <c r="D22" s="577"/>
      <c r="E22" s="273"/>
      <c r="F22" s="273"/>
      <c r="G22" s="273"/>
      <c r="H22" s="274"/>
      <c r="I22" s="174"/>
      <c r="J22" s="578"/>
      <c r="K22" s="578"/>
      <c r="L22" s="578"/>
      <c r="M22" s="104"/>
      <c r="N22" s="103"/>
      <c r="O22" s="579" t="s">
        <v>132</v>
      </c>
      <c r="P22" s="580"/>
      <c r="Q22" s="273"/>
      <c r="R22" s="273"/>
      <c r="S22" s="274"/>
      <c r="T22" s="174"/>
      <c r="U22" s="112">
        <v>5.0000000000000001E-3</v>
      </c>
      <c r="V22" s="113">
        <f>U22*25.4</f>
        <v>0.127</v>
      </c>
      <c r="W22" s="451"/>
      <c r="X22" s="452"/>
      <c r="Y22" s="449">
        <f>((W22/19.32)*10)</f>
        <v>0</v>
      </c>
      <c r="Z22" s="450"/>
      <c r="AA22" s="451"/>
      <c r="AB22" s="452"/>
      <c r="AC22" s="449">
        <f>((AA22/19.32)*10)</f>
        <v>0</v>
      </c>
      <c r="AD22" s="450"/>
      <c r="AE22" s="451"/>
      <c r="AF22" s="452"/>
      <c r="AG22" s="114">
        <f>((AE22/19.32)*10)</f>
        <v>0</v>
      </c>
      <c r="AH22" s="104"/>
      <c r="AI22" s="265">
        <v>0.221</v>
      </c>
      <c r="AJ22" s="265">
        <v>0.188</v>
      </c>
      <c r="AK22" s="265">
        <v>7.0999999999999994E-2</v>
      </c>
      <c r="AL22" s="265">
        <v>7.0999999999999994E-2</v>
      </c>
      <c r="AO22" s="265">
        <v>0.06</v>
      </c>
      <c r="AS22" s="265">
        <f>AO22/1.23</f>
        <v>4.878048780487805E-2</v>
      </c>
    </row>
    <row r="23" spans="1:45" ht="24.95" customHeight="1" x14ac:dyDescent="0.25">
      <c r="A23" s="103"/>
      <c r="B23" s="583" t="s">
        <v>68</v>
      </c>
      <c r="C23" s="584"/>
      <c r="D23" s="584"/>
      <c r="E23" s="271"/>
      <c r="F23" s="271"/>
      <c r="G23" s="271"/>
      <c r="H23" s="272"/>
      <c r="I23" s="174"/>
      <c r="J23" s="587" t="s">
        <v>165</v>
      </c>
      <c r="K23" s="588"/>
      <c r="L23" s="588"/>
      <c r="M23" s="589"/>
      <c r="N23" s="103"/>
      <c r="O23" s="579" t="s">
        <v>27</v>
      </c>
      <c r="P23" s="580"/>
      <c r="Q23" s="271"/>
      <c r="R23" s="271"/>
      <c r="S23" s="272"/>
      <c r="T23" s="174"/>
      <c r="U23" s="112">
        <v>2.5000000000000001E-2</v>
      </c>
      <c r="V23" s="113">
        <f>U23*25.4</f>
        <v>0.63500000000000001</v>
      </c>
      <c r="W23" s="451"/>
      <c r="X23" s="452"/>
      <c r="Y23" s="449">
        <f>((W23/19.32)*10)</f>
        <v>0</v>
      </c>
      <c r="Z23" s="450"/>
      <c r="AA23" s="451"/>
      <c r="AB23" s="452"/>
      <c r="AC23" s="449">
        <f>((AA23/19.32)*10)</f>
        <v>0</v>
      </c>
      <c r="AD23" s="450"/>
      <c r="AE23" s="451"/>
      <c r="AF23" s="452"/>
      <c r="AG23" s="114">
        <f>((AE23/19.32)*10)</f>
        <v>0</v>
      </c>
      <c r="AH23" s="104"/>
      <c r="AI23" s="265">
        <v>0.34300000000000003</v>
      </c>
      <c r="AJ23" s="265">
        <v>0.26800000000000002</v>
      </c>
      <c r="AK23" s="265">
        <v>0.16800000000000001</v>
      </c>
      <c r="AL23" s="265">
        <v>0.16800000000000001</v>
      </c>
      <c r="AO23" s="265">
        <v>0.247</v>
      </c>
      <c r="AS23" s="265">
        <f t="shared" ref="AS23:AS37" si="0">AO23/1.23</f>
        <v>0.20081300813008129</v>
      </c>
    </row>
    <row r="24" spans="1:45" ht="24.95" customHeight="1" thickBot="1" x14ac:dyDescent="0.3">
      <c r="A24" s="103"/>
      <c r="B24" s="583" t="s">
        <v>70</v>
      </c>
      <c r="C24" s="584"/>
      <c r="D24" s="584"/>
      <c r="E24" s="271"/>
      <c r="F24" s="271"/>
      <c r="G24" s="271"/>
      <c r="H24" s="272"/>
      <c r="I24" s="174"/>
      <c r="J24" s="590"/>
      <c r="K24" s="591"/>
      <c r="L24" s="591"/>
      <c r="M24" s="592"/>
      <c r="N24" s="103"/>
      <c r="O24" s="585" t="s">
        <v>35</v>
      </c>
      <c r="P24" s="586"/>
      <c r="Q24" s="276"/>
      <c r="R24" s="276"/>
      <c r="S24" s="277"/>
      <c r="T24" s="174"/>
      <c r="U24" s="112">
        <v>0.05</v>
      </c>
      <c r="V24" s="113">
        <f>U24*25.4</f>
        <v>1.27</v>
      </c>
      <c r="W24" s="451"/>
      <c r="X24" s="452"/>
      <c r="Y24" s="449">
        <f>((W24/19.32)*10)</f>
        <v>0</v>
      </c>
      <c r="Z24" s="450"/>
      <c r="AA24" s="451"/>
      <c r="AB24" s="452"/>
      <c r="AC24" s="449">
        <f>((AA24/19.32)*10)</f>
        <v>0</v>
      </c>
      <c r="AD24" s="450"/>
      <c r="AE24" s="451"/>
      <c r="AF24" s="452"/>
      <c r="AG24" s="114">
        <f>((AE24/19.32)*10)</f>
        <v>0</v>
      </c>
      <c r="AH24" s="104"/>
      <c r="AI24" s="265">
        <v>0.45800000000000002</v>
      </c>
      <c r="AJ24" s="265">
        <v>0.35499999999999998</v>
      </c>
      <c r="AK24" s="265">
        <v>0.24299999999999999</v>
      </c>
      <c r="AL24" s="265">
        <v>0.24299999999999999</v>
      </c>
      <c r="AO24" s="265">
        <v>0.68400000000000005</v>
      </c>
      <c r="AS24" s="265">
        <f t="shared" si="0"/>
        <v>0.55609756097560981</v>
      </c>
    </row>
    <row r="25" spans="1:45" ht="24.95" customHeight="1" thickBot="1" x14ac:dyDescent="0.3">
      <c r="A25" s="103"/>
      <c r="B25" s="602" t="s">
        <v>69</v>
      </c>
      <c r="C25" s="603"/>
      <c r="D25" s="603"/>
      <c r="E25" s="220">
        <f>E22-E23</f>
        <v>0</v>
      </c>
      <c r="F25" s="220">
        <f>F22-F23</f>
        <v>0</v>
      </c>
      <c r="G25" s="220">
        <f>G22-G23</f>
        <v>0</v>
      </c>
      <c r="H25" s="221">
        <f>H22-H23</f>
        <v>0</v>
      </c>
      <c r="I25" s="174"/>
      <c r="J25" s="174" t="s">
        <v>127</v>
      </c>
      <c r="K25" s="174"/>
      <c r="L25" s="278"/>
      <c r="M25" s="279"/>
      <c r="N25" s="103"/>
      <c r="O25" s="604" t="s">
        <v>46</v>
      </c>
      <c r="P25" s="605"/>
      <c r="Q25" s="411"/>
      <c r="R25" s="411"/>
      <c r="S25" s="403"/>
      <c r="T25" s="174"/>
      <c r="U25" s="112">
        <v>7.4999999999999997E-2</v>
      </c>
      <c r="V25" s="113">
        <f>U25*25.4</f>
        <v>1.9049999999999998</v>
      </c>
      <c r="W25" s="451"/>
      <c r="X25" s="452"/>
      <c r="Y25" s="449">
        <f>((W25/19.32)*10)</f>
        <v>0</v>
      </c>
      <c r="Z25" s="450"/>
      <c r="AA25" s="451"/>
      <c r="AB25" s="452"/>
      <c r="AC25" s="449">
        <f>((AA25/19.32)*10)</f>
        <v>0</v>
      </c>
      <c r="AD25" s="450"/>
      <c r="AE25" s="451"/>
      <c r="AF25" s="452"/>
      <c r="AG25" s="114">
        <f>((AE25/19.32)*10)</f>
        <v>0</v>
      </c>
      <c r="AH25" s="104"/>
      <c r="AI25" s="265">
        <v>0.54600000000000004</v>
      </c>
      <c r="AJ25" s="265">
        <v>0.42299999999999999</v>
      </c>
      <c r="AK25" s="265">
        <v>0.29599999999999999</v>
      </c>
      <c r="AL25" s="265">
        <v>0.29599999999999999</v>
      </c>
      <c r="AO25" s="265">
        <v>1.3149999999999999</v>
      </c>
      <c r="AS25" s="265">
        <f t="shared" si="0"/>
        <v>1.0691056910569106</v>
      </c>
    </row>
    <row r="26" spans="1:45" ht="5.0999999999999996" customHeight="1" thickBot="1" x14ac:dyDescent="0.3">
      <c r="A26" s="103"/>
      <c r="B26" s="174"/>
      <c r="C26" s="174"/>
      <c r="D26" s="174"/>
      <c r="E26" s="174"/>
      <c r="F26" s="174"/>
      <c r="G26" s="174"/>
      <c r="H26" s="174"/>
      <c r="I26" s="174"/>
      <c r="J26" s="597" t="s">
        <v>106</v>
      </c>
      <c r="K26" s="597"/>
      <c r="L26" s="598" t="s">
        <v>120</v>
      </c>
      <c r="M26" s="471"/>
      <c r="N26" s="103"/>
      <c r="O26" s="606"/>
      <c r="P26" s="607"/>
      <c r="Q26" s="412"/>
      <c r="R26" s="412"/>
      <c r="S26" s="404"/>
      <c r="T26" s="174"/>
      <c r="U26" s="600">
        <v>0.1</v>
      </c>
      <c r="V26" s="601">
        <f>U26*25.4</f>
        <v>2.54</v>
      </c>
      <c r="W26" s="473"/>
      <c r="X26" s="474"/>
      <c r="Y26" s="461">
        <f>((W26/19.32)*10)</f>
        <v>0</v>
      </c>
      <c r="Z26" s="462"/>
      <c r="AA26" s="465"/>
      <c r="AB26" s="466"/>
      <c r="AC26" s="461">
        <f>((AA26/19.32)*10)</f>
        <v>0</v>
      </c>
      <c r="AD26" s="462"/>
      <c r="AE26" s="465"/>
      <c r="AF26" s="466"/>
      <c r="AG26" s="469">
        <f>((AE26/19.32)*10)</f>
        <v>0</v>
      </c>
      <c r="AH26" s="104"/>
      <c r="AI26" s="265">
        <v>0.63200000000000001</v>
      </c>
      <c r="AJ26" s="265">
        <v>0.49099999999999999</v>
      </c>
      <c r="AK26" s="265">
        <v>0.33700000000000002</v>
      </c>
      <c r="AL26" s="265">
        <v>0.33700000000000002</v>
      </c>
      <c r="AO26" s="265">
        <v>1.875</v>
      </c>
      <c r="AS26" s="265">
        <f t="shared" si="0"/>
        <v>1.524390243902439</v>
      </c>
    </row>
    <row r="27" spans="1:45" ht="20.100000000000001" customHeight="1" thickBot="1" x14ac:dyDescent="0.3">
      <c r="A27" s="103"/>
      <c r="B27" s="565" t="s">
        <v>25</v>
      </c>
      <c r="C27" s="566"/>
      <c r="D27" s="566"/>
      <c r="E27" s="566"/>
      <c r="F27" s="566"/>
      <c r="G27" s="566"/>
      <c r="H27" s="567"/>
      <c r="I27" s="174"/>
      <c r="J27" s="597"/>
      <c r="K27" s="597"/>
      <c r="L27" s="598"/>
      <c r="M27" s="472"/>
      <c r="N27" s="103"/>
      <c r="O27" s="585" t="s">
        <v>133</v>
      </c>
      <c r="P27" s="586"/>
      <c r="Q27" s="353">
        <f>(PI()*((Q25^2)/4)*Q24)</f>
        <v>0</v>
      </c>
      <c r="R27" s="353">
        <f>(PI()*((R25^2)/4)*R24)</f>
        <v>0</v>
      </c>
      <c r="S27" s="354">
        <f>(PI()*((S25^2)/4)*S24)</f>
        <v>0</v>
      </c>
      <c r="T27" s="174"/>
      <c r="U27" s="600"/>
      <c r="V27" s="601"/>
      <c r="W27" s="475"/>
      <c r="X27" s="476"/>
      <c r="Y27" s="463"/>
      <c r="Z27" s="464"/>
      <c r="AA27" s="467"/>
      <c r="AB27" s="468"/>
      <c r="AC27" s="463"/>
      <c r="AD27" s="464"/>
      <c r="AE27" s="467"/>
      <c r="AF27" s="468"/>
      <c r="AG27" s="470"/>
      <c r="AH27" s="193"/>
      <c r="AI27" s="265">
        <v>0.73199999999999998</v>
      </c>
      <c r="AJ27" s="265">
        <v>0.57599999999999996</v>
      </c>
      <c r="AK27" s="265">
        <v>0.39400000000000002</v>
      </c>
      <c r="AL27" s="265">
        <v>0.39400000000000002</v>
      </c>
      <c r="AO27" s="265">
        <v>2.387</v>
      </c>
      <c r="AS27" s="265">
        <f t="shared" si="0"/>
        <v>1.9406504065040651</v>
      </c>
    </row>
    <row r="28" spans="1:45" ht="24.95" customHeight="1" thickBot="1" x14ac:dyDescent="0.3">
      <c r="A28" s="103"/>
      <c r="B28" s="560" t="s">
        <v>9</v>
      </c>
      <c r="C28" s="561"/>
      <c r="D28" s="561"/>
      <c r="E28" s="267"/>
      <c r="F28" s="267"/>
      <c r="G28" s="267"/>
      <c r="H28" s="268"/>
      <c r="I28" s="174"/>
      <c r="J28" s="597" t="s">
        <v>107</v>
      </c>
      <c r="K28" s="597"/>
      <c r="L28" s="562" t="s">
        <v>119</v>
      </c>
      <c r="M28" s="459" t="str">
        <f>IF(M26="","",(100-M26))</f>
        <v/>
      </c>
      <c r="N28" s="103"/>
      <c r="O28" s="625" t="s">
        <v>136</v>
      </c>
      <c r="P28" s="626"/>
      <c r="Q28" s="220">
        <f>Q22-Q23</f>
        <v>0</v>
      </c>
      <c r="R28" s="220">
        <f>R22-R23</f>
        <v>0</v>
      </c>
      <c r="S28" s="220">
        <f>S22-S23</f>
        <v>0</v>
      </c>
      <c r="T28" s="174"/>
      <c r="U28" s="627">
        <v>0.125</v>
      </c>
      <c r="V28" s="624">
        <f>U28*25.4</f>
        <v>3.1749999999999998</v>
      </c>
      <c r="W28" s="435"/>
      <c r="X28" s="436"/>
      <c r="Y28" s="439">
        <f>((W28/19.32)*10)</f>
        <v>0</v>
      </c>
      <c r="Z28" s="440"/>
      <c r="AA28" s="435"/>
      <c r="AB28" s="436"/>
      <c r="AC28" s="439">
        <f>((AA28/19.32)*10)</f>
        <v>0</v>
      </c>
      <c r="AD28" s="440"/>
      <c r="AE28" s="435"/>
      <c r="AF28" s="436"/>
      <c r="AG28" s="443">
        <f>((AE28/19.32)*10)</f>
        <v>0</v>
      </c>
      <c r="AH28" s="104"/>
      <c r="AI28" s="265">
        <v>0.83099999999999996</v>
      </c>
      <c r="AJ28" s="265">
        <v>0.65200000000000002</v>
      </c>
      <c r="AK28" s="265">
        <v>0.45200000000000001</v>
      </c>
      <c r="AL28" s="265">
        <v>0.45200000000000001</v>
      </c>
      <c r="AO28" s="265">
        <v>2.8959999999999999</v>
      </c>
      <c r="AS28" s="265">
        <f t="shared" si="0"/>
        <v>2.3544715447154472</v>
      </c>
    </row>
    <row r="29" spans="1:45" ht="5.0999999999999996" customHeight="1" thickBot="1" x14ac:dyDescent="0.3">
      <c r="A29" s="103"/>
      <c r="B29" s="612" t="s">
        <v>73</v>
      </c>
      <c r="C29" s="613"/>
      <c r="D29" s="614"/>
      <c r="E29" s="409"/>
      <c r="F29" s="409"/>
      <c r="G29" s="409"/>
      <c r="H29" s="455"/>
      <c r="I29" s="174"/>
      <c r="J29" s="597"/>
      <c r="K29" s="597"/>
      <c r="L29" s="562"/>
      <c r="M29" s="460"/>
      <c r="N29" s="103"/>
      <c r="O29" s="179"/>
      <c r="P29" s="179"/>
      <c r="Q29" s="174"/>
      <c r="R29" s="174"/>
      <c r="S29" s="174"/>
      <c r="T29" s="174"/>
      <c r="U29" s="627"/>
      <c r="V29" s="624"/>
      <c r="W29" s="437"/>
      <c r="X29" s="438"/>
      <c r="Y29" s="441"/>
      <c r="Z29" s="442"/>
      <c r="AA29" s="437"/>
      <c r="AB29" s="438"/>
      <c r="AC29" s="441"/>
      <c r="AD29" s="442"/>
      <c r="AE29" s="437"/>
      <c r="AF29" s="438"/>
      <c r="AG29" s="444"/>
      <c r="AH29" s="193"/>
      <c r="AI29" s="265">
        <v>0.91200000000000003</v>
      </c>
      <c r="AJ29" s="265">
        <v>0.71299999999999997</v>
      </c>
      <c r="AK29" s="265">
        <v>0.502</v>
      </c>
      <c r="AL29" s="265">
        <v>0.502</v>
      </c>
      <c r="AO29" s="265">
        <v>3.3879999999999999</v>
      </c>
      <c r="AS29" s="265">
        <f t="shared" si="0"/>
        <v>2.7544715447154471</v>
      </c>
    </row>
    <row r="30" spans="1:45" ht="24.95" customHeight="1" thickBot="1" x14ac:dyDescent="0.3">
      <c r="A30" s="103"/>
      <c r="B30" s="615"/>
      <c r="C30" s="616"/>
      <c r="D30" s="617"/>
      <c r="E30" s="410"/>
      <c r="F30" s="410"/>
      <c r="G30" s="410"/>
      <c r="H30" s="456"/>
      <c r="I30" s="174"/>
      <c r="J30" s="174" t="s">
        <v>108</v>
      </c>
      <c r="K30" s="174"/>
      <c r="L30" s="180" t="s">
        <v>137</v>
      </c>
      <c r="M30" s="119" t="str">
        <f>IF(M25="","",(M37*1000*9.81/1000))</f>
        <v/>
      </c>
      <c r="N30" s="103"/>
      <c r="O30" s="622" t="s">
        <v>134</v>
      </c>
      <c r="P30" s="623"/>
      <c r="Q30" s="229" t="e">
        <f>Q28/Q27</f>
        <v>#DIV/0!</v>
      </c>
      <c r="R30" s="229" t="e">
        <f>R28/R27</f>
        <v>#DIV/0!</v>
      </c>
      <c r="S30" s="131" t="e">
        <f>S28/S27</f>
        <v>#DIV/0!</v>
      </c>
      <c r="T30" s="174"/>
      <c r="U30" s="120">
        <v>0.15</v>
      </c>
      <c r="V30" s="113">
        <f>U30*25.4</f>
        <v>3.8099999999999996</v>
      </c>
      <c r="W30" s="451"/>
      <c r="X30" s="452"/>
      <c r="Y30" s="449">
        <f>((W30/19.32)*10)</f>
        <v>0</v>
      </c>
      <c r="Z30" s="450"/>
      <c r="AA30" s="451"/>
      <c r="AB30" s="452"/>
      <c r="AC30" s="449">
        <f>((AA30/19.32)*10)</f>
        <v>0</v>
      </c>
      <c r="AD30" s="450"/>
      <c r="AE30" s="451"/>
      <c r="AF30" s="452"/>
      <c r="AG30" s="114">
        <f>((AE30/19.32)*10)</f>
        <v>0</v>
      </c>
      <c r="AH30" s="104"/>
      <c r="AI30" s="265">
        <v>0.97399999999999998</v>
      </c>
      <c r="AJ30" s="265">
        <v>0.76200000000000001</v>
      </c>
      <c r="AK30" s="265">
        <v>0.54400000000000004</v>
      </c>
      <c r="AL30" s="265">
        <v>0.54400000000000004</v>
      </c>
      <c r="AO30" s="265">
        <v>3.8439999999999999</v>
      </c>
      <c r="AS30" s="265">
        <f t="shared" si="0"/>
        <v>3.1252032520325201</v>
      </c>
    </row>
    <row r="31" spans="1:45" ht="24.95" customHeight="1" thickBot="1" x14ac:dyDescent="0.3">
      <c r="A31" s="103"/>
      <c r="B31" s="576" t="s">
        <v>74</v>
      </c>
      <c r="C31" s="577"/>
      <c r="D31" s="577"/>
      <c r="E31" s="276"/>
      <c r="F31" s="276"/>
      <c r="G31" s="276"/>
      <c r="H31" s="277"/>
      <c r="I31" s="174"/>
      <c r="J31" s="597" t="s">
        <v>138</v>
      </c>
      <c r="K31" s="597"/>
      <c r="L31" s="562" t="s">
        <v>116</v>
      </c>
      <c r="M31" s="457" t="str">
        <f>IF(M25="","",S82)</f>
        <v/>
      </c>
      <c r="N31" s="121"/>
      <c r="O31" s="628" t="s">
        <v>135</v>
      </c>
      <c r="P31" s="629"/>
      <c r="Q31" s="122" t="e">
        <f>Q30/(1+Q40/100)</f>
        <v>#DIV/0!</v>
      </c>
      <c r="R31" s="122" t="e">
        <f>R30/(1+R40/100)</f>
        <v>#DIV/0!</v>
      </c>
      <c r="S31" s="123" t="e">
        <f>S30/(1+S40/100)</f>
        <v>#DIV/0!</v>
      </c>
      <c r="T31" s="174"/>
      <c r="U31" s="627">
        <v>0.17499999999999999</v>
      </c>
      <c r="V31" s="624">
        <f>U31*25.4</f>
        <v>4.4449999999999994</v>
      </c>
      <c r="W31" s="435"/>
      <c r="X31" s="436"/>
      <c r="Y31" s="439">
        <f>((W31/19.32)*10)</f>
        <v>0</v>
      </c>
      <c r="Z31" s="440"/>
      <c r="AA31" s="435"/>
      <c r="AB31" s="436"/>
      <c r="AC31" s="439">
        <f>((AA31/19.32)*10)</f>
        <v>0</v>
      </c>
      <c r="AD31" s="440"/>
      <c r="AE31" s="435"/>
      <c r="AF31" s="436"/>
      <c r="AG31" s="443">
        <f>((AE31/19.32)*10)</f>
        <v>0</v>
      </c>
      <c r="AH31" s="104"/>
      <c r="AI31" s="265">
        <v>1.2190000000000001</v>
      </c>
      <c r="AJ31" s="265">
        <v>1</v>
      </c>
      <c r="AK31" s="265">
        <v>0.72599999999999998</v>
      </c>
      <c r="AL31" s="265">
        <v>0.72599999999999998</v>
      </c>
      <c r="AO31" s="265">
        <v>5.516</v>
      </c>
      <c r="AS31" s="265">
        <f t="shared" si="0"/>
        <v>4.4845528455284551</v>
      </c>
    </row>
    <row r="32" spans="1:45" ht="5.0999999999999996" customHeight="1" thickBot="1" x14ac:dyDescent="0.3">
      <c r="A32" s="103"/>
      <c r="B32" s="612" t="s">
        <v>75</v>
      </c>
      <c r="C32" s="613"/>
      <c r="D32" s="614"/>
      <c r="E32" s="409"/>
      <c r="F32" s="409"/>
      <c r="G32" s="409"/>
      <c r="H32" s="455"/>
      <c r="I32" s="174"/>
      <c r="J32" s="597"/>
      <c r="K32" s="597"/>
      <c r="L32" s="562"/>
      <c r="M32" s="458"/>
      <c r="N32" s="121"/>
      <c r="O32" s="176"/>
      <c r="P32" s="176"/>
      <c r="Q32" s="214"/>
      <c r="R32" s="214"/>
      <c r="S32" s="214"/>
      <c r="T32" s="174"/>
      <c r="U32" s="627"/>
      <c r="V32" s="624"/>
      <c r="W32" s="437"/>
      <c r="X32" s="438"/>
      <c r="Y32" s="441"/>
      <c r="Z32" s="442"/>
      <c r="AA32" s="437"/>
      <c r="AB32" s="438"/>
      <c r="AC32" s="441"/>
      <c r="AD32" s="442"/>
      <c r="AE32" s="437"/>
      <c r="AF32" s="438"/>
      <c r="AG32" s="444"/>
      <c r="AH32" s="193"/>
      <c r="AI32" s="265">
        <v>1.4390000000000001</v>
      </c>
      <c r="AJ32" s="265">
        <v>1.242</v>
      </c>
      <c r="AK32" s="265">
        <v>0.91500000000000004</v>
      </c>
      <c r="AL32" s="265">
        <v>0.91500000000000004</v>
      </c>
      <c r="AO32" s="265">
        <v>6.7220000000000004</v>
      </c>
      <c r="AS32" s="265">
        <f t="shared" si="0"/>
        <v>5.4650406504065048</v>
      </c>
    </row>
    <row r="33" spans="1:45" ht="24.95" customHeight="1" thickBot="1" x14ac:dyDescent="0.3">
      <c r="A33" s="103"/>
      <c r="B33" s="615"/>
      <c r="C33" s="616"/>
      <c r="D33" s="617"/>
      <c r="E33" s="410"/>
      <c r="F33" s="410"/>
      <c r="G33" s="410"/>
      <c r="H33" s="456"/>
      <c r="I33" s="174"/>
      <c r="J33" s="633" t="s">
        <v>109</v>
      </c>
      <c r="K33" s="633"/>
      <c r="L33" s="180" t="s">
        <v>117</v>
      </c>
      <c r="M33" s="118" t="str">
        <f>IF(M25="","",O73)</f>
        <v/>
      </c>
      <c r="N33" s="101"/>
      <c r="O33" s="634" t="s">
        <v>25</v>
      </c>
      <c r="P33" s="635"/>
      <c r="Q33" s="635"/>
      <c r="R33" s="635"/>
      <c r="S33" s="636"/>
      <c r="T33" s="174"/>
      <c r="U33" s="117">
        <v>0.2</v>
      </c>
      <c r="V33" s="124">
        <f>U33*25.4</f>
        <v>5.08</v>
      </c>
      <c r="W33" s="445"/>
      <c r="X33" s="446"/>
      <c r="Y33" s="453">
        <f>((W33/19.32)*10)</f>
        <v>0</v>
      </c>
      <c r="Z33" s="454"/>
      <c r="AA33" s="445"/>
      <c r="AB33" s="446"/>
      <c r="AC33" s="453">
        <f>((AA33/19.32)*10)</f>
        <v>0</v>
      </c>
      <c r="AD33" s="454"/>
      <c r="AE33" s="445"/>
      <c r="AF33" s="446"/>
      <c r="AG33" s="144">
        <f>((AE33/19.32)*10)</f>
        <v>0</v>
      </c>
      <c r="AH33" s="104"/>
      <c r="AI33" s="265">
        <v>1.6639999999999999</v>
      </c>
      <c r="AJ33" s="265">
        <v>1.4750000000000001</v>
      </c>
      <c r="AK33" s="265">
        <v>1.097</v>
      </c>
      <c r="AL33" s="265">
        <v>1.097</v>
      </c>
      <c r="AO33" s="265">
        <v>7.7720000000000002</v>
      </c>
      <c r="AS33" s="265">
        <f t="shared" si="0"/>
        <v>6.3186991869918705</v>
      </c>
    </row>
    <row r="34" spans="1:45" ht="24.95" customHeight="1" thickBot="1" x14ac:dyDescent="0.3">
      <c r="A34" s="103"/>
      <c r="B34" s="602" t="s">
        <v>10</v>
      </c>
      <c r="C34" s="603"/>
      <c r="D34" s="603"/>
      <c r="E34" s="125" t="e">
        <f>((E29-E31)/(E31-E32))*100</f>
        <v>#DIV/0!</v>
      </c>
      <c r="F34" s="125" t="e">
        <f>((F29-F31)/(F31-F32))*100</f>
        <v>#DIV/0!</v>
      </c>
      <c r="G34" s="125" t="e">
        <f>((G29-G31)/(G31-G32))*100</f>
        <v>#DIV/0!</v>
      </c>
      <c r="H34" s="126" t="e">
        <f>((H29-H31)/(H31-H32))*100</f>
        <v>#DIV/0!</v>
      </c>
      <c r="I34" s="174"/>
      <c r="J34" s="630" t="s">
        <v>125</v>
      </c>
      <c r="K34" s="630"/>
      <c r="L34" s="184" t="s">
        <v>126</v>
      </c>
      <c r="M34" s="127"/>
      <c r="N34" s="128"/>
      <c r="O34" s="631" t="s">
        <v>9</v>
      </c>
      <c r="P34" s="632"/>
      <c r="Q34" s="269"/>
      <c r="R34" s="269"/>
      <c r="S34" s="270"/>
      <c r="T34" s="174"/>
      <c r="U34" s="120">
        <v>0.3</v>
      </c>
      <c r="V34" s="113">
        <f>U34*25.4</f>
        <v>7.6199999999999992</v>
      </c>
      <c r="W34" s="447"/>
      <c r="X34" s="448"/>
      <c r="Y34" s="449">
        <f>((W34/19.32)*10)</f>
        <v>0</v>
      </c>
      <c r="Z34" s="450"/>
      <c r="AA34" s="447"/>
      <c r="AB34" s="448"/>
      <c r="AC34" s="449">
        <f>((AA34/19.32)*10)</f>
        <v>0</v>
      </c>
      <c r="AD34" s="450"/>
      <c r="AE34" s="451"/>
      <c r="AF34" s="452"/>
      <c r="AG34" s="114">
        <f>((AE34/19.32)*10)</f>
        <v>0</v>
      </c>
      <c r="AH34" s="104"/>
      <c r="AS34" s="265">
        <f t="shared" si="0"/>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411"/>
      <c r="R35" s="411"/>
      <c r="S35" s="403"/>
      <c r="T35" s="174"/>
      <c r="U35" s="627">
        <v>0.4</v>
      </c>
      <c r="V35" s="624">
        <f>U35*25.4</f>
        <v>10.16</v>
      </c>
      <c r="W35" s="435"/>
      <c r="X35" s="436"/>
      <c r="Y35" s="439">
        <f>((W35/19.32)*10)</f>
        <v>0</v>
      </c>
      <c r="Z35" s="440"/>
      <c r="AA35" s="435"/>
      <c r="AB35" s="436"/>
      <c r="AC35" s="439">
        <f>(AA35/19.32)*10</f>
        <v>0</v>
      </c>
      <c r="AD35" s="440"/>
      <c r="AE35" s="435"/>
      <c r="AF35" s="436"/>
      <c r="AG35" s="443">
        <f>((AE35/19.32)*10)</f>
        <v>0</v>
      </c>
      <c r="AH35" s="104"/>
      <c r="AS35" s="265">
        <f t="shared" si="0"/>
        <v>0</v>
      </c>
    </row>
    <row r="36" spans="1:45" ht="20.100000000000001" customHeight="1" thickBot="1" x14ac:dyDescent="0.3">
      <c r="A36" s="103"/>
      <c r="B36" s="639" t="s">
        <v>71</v>
      </c>
      <c r="C36" s="640"/>
      <c r="D36" s="640"/>
      <c r="E36" s="130" t="e">
        <f>E25/E24</f>
        <v>#DIV/0!</v>
      </c>
      <c r="F36" s="130" t="e">
        <f>F25/F24</f>
        <v>#DIV/0!</v>
      </c>
      <c r="G36" s="130" t="e">
        <f>G25/G24</f>
        <v>#DIV/0!</v>
      </c>
      <c r="H36" s="131" t="e">
        <f>H25/H24</f>
        <v>#DIV/0!</v>
      </c>
      <c r="I36" s="174"/>
      <c r="J36" s="634" t="s">
        <v>102</v>
      </c>
      <c r="K36" s="635"/>
      <c r="L36" s="635"/>
      <c r="M36" s="636"/>
      <c r="N36" s="101"/>
      <c r="O36" s="615"/>
      <c r="P36" s="617"/>
      <c r="Q36" s="412"/>
      <c r="R36" s="412"/>
      <c r="S36" s="404"/>
      <c r="T36" s="174"/>
      <c r="U36" s="627"/>
      <c r="V36" s="624"/>
      <c r="W36" s="437"/>
      <c r="X36" s="438"/>
      <c r="Y36" s="441"/>
      <c r="Z36" s="442"/>
      <c r="AA36" s="437"/>
      <c r="AB36" s="438"/>
      <c r="AC36" s="441"/>
      <c r="AD36" s="442"/>
      <c r="AE36" s="437"/>
      <c r="AF36" s="438"/>
      <c r="AG36" s="444"/>
      <c r="AH36" s="104"/>
      <c r="AI36" s="265">
        <v>0.188</v>
      </c>
      <c r="AS36" s="265">
        <f t="shared" si="0"/>
        <v>0</v>
      </c>
    </row>
    <row r="37" spans="1:45" ht="24.95" customHeight="1" thickBot="1" x14ac:dyDescent="0.3">
      <c r="A37" s="103"/>
      <c r="B37" s="602" t="s">
        <v>72</v>
      </c>
      <c r="C37" s="603"/>
      <c r="D37" s="603"/>
      <c r="E37" s="122" t="e">
        <f>E36/(1+E34/100)</f>
        <v>#DIV/0!</v>
      </c>
      <c r="F37" s="230" t="e">
        <f>F36/(1+F34/100)</f>
        <v>#DIV/0!</v>
      </c>
      <c r="G37" s="230" t="e">
        <f>G36/(1+G34/100)</f>
        <v>#DIV/0!</v>
      </c>
      <c r="H37" s="123" t="e">
        <f>H36/(1+H34/100)</f>
        <v>#DIV/0!</v>
      </c>
      <c r="I37" s="174"/>
      <c r="J37" s="641" t="s">
        <v>139</v>
      </c>
      <c r="K37" s="641"/>
      <c r="L37" s="643" t="s">
        <v>121</v>
      </c>
      <c r="M37" s="433" t="str">
        <f>IF(F74="","",(M42^2*F74+M42*F75+F76))</f>
        <v/>
      </c>
      <c r="N37" s="101"/>
      <c r="O37" s="576" t="s">
        <v>28</v>
      </c>
      <c r="P37" s="577"/>
      <c r="Q37" s="271"/>
      <c r="R37" s="276"/>
      <c r="S37" s="277"/>
      <c r="T37" s="174"/>
      <c r="U37" s="132">
        <v>0.5</v>
      </c>
      <c r="V37" s="133">
        <f>U37*25.4</f>
        <v>12.7</v>
      </c>
      <c r="W37" s="429"/>
      <c r="X37" s="430"/>
      <c r="Y37" s="431">
        <f>((W37/19.32)*10)</f>
        <v>0</v>
      </c>
      <c r="Z37" s="432"/>
      <c r="AA37" s="429"/>
      <c r="AB37" s="430"/>
      <c r="AC37" s="431">
        <f>((AA37/19.32)*10)</f>
        <v>0</v>
      </c>
      <c r="AD37" s="432"/>
      <c r="AE37" s="429"/>
      <c r="AF37" s="430"/>
      <c r="AG37" s="134">
        <f>((AE37/19.32)*10)</f>
        <v>0</v>
      </c>
      <c r="AH37" s="104"/>
      <c r="AI37" s="265">
        <v>0.26800000000000002</v>
      </c>
      <c r="AS37" s="265">
        <f t="shared" si="0"/>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397"/>
      <c r="R38" s="397"/>
      <c r="S38" s="398"/>
      <c r="T38" s="174"/>
      <c r="U38" s="174"/>
      <c r="V38" s="174"/>
      <c r="W38" s="174"/>
      <c r="X38" s="174"/>
      <c r="Y38" s="174"/>
      <c r="Z38" s="174"/>
      <c r="AA38" s="174"/>
      <c r="AB38" s="174"/>
      <c r="AC38" s="174"/>
      <c r="AD38" s="174"/>
      <c r="AE38" s="174"/>
      <c r="AF38" s="174"/>
      <c r="AG38" s="174"/>
      <c r="AH38" s="104"/>
      <c r="AI38" s="265">
        <v>0.35499999999999998</v>
      </c>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397"/>
      <c r="R39" s="397"/>
      <c r="S39" s="398"/>
      <c r="T39" s="174"/>
      <c r="U39" s="649"/>
      <c r="V39" s="650"/>
      <c r="W39" s="634">
        <v>12</v>
      </c>
      <c r="X39" s="635"/>
      <c r="Y39" s="635"/>
      <c r="Z39" s="635"/>
      <c r="AA39" s="634">
        <v>26</v>
      </c>
      <c r="AB39" s="635"/>
      <c r="AC39" s="636"/>
      <c r="AD39" s="635">
        <f>S19</f>
        <v>56</v>
      </c>
      <c r="AE39" s="635"/>
      <c r="AF39" s="635"/>
      <c r="AG39" s="636"/>
      <c r="AH39" s="194"/>
      <c r="AI39" s="265">
        <v>0.42299999999999999</v>
      </c>
    </row>
    <row r="40" spans="1:45" ht="27" customHeight="1" thickBot="1" x14ac:dyDescent="0.3">
      <c r="A40" s="103"/>
      <c r="B40" s="174"/>
      <c r="C40" s="174"/>
      <c r="D40" s="174"/>
      <c r="E40" s="174"/>
      <c r="F40" s="174"/>
      <c r="G40" s="174"/>
      <c r="H40" s="174"/>
      <c r="I40" s="174"/>
      <c r="J40" s="597" t="s">
        <v>141</v>
      </c>
      <c r="K40" s="597"/>
      <c r="L40" s="178" t="s">
        <v>169</v>
      </c>
      <c r="M40" s="137" t="e">
        <f>M37*1000*9.81/1000</f>
        <v>#VALUE!</v>
      </c>
      <c r="N40" s="103"/>
      <c r="O40" s="628" t="s">
        <v>10</v>
      </c>
      <c r="P40" s="629"/>
      <c r="Q40" s="125" t="e">
        <f>((Q35-Q37)/(Q37-Q38))*100</f>
        <v>#DIV/0!</v>
      </c>
      <c r="R40" s="125" t="e">
        <f>((R35-R37)/(R37-R38))*100</f>
        <v>#DIV/0!</v>
      </c>
      <c r="S40" s="126" t="e">
        <f>((S35-S37)/(S37-S38))*100</f>
        <v>#DIV/0!</v>
      </c>
      <c r="T40" s="174"/>
      <c r="U40" s="645" t="s">
        <v>151</v>
      </c>
      <c r="V40" s="646"/>
      <c r="W40" s="423">
        <f>(AM79/6.9)*100</f>
        <v>0</v>
      </c>
      <c r="X40" s="423"/>
      <c r="Y40" s="423"/>
      <c r="Z40" s="424"/>
      <c r="AA40" s="425">
        <f>(AO79/6.9)*100</f>
        <v>0</v>
      </c>
      <c r="AB40" s="426"/>
      <c r="AC40" s="427"/>
      <c r="AD40" s="425">
        <f>(AQ79/6.9)*100</f>
        <v>0</v>
      </c>
      <c r="AE40" s="426"/>
      <c r="AF40" s="426"/>
      <c r="AG40" s="428"/>
      <c r="AH40" s="195"/>
      <c r="AI40" s="265">
        <v>0.49099999999999999</v>
      </c>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0</v>
      </c>
      <c r="X41" s="418"/>
      <c r="Y41" s="418"/>
      <c r="Z41" s="419"/>
      <c r="AA41" s="420">
        <f>(AO83/10.3)*100</f>
        <v>0</v>
      </c>
      <c r="AB41" s="421"/>
      <c r="AC41" s="418"/>
      <c r="AD41" s="420">
        <f>(AQ83/10.3)*100</f>
        <v>0</v>
      </c>
      <c r="AE41" s="421"/>
      <c r="AF41" s="421"/>
      <c r="AG41" s="422"/>
      <c r="AH41" s="195"/>
      <c r="AI41" s="265">
        <v>0.57599999999999996</v>
      </c>
    </row>
    <row r="42" spans="1:45" ht="27" customHeight="1" thickBot="1" x14ac:dyDescent="0.3">
      <c r="A42" s="103"/>
      <c r="B42" s="174"/>
      <c r="C42" s="174"/>
      <c r="D42" s="174"/>
      <c r="E42" s="174"/>
      <c r="F42" s="174"/>
      <c r="G42" s="174"/>
      <c r="H42" s="174"/>
      <c r="I42" s="174"/>
      <c r="J42" s="597" t="s">
        <v>123</v>
      </c>
      <c r="K42" s="597"/>
      <c r="L42" s="178" t="s">
        <v>41</v>
      </c>
      <c r="M42" s="285"/>
      <c r="N42" s="103"/>
      <c r="O42" s="639" t="s">
        <v>9</v>
      </c>
      <c r="P42" s="640"/>
      <c r="Q42" s="267"/>
      <c r="R42" s="267"/>
      <c r="S42" s="268"/>
      <c r="T42" s="174"/>
      <c r="U42" s="651" t="s">
        <v>42</v>
      </c>
      <c r="V42" s="652"/>
      <c r="W42" s="413">
        <f>IF(W40&gt;W41,W40,W41)</f>
        <v>0</v>
      </c>
      <c r="X42" s="414"/>
      <c r="Y42" s="414"/>
      <c r="Z42" s="415"/>
      <c r="AA42" s="416">
        <f>IF(AA40&gt;AA41,AA40,AA41)</f>
        <v>0</v>
      </c>
      <c r="AB42" s="414"/>
      <c r="AC42" s="415"/>
      <c r="AD42" s="416">
        <f>IF(AD40&gt;AD41,AD40,AD41)</f>
        <v>0</v>
      </c>
      <c r="AE42" s="414"/>
      <c r="AF42" s="414"/>
      <c r="AG42" s="417"/>
      <c r="AH42" s="196"/>
      <c r="AI42" s="265">
        <v>0.65200000000000002</v>
      </c>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409"/>
      <c r="R43" s="411"/>
      <c r="S43" s="403"/>
      <c r="T43" s="174"/>
      <c r="U43" s="215"/>
      <c r="V43" s="215"/>
      <c r="W43" s="216"/>
      <c r="X43" s="216"/>
      <c r="Y43" s="216"/>
      <c r="Z43" s="216"/>
      <c r="AA43" s="216"/>
      <c r="AB43" s="216"/>
      <c r="AC43" s="216"/>
      <c r="AD43" s="216"/>
      <c r="AE43" s="216"/>
      <c r="AF43" s="216"/>
      <c r="AG43" s="216"/>
      <c r="AH43" s="197"/>
      <c r="AI43" s="265">
        <v>0.71299999999999997</v>
      </c>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410"/>
      <c r="R44" s="412"/>
      <c r="S44" s="404"/>
      <c r="T44" s="174"/>
      <c r="U44" s="634" t="s">
        <v>153</v>
      </c>
      <c r="V44" s="635"/>
      <c r="W44" s="635"/>
      <c r="X44" s="635"/>
      <c r="Y44" s="635"/>
      <c r="Z44" s="636"/>
      <c r="AA44" s="210"/>
      <c r="AB44" s="565" t="s">
        <v>30</v>
      </c>
      <c r="AC44" s="566"/>
      <c r="AD44" s="566"/>
      <c r="AE44" s="566"/>
      <c r="AF44" s="566"/>
      <c r="AG44" s="566"/>
      <c r="AH44" s="567"/>
      <c r="AI44" s="265">
        <v>0.76200000000000001</v>
      </c>
      <c r="AJ44" s="405"/>
      <c r="AK44" s="405"/>
      <c r="AL44" s="405"/>
      <c r="AM44" s="405"/>
      <c r="AN44" s="40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271"/>
      <c r="R45" s="271"/>
      <c r="S45" s="272"/>
      <c r="T45" s="174"/>
      <c r="U45" s="656" t="s">
        <v>139</v>
      </c>
      <c r="V45" s="656"/>
      <c r="W45" s="179" t="s">
        <v>121</v>
      </c>
      <c r="X45" s="406">
        <f>MAX(M37:M39)</f>
        <v>0</v>
      </c>
      <c r="Y45" s="406"/>
      <c r="Z45" s="406"/>
      <c r="AA45" s="174"/>
      <c r="AB45" s="657" t="s">
        <v>31</v>
      </c>
      <c r="AC45" s="658"/>
      <c r="AD45" s="658"/>
      <c r="AE45" s="658"/>
      <c r="AF45" s="355">
        <v>0.1</v>
      </c>
      <c r="AG45" s="286"/>
      <c r="AH45" s="287"/>
      <c r="AI45" s="265">
        <v>1</v>
      </c>
      <c r="AL45" s="288"/>
      <c r="AM45" s="288"/>
      <c r="AN45" s="288"/>
    </row>
    <row r="46" spans="1:45" ht="29.25" customHeight="1" thickBot="1" x14ac:dyDescent="0.3">
      <c r="A46" s="103"/>
      <c r="B46" s="174"/>
      <c r="C46" s="174"/>
      <c r="D46" s="174"/>
      <c r="E46" s="174"/>
      <c r="F46" s="174"/>
      <c r="G46" s="174"/>
      <c r="H46" s="174"/>
      <c r="I46" s="174"/>
      <c r="J46" s="810" t="s">
        <v>176</v>
      </c>
      <c r="K46" s="810"/>
      <c r="L46" s="810"/>
      <c r="M46" s="104"/>
      <c r="N46" s="103"/>
      <c r="O46" s="576" t="s">
        <v>29</v>
      </c>
      <c r="P46" s="577"/>
      <c r="Q46" s="271"/>
      <c r="R46" s="276"/>
      <c r="S46" s="277"/>
      <c r="T46" s="174"/>
      <c r="U46" s="555" t="s">
        <v>123</v>
      </c>
      <c r="V46" s="555"/>
      <c r="W46" s="179" t="s">
        <v>41</v>
      </c>
      <c r="X46" s="401">
        <f>MIN(M42:M44)</f>
        <v>0</v>
      </c>
      <c r="Y46" s="401"/>
      <c r="Z46" s="401"/>
      <c r="AA46" s="174"/>
      <c r="AB46" s="660" t="s">
        <v>32</v>
      </c>
      <c r="AC46" s="661"/>
      <c r="AD46" s="661"/>
      <c r="AE46" s="661"/>
      <c r="AF46" s="356">
        <v>0.5</v>
      </c>
      <c r="AG46" s="289"/>
      <c r="AH46" s="290"/>
      <c r="AI46" s="265">
        <v>1.242</v>
      </c>
      <c r="AL46" s="288"/>
      <c r="AM46" s="288"/>
      <c r="AN46" s="288"/>
    </row>
    <row r="47" spans="1:45" ht="27" customHeight="1" thickBot="1" x14ac:dyDescent="0.3">
      <c r="A47" s="103"/>
      <c r="B47" s="174"/>
      <c r="C47" s="174"/>
      <c r="D47" s="174"/>
      <c r="E47" s="174"/>
      <c r="F47" s="174"/>
      <c r="G47" s="174"/>
      <c r="H47" s="174"/>
      <c r="I47" s="174"/>
      <c r="J47" s="203"/>
      <c r="K47" s="203"/>
      <c r="L47" s="174"/>
      <c r="M47" s="104"/>
      <c r="N47" s="103"/>
      <c r="O47" s="602" t="s">
        <v>10</v>
      </c>
      <c r="P47" s="603"/>
      <c r="Q47" s="125" t="e">
        <f>((Q43-Q45)/(Q45-Q46))*100</f>
        <v>#DIV/0!</v>
      </c>
      <c r="R47" s="125" t="e">
        <f>((R43-R45)/(R45-R46))*100</f>
        <v>#DIV/0!</v>
      </c>
      <c r="S47" s="126" t="e">
        <f>((S43-S45)/(S45-S46))*100</f>
        <v>#DIV/0!</v>
      </c>
      <c r="T47" s="174"/>
      <c r="U47" s="555" t="s">
        <v>162</v>
      </c>
      <c r="V47" s="555"/>
      <c r="W47" s="179" t="s">
        <v>41</v>
      </c>
      <c r="X47" s="402" t="b">
        <f>IF(L25=D103,"-",IF(L25=D102,"-",IF(L25=D101,M25)))</f>
        <v>0</v>
      </c>
      <c r="Y47" s="402"/>
      <c r="Z47" s="402"/>
      <c r="AA47" s="174"/>
      <c r="AB47" s="662" t="s">
        <v>33</v>
      </c>
      <c r="AC47" s="663"/>
      <c r="AD47" s="663"/>
      <c r="AE47" s="663"/>
      <c r="AF47" s="232">
        <f>(AF46-AF45)*2.54</f>
        <v>1.016</v>
      </c>
      <c r="AG47" s="232">
        <f>(AG46-AG45)*2.54</f>
        <v>0</v>
      </c>
      <c r="AH47" s="239">
        <f>(AH46-AH45)*2.54</f>
        <v>0</v>
      </c>
      <c r="AI47" s="265">
        <v>1.4750000000000001</v>
      </c>
    </row>
    <row r="48" spans="1:45" ht="27" customHeight="1" thickBot="1" x14ac:dyDescent="0.3">
      <c r="A48" s="103"/>
      <c r="B48" s="174"/>
      <c r="C48" s="174"/>
      <c r="D48" s="174"/>
      <c r="E48" s="174"/>
      <c r="F48" s="174"/>
      <c r="G48" s="174"/>
      <c r="H48" s="174"/>
      <c r="I48" s="174"/>
      <c r="J48" s="203"/>
      <c r="K48" s="203"/>
      <c r="L48" s="79"/>
      <c r="M48" s="26"/>
      <c r="N48" s="103"/>
      <c r="O48" s="176"/>
      <c r="P48" s="176"/>
      <c r="Q48" s="181"/>
      <c r="R48" s="181"/>
      <c r="S48" s="181"/>
      <c r="T48" s="174"/>
      <c r="U48" s="179"/>
      <c r="V48" s="179"/>
      <c r="W48" s="179"/>
      <c r="X48" s="217"/>
      <c r="Y48" s="217"/>
      <c r="Z48" s="217"/>
      <c r="AA48" s="174"/>
      <c r="AB48" s="675" t="s">
        <v>34</v>
      </c>
      <c r="AC48" s="676"/>
      <c r="AD48" s="676"/>
      <c r="AE48" s="676"/>
      <c r="AF48" s="142" t="str">
        <f>IF(AF47&lt;&gt;"",IF(Q24&lt;&gt;"",AF47/Q24*100,""),"")</f>
        <v/>
      </c>
      <c r="AG48" s="142" t="str">
        <f>IF(AG47&lt;&gt;"",IF(R24&lt;&gt;"",AG47/R24*100,""),"")</f>
        <v/>
      </c>
      <c r="AH48" s="173" t="str">
        <f>IF(AH47&lt;&gt;"",IF(S24&lt;&gt;"",AH47/S24*100,""),"")</f>
        <v/>
      </c>
    </row>
    <row r="49" spans="1:36" ht="5.0999999999999996" customHeight="1" thickBot="1" x14ac:dyDescent="0.3">
      <c r="A49" s="103"/>
      <c r="B49" s="174"/>
      <c r="C49" s="174"/>
      <c r="D49" s="174"/>
      <c r="E49" s="174"/>
      <c r="F49" s="174"/>
      <c r="G49" s="174"/>
      <c r="H49" s="174"/>
      <c r="I49" s="174"/>
      <c r="J49" s="203"/>
      <c r="K49" s="203"/>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811"/>
      <c r="K50" s="811"/>
      <c r="L50" s="811"/>
      <c r="M50" s="104"/>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265">
        <v>0.14799999999999999</v>
      </c>
    </row>
    <row r="51" spans="1:36" ht="24.95" customHeight="1" x14ac:dyDescent="0.25">
      <c r="A51" s="103"/>
      <c r="B51" s="174"/>
      <c r="C51" s="174"/>
      <c r="D51" s="174"/>
      <c r="E51" s="174"/>
      <c r="F51" s="174"/>
      <c r="G51" s="174"/>
      <c r="H51" s="174"/>
      <c r="I51" s="174"/>
      <c r="J51" s="503" t="s">
        <v>98</v>
      </c>
      <c r="K51" s="503"/>
      <c r="L51" s="503"/>
      <c r="M51" s="104"/>
      <c r="N51" s="103"/>
      <c r="O51" s="174"/>
      <c r="P51" s="174"/>
      <c r="Q51" s="174"/>
      <c r="R51" s="174"/>
      <c r="S51" s="174"/>
      <c r="T51" s="174"/>
      <c r="U51" s="174"/>
      <c r="V51" s="174"/>
      <c r="W51" s="174"/>
      <c r="X51" s="174"/>
      <c r="Y51" s="174"/>
      <c r="Z51" s="174"/>
      <c r="AA51" s="174"/>
      <c r="AB51" s="583" t="str">
        <f>W19</f>
        <v xml:space="preserve">10  GOLPES </v>
      </c>
      <c r="AC51" s="584"/>
      <c r="AD51" s="584"/>
      <c r="AE51" s="584"/>
      <c r="AF51" s="271"/>
      <c r="AG51" s="397"/>
      <c r="AH51" s="398"/>
      <c r="AJ51" s="265">
        <v>0.61399999999999999</v>
      </c>
    </row>
    <row r="52" spans="1:36" ht="24.95" customHeight="1" x14ac:dyDescent="0.25">
      <c r="A52" s="103"/>
      <c r="B52" s="174"/>
      <c r="C52" s="174"/>
      <c r="D52" s="174"/>
      <c r="E52" s="174"/>
      <c r="F52" s="174"/>
      <c r="G52" s="174"/>
      <c r="H52" s="174"/>
      <c r="I52" s="174"/>
      <c r="J52" s="493" t="s">
        <v>99</v>
      </c>
      <c r="K52" s="493"/>
      <c r="L52" s="493"/>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271"/>
      <c r="AG52" s="397"/>
      <c r="AH52" s="398"/>
      <c r="AJ52" s="265">
        <v>1.093</v>
      </c>
    </row>
    <row r="53" spans="1:36" ht="24.95" customHeight="1" thickBot="1" x14ac:dyDescent="0.3">
      <c r="A53" s="103"/>
      <c r="B53" s="174"/>
      <c r="C53" s="174"/>
      <c r="D53" s="174"/>
      <c r="E53" s="174"/>
      <c r="F53" s="174"/>
      <c r="G53" s="174"/>
      <c r="H53" s="174"/>
      <c r="I53" s="174"/>
      <c r="J53" s="174"/>
      <c r="K53" s="174"/>
      <c r="L53" s="174"/>
      <c r="M53" s="104"/>
      <c r="N53" s="103"/>
      <c r="O53" s="174"/>
      <c r="P53" s="174"/>
      <c r="Q53" s="174"/>
      <c r="R53" s="174"/>
      <c r="S53" s="174"/>
      <c r="T53" s="174"/>
      <c r="U53" s="174"/>
      <c r="V53" s="174"/>
      <c r="W53" s="174"/>
      <c r="X53" s="174"/>
      <c r="Y53" s="174"/>
      <c r="Z53" s="174"/>
      <c r="AA53" s="174"/>
      <c r="AB53" s="761" t="str">
        <f>AE19</f>
        <v xml:space="preserve">56  GOLPES </v>
      </c>
      <c r="AC53" s="762"/>
      <c r="AD53" s="762"/>
      <c r="AE53" s="762"/>
      <c r="AF53" s="294"/>
      <c r="AG53" s="399"/>
      <c r="AH53" s="400"/>
      <c r="AJ53" s="265">
        <v>1.4319999999999999</v>
      </c>
    </row>
    <row r="54" spans="1:36" ht="24.95" customHeight="1" x14ac:dyDescent="0.25">
      <c r="A54" s="103"/>
      <c r="B54" s="174"/>
      <c r="C54" s="174"/>
      <c r="D54" s="174"/>
      <c r="E54" s="174"/>
      <c r="F54" s="174"/>
      <c r="G54" s="174"/>
      <c r="H54" s="174"/>
      <c r="I54" s="174"/>
      <c r="J54" s="810" t="s">
        <v>177</v>
      </c>
      <c r="K54" s="810"/>
      <c r="L54" s="810"/>
      <c r="M54" s="104"/>
      <c r="N54" s="103"/>
      <c r="O54" s="174"/>
      <c r="P54" s="174"/>
      <c r="Q54" s="174"/>
      <c r="R54" s="174"/>
      <c r="S54" s="174"/>
      <c r="T54" s="174"/>
      <c r="U54" s="174"/>
      <c r="V54" s="174"/>
      <c r="W54" s="174"/>
      <c r="X54" s="174"/>
      <c r="Y54" s="174"/>
      <c r="Z54" s="174"/>
      <c r="AA54" s="812" t="s">
        <v>176</v>
      </c>
      <c r="AB54" s="812"/>
      <c r="AC54" s="812"/>
      <c r="AD54" s="812"/>
      <c r="AE54" s="174"/>
      <c r="AF54" s="812" t="s">
        <v>177</v>
      </c>
      <c r="AG54" s="812"/>
      <c r="AH54" s="813"/>
      <c r="AJ54" s="265">
        <v>1.6870000000000001</v>
      </c>
    </row>
    <row r="55" spans="1:36" ht="14.25" customHeight="1" x14ac:dyDescent="0.25">
      <c r="A55" s="103"/>
      <c r="B55" s="174"/>
      <c r="C55" s="174"/>
      <c r="D55" s="174"/>
      <c r="E55" s="174"/>
      <c r="F55" s="174"/>
      <c r="G55" s="174"/>
      <c r="H55" s="174"/>
      <c r="I55" s="174"/>
      <c r="J55" s="79"/>
      <c r="K55" s="79"/>
      <c r="L55" s="79"/>
      <c r="M55" s="104"/>
      <c r="N55" s="103"/>
      <c r="O55" s="174"/>
      <c r="P55" s="174"/>
      <c r="Q55" s="174"/>
      <c r="R55" s="174"/>
      <c r="S55" s="174"/>
      <c r="T55" s="174"/>
      <c r="U55" s="174"/>
      <c r="V55" s="174"/>
      <c r="W55" s="174"/>
      <c r="X55" s="174"/>
      <c r="Y55" s="174"/>
      <c r="Z55" s="174"/>
      <c r="AA55" s="812"/>
      <c r="AB55" s="812"/>
      <c r="AC55" s="812"/>
      <c r="AD55" s="812"/>
      <c r="AE55" s="174"/>
      <c r="AF55" s="812"/>
      <c r="AG55" s="812"/>
      <c r="AH55" s="813"/>
      <c r="AJ55" s="265">
        <v>1.996</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3"/>
      <c r="AC56" s="203"/>
      <c r="AD56" s="174"/>
      <c r="AE56" s="174"/>
      <c r="AF56" s="203"/>
      <c r="AG56" s="203"/>
      <c r="AH56" s="198"/>
      <c r="AJ56" s="265">
        <v>2.2679999999999998</v>
      </c>
    </row>
    <row r="57" spans="1:36" ht="24.95" customHeight="1" x14ac:dyDescent="0.25">
      <c r="A57" s="103"/>
      <c r="B57" s="174"/>
      <c r="C57" s="174"/>
      <c r="D57" s="174"/>
      <c r="E57" s="174"/>
      <c r="F57" s="174"/>
      <c r="G57" s="174"/>
      <c r="H57" s="174"/>
      <c r="I57" s="174"/>
      <c r="J57" s="79"/>
      <c r="K57" s="79"/>
      <c r="L57" s="79"/>
      <c r="M57" s="205"/>
      <c r="N57" s="103"/>
      <c r="O57" s="174"/>
      <c r="P57" s="174"/>
      <c r="Q57" s="174"/>
      <c r="R57" s="174"/>
      <c r="S57" s="174"/>
      <c r="T57" s="174"/>
      <c r="U57" s="174"/>
      <c r="V57" s="174"/>
      <c r="W57" s="174"/>
      <c r="X57" s="174"/>
      <c r="Y57" s="174"/>
      <c r="Z57" s="174"/>
      <c r="AA57" s="203"/>
      <c r="AB57" s="203"/>
      <c r="AC57" s="203"/>
      <c r="AD57" s="174"/>
      <c r="AE57" s="174"/>
      <c r="AF57" s="203"/>
      <c r="AG57" s="203"/>
      <c r="AH57" s="198"/>
      <c r="AJ57" s="265">
        <v>2.5230000000000001</v>
      </c>
    </row>
    <row r="58" spans="1:36" ht="15.75" x14ac:dyDescent="0.25">
      <c r="A58" s="103"/>
      <c r="B58" s="174"/>
      <c r="C58" s="174"/>
      <c r="D58" s="174"/>
      <c r="E58" s="174"/>
      <c r="F58" s="174"/>
      <c r="G58" s="174"/>
      <c r="H58" s="174"/>
      <c r="I58" s="174"/>
      <c r="J58" s="814"/>
      <c r="K58" s="814"/>
      <c r="L58" s="814"/>
      <c r="M58" s="26"/>
      <c r="N58" s="103"/>
      <c r="O58" s="174"/>
      <c r="P58" s="174"/>
      <c r="Q58" s="174"/>
      <c r="R58" s="174"/>
      <c r="S58" s="174"/>
      <c r="T58" s="174"/>
      <c r="U58" s="174"/>
      <c r="V58" s="174"/>
      <c r="W58" s="174"/>
      <c r="X58" s="174"/>
      <c r="Y58" s="174"/>
      <c r="Z58" s="174"/>
      <c r="AA58" s="203"/>
      <c r="AB58" s="203"/>
      <c r="AC58" s="203"/>
      <c r="AD58" s="174"/>
      <c r="AE58" s="174"/>
      <c r="AF58" s="203"/>
      <c r="AG58" s="203"/>
      <c r="AH58" s="198"/>
      <c r="AJ58" s="265">
        <v>2.6970000000000001</v>
      </c>
    </row>
    <row r="59" spans="1:36" x14ac:dyDescent="0.25">
      <c r="A59" s="103"/>
      <c r="B59" s="174"/>
      <c r="C59" s="174"/>
      <c r="D59" s="174"/>
      <c r="E59" s="174"/>
      <c r="F59" s="174"/>
      <c r="G59" s="174"/>
      <c r="H59" s="174"/>
      <c r="I59" s="174"/>
      <c r="J59" s="493" t="s">
        <v>179</v>
      </c>
      <c r="K59" s="493"/>
      <c r="L59" s="493"/>
      <c r="M59" s="104"/>
      <c r="N59" s="103"/>
      <c r="O59" s="174"/>
      <c r="P59" s="174"/>
      <c r="Q59" s="174"/>
      <c r="R59" s="174"/>
      <c r="S59" s="174"/>
      <c r="T59" s="174"/>
      <c r="U59" s="174"/>
      <c r="V59" s="174"/>
      <c r="W59" s="174"/>
      <c r="X59" s="174"/>
      <c r="Y59" s="174"/>
      <c r="Z59" s="174"/>
      <c r="AA59" s="815"/>
      <c r="AB59" s="815"/>
      <c r="AC59" s="815"/>
      <c r="AD59" s="174"/>
      <c r="AE59" s="174"/>
      <c r="AF59" s="203"/>
      <c r="AG59" s="203"/>
      <c r="AH59" s="198"/>
      <c r="AJ59" s="265">
        <v>3.4860000000000002</v>
      </c>
    </row>
    <row r="60" spans="1:36" ht="15.75" customHeight="1" x14ac:dyDescent="0.25">
      <c r="A60" s="103"/>
      <c r="B60" s="187" t="s">
        <v>143</v>
      </c>
      <c r="C60" s="816"/>
      <c r="D60" s="816"/>
      <c r="E60" s="816"/>
      <c r="F60" s="177"/>
      <c r="G60" s="177"/>
      <c r="H60" s="177"/>
      <c r="I60" s="177"/>
      <c r="J60" s="177"/>
      <c r="K60" s="177"/>
      <c r="L60" s="177"/>
      <c r="M60" s="104"/>
      <c r="N60" s="103"/>
      <c r="O60" s="174"/>
      <c r="P60" s="174"/>
      <c r="Q60" s="174"/>
      <c r="R60" s="174"/>
      <c r="S60" s="174"/>
      <c r="T60" s="174"/>
      <c r="U60" s="174"/>
      <c r="V60" s="174"/>
      <c r="W60" s="174"/>
      <c r="X60" s="174"/>
      <c r="Y60" s="174"/>
      <c r="Z60" s="174"/>
      <c r="AA60" s="814" t="s">
        <v>98</v>
      </c>
      <c r="AB60" s="814"/>
      <c r="AC60" s="814"/>
      <c r="AD60" s="814"/>
      <c r="AE60" s="174"/>
      <c r="AF60" s="814"/>
      <c r="AG60" s="814"/>
      <c r="AH60" s="817"/>
      <c r="AJ60" s="265">
        <v>4.07</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493" t="s">
        <v>99</v>
      </c>
      <c r="AB61" s="493"/>
      <c r="AC61" s="493"/>
      <c r="AD61" s="493"/>
      <c r="AE61" s="174"/>
      <c r="AF61" s="493" t="s">
        <v>179</v>
      </c>
      <c r="AG61" s="493"/>
      <c r="AH61" s="818"/>
      <c r="AJ61" s="265">
        <v>4.4119999999999999</v>
      </c>
    </row>
    <row r="62" spans="1:36" ht="15.75" x14ac:dyDescent="0.25">
      <c r="A62" s="103"/>
      <c r="B62" s="174"/>
      <c r="C62" s="684"/>
      <c r="D62" s="684"/>
      <c r="E62" s="684"/>
      <c r="F62" s="684"/>
      <c r="G62" s="684"/>
      <c r="H62" s="684"/>
      <c r="I62" s="174"/>
      <c r="J62" s="174"/>
      <c r="K62" s="174"/>
      <c r="L62" s="174"/>
      <c r="M62" s="104"/>
      <c r="N62" s="103"/>
      <c r="O62" s="174"/>
      <c r="P62" s="174"/>
      <c r="Q62" s="174"/>
      <c r="R62" s="174"/>
      <c r="S62" s="174"/>
      <c r="T62" s="174"/>
      <c r="U62" s="174"/>
      <c r="V62" s="174"/>
      <c r="W62" s="174"/>
      <c r="X62" s="174"/>
      <c r="Y62" s="174"/>
      <c r="Z62" s="174"/>
      <c r="AA62" s="493"/>
      <c r="AB62" s="493"/>
      <c r="AC62" s="493"/>
      <c r="AD62" s="493"/>
      <c r="AE62" s="79"/>
      <c r="AF62" s="493"/>
      <c r="AG62" s="493"/>
      <c r="AH62" s="818"/>
    </row>
    <row r="63" spans="1:36" ht="15.75" x14ac:dyDescent="0.25">
      <c r="A63" s="103"/>
      <c r="B63" s="175"/>
      <c r="C63" s="684"/>
      <c r="D63" s="684"/>
      <c r="E63" s="684"/>
      <c r="F63" s="684"/>
      <c r="G63" s="684"/>
      <c r="H63" s="684"/>
      <c r="I63" s="174"/>
      <c r="J63" s="174"/>
      <c r="K63" s="174"/>
      <c r="L63" s="174"/>
      <c r="M63" s="104"/>
      <c r="N63" s="103"/>
      <c r="O63" s="174"/>
      <c r="P63" s="174"/>
      <c r="Q63" s="174"/>
      <c r="R63" s="174"/>
      <c r="S63" s="174"/>
      <c r="T63" s="174"/>
      <c r="U63" s="174"/>
      <c r="V63" s="174"/>
      <c r="W63" s="174"/>
      <c r="X63" s="174"/>
      <c r="Y63" s="174"/>
      <c r="Z63" s="174"/>
      <c r="AA63" s="174"/>
      <c r="AB63" s="174"/>
      <c r="AC63" s="174"/>
      <c r="AD63" s="174"/>
      <c r="AE63" s="174"/>
      <c r="AF63" s="174"/>
      <c r="AG63" s="174"/>
      <c r="AH63" s="104"/>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819"/>
      <c r="C67" s="693"/>
      <c r="D67" s="693"/>
      <c r="E67" s="693"/>
      <c r="F67" s="693"/>
      <c r="G67" s="693"/>
      <c r="H67" s="693"/>
      <c r="I67" s="693"/>
      <c r="J67" s="693"/>
      <c r="K67" s="693"/>
      <c r="L67" s="693"/>
      <c r="M67" s="694"/>
      <c r="N67" s="143"/>
      <c r="O67" s="819"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c r="B68" s="357"/>
      <c r="C68" s="265" t="s">
        <v>340</v>
      </c>
      <c r="O68" s="357"/>
      <c r="P68" s="265" t="s">
        <v>339</v>
      </c>
    </row>
    <row r="69" spans="1:94" ht="15.75" thickBot="1" x14ac:dyDescent="0.3">
      <c r="B69" s="387" t="s">
        <v>101</v>
      </c>
      <c r="C69" s="388"/>
      <c r="D69" s="296"/>
    </row>
    <row r="70" spans="1:94" ht="15.75" thickBot="1" x14ac:dyDescent="0.3">
      <c r="CP70" s="266"/>
    </row>
    <row r="71" spans="1:94" ht="15" customHeight="1" thickBot="1" x14ac:dyDescent="0.3">
      <c r="B71" s="389" t="s">
        <v>91</v>
      </c>
      <c r="C71" s="390"/>
      <c r="D71" s="297"/>
      <c r="E71" s="298"/>
      <c r="F71" s="298"/>
      <c r="G71" s="298"/>
      <c r="H71" s="298"/>
      <c r="I71" s="298"/>
      <c r="J71" s="298"/>
      <c r="AJ71" s="299" t="s">
        <v>14</v>
      </c>
      <c r="AK71" s="300"/>
      <c r="AL71" s="301" t="s">
        <v>43</v>
      </c>
      <c r="AM71" s="302"/>
      <c r="AN71" s="301" t="s">
        <v>22</v>
      </c>
      <c r="AO71" s="302"/>
      <c r="AP71" s="301" t="s">
        <v>23</v>
      </c>
      <c r="AQ71" s="302"/>
    </row>
    <row r="72" spans="1:94" ht="26.25" customHeight="1" thickBot="1" x14ac:dyDescent="0.3">
      <c r="A72" s="11"/>
      <c r="B72" s="377" t="s">
        <v>110</v>
      </c>
      <c r="C72" s="377"/>
      <c r="D72" s="17"/>
      <c r="M72" s="303" t="s">
        <v>118</v>
      </c>
      <c r="N72" s="304"/>
      <c r="V72" s="282"/>
      <c r="W72" s="292"/>
      <c r="X72" s="292"/>
      <c r="Y72" s="292"/>
      <c r="Z72" s="282"/>
      <c r="AA72" s="282"/>
      <c r="AF72" s="282"/>
      <c r="AG72" s="282"/>
      <c r="AH72" s="282"/>
      <c r="AJ72" s="305"/>
      <c r="AK72" s="306"/>
      <c r="AL72" s="307" t="s">
        <v>15</v>
      </c>
      <c r="AM72" s="307" t="s">
        <v>16</v>
      </c>
      <c r="AN72" s="307" t="s">
        <v>17</v>
      </c>
      <c r="AO72" s="307" t="s">
        <v>16</v>
      </c>
      <c r="AP72" s="307" t="s">
        <v>17</v>
      </c>
      <c r="AQ72" s="307" t="s">
        <v>16</v>
      </c>
    </row>
    <row r="73" spans="1:94" ht="26.25" customHeight="1" thickBot="1" x14ac:dyDescent="0.25">
      <c r="A73" s="11"/>
      <c r="B73" s="377" t="s">
        <v>111</v>
      </c>
      <c r="C73" s="377"/>
      <c r="D73" s="16"/>
      <c r="J73" s="391" t="s">
        <v>104</v>
      </c>
      <c r="K73" s="392"/>
      <c r="O73" s="308">
        <v>9.81</v>
      </c>
      <c r="U73" s="282"/>
      <c r="AB73" s="282"/>
      <c r="AC73" s="282"/>
      <c r="AD73" s="282"/>
      <c r="AE73" s="282"/>
      <c r="AJ73" s="309" t="s">
        <v>18</v>
      </c>
      <c r="AK73" s="310" t="s">
        <v>19</v>
      </c>
      <c r="AL73" s="310" t="s">
        <v>20</v>
      </c>
      <c r="AM73" s="310" t="s">
        <v>21</v>
      </c>
      <c r="AN73" s="310" t="s">
        <v>20</v>
      </c>
      <c r="AO73" s="310" t="s">
        <v>21</v>
      </c>
      <c r="AP73" s="310" t="s">
        <v>20</v>
      </c>
      <c r="AQ73" s="311" t="s">
        <v>21</v>
      </c>
    </row>
    <row r="74" spans="1:94" ht="26.25" customHeight="1" thickBot="1" x14ac:dyDescent="0.3">
      <c r="A74" s="11"/>
      <c r="B74" s="377" t="s">
        <v>112</v>
      </c>
      <c r="C74" s="377"/>
      <c r="D74" s="18"/>
      <c r="E74" s="312" t="s">
        <v>11</v>
      </c>
      <c r="F74" s="313"/>
      <c r="G74" s="314">
        <v>-0.12509999999999999</v>
      </c>
      <c r="J74" s="393"/>
      <c r="K74" s="394"/>
      <c r="L74" s="315"/>
      <c r="M74" s="315"/>
      <c r="N74" s="315"/>
    </row>
    <row r="75" spans="1:94" ht="26.25" customHeight="1" thickBot="1" x14ac:dyDescent="0.3">
      <c r="A75" s="11"/>
      <c r="B75" s="377" t="s">
        <v>113</v>
      </c>
      <c r="C75" s="377"/>
      <c r="D75" s="19"/>
      <c r="E75" s="316" t="s">
        <v>12</v>
      </c>
      <c r="F75" s="317"/>
      <c r="G75" s="318">
        <v>3.6941000000000002</v>
      </c>
      <c r="J75" s="395"/>
      <c r="K75" s="396"/>
      <c r="L75" s="315"/>
      <c r="M75" s="315"/>
      <c r="N75" s="315"/>
      <c r="O75" s="315"/>
      <c r="P75" s="315"/>
      <c r="Q75" s="315"/>
      <c r="R75" s="315"/>
      <c r="S75" s="315"/>
      <c r="T75" s="315"/>
      <c r="V75" s="315"/>
      <c r="W75" s="315"/>
      <c r="X75" s="315"/>
      <c r="Y75" s="315"/>
      <c r="Z75" s="315"/>
      <c r="AA75" s="315"/>
      <c r="AF75" s="315"/>
      <c r="AG75" s="315"/>
      <c r="AH75" s="315"/>
      <c r="AJ75" s="319">
        <f>U22</f>
        <v>5.0000000000000001E-3</v>
      </c>
      <c r="AK75" s="320">
        <f>AJ75*25.4</f>
        <v>0.127</v>
      </c>
      <c r="AL75" s="321">
        <f>W22</f>
        <v>0</v>
      </c>
      <c r="AM75" s="320">
        <f t="shared" ref="AM75:AM86" si="1">((AL75/19.32)*10)</f>
        <v>0</v>
      </c>
      <c r="AN75" s="321">
        <f>AA22</f>
        <v>0</v>
      </c>
      <c r="AO75" s="320">
        <f>((AN75/19.32)*10)</f>
        <v>0</v>
      </c>
      <c r="AP75" s="321">
        <f>AE22</f>
        <v>0</v>
      </c>
      <c r="AQ75" s="322">
        <f t="shared" ref="AQ75:AQ84" si="2">((AP75/19.32)*10)</f>
        <v>0</v>
      </c>
    </row>
    <row r="76" spans="1:94" ht="26.25" customHeight="1" thickBot="1" x14ac:dyDescent="0.3">
      <c r="A76" s="11"/>
      <c r="B76" s="377" t="s">
        <v>114</v>
      </c>
      <c r="C76" s="377"/>
      <c r="D76" s="20"/>
      <c r="E76" s="293" t="s">
        <v>13</v>
      </c>
      <c r="F76" s="323"/>
      <c r="J76" s="378">
        <v>6</v>
      </c>
      <c r="K76" s="379"/>
      <c r="O76" s="315"/>
      <c r="P76" s="315"/>
      <c r="Q76" s="315"/>
      <c r="R76" s="315"/>
      <c r="S76" s="315"/>
      <c r="T76" s="315"/>
      <c r="U76" s="315"/>
      <c r="V76" s="315"/>
      <c r="W76" s="315"/>
      <c r="X76" s="315"/>
      <c r="Y76" s="315"/>
      <c r="Z76" s="315"/>
      <c r="AA76" s="315"/>
      <c r="AB76" s="315"/>
      <c r="AC76" s="315"/>
      <c r="AD76" s="315"/>
      <c r="AE76" s="315"/>
      <c r="AF76" s="315"/>
      <c r="AG76" s="315"/>
      <c r="AH76" s="315"/>
      <c r="AJ76" s="319">
        <f>U23</f>
        <v>2.5000000000000001E-2</v>
      </c>
      <c r="AK76" s="320">
        <f t="shared" ref="AK76:AK84" si="3">AJ76*25.4</f>
        <v>0.63500000000000001</v>
      </c>
      <c r="AL76" s="321">
        <f>W23</f>
        <v>0</v>
      </c>
      <c r="AM76" s="320">
        <f t="shared" si="1"/>
        <v>0</v>
      </c>
      <c r="AN76" s="321">
        <f>AA23</f>
        <v>0</v>
      </c>
      <c r="AO76" s="320">
        <f t="shared" ref="AO76:AO86" si="4">((AN76/19.32)*10)</f>
        <v>0</v>
      </c>
      <c r="AP76" s="321">
        <f>AE23</f>
        <v>0</v>
      </c>
      <c r="AQ76" s="322">
        <f t="shared" si="2"/>
        <v>0</v>
      </c>
    </row>
    <row r="77" spans="1:94" ht="26.25" customHeight="1" thickTop="1" thickBot="1" x14ac:dyDescent="0.3">
      <c r="A77" s="11"/>
      <c r="B77" s="377" t="s">
        <v>115</v>
      </c>
      <c r="C77" s="377"/>
      <c r="D77" s="15"/>
      <c r="J77" s="380"/>
      <c r="K77" s="381"/>
      <c r="U77" s="315"/>
      <c r="AB77" s="315"/>
      <c r="AC77" s="315"/>
      <c r="AD77" s="315"/>
      <c r="AE77" s="315"/>
      <c r="AJ77" s="319">
        <f>U24</f>
        <v>0.05</v>
      </c>
      <c r="AK77" s="320">
        <f t="shared" si="3"/>
        <v>1.27</v>
      </c>
      <c r="AL77" s="321">
        <f>W24</f>
        <v>0</v>
      </c>
      <c r="AM77" s="320">
        <f t="shared" si="1"/>
        <v>0</v>
      </c>
      <c r="AN77" s="321">
        <f>AA24</f>
        <v>0</v>
      </c>
      <c r="AO77" s="320">
        <f t="shared" si="4"/>
        <v>0</v>
      </c>
      <c r="AP77" s="321">
        <f>AE24</f>
        <v>0</v>
      </c>
      <c r="AQ77" s="322">
        <f t="shared" si="2"/>
        <v>0</v>
      </c>
      <c r="BD77" s="324">
        <v>19</v>
      </c>
      <c r="BE77" s="324">
        <v>20</v>
      </c>
      <c r="BF77" s="324">
        <v>21</v>
      </c>
      <c r="BG77" s="324">
        <v>22</v>
      </c>
      <c r="BH77" s="324">
        <v>23</v>
      </c>
      <c r="BI77" s="324">
        <v>24</v>
      </c>
      <c r="BJ77" s="324">
        <v>25</v>
      </c>
      <c r="BK77" s="324">
        <v>26</v>
      </c>
      <c r="BL77" s="324">
        <v>27</v>
      </c>
      <c r="BM77" s="324">
        <v>28</v>
      </c>
      <c r="BN77" s="324">
        <v>29</v>
      </c>
      <c r="BO77" s="324">
        <v>30</v>
      </c>
    </row>
    <row r="78" spans="1:94" ht="26.25" customHeight="1" thickTop="1" thickBot="1" x14ac:dyDescent="0.3">
      <c r="A78" s="13"/>
      <c r="B78" s="377" t="s">
        <v>92</v>
      </c>
      <c r="C78" s="377"/>
      <c r="D78" s="14" t="str">
        <f>+IF(D72="","",(D72*D76)/(D73+D72-D74))</f>
        <v/>
      </c>
      <c r="AJ78" s="319">
        <f>U25</f>
        <v>7.4999999999999997E-2</v>
      </c>
      <c r="AK78" s="320">
        <f t="shared" si="3"/>
        <v>1.9049999999999998</v>
      </c>
      <c r="AL78" s="321">
        <f>W25</f>
        <v>0</v>
      </c>
      <c r="AM78" s="320">
        <f t="shared" si="1"/>
        <v>0</v>
      </c>
      <c r="AN78" s="321">
        <f>AA25</f>
        <v>0</v>
      </c>
      <c r="AO78" s="320">
        <f t="shared" si="4"/>
        <v>0</v>
      </c>
      <c r="AP78" s="321">
        <f>AE25</f>
        <v>0</v>
      </c>
      <c r="AQ78" s="322">
        <f t="shared" si="2"/>
        <v>0</v>
      </c>
      <c r="BD78" s="325">
        <v>0.99853499999999995</v>
      </c>
      <c r="BE78" s="325">
        <v>0.99823399999999995</v>
      </c>
      <c r="BF78" s="325">
        <v>0.99802199999999996</v>
      </c>
      <c r="BG78" s="325">
        <v>0.99780100000000005</v>
      </c>
      <c r="BH78" s="325">
        <v>0.99756900000000004</v>
      </c>
      <c r="BI78" s="325">
        <v>0.99732699999999996</v>
      </c>
      <c r="BJ78" s="325">
        <v>0.99707500000000004</v>
      </c>
      <c r="BK78" s="325">
        <v>0.99681399999999998</v>
      </c>
      <c r="BL78" s="325">
        <v>0.99654399999999999</v>
      </c>
      <c r="BM78" s="325">
        <v>0.99626400000000004</v>
      </c>
      <c r="BN78" s="325">
        <v>0.99597599999999997</v>
      </c>
      <c r="BO78" s="325">
        <v>0.99567799999999995</v>
      </c>
    </row>
    <row r="79" spans="1:94" ht="17.25" thickTop="1" thickBot="1" x14ac:dyDescent="0.3">
      <c r="D79" s="264" t="s">
        <v>66</v>
      </c>
      <c r="H79" s="382" t="s">
        <v>144</v>
      </c>
      <c r="I79" s="383"/>
      <c r="J79" s="384"/>
      <c r="AJ79" s="319">
        <f>U26</f>
        <v>0.1</v>
      </c>
      <c r="AK79" s="320">
        <f t="shared" si="3"/>
        <v>2.54</v>
      </c>
      <c r="AL79" s="321">
        <f>W26</f>
        <v>0</v>
      </c>
      <c r="AM79" s="326">
        <f t="shared" si="1"/>
        <v>0</v>
      </c>
      <c r="AN79" s="321">
        <f>AA26</f>
        <v>0</v>
      </c>
      <c r="AO79" s="326">
        <f t="shared" si="4"/>
        <v>0</v>
      </c>
      <c r="AP79" s="321">
        <f>AE26</f>
        <v>0</v>
      </c>
      <c r="AQ79" s="327">
        <f t="shared" si="2"/>
        <v>0</v>
      </c>
      <c r="BB79" s="324">
        <v>17</v>
      </c>
      <c r="BC79" s="324">
        <v>18</v>
      </c>
    </row>
    <row r="80" spans="1:94" ht="42" customHeight="1" thickTop="1" thickBot="1" x14ac:dyDescent="0.3">
      <c r="D80" s="264"/>
      <c r="H80" s="385" t="s">
        <v>105</v>
      </c>
      <c r="I80" s="386"/>
      <c r="J80" s="58"/>
      <c r="AJ80" s="319">
        <f>U28</f>
        <v>0.125</v>
      </c>
      <c r="AK80" s="320">
        <f t="shared" si="3"/>
        <v>3.1749999999999998</v>
      </c>
      <c r="AL80" s="321">
        <f>W28</f>
        <v>0</v>
      </c>
      <c r="AM80" s="320">
        <f t="shared" si="1"/>
        <v>0</v>
      </c>
      <c r="AN80" s="321">
        <f>AA28</f>
        <v>0</v>
      </c>
      <c r="AO80" s="320">
        <f t="shared" si="4"/>
        <v>0</v>
      </c>
      <c r="AP80" s="321">
        <f>AE28</f>
        <v>0</v>
      </c>
      <c r="AQ80" s="322">
        <f t="shared" si="2"/>
        <v>0</v>
      </c>
      <c r="BC80" s="325">
        <v>0.99880400000000003</v>
      </c>
      <c r="BD80" s="325">
        <v>0.99862499999999998</v>
      </c>
    </row>
    <row r="81" spans="2:43" ht="15.75" customHeight="1" x14ac:dyDescent="0.25">
      <c r="AJ81" s="319">
        <f>U30</f>
        <v>0.15</v>
      </c>
      <c r="AK81" s="320">
        <f t="shared" si="3"/>
        <v>3.8099999999999996</v>
      </c>
      <c r="AL81" s="321">
        <f>W30</f>
        <v>0</v>
      </c>
      <c r="AM81" s="320">
        <f t="shared" si="1"/>
        <v>0</v>
      </c>
      <c r="AN81" s="321">
        <f>AA30</f>
        <v>0</v>
      </c>
      <c r="AO81" s="320">
        <f t="shared" si="4"/>
        <v>0</v>
      </c>
      <c r="AP81" s="321">
        <f>AE30</f>
        <v>0</v>
      </c>
      <c r="AQ81" s="322">
        <f t="shared" si="2"/>
        <v>0</v>
      </c>
    </row>
    <row r="82" spans="2:43" ht="36.75" customHeight="1" x14ac:dyDescent="0.25">
      <c r="B82" s="367"/>
      <c r="C82" s="367"/>
      <c r="D82" s="367"/>
      <c r="E82" s="367"/>
      <c r="F82" s="367" t="s">
        <v>159</v>
      </c>
      <c r="G82" s="367"/>
      <c r="H82" s="367"/>
      <c r="I82" s="367"/>
      <c r="J82" s="367"/>
      <c r="K82" s="367"/>
      <c r="O82" s="368" t="s">
        <v>145</v>
      </c>
      <c r="P82" s="368"/>
      <c r="Q82" s="368"/>
      <c r="R82" s="368"/>
      <c r="S82" s="376">
        <v>2.59</v>
      </c>
      <c r="AJ82" s="319">
        <f>U31</f>
        <v>0.17499999999999999</v>
      </c>
      <c r="AK82" s="320">
        <f t="shared" si="3"/>
        <v>4.4449999999999994</v>
      </c>
      <c r="AL82" s="321">
        <f>W31</f>
        <v>0</v>
      </c>
      <c r="AM82" s="320">
        <f t="shared" si="1"/>
        <v>0</v>
      </c>
      <c r="AN82" s="321">
        <f>AA31</f>
        <v>0</v>
      </c>
      <c r="AO82" s="320">
        <f t="shared" si="4"/>
        <v>0</v>
      </c>
      <c r="AP82" s="321">
        <f>AE31</f>
        <v>0</v>
      </c>
      <c r="AQ82" s="322">
        <f t="shared" si="2"/>
        <v>0</v>
      </c>
    </row>
    <row r="83" spans="2:43" ht="15" customHeight="1" x14ac:dyDescent="0.25">
      <c r="B83" s="264"/>
      <c r="C83" s="264"/>
      <c r="D83" s="264">
        <v>0</v>
      </c>
      <c r="E83" s="283">
        <f>M42</f>
        <v>0</v>
      </c>
      <c r="F83" s="264"/>
      <c r="G83" s="271" t="e">
        <f>G84/10</f>
        <v>#DIV/0!</v>
      </c>
      <c r="H83" s="271" t="e">
        <f>H84/10</f>
        <v>#DIV/0!</v>
      </c>
      <c r="I83" s="271" t="e">
        <f>I84/10</f>
        <v>#DIV/0!</v>
      </c>
      <c r="J83" s="271" t="e">
        <f>J84/10</f>
        <v>#DIV/0!</v>
      </c>
      <c r="K83" s="271"/>
      <c r="L83" s="265">
        <v>0</v>
      </c>
      <c r="O83" s="368"/>
      <c r="P83" s="368"/>
      <c r="Q83" s="368"/>
      <c r="R83" s="368"/>
      <c r="S83" s="376"/>
      <c r="W83" s="275"/>
      <c r="AJ83" s="319">
        <f>U33</f>
        <v>0.2</v>
      </c>
      <c r="AK83" s="326">
        <f t="shared" si="3"/>
        <v>5.08</v>
      </c>
      <c r="AL83" s="321">
        <f>W33</f>
        <v>0</v>
      </c>
      <c r="AM83" s="326">
        <f t="shared" si="1"/>
        <v>0</v>
      </c>
      <c r="AN83" s="321">
        <f>AA33</f>
        <v>0</v>
      </c>
      <c r="AO83" s="326">
        <f t="shared" si="4"/>
        <v>0</v>
      </c>
      <c r="AP83" s="321">
        <f>AE33</f>
        <v>0</v>
      </c>
      <c r="AQ83" s="327">
        <f t="shared" si="2"/>
        <v>0</v>
      </c>
    </row>
    <row r="84" spans="2:43" ht="15" customHeight="1" x14ac:dyDescent="0.25">
      <c r="C84" s="94"/>
      <c r="D84" s="94"/>
      <c r="E84" s="94"/>
      <c r="F84" s="264"/>
      <c r="G84" s="271" t="e">
        <f>($M$34/(1+(E34*$M$34/100)))*($O$73)</f>
        <v>#DIV/0!</v>
      </c>
      <c r="H84" s="271" t="e">
        <f>($M$34/(1+(F34*$M$34/100)))*($O$73)</f>
        <v>#DIV/0!</v>
      </c>
      <c r="I84" s="271" t="e">
        <f>($M$34/(1+(G34*$M$34/100)))*($O$73)</f>
        <v>#DIV/0!</v>
      </c>
      <c r="J84" s="271" t="e">
        <f>($M$34/(1+(H34*$M$34/100)))*($O$73)</f>
        <v>#DIV/0!</v>
      </c>
      <c r="K84" s="271"/>
      <c r="O84" s="368" t="s">
        <v>146</v>
      </c>
      <c r="P84" s="368"/>
      <c r="Q84" s="368"/>
      <c r="R84" s="368"/>
      <c r="S84" s="376">
        <v>2240</v>
      </c>
      <c r="W84" s="275"/>
      <c r="AJ84" s="319">
        <f>U34</f>
        <v>0.3</v>
      </c>
      <c r="AK84" s="320">
        <f t="shared" si="3"/>
        <v>7.6199999999999992</v>
      </c>
      <c r="AL84" s="321">
        <f>W34</f>
        <v>0</v>
      </c>
      <c r="AM84" s="320">
        <f t="shared" si="1"/>
        <v>0</v>
      </c>
      <c r="AN84" s="321">
        <f>AA34</f>
        <v>0</v>
      </c>
      <c r="AO84" s="320">
        <f t="shared" si="4"/>
        <v>0</v>
      </c>
      <c r="AP84" s="321">
        <f>AE34</f>
        <v>0</v>
      </c>
      <c r="AQ84" s="322">
        <f t="shared" si="2"/>
        <v>0</v>
      </c>
    </row>
    <row r="85" spans="2:43" ht="15" customHeight="1" x14ac:dyDescent="0.25">
      <c r="B85" s="94"/>
      <c r="C85" s="94"/>
      <c r="D85" s="94"/>
      <c r="E85" s="94"/>
      <c r="F85" s="264"/>
      <c r="G85" s="271"/>
      <c r="H85" s="328"/>
      <c r="I85" s="328"/>
      <c r="J85" s="328"/>
      <c r="K85" s="328"/>
      <c r="L85" s="265">
        <f>F85</f>
        <v>0</v>
      </c>
      <c r="O85" s="368"/>
      <c r="P85" s="368"/>
      <c r="Q85" s="368"/>
      <c r="R85" s="368"/>
      <c r="S85" s="376"/>
      <c r="W85" s="275"/>
      <c r="AJ85" s="319">
        <f>U35</f>
        <v>0.4</v>
      </c>
      <c r="AK85" s="320">
        <f>AJ85*25.4</f>
        <v>10.16</v>
      </c>
      <c r="AL85" s="321">
        <f>W35</f>
        <v>0</v>
      </c>
      <c r="AM85" s="320">
        <f t="shared" si="1"/>
        <v>0</v>
      </c>
      <c r="AN85" s="321">
        <f>AA35</f>
        <v>0</v>
      </c>
      <c r="AO85" s="320">
        <f t="shared" si="4"/>
        <v>0</v>
      </c>
      <c r="AP85" s="321">
        <f>AE35</f>
        <v>0</v>
      </c>
      <c r="AQ85" s="322">
        <f>((AP85/19.32)*10)</f>
        <v>0</v>
      </c>
    </row>
    <row r="86" spans="2:43" ht="15" customHeight="1" thickBot="1" x14ac:dyDescent="0.3">
      <c r="B86" s="94" t="s">
        <v>52</v>
      </c>
      <c r="C86" s="94"/>
      <c r="D86" s="94"/>
      <c r="E86" s="94"/>
      <c r="F86" s="264"/>
      <c r="G86" s="264"/>
      <c r="H86" s="264"/>
      <c r="I86" s="264"/>
      <c r="O86" s="368" t="s">
        <v>103</v>
      </c>
      <c r="P86" s="368"/>
      <c r="Q86" s="368"/>
      <c r="R86" s="368"/>
      <c r="S86" s="369">
        <v>999.52</v>
      </c>
      <c r="W86" s="275"/>
      <c r="AJ86" s="329">
        <f>U37</f>
        <v>0.5</v>
      </c>
      <c r="AK86" s="330">
        <f>AJ86*25.4</f>
        <v>12.7</v>
      </c>
      <c r="AL86" s="331">
        <f>W37</f>
        <v>0</v>
      </c>
      <c r="AM86" s="330">
        <f t="shared" si="1"/>
        <v>0</v>
      </c>
      <c r="AN86" s="331">
        <f>AA37</f>
        <v>0</v>
      </c>
      <c r="AO86" s="330">
        <f t="shared" si="4"/>
        <v>0</v>
      </c>
      <c r="AP86" s="331">
        <f>AE37</f>
        <v>0</v>
      </c>
      <c r="AQ86" s="332">
        <f>((AP86/19.32)*10)</f>
        <v>0</v>
      </c>
    </row>
    <row r="87" spans="2:43" x14ac:dyDescent="0.25">
      <c r="B87" s="92" t="s">
        <v>54</v>
      </c>
      <c r="C87" s="93"/>
      <c r="D87" s="93"/>
      <c r="E87" s="93">
        <v>1.7013894740362248</v>
      </c>
      <c r="F87" s="264">
        <v>1.7711108479666662</v>
      </c>
      <c r="G87" s="264">
        <v>1.7821910598417665</v>
      </c>
      <c r="H87" s="264">
        <v>1.7030149725228887</v>
      </c>
      <c r="I87" s="264"/>
      <c r="O87" s="368"/>
      <c r="P87" s="368"/>
      <c r="Q87" s="368"/>
      <c r="R87" s="368"/>
      <c r="S87" s="369"/>
      <c r="W87" s="370"/>
    </row>
    <row r="88" spans="2:43" x14ac:dyDescent="0.25">
      <c r="B88" s="92" t="s">
        <v>234</v>
      </c>
      <c r="C88" s="93"/>
      <c r="D88" s="93"/>
      <c r="E88" s="93"/>
      <c r="F88" s="264"/>
      <c r="G88" s="264"/>
      <c r="H88" s="264"/>
      <c r="I88" s="264"/>
      <c r="W88" s="370"/>
    </row>
    <row r="89" spans="2:43" ht="15.75" thickBot="1" x14ac:dyDescent="0.3">
      <c r="B89" s="92" t="s">
        <v>59</v>
      </c>
      <c r="C89" s="93"/>
      <c r="D89" s="93"/>
      <c r="E89" s="93"/>
      <c r="F89" s="264"/>
      <c r="G89" s="264"/>
      <c r="H89" s="264"/>
      <c r="I89" s="264"/>
      <c r="J89" s="333"/>
      <c r="K89" s="334"/>
      <c r="L89" s="333"/>
      <c r="M89" s="334"/>
      <c r="W89" s="365"/>
    </row>
    <row r="90" spans="2:43" ht="15.75" thickBot="1" x14ac:dyDescent="0.3">
      <c r="B90" s="92" t="s">
        <v>63</v>
      </c>
      <c r="C90" s="93"/>
      <c r="D90" s="93"/>
      <c r="E90" s="93"/>
      <c r="F90" s="264"/>
      <c r="W90" s="365"/>
      <c r="AJ90" s="335" t="str">
        <f>W19</f>
        <v xml:space="preserve">10  GOLPES </v>
      </c>
      <c r="AK90" s="336" t="str">
        <f>AA19</f>
        <v xml:space="preserve">25  GOLPES </v>
      </c>
      <c r="AL90" s="337" t="str">
        <f>AE19</f>
        <v xml:space="preserve">56  GOLPES </v>
      </c>
    </row>
    <row r="91" spans="2:43" ht="21" customHeight="1" thickBot="1" x14ac:dyDescent="0.3">
      <c r="B91" s="92" t="s">
        <v>66</v>
      </c>
      <c r="C91" s="93"/>
      <c r="D91" s="93"/>
      <c r="E91" s="93"/>
      <c r="F91" s="264"/>
      <c r="G91" s="371" t="s">
        <v>48</v>
      </c>
      <c r="H91" s="372"/>
      <c r="I91" s="373"/>
      <c r="J91" s="266"/>
      <c r="W91" s="281"/>
      <c r="AJ91" s="338" t="e">
        <f>Q31</f>
        <v>#DIV/0!</v>
      </c>
      <c r="AK91" s="339" t="e">
        <f>R31</f>
        <v>#DIV/0!</v>
      </c>
      <c r="AL91" s="340" t="e">
        <f>S31</f>
        <v>#DIV/0!</v>
      </c>
    </row>
    <row r="92" spans="2:43" ht="21" customHeight="1" thickBot="1" x14ac:dyDescent="0.3">
      <c r="B92" s="92"/>
      <c r="C92" s="93"/>
      <c r="D92" s="93"/>
      <c r="E92" s="93"/>
      <c r="F92" s="341"/>
      <c r="G92" s="342"/>
      <c r="H92" s="264"/>
      <c r="I92" s="264"/>
      <c r="L92" s="265">
        <v>7.3599999999999994</v>
      </c>
      <c r="O92" s="374" t="s">
        <v>147</v>
      </c>
      <c r="P92" s="375"/>
      <c r="Q92" s="375"/>
      <c r="R92" s="375"/>
      <c r="S92" s="343">
        <f>M42</f>
        <v>0</v>
      </c>
      <c r="W92" s="365"/>
    </row>
    <row r="93" spans="2:43" ht="21" customHeight="1" thickBot="1" x14ac:dyDescent="0.3">
      <c r="B93" s="92"/>
      <c r="C93" s="93"/>
      <c r="D93" s="93"/>
      <c r="E93" s="93"/>
      <c r="H93" s="344"/>
      <c r="I93" s="345"/>
      <c r="L93" s="265">
        <v>0</v>
      </c>
      <c r="O93" s="361" t="s">
        <v>148</v>
      </c>
      <c r="P93" s="362"/>
      <c r="Q93" s="362"/>
      <c r="R93" s="362"/>
      <c r="S93" s="346">
        <v>1.4</v>
      </c>
      <c r="W93" s="365"/>
      <c r="AJ93" s="358" t="s">
        <v>163</v>
      </c>
      <c r="AK93" s="359"/>
      <c r="AL93" s="360"/>
    </row>
    <row r="94" spans="2:43" ht="21" customHeight="1" thickBot="1" x14ac:dyDescent="0.3">
      <c r="B94" s="92"/>
      <c r="C94" s="93"/>
      <c r="D94" s="93"/>
      <c r="E94" s="93"/>
      <c r="L94" s="265">
        <v>7.4379999999999988</v>
      </c>
      <c r="O94" s="361" t="s">
        <v>149</v>
      </c>
      <c r="P94" s="362"/>
      <c r="Q94" s="362"/>
      <c r="R94" s="362"/>
      <c r="S94" s="346">
        <v>0.75</v>
      </c>
      <c r="W94" s="280"/>
      <c r="AJ94" s="347">
        <f>W42</f>
        <v>0</v>
      </c>
      <c r="AK94" s="347">
        <f>AA42</f>
        <v>0</v>
      </c>
      <c r="AL94" s="347">
        <f>AD42</f>
        <v>0</v>
      </c>
    </row>
    <row r="95" spans="2:43" ht="16.5" thickBot="1" x14ac:dyDescent="0.3">
      <c r="B95" s="264"/>
      <c r="C95" s="264"/>
      <c r="D95" s="264"/>
      <c r="L95" s="265">
        <f xml:space="preserve"> SUM(L92:L94)</f>
        <v>14.797999999999998</v>
      </c>
      <c r="O95" s="363" t="s">
        <v>150</v>
      </c>
      <c r="P95" s="364"/>
      <c r="Q95" s="364"/>
      <c r="R95" s="364"/>
      <c r="S95" s="348">
        <v>0.25</v>
      </c>
      <c r="W95" s="281"/>
    </row>
    <row r="96" spans="2:43" x14ac:dyDescent="0.25">
      <c r="B96" s="264"/>
      <c r="C96" s="264"/>
      <c r="D96" s="264"/>
      <c r="E96" s="264"/>
      <c r="W96" s="365"/>
    </row>
    <row r="97" spans="2:26" x14ac:dyDescent="0.25">
      <c r="B97" s="264"/>
      <c r="C97" s="264"/>
      <c r="D97" s="264"/>
      <c r="E97" s="264"/>
      <c r="W97" s="365"/>
    </row>
    <row r="98" spans="2:26" ht="15.75" thickBot="1" x14ac:dyDescent="0.3">
      <c r="B98" s="264"/>
      <c r="C98" s="264"/>
      <c r="D98" s="344"/>
      <c r="E98" s="349"/>
      <c r="W98" s="284"/>
      <c r="Z98" s="350"/>
    </row>
    <row r="99" spans="2:26" x14ac:dyDescent="0.25">
      <c r="B99" s="341"/>
      <c r="C99" s="351"/>
    </row>
    <row r="100" spans="2:26" x14ac:dyDescent="0.25">
      <c r="B100" s="366"/>
      <c r="C100" s="367"/>
    </row>
    <row r="101" spans="2:26" ht="21" x14ac:dyDescent="0.25">
      <c r="B101" s="366"/>
      <c r="C101" s="367"/>
      <c r="D101" s="352" t="s">
        <v>128</v>
      </c>
    </row>
    <row r="102" spans="2:26" ht="21" x14ac:dyDescent="0.25">
      <c r="B102" s="366"/>
      <c r="C102" s="367"/>
      <c r="D102" s="352" t="s">
        <v>129</v>
      </c>
    </row>
    <row r="103" spans="2:26" x14ac:dyDescent="0.25">
      <c r="D103" s="265"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91"/>
    </row>
    <row r="124" spans="15:15" ht="24.75" customHeight="1" x14ac:dyDescent="0.25">
      <c r="O124" s="291"/>
    </row>
    <row r="125" spans="15:15" ht="24.75" customHeight="1" x14ac:dyDescent="0.25">
      <c r="O125" s="291"/>
    </row>
    <row r="126" spans="15:15" ht="24.75" customHeight="1" x14ac:dyDescent="0.25">
      <c r="O126" s="291"/>
    </row>
    <row r="127" spans="15:15" ht="42" customHeight="1" x14ac:dyDescent="0.25">
      <c r="O127" s="295"/>
    </row>
    <row r="128" spans="15:15" ht="42" customHeight="1" x14ac:dyDescent="0.25">
      <c r="O128" s="295"/>
    </row>
    <row r="129" spans="15:15" ht="42" customHeight="1" x14ac:dyDescent="0.25">
      <c r="O129" s="291"/>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s="265" customFormat="1" ht="42" customHeight="1" x14ac:dyDescent="0.25"/>
    <row r="146" s="265" customFormat="1" ht="42" customHeight="1" x14ac:dyDescent="0.25"/>
    <row r="147" s="265" customFormat="1" ht="42" customHeight="1" x14ac:dyDescent="0.25"/>
    <row r="148" s="265" customFormat="1" ht="42" customHeight="1" x14ac:dyDescent="0.25"/>
    <row r="149" s="265" customFormat="1" ht="42" customHeight="1" x14ac:dyDescent="0.25"/>
    <row r="150" s="265" customFormat="1" ht="42" customHeight="1" x14ac:dyDescent="0.25"/>
    <row r="151" s="265" customFormat="1" ht="42" customHeight="1" x14ac:dyDescent="0.25"/>
    <row r="152" s="265" customFormat="1" ht="42" customHeight="1" x14ac:dyDescent="0.25"/>
    <row r="153" s="265" customFormat="1" ht="42" customHeight="1" x14ac:dyDescent="0.25"/>
  </sheetData>
  <sheetProtection algorithmName="SHA-512" hashValue="8dZQYT+n9v8JYGEHvICgvrciTqMgVbmrSqq+yPRsqPWpkKBPC6ZcsPFRAacGXgg5qbIRg2de2kcIyKZk992liw==" saltValue="HamcO7D+i6IpTzdZmq9ExQ==" spinCount="100000" sheet="1"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12 F12:M12 L9:M9 I6:J10">
    <cfRule type="containsBlanks" dxfId="2618" priority="51">
      <formula>LEN(TRIM(D6))=0</formula>
    </cfRule>
  </conditionalFormatting>
  <conditionalFormatting sqref="M19">
    <cfRule type="containsBlanks" dxfId="2617" priority="49">
      <formula>LEN(TRIM(M19))=0</formula>
    </cfRule>
  </conditionalFormatting>
  <conditionalFormatting sqref="CP70">
    <cfRule type="containsBlanks" dxfId="2616" priority="48">
      <formula>LEN(TRIM(CP70))=0</formula>
    </cfRule>
  </conditionalFormatting>
  <conditionalFormatting sqref="M21">
    <cfRule type="containsBlanks" dxfId="2615" priority="47">
      <formula>LEN(TRIM(M21))=0</formula>
    </cfRule>
  </conditionalFormatting>
  <conditionalFormatting sqref="D12:M12">
    <cfRule type="containsBlanks" dxfId="2614" priority="46">
      <formula>LEN(TRIM(D12))=0</formula>
    </cfRule>
  </conditionalFormatting>
  <conditionalFormatting sqref="L9:M9">
    <cfRule type="containsBlanks" dxfId="2613" priority="45">
      <formula>LEN(TRIM(L9))=0</formula>
    </cfRule>
  </conditionalFormatting>
  <conditionalFormatting sqref="L25">
    <cfRule type="containsBlanks" dxfId="2612" priority="44">
      <formula>LEN(TRIM(L25))=0</formula>
    </cfRule>
  </conditionalFormatting>
  <conditionalFormatting sqref="Q20:S21">
    <cfRule type="containsBlanks" dxfId="2611" priority="37">
      <formula>LEN(TRIM(Q20))=0</formula>
    </cfRule>
    <cfRule type="containsBlanks" dxfId="2610" priority="43">
      <formula>LEN(TRIM(Q20))=0</formula>
    </cfRule>
  </conditionalFormatting>
  <conditionalFormatting sqref="U26:V27 AC33 AC26">
    <cfRule type="cellIs" dxfId="2609" priority="42" operator="between">
      <formula>0</formula>
      <formula>500</formula>
    </cfRule>
  </conditionalFormatting>
  <conditionalFormatting sqref="U33:V33">
    <cfRule type="cellIs" dxfId="2608" priority="41" operator="between">
      <formula>0</formula>
      <formula>500</formula>
    </cfRule>
  </conditionalFormatting>
  <conditionalFormatting sqref="AF45:AH46">
    <cfRule type="containsBlanks" dxfId="2607" priority="40">
      <formula>LEN(TRIM(AF45))=0</formula>
    </cfRule>
  </conditionalFormatting>
  <conditionalFormatting sqref="AF51:AG53">
    <cfRule type="containsBlanks" dxfId="2606" priority="39">
      <formula>LEN(TRIM(AF51))=0</formula>
    </cfRule>
  </conditionalFormatting>
  <conditionalFormatting sqref="E20:H24">
    <cfRule type="containsBlanks" dxfId="2605" priority="38">
      <formula>LEN(TRIM(E20))=0</formula>
    </cfRule>
  </conditionalFormatting>
  <conditionalFormatting sqref="M25">
    <cfRule type="containsBlanks" dxfId="2604" priority="36">
      <formula>LEN(TRIM(M25))=0</formula>
    </cfRule>
  </conditionalFormatting>
  <conditionalFormatting sqref="U26:V27 Y26:Z27 AC26:AD27 AG26:AG27">
    <cfRule type="containsBlanks" dxfId="2603" priority="34">
      <formula>LEN(TRIM(U26))=0</formula>
    </cfRule>
    <cfRule type="cellIs" dxfId="2602" priority="35" operator="between">
      <formula>0</formula>
      <formula>1000</formula>
    </cfRule>
  </conditionalFormatting>
  <conditionalFormatting sqref="W87:W88">
    <cfRule type="cellIs" dxfId="2601" priority="33" operator="between">
      <formula>0</formula>
      <formula>500</formula>
    </cfRule>
  </conditionalFormatting>
  <conditionalFormatting sqref="W94">
    <cfRule type="cellIs" dxfId="2600" priority="32" operator="between">
      <formula>0</formula>
      <formula>500</formula>
    </cfRule>
  </conditionalFormatting>
  <conditionalFormatting sqref="W87:W88">
    <cfRule type="containsBlanks" dxfId="2599" priority="30">
      <formula>LEN(TRIM(W87))=0</formula>
    </cfRule>
    <cfRule type="cellIs" dxfId="2598" priority="31" operator="between">
      <formula>0</formula>
      <formula>1000</formula>
    </cfRule>
  </conditionalFormatting>
  <conditionalFormatting sqref="U33:V33 Y33:Z33 AC33:AD33 AG33">
    <cfRule type="cellIs" dxfId="2597" priority="29" operator="between">
      <formula>0</formula>
      <formula>1000</formula>
    </cfRule>
  </conditionalFormatting>
  <conditionalFormatting sqref="Q27:S27">
    <cfRule type="containsBlanks" dxfId="2596" priority="27">
      <formula>LEN(TRIM(Q27))=0</formula>
    </cfRule>
    <cfRule type="containsBlanks" dxfId="2595" priority="28">
      <formula>LEN(TRIM(Q27))=0</formula>
    </cfRule>
  </conditionalFormatting>
  <conditionalFormatting sqref="W30:W31 W33:W35 W37 W28 W22:W26">
    <cfRule type="containsBlanks" dxfId="2594" priority="26">
      <formula>LEN(TRIM(W22))=0</formula>
    </cfRule>
  </conditionalFormatting>
  <conditionalFormatting sqref="W37 W30:W31 W33:W35 W28 W22:W26">
    <cfRule type="containsBlanks" dxfId="2593" priority="25">
      <formula>LEN(TRIM(W22))=0</formula>
    </cfRule>
  </conditionalFormatting>
  <conditionalFormatting sqref="W33:X33">
    <cfRule type="cellIs" dxfId="2592" priority="24" operator="between">
      <formula>0</formula>
      <formula>1000</formula>
    </cfRule>
  </conditionalFormatting>
  <conditionalFormatting sqref="W30:X37 W26 W28 W22:X25">
    <cfRule type="containsBlanks" dxfId="2591" priority="23">
      <formula>LEN(TRIM(W22))=0</formula>
    </cfRule>
  </conditionalFormatting>
  <conditionalFormatting sqref="AA37 AA30:AA31 AA33 AA22:AA26 AA28 AA35">
    <cfRule type="containsBlanks" dxfId="2590" priority="22">
      <formula>LEN(TRIM(AA22))=0</formula>
    </cfRule>
  </conditionalFormatting>
  <conditionalFormatting sqref="AA37 AA30:AA31 AA33 AA22:AA26 AA28 AA35">
    <cfRule type="containsBlanks" dxfId="2589" priority="21">
      <formula>LEN(TRIM(AA22))=0</formula>
    </cfRule>
  </conditionalFormatting>
  <conditionalFormatting sqref="AA33:AB33">
    <cfRule type="cellIs" dxfId="2588" priority="20" operator="between">
      <formula>0</formula>
      <formula>1000</formula>
    </cfRule>
  </conditionalFormatting>
  <conditionalFormatting sqref="AA30:AB30 AA31 AA33:AB33 AA22:AB25 AA26 AA28 AA35:AB37">
    <cfRule type="containsBlanks" dxfId="2587" priority="19">
      <formula>LEN(TRIM(AA22))=0</formula>
    </cfRule>
  </conditionalFormatting>
  <conditionalFormatting sqref="AE37 AE28 AE30:AE31 AE33:AE35 AE22:AE26">
    <cfRule type="containsBlanks" dxfId="2586" priority="18">
      <formula>LEN(TRIM(AE22))=0</formula>
    </cfRule>
  </conditionalFormatting>
  <conditionalFormatting sqref="AE37 AE28 AE30:AE31 AE33:AE35 AE22:AE26">
    <cfRule type="containsBlanks" dxfId="2585" priority="17">
      <formula>LEN(TRIM(AE22))=0</formula>
    </cfRule>
  </conditionalFormatting>
  <conditionalFormatting sqref="AE33:AF33">
    <cfRule type="cellIs" dxfId="2584" priority="16" operator="between">
      <formula>0</formula>
      <formula>1000</formula>
    </cfRule>
  </conditionalFormatting>
  <conditionalFormatting sqref="AE33:AF37 AE26 AE28 AE30:AE31 AE22:AF25">
    <cfRule type="containsBlanks" dxfId="2583" priority="15">
      <formula>LEN(TRIM(AE22))=0</formula>
    </cfRule>
  </conditionalFormatting>
  <conditionalFormatting sqref="K6:M6">
    <cfRule type="containsBlanks" dxfId="2582" priority="14">
      <formula>LEN(TRIM(K6))=0</formula>
    </cfRule>
  </conditionalFormatting>
  <conditionalFormatting sqref="K7:K8">
    <cfRule type="containsBlanks" dxfId="2581" priority="13">
      <formula>LEN(TRIM(K7))=0</formula>
    </cfRule>
  </conditionalFormatting>
  <conditionalFormatting sqref="D13:M13">
    <cfRule type="containsBlanks" dxfId="2580" priority="12">
      <formula>LEN(TRIM(D13))=0</formula>
    </cfRule>
  </conditionalFormatting>
  <conditionalFormatting sqref="B6:B10">
    <cfRule type="containsBlanks" dxfId="2579" priority="11">
      <formula>LEN(TRIM(B6))=0</formula>
    </cfRule>
  </conditionalFormatting>
  <conditionalFormatting sqref="B12:B13">
    <cfRule type="containsBlanks" dxfId="2578" priority="10">
      <formula>LEN(TRIM(B12))=0</formula>
    </cfRule>
  </conditionalFormatting>
  <conditionalFormatting sqref="E28:H33">
    <cfRule type="containsBlanks" dxfId="2577" priority="9">
      <formula>LEN(TRIM(E28))=0</formula>
    </cfRule>
  </conditionalFormatting>
  <conditionalFormatting sqref="Q22:S26">
    <cfRule type="containsBlanks" dxfId="2576" priority="7">
      <formula>LEN(TRIM(Q22))=0</formula>
    </cfRule>
    <cfRule type="containsBlanks" dxfId="2575" priority="8">
      <formula>LEN(TRIM(Q22))=0</formula>
    </cfRule>
  </conditionalFormatting>
  <conditionalFormatting sqref="Q34:S39">
    <cfRule type="containsBlanks" dxfId="2574" priority="6">
      <formula>LEN(TRIM(Q34))=0</formula>
    </cfRule>
  </conditionalFormatting>
  <conditionalFormatting sqref="Q42:S46">
    <cfRule type="containsBlanks" dxfId="2573" priority="5">
      <formula>LEN(TRIM(Q42))=0</formula>
    </cfRule>
  </conditionalFormatting>
  <conditionalFormatting sqref="D6:D10">
    <cfRule type="containsBlanks" dxfId="2572" priority="4">
      <formula>LEN(TRIM(D6))=0</formula>
    </cfRule>
  </conditionalFormatting>
  <conditionalFormatting sqref="H12 F12 K12 M12 L9:M9">
    <cfRule type="containsBlanks" dxfId="2571" priority="3">
      <formula>LEN(TRIM(F9))=0</formula>
    </cfRule>
  </conditionalFormatting>
  <conditionalFormatting sqref="D12:E12">
    <cfRule type="containsBlanks" dxfId="2570" priority="2">
      <formula>LEN(TRIM(D12))=0</formula>
    </cfRule>
  </conditionalFormatting>
  <conditionalFormatting sqref="M26:M27 M42">
    <cfRule type="containsBlanks" dxfId="0" priority="1">
      <formula>LEN(TRIM(M26))=0</formula>
    </cfRule>
  </conditionalFormatting>
  <dataValidations count="5">
    <dataValidation type="list" allowBlank="1" showInputMessage="1" showErrorMessage="1" sqref="L25" xr:uid="{00000000-0002-0000-1200-000000000000}">
      <formula1>$D$101:$D$104</formula1>
    </dataValidation>
    <dataValidation type="list" allowBlank="1" showInputMessage="1" showErrorMessage="1" sqref="M21" xr:uid="{00000000-0002-0000-1200-000001000000}">
      <formula1>$AX$3:$AX$4</formula1>
    </dataValidation>
    <dataValidation type="list" allowBlank="1" showInputMessage="1" showErrorMessage="1" sqref="M19" xr:uid="{00000000-0002-0000-1200-000002000000}">
      <formula1>$AX$3:$AX$5</formula1>
    </dataValidation>
    <dataValidation type="list" allowBlank="1" showInputMessage="1" showErrorMessage="1" sqref="CP70" xr:uid="{00000000-0002-0000-1200-000003000000}">
      <formula1>$BA$3:$BA$5</formula1>
    </dataValidation>
    <dataValidation type="list" allowBlank="1" showInputMessage="1" showErrorMessage="1" sqref="D12:E12" xr:uid="{00000000-0002-0000-1200-000004000000}">
      <formula1>$B$87:$B$94</formula1>
    </dataValidation>
  </dataValidations>
  <hyperlinks>
    <hyperlink ref="Q12" r:id="rId1" display="=@CONCAT(D12;&quot; &quot;;&quot; &quot;;F12)" xr:uid="{96E7B5F5-62BA-439D-8AC1-CFB4A68506C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37217"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37218"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37219"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3722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3722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37222"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37223"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3722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3722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3722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9CC11F-8F24-4029-A072-116A1B291576}">
  <dimension ref="C3:E9"/>
  <sheetViews>
    <sheetView workbookViewId="0">
      <selection activeCell="D13" sqref="D13"/>
    </sheetView>
  </sheetViews>
  <sheetFormatPr baseColWidth="10" defaultRowHeight="15" x14ac:dyDescent="0.25"/>
  <cols>
    <col min="4" max="4" width="29.85546875" customWidth="1"/>
    <col min="5" max="5" width="76" customWidth="1"/>
  </cols>
  <sheetData>
    <row r="3" spans="3:5" ht="15.75" thickBot="1" x14ac:dyDescent="0.3"/>
    <row r="4" spans="3:5" ht="16.5" thickBot="1" x14ac:dyDescent="0.3">
      <c r="C4" s="786" t="s">
        <v>332</v>
      </c>
      <c r="D4" s="787"/>
      <c r="E4" s="788"/>
    </row>
    <row r="5" spans="3:5" ht="32.25" thickBot="1" x14ac:dyDescent="0.3">
      <c r="C5" s="251" t="s">
        <v>333</v>
      </c>
      <c r="D5" s="252" t="s">
        <v>334</v>
      </c>
      <c r="E5" s="252" t="s">
        <v>335</v>
      </c>
    </row>
    <row r="6" spans="3:5" ht="25.5" customHeight="1" thickBot="1" x14ac:dyDescent="0.3">
      <c r="C6" s="253">
        <v>0</v>
      </c>
      <c r="D6" s="254">
        <v>44886</v>
      </c>
      <c r="E6" s="256" t="s">
        <v>336</v>
      </c>
    </row>
    <row r="7" spans="3:5" ht="16.5" thickBot="1" x14ac:dyDescent="0.3">
      <c r="C7" s="253">
        <v>1</v>
      </c>
      <c r="D7" s="254">
        <v>45253</v>
      </c>
      <c r="E7" s="256" t="s">
        <v>337</v>
      </c>
    </row>
    <row r="8" spans="3:5" ht="16.5" thickBot="1" x14ac:dyDescent="0.3">
      <c r="C8" s="253">
        <v>2</v>
      </c>
      <c r="D8" s="254">
        <v>45401</v>
      </c>
      <c r="E8" s="256" t="s">
        <v>338</v>
      </c>
    </row>
    <row r="9" spans="3:5" ht="15.75" thickBot="1" x14ac:dyDescent="0.3">
      <c r="C9" s="257"/>
      <c r="D9" s="255"/>
      <c r="E9" s="255"/>
    </row>
  </sheetData>
  <mergeCells count="1">
    <mergeCell ref="C4:E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60">
    <tabColor theme="8" tint="0.79998168889431442"/>
  </sheetPr>
  <dimension ref="A1:CP153"/>
  <sheetViews>
    <sheetView view="pageBreakPreview" topLeftCell="S37" zoomScale="80" zoomScaleNormal="100" zoomScaleSheetLayoutView="8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25-P-VILLA RICA AP1-2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25-P-VILLA RICA AP1-2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233</v>
      </c>
      <c r="G12" s="31" t="s">
        <v>4</v>
      </c>
      <c r="H12" s="146">
        <v>2</v>
      </c>
      <c r="I12" s="546" t="s">
        <v>5</v>
      </c>
      <c r="J12" s="546"/>
      <c r="K12" s="209">
        <v>1</v>
      </c>
      <c r="L12" s="32" t="s">
        <v>6</v>
      </c>
      <c r="M12" s="147">
        <v>1.5</v>
      </c>
      <c r="N12" s="78"/>
      <c r="O12" s="501" t="s">
        <v>3</v>
      </c>
      <c r="P12" s="501"/>
      <c r="Q12" s="225" t="s">
        <v>234</v>
      </c>
      <c r="R12" s="224" t="str">
        <f>F12</f>
        <v>P-VILLA RICA AP1</v>
      </c>
      <c r="S12" s="224"/>
      <c r="T12" s="502" t="s">
        <v>4</v>
      </c>
      <c r="U12" s="502"/>
      <c r="V12" s="33">
        <f>+H12</f>
        <v>2</v>
      </c>
      <c r="W12" s="547" t="s">
        <v>5</v>
      </c>
      <c r="X12" s="547"/>
      <c r="Y12" s="547"/>
      <c r="Z12" s="547"/>
      <c r="AA12" s="547"/>
      <c r="AB12" s="547"/>
      <c r="AC12" s="34">
        <f>K12</f>
        <v>1</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254</v>
      </c>
      <c r="E13" s="479"/>
      <c r="F13" s="479"/>
      <c r="G13" s="479"/>
      <c r="H13" s="479"/>
      <c r="I13" s="479"/>
      <c r="J13" s="479"/>
      <c r="K13" s="479"/>
      <c r="L13" s="479"/>
      <c r="M13" s="480"/>
      <c r="N13" s="188"/>
      <c r="O13" s="526" t="s">
        <v>130</v>
      </c>
      <c r="P13" s="526"/>
      <c r="Q13" s="527" t="str">
        <f>D13</f>
        <v>ARCILLA DE ALTA PLASTICIDAD, CON VETAS DE OXIDACIÓN, DE COLOR GRIS OSCURO, CONSISTENCIA FIRME,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48">
        <v>580</v>
      </c>
      <c r="R20" s="148">
        <v>607</v>
      </c>
      <c r="S20" s="149">
        <v>547</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11137</v>
      </c>
      <c r="F22" s="150">
        <v>11489</v>
      </c>
      <c r="G22" s="150">
        <v>11452</v>
      </c>
      <c r="H22" s="151">
        <v>11349</v>
      </c>
      <c r="I22" s="174"/>
      <c r="J22" s="578"/>
      <c r="K22" s="578"/>
      <c r="L22" s="578"/>
      <c r="M22" s="104"/>
      <c r="N22" s="103"/>
      <c r="O22" s="579" t="s">
        <v>132</v>
      </c>
      <c r="P22" s="580"/>
      <c r="Q22" s="219">
        <v>7890</v>
      </c>
      <c r="R22" s="219">
        <v>7658</v>
      </c>
      <c r="S22" s="208">
        <v>7568</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0.14799999999999999</v>
      </c>
      <c r="AJ22" s="42">
        <f>AJ50/1.52</f>
        <v>9.7368421052631576E-2</v>
      </c>
      <c r="AK22" s="42">
        <f>AJ22*0.75</f>
        <v>7.3026315789473689E-2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3862</v>
      </c>
      <c r="R23" s="150">
        <v>3828</v>
      </c>
      <c r="S23" s="151">
        <v>3852</v>
      </c>
      <c r="T23" s="174"/>
      <c r="U23" s="112">
        <v>2.5000000000000001E-2</v>
      </c>
      <c r="V23" s="113">
        <f>U23*25.4</f>
        <v>0.63500000000000001</v>
      </c>
      <c r="W23" s="581">
        <f>AI23</f>
        <v>0.61399999999999999</v>
      </c>
      <c r="X23" s="582"/>
      <c r="Y23" s="449">
        <f>((W23/19.32)*10)</f>
        <v>0.31780538302277428</v>
      </c>
      <c r="Z23" s="450"/>
      <c r="AA23" s="581">
        <v>0.39800000000000002</v>
      </c>
      <c r="AB23" s="582"/>
      <c r="AC23" s="449">
        <f>((AA23/19.32)*10)</f>
        <v>0.2060041407867495</v>
      </c>
      <c r="AD23" s="450"/>
      <c r="AE23" s="581">
        <v>0.27800000000000002</v>
      </c>
      <c r="AF23" s="582"/>
      <c r="AG23" s="114">
        <f>((AE23/19.32)*10)</f>
        <v>0.14389233954451347</v>
      </c>
      <c r="AH23" s="104"/>
      <c r="AI23" s="42">
        <f t="shared" ref="AI23:AI33" si="0">AJ51</f>
        <v>0.61399999999999999</v>
      </c>
      <c r="AJ23" s="42">
        <f t="shared" ref="AJ23:AJ33" si="1">AJ51/1.52</f>
        <v>0.40394736842105261</v>
      </c>
      <c r="AK23" s="42">
        <f t="shared" ref="AK23:AK33" si="2">AJ23*0.75</f>
        <v>0.30296052631578946</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11.32</v>
      </c>
      <c r="S24" s="153">
        <v>11.23</v>
      </c>
      <c r="T24" s="174"/>
      <c r="U24" s="112">
        <v>0.05</v>
      </c>
      <c r="V24" s="113">
        <f>U24*25.4</f>
        <v>1.27</v>
      </c>
      <c r="W24" s="581">
        <f>AI24</f>
        <v>1.093</v>
      </c>
      <c r="X24" s="582"/>
      <c r="Y24" s="449">
        <f>((W24/19.32)*10)</f>
        <v>0.56573498964803315</v>
      </c>
      <c r="Z24" s="450"/>
      <c r="AA24" s="581">
        <v>0.69799999999999995</v>
      </c>
      <c r="AB24" s="582"/>
      <c r="AC24" s="449">
        <f>((AA24/19.32)*10)</f>
        <v>0.36128364389233952</v>
      </c>
      <c r="AD24" s="450"/>
      <c r="AE24" s="581">
        <v>0.501</v>
      </c>
      <c r="AF24" s="582"/>
      <c r="AG24" s="114">
        <f>((AE24/19.32)*10)</f>
        <v>0.25931677018633537</v>
      </c>
      <c r="AH24" s="104"/>
      <c r="AI24" s="42">
        <f t="shared" si="0"/>
        <v>1.093</v>
      </c>
      <c r="AJ24" s="42">
        <f t="shared" si="1"/>
        <v>0.71907894736842104</v>
      </c>
      <c r="AK24" s="42">
        <f t="shared" si="2"/>
        <v>0.53930921052631575</v>
      </c>
      <c r="AO24" s="42">
        <v>0.68400000000000005</v>
      </c>
      <c r="AS24" s="42">
        <f t="shared" si="3"/>
        <v>0.55609756097560981</v>
      </c>
    </row>
    <row r="25" spans="1:45" ht="24.95" customHeight="1" thickBot="1" x14ac:dyDescent="0.3">
      <c r="A25" s="103"/>
      <c r="B25" s="602" t="s">
        <v>69</v>
      </c>
      <c r="C25" s="603"/>
      <c r="D25" s="603"/>
      <c r="E25" s="115">
        <f>E22-E23</f>
        <v>3825</v>
      </c>
      <c r="F25" s="115">
        <f>F22-F23</f>
        <v>4177</v>
      </c>
      <c r="G25" s="115">
        <f>G22-G23</f>
        <v>4140</v>
      </c>
      <c r="H25" s="116">
        <f>H22-H23</f>
        <v>4037</v>
      </c>
      <c r="I25" s="174"/>
      <c r="J25" s="174" t="s">
        <v>127</v>
      </c>
      <c r="K25" s="174"/>
      <c r="L25" s="218" t="s">
        <v>128</v>
      </c>
      <c r="M25" s="246">
        <v>0</v>
      </c>
      <c r="N25" s="103"/>
      <c r="O25" s="604" t="s">
        <v>46</v>
      </c>
      <c r="P25" s="605"/>
      <c r="Q25" s="608">
        <v>15.15</v>
      </c>
      <c r="R25" s="608">
        <v>15.25</v>
      </c>
      <c r="S25" s="610">
        <v>15.24</v>
      </c>
      <c r="T25" s="174"/>
      <c r="U25" s="112">
        <v>7.4999999999999997E-2</v>
      </c>
      <c r="V25" s="113">
        <f>U25*25.4</f>
        <v>1.9049999999999998</v>
      </c>
      <c r="W25" s="581">
        <f>AI25</f>
        <v>1.4319999999999999</v>
      </c>
      <c r="X25" s="582"/>
      <c r="Y25" s="449">
        <f>((W25/19.32)*10)</f>
        <v>0.74120082815734989</v>
      </c>
      <c r="Z25" s="450"/>
      <c r="AA25" s="581">
        <v>0.93500000000000005</v>
      </c>
      <c r="AB25" s="582"/>
      <c r="AC25" s="449">
        <f>((AA25/19.32)*10)</f>
        <v>0.48395445134575565</v>
      </c>
      <c r="AD25" s="450"/>
      <c r="AE25" s="581">
        <v>0.68899999999999995</v>
      </c>
      <c r="AF25" s="582"/>
      <c r="AG25" s="114">
        <f>((AE25/19.32)*10)</f>
        <v>0.35662525879917184</v>
      </c>
      <c r="AH25" s="104"/>
      <c r="AI25" s="42">
        <f t="shared" si="0"/>
        <v>1.4319999999999999</v>
      </c>
      <c r="AJ25" s="42">
        <f t="shared" si="1"/>
        <v>0.94210526315789467</v>
      </c>
      <c r="AK25" s="42">
        <f t="shared" si="2"/>
        <v>0.70657894736842097</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1.6870000000000001</v>
      </c>
      <c r="X26" s="779"/>
      <c r="Y26" s="461">
        <f>((W26/19.32)*10)</f>
        <v>0.87318840579710155</v>
      </c>
      <c r="Z26" s="462"/>
      <c r="AA26" s="746">
        <v>1.1040000000000001</v>
      </c>
      <c r="AB26" s="747"/>
      <c r="AC26" s="461">
        <f>((AA26/19.32)*10)</f>
        <v>0.57142857142857151</v>
      </c>
      <c r="AD26" s="462"/>
      <c r="AE26" s="746">
        <f>AK26</f>
        <v>0.83240131578947363</v>
      </c>
      <c r="AF26" s="747"/>
      <c r="AG26" s="469">
        <f>((AE26/19.32)*10)</f>
        <v>0.43084954233409606</v>
      </c>
      <c r="AH26" s="104"/>
      <c r="AI26" s="42">
        <f t="shared" si="0"/>
        <v>1.6870000000000001</v>
      </c>
      <c r="AJ26" s="42">
        <f t="shared" si="1"/>
        <v>1.1098684210526315</v>
      </c>
      <c r="AK26" s="42">
        <f t="shared" si="2"/>
        <v>0.83240131578947363</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2091.0919795173336</v>
      </c>
      <c r="R27" s="152">
        <f>(PI()*((R25^2)/4)*R24)</f>
        <v>2067.645095446348</v>
      </c>
      <c r="S27" s="153">
        <f>(PI()*((S25^2)/4)*S24)</f>
        <v>2048.5169964953639</v>
      </c>
      <c r="T27" s="174"/>
      <c r="U27" s="600"/>
      <c r="V27" s="601"/>
      <c r="W27" s="780"/>
      <c r="X27" s="781"/>
      <c r="Y27" s="463"/>
      <c r="Z27" s="464"/>
      <c r="AA27" s="748"/>
      <c r="AB27" s="749"/>
      <c r="AC27" s="463"/>
      <c r="AD27" s="464"/>
      <c r="AE27" s="748"/>
      <c r="AF27" s="749"/>
      <c r="AG27" s="470"/>
      <c r="AH27" s="193"/>
      <c r="AI27" s="42">
        <f t="shared" si="0"/>
        <v>1.996</v>
      </c>
      <c r="AJ27" s="42">
        <f t="shared" si="1"/>
        <v>1.3131578947368421</v>
      </c>
      <c r="AK27" s="42">
        <f t="shared" si="2"/>
        <v>0.9848684210526315</v>
      </c>
      <c r="AO27" s="42">
        <v>2.387</v>
      </c>
      <c r="AS27" s="42">
        <f t="shared" si="3"/>
        <v>1.9406504065040651</v>
      </c>
    </row>
    <row r="28" spans="1:45" ht="24.95" customHeight="1" thickBot="1" x14ac:dyDescent="0.3">
      <c r="A28" s="103"/>
      <c r="B28" s="560" t="s">
        <v>9</v>
      </c>
      <c r="C28" s="561"/>
      <c r="D28" s="561"/>
      <c r="E28" s="148">
        <v>648</v>
      </c>
      <c r="F28" s="148">
        <v>220</v>
      </c>
      <c r="G28" s="148">
        <v>214</v>
      </c>
      <c r="H28" s="149">
        <v>618</v>
      </c>
      <c r="I28" s="174"/>
      <c r="J28" s="597" t="s">
        <v>107</v>
      </c>
      <c r="K28" s="597"/>
      <c r="L28" s="562" t="s">
        <v>119</v>
      </c>
      <c r="M28" s="459">
        <f>IF(M26="","",(100-M26))</f>
        <v>100</v>
      </c>
      <c r="N28" s="103"/>
      <c r="O28" s="625" t="s">
        <v>136</v>
      </c>
      <c r="P28" s="626"/>
      <c r="Q28" s="220">
        <f>Q22-Q23</f>
        <v>4028</v>
      </c>
      <c r="R28" s="220">
        <f>R22-R23</f>
        <v>3830</v>
      </c>
      <c r="S28" s="221">
        <f>S22-S23</f>
        <v>3716</v>
      </c>
      <c r="T28" s="174"/>
      <c r="U28" s="627">
        <v>0.125</v>
      </c>
      <c r="V28" s="624">
        <f>U28*25.4</f>
        <v>3.1749999999999998</v>
      </c>
      <c r="W28" s="593">
        <f>AI27</f>
        <v>1.996</v>
      </c>
      <c r="X28" s="594"/>
      <c r="Y28" s="439">
        <f>((W28/19.32)*10)</f>
        <v>1.0331262939958592</v>
      </c>
      <c r="Z28" s="440"/>
      <c r="AA28" s="593">
        <f>AJ27</f>
        <v>1.3131578947368421</v>
      </c>
      <c r="AB28" s="594"/>
      <c r="AC28" s="439">
        <f>((AA28/19.32)*10)</f>
        <v>0.67968835131306526</v>
      </c>
      <c r="AD28" s="440"/>
      <c r="AE28" s="593">
        <f>AK27</f>
        <v>0.9848684210526315</v>
      </c>
      <c r="AF28" s="594"/>
      <c r="AG28" s="443">
        <f>((AE28/19.32)*10)</f>
        <v>0.50976626348479892</v>
      </c>
      <c r="AH28" s="104"/>
      <c r="AI28" s="42">
        <f t="shared" si="0"/>
        <v>2.2679999999999998</v>
      </c>
      <c r="AJ28" s="42">
        <f t="shared" si="1"/>
        <v>1.4921052631578946</v>
      </c>
      <c r="AK28" s="42">
        <f t="shared" si="2"/>
        <v>1.1190789473684211</v>
      </c>
      <c r="AO28" s="42">
        <v>2.8959999999999999</v>
      </c>
      <c r="AS28" s="42">
        <f t="shared" si="3"/>
        <v>2.3544715447154472</v>
      </c>
    </row>
    <row r="29" spans="1:45" ht="5.0999999999999996" customHeight="1" thickBot="1" x14ac:dyDescent="0.3">
      <c r="A29" s="103"/>
      <c r="B29" s="612" t="s">
        <v>73</v>
      </c>
      <c r="C29" s="613"/>
      <c r="D29" s="614"/>
      <c r="E29" s="618">
        <v>846.35</v>
      </c>
      <c r="F29" s="618">
        <v>725.38</v>
      </c>
      <c r="G29" s="618">
        <v>811.65</v>
      </c>
      <c r="H29" s="620">
        <v>688.67</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2.5230000000000001</v>
      </c>
      <c r="AJ29" s="42">
        <f t="shared" si="1"/>
        <v>1.6598684210526315</v>
      </c>
      <c r="AK29" s="42">
        <f t="shared" si="2"/>
        <v>1.2449013157894737</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15.442474384615386</v>
      </c>
      <c r="N30" s="103"/>
      <c r="O30" s="622" t="s">
        <v>134</v>
      </c>
      <c r="P30" s="623"/>
      <c r="Q30" s="229">
        <f>Q28/Q27</f>
        <v>1.9262662950530489</v>
      </c>
      <c r="R30" s="229">
        <f>R28/R27</f>
        <v>1.8523488428623229</v>
      </c>
      <c r="S30" s="131">
        <f>S28/S27</f>
        <v>1.8139952006048243</v>
      </c>
      <c r="T30" s="174"/>
      <c r="U30" s="120">
        <v>0.15</v>
      </c>
      <c r="V30" s="113">
        <f>U30*25.4</f>
        <v>3.8099999999999996</v>
      </c>
      <c r="W30" s="581">
        <f>AI28</f>
        <v>2.2679999999999998</v>
      </c>
      <c r="X30" s="582"/>
      <c r="Y30" s="449">
        <f>((W30/19.32)*10)</f>
        <v>1.1739130434782608</v>
      </c>
      <c r="Z30" s="450"/>
      <c r="AA30" s="581">
        <f>AJ28</f>
        <v>1.4921052631578946</v>
      </c>
      <c r="AB30" s="582"/>
      <c r="AC30" s="449">
        <f>((AA30/19.32)*10)</f>
        <v>0.77231121281464521</v>
      </c>
      <c r="AD30" s="450"/>
      <c r="AE30" s="581">
        <f>AK28</f>
        <v>1.1190789473684211</v>
      </c>
      <c r="AF30" s="582"/>
      <c r="AG30" s="114">
        <f>((AE30/19.32)*10)</f>
        <v>0.57923340961098402</v>
      </c>
      <c r="AH30" s="104"/>
      <c r="AI30" s="42">
        <f t="shared" si="0"/>
        <v>2.6970000000000001</v>
      </c>
      <c r="AJ30" s="42">
        <f t="shared" si="1"/>
        <v>1.7743421052631578</v>
      </c>
      <c r="AK30" s="42">
        <f t="shared" si="2"/>
        <v>1.3307565789473683</v>
      </c>
      <c r="AO30" s="42">
        <v>3.8439999999999999</v>
      </c>
      <c r="AS30" s="42">
        <f t="shared" si="3"/>
        <v>3.1252032520325201</v>
      </c>
    </row>
    <row r="31" spans="1:45" ht="24.95" customHeight="1" thickBot="1" x14ac:dyDescent="0.3">
      <c r="A31" s="103"/>
      <c r="B31" s="576" t="s">
        <v>74</v>
      </c>
      <c r="C31" s="577"/>
      <c r="D31" s="577"/>
      <c r="E31" s="152">
        <v>710.75</v>
      </c>
      <c r="F31" s="152">
        <v>597.15</v>
      </c>
      <c r="G31" s="152">
        <v>654.09</v>
      </c>
      <c r="H31" s="153">
        <v>541.34</v>
      </c>
      <c r="I31" s="174"/>
      <c r="J31" s="597" t="s">
        <v>138</v>
      </c>
      <c r="K31" s="597"/>
      <c r="L31" s="562" t="s">
        <v>116</v>
      </c>
      <c r="M31" s="457">
        <f>IF(M25="","",S82)</f>
        <v>2.7120000000000002</v>
      </c>
      <c r="N31" s="121"/>
      <c r="O31" s="628" t="s">
        <v>135</v>
      </c>
      <c r="P31" s="629"/>
      <c r="Q31" s="122">
        <f>Q30/(1+Q40/100)</f>
        <v>1.5424865242927284</v>
      </c>
      <c r="R31" s="122">
        <f>R30/(1+R40/100)</f>
        <v>1.4837061662729543</v>
      </c>
      <c r="S31" s="123">
        <f>S30/(1+S40/100)</f>
        <v>1.4535036779097672</v>
      </c>
      <c r="T31" s="174"/>
      <c r="U31" s="627">
        <v>0.17499999999999999</v>
      </c>
      <c r="V31" s="624">
        <f>U31*25.4</f>
        <v>4.4449999999999994</v>
      </c>
      <c r="W31" s="593">
        <f>AI29</f>
        <v>2.5230000000000001</v>
      </c>
      <c r="X31" s="594"/>
      <c r="Y31" s="439">
        <f>((W31/19.32)*10)</f>
        <v>1.3059006211180124</v>
      </c>
      <c r="Z31" s="440"/>
      <c r="AA31" s="593">
        <f>AJ29</f>
        <v>1.6598684210526315</v>
      </c>
      <c r="AB31" s="594"/>
      <c r="AC31" s="439">
        <f>((AA31/19.32)*10)</f>
        <v>0.85914514547237653</v>
      </c>
      <c r="AD31" s="440"/>
      <c r="AE31" s="593">
        <f>AK29</f>
        <v>1.2449013157894737</v>
      </c>
      <c r="AF31" s="594"/>
      <c r="AG31" s="443">
        <f>((AE31/19.32)*10)</f>
        <v>0.64435885910428248</v>
      </c>
      <c r="AH31" s="104"/>
      <c r="AI31" s="42">
        <f t="shared" si="0"/>
        <v>3.4860000000000002</v>
      </c>
      <c r="AJ31" s="42">
        <f t="shared" si="1"/>
        <v>2.293421052631579</v>
      </c>
      <c r="AK31" s="42">
        <f t="shared" si="2"/>
        <v>1.7200657894736842</v>
      </c>
      <c r="AO31" s="42">
        <v>5.516</v>
      </c>
      <c r="AS31" s="42">
        <f t="shared" si="3"/>
        <v>4.4845528455284551</v>
      </c>
    </row>
    <row r="32" spans="1:45" ht="5.0999999999999996" customHeight="1" thickBot="1" x14ac:dyDescent="0.3">
      <c r="A32" s="103"/>
      <c r="B32" s="612" t="s">
        <v>75</v>
      </c>
      <c r="C32" s="613"/>
      <c r="D32" s="614"/>
      <c r="E32" s="618">
        <v>37.85</v>
      </c>
      <c r="F32" s="618">
        <v>61.46</v>
      </c>
      <c r="G32" s="618">
        <v>65.900000000000006</v>
      </c>
      <c r="H32" s="620">
        <v>46.85</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4.07</v>
      </c>
      <c r="AJ32" s="42">
        <f t="shared" si="1"/>
        <v>2.6776315789473686</v>
      </c>
      <c r="AK32" s="42">
        <f t="shared" si="2"/>
        <v>2.0082236842105265</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2.6970000000000001</v>
      </c>
      <c r="X33" s="582"/>
      <c r="Y33" s="449">
        <f>((W33/19.32)*10)</f>
        <v>1.3959627329192548</v>
      </c>
      <c r="Z33" s="450"/>
      <c r="AA33" s="581">
        <f>AJ30</f>
        <v>1.7743421052631578</v>
      </c>
      <c r="AB33" s="582"/>
      <c r="AC33" s="449">
        <f>((AA33/19.32)*10)</f>
        <v>0.91839653481529904</v>
      </c>
      <c r="AD33" s="450"/>
      <c r="AE33" s="581">
        <f>AK30</f>
        <v>1.3307565789473683</v>
      </c>
      <c r="AF33" s="582"/>
      <c r="AG33" s="144">
        <f>((AE33/19.32)*10)</f>
        <v>0.68879740111147436</v>
      </c>
      <c r="AH33" s="104"/>
      <c r="AI33" s="42">
        <f t="shared" si="0"/>
        <v>4.4119999999999999</v>
      </c>
      <c r="AJ33" s="42">
        <f t="shared" si="1"/>
        <v>2.9026315789473682</v>
      </c>
      <c r="AK33" s="42">
        <f t="shared" si="2"/>
        <v>2.1769736842105263</v>
      </c>
      <c r="AO33" s="42">
        <v>7.7720000000000002</v>
      </c>
      <c r="AS33" s="42">
        <f t="shared" si="3"/>
        <v>6.3186991869918705</v>
      </c>
    </row>
    <row r="34" spans="1:45" ht="24.95" customHeight="1" thickBot="1" x14ac:dyDescent="0.3">
      <c r="A34" s="103"/>
      <c r="B34" s="602" t="s">
        <v>10</v>
      </c>
      <c r="C34" s="603"/>
      <c r="D34" s="603"/>
      <c r="E34" s="125">
        <f>((E29-E31)/(E31-E32))*100</f>
        <v>20.151582701738747</v>
      </c>
      <c r="F34" s="125">
        <f>((F29-F31)/(F31-F32))*100</f>
        <v>23.937351826616148</v>
      </c>
      <c r="G34" s="125">
        <f>((G29-G31)/(G31-G32))*100</f>
        <v>26.787262619221668</v>
      </c>
      <c r="H34" s="126">
        <f>((H29-H31)/(H31-H32))*100</f>
        <v>29.794333555784728</v>
      </c>
      <c r="I34" s="174"/>
      <c r="J34" s="630" t="s">
        <v>125</v>
      </c>
      <c r="K34" s="630"/>
      <c r="L34" s="184" t="s">
        <v>126</v>
      </c>
      <c r="M34" s="245">
        <v>2.72</v>
      </c>
      <c r="N34" s="128"/>
      <c r="O34" s="631" t="s">
        <v>9</v>
      </c>
      <c r="P34" s="632"/>
      <c r="Q34" s="156">
        <v>374</v>
      </c>
      <c r="R34" s="156">
        <v>679</v>
      </c>
      <c r="S34" s="157">
        <v>221</v>
      </c>
      <c r="T34" s="174"/>
      <c r="U34" s="120">
        <v>0.3</v>
      </c>
      <c r="V34" s="113">
        <f>U34*25.4</f>
        <v>7.6199999999999992</v>
      </c>
      <c r="W34" s="581">
        <f>AI31</f>
        <v>3.4860000000000002</v>
      </c>
      <c r="X34" s="582"/>
      <c r="Y34" s="449">
        <f>((W34/19.32)*10)</f>
        <v>1.8043478260869565</v>
      </c>
      <c r="Z34" s="450"/>
      <c r="AA34" s="449">
        <v>2.2930000000000001</v>
      </c>
      <c r="AB34" s="450"/>
      <c r="AC34" s="449">
        <f>((AA34/19.32)*10)</f>
        <v>1.1868530020703933</v>
      </c>
      <c r="AD34" s="450"/>
      <c r="AE34" s="581">
        <f>AK31</f>
        <v>1.7200657894736842</v>
      </c>
      <c r="AF34" s="582"/>
      <c r="AG34" s="114">
        <f>((AE34/19.32)*10)</f>
        <v>0.8903032036613272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673.23</v>
      </c>
      <c r="R35" s="608">
        <v>418.52</v>
      </c>
      <c r="S35" s="610">
        <v>526.78</v>
      </c>
      <c r="T35" s="174"/>
      <c r="U35" s="627">
        <v>0.4</v>
      </c>
      <c r="V35" s="624">
        <f>U35*25.4</f>
        <v>10.16</v>
      </c>
      <c r="W35" s="593">
        <f>AI32</f>
        <v>4.07</v>
      </c>
      <c r="X35" s="594"/>
      <c r="Y35" s="439">
        <f>((W35/19.32)*10)</f>
        <v>2.1066252587991716</v>
      </c>
      <c r="Z35" s="440"/>
      <c r="AA35" s="593">
        <f>AJ32</f>
        <v>2.6776315789473686</v>
      </c>
      <c r="AB35" s="594"/>
      <c r="AC35" s="439">
        <f>(AA35/19.32)*10</f>
        <v>1.3859376702626132</v>
      </c>
      <c r="AD35" s="440"/>
      <c r="AE35" s="593">
        <v>1.8465400000000001</v>
      </c>
      <c r="AF35" s="594"/>
      <c r="AG35" s="443">
        <f>((AE35/19.32)*10)</f>
        <v>0.9557660455486543</v>
      </c>
      <c r="AH35" s="104"/>
      <c r="AS35" s="42">
        <f t="shared" si="3"/>
        <v>0</v>
      </c>
    </row>
    <row r="36" spans="1:45" ht="20.100000000000001" customHeight="1" thickBot="1" x14ac:dyDescent="0.3">
      <c r="A36" s="103"/>
      <c r="B36" s="639" t="s">
        <v>71</v>
      </c>
      <c r="C36" s="640"/>
      <c r="D36" s="640"/>
      <c r="E36" s="130">
        <f>E25/E24</f>
        <v>1.7807262569832403</v>
      </c>
      <c r="F36" s="130">
        <f>F25/F24</f>
        <v>1.9445996275605215</v>
      </c>
      <c r="G36" s="130">
        <f>G25/G24</f>
        <v>1.9273743016759777</v>
      </c>
      <c r="H36" s="131">
        <f>H25/H24</f>
        <v>1.8794227188081936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1.4820664172220437</v>
      </c>
      <c r="F37" s="230">
        <f>F36/(1+F34/100)</f>
        <v>1.5690182167849975</v>
      </c>
      <c r="G37" s="230">
        <f>G36/(1+G34/100)</f>
        <v>1.5201639832420966</v>
      </c>
      <c r="H37" s="123">
        <f>H36/(1+H34/100)</f>
        <v>1.4480005924144834</v>
      </c>
      <c r="I37" s="174"/>
      <c r="J37" s="641" t="s">
        <v>139</v>
      </c>
      <c r="K37" s="641"/>
      <c r="L37" s="643" t="s">
        <v>121</v>
      </c>
      <c r="M37" s="433">
        <f>IF(F74="","",(M42^2*F74+M42*F75+F76))</f>
        <v>1.5741564102564103</v>
      </c>
      <c r="N37" s="101"/>
      <c r="O37" s="576" t="s">
        <v>28</v>
      </c>
      <c r="P37" s="577"/>
      <c r="Q37" s="150">
        <v>559.15</v>
      </c>
      <c r="R37" s="152">
        <v>343.06</v>
      </c>
      <c r="S37" s="153">
        <v>433.67</v>
      </c>
      <c r="T37" s="174"/>
      <c r="U37" s="132">
        <v>0.5</v>
      </c>
      <c r="V37" s="133">
        <f>U37*25.4</f>
        <v>12.7</v>
      </c>
      <c r="W37" s="637">
        <f>AI33</f>
        <v>4.4119999999999999</v>
      </c>
      <c r="X37" s="638"/>
      <c r="Y37" s="431">
        <f>((W37/19.32)*10)</f>
        <v>2.2836438923395446</v>
      </c>
      <c r="Z37" s="432"/>
      <c r="AA37" s="637">
        <v>3.0175000000000001</v>
      </c>
      <c r="AB37" s="638"/>
      <c r="AC37" s="431">
        <f>((AA37/19.32)*10)</f>
        <v>1.5618530020703933</v>
      </c>
      <c r="AD37" s="432"/>
      <c r="AE37" s="637">
        <v>1.9875</v>
      </c>
      <c r="AF37" s="638"/>
      <c r="AG37" s="134">
        <f>((AE37/19.32)*10)</f>
        <v>1.0287267080745341</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100.64</v>
      </c>
      <c r="R38" s="647">
        <v>39.35</v>
      </c>
      <c r="S38" s="648">
        <v>58.25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15.442474384615386</v>
      </c>
      <c r="N40" s="103"/>
      <c r="O40" s="628" t="s">
        <v>10</v>
      </c>
      <c r="P40" s="629"/>
      <c r="Q40" s="125">
        <f>((Q35-Q37)/(Q37-Q38))*100</f>
        <v>24.880591481101838</v>
      </c>
      <c r="R40" s="125">
        <f>((R35-R37)/(R37-R38))*100</f>
        <v>24.846070264396953</v>
      </c>
      <c r="S40" s="126">
        <f>((S35-S37)/(S37-S38))*100</f>
        <v>24.80155559107132</v>
      </c>
      <c r="T40" s="174"/>
      <c r="U40" s="645" t="s">
        <v>151</v>
      </c>
      <c r="V40" s="646"/>
      <c r="W40" s="423">
        <f>(AM79/6.9)*100</f>
        <v>12.654904431842052</v>
      </c>
      <c r="X40" s="423"/>
      <c r="Y40" s="423"/>
      <c r="Z40" s="424"/>
      <c r="AA40" s="425">
        <f>(AO79/6.9)*100</f>
        <v>8.2815734989648053</v>
      </c>
      <c r="AB40" s="426"/>
      <c r="AC40" s="427"/>
      <c r="AD40" s="425">
        <f>(AQ79/6.9)*100</f>
        <v>6.2441962657115369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13.55303624193451</v>
      </c>
      <c r="X41" s="418"/>
      <c r="Y41" s="418"/>
      <c r="Z41" s="419"/>
      <c r="AA41" s="420">
        <f>(AO83/10.3)*100</f>
        <v>8.9164712117990188</v>
      </c>
      <c r="AB41" s="421"/>
      <c r="AC41" s="418"/>
      <c r="AD41" s="420">
        <f>(AQ83/10.3)*100</f>
        <v>6.6873534088492654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24.589743589743591</v>
      </c>
      <c r="N42" s="103"/>
      <c r="O42" s="639" t="s">
        <v>9</v>
      </c>
      <c r="P42" s="640"/>
      <c r="Q42" s="148">
        <v>210</v>
      </c>
      <c r="R42" s="148">
        <v>207</v>
      </c>
      <c r="S42" s="149">
        <v>204</v>
      </c>
      <c r="T42" s="174"/>
      <c r="U42" s="651" t="s">
        <v>42</v>
      </c>
      <c r="V42" s="652"/>
      <c r="W42" s="413">
        <f>IF(W40&lt;W41,W40,W41)</f>
        <v>12.654904431842052</v>
      </c>
      <c r="X42" s="414"/>
      <c r="Y42" s="414"/>
      <c r="Z42" s="415"/>
      <c r="AA42" s="416">
        <f>IF(AA40&lt;AA41,AA40,AA41)</f>
        <v>8.2815734989648053</v>
      </c>
      <c r="AB42" s="414"/>
      <c r="AC42" s="415"/>
      <c r="AD42" s="416">
        <f>IF(AD40&lt;AD41,AD40,AD41)</f>
        <v>6.2441962657115369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18">
        <v>454.13</v>
      </c>
      <c r="R43" s="608">
        <v>678.32</v>
      </c>
      <c r="S43" s="610">
        <v>514.54999999999995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370.84</v>
      </c>
      <c r="R45" s="150">
        <v>531.79</v>
      </c>
      <c r="S45" s="151">
        <v>402.76</v>
      </c>
      <c r="T45" s="174"/>
      <c r="U45" s="656" t="s">
        <v>139</v>
      </c>
      <c r="V45" s="656"/>
      <c r="W45" s="179" t="s">
        <v>121</v>
      </c>
      <c r="X45" s="406">
        <f>MAX(M37:M39)</f>
        <v>1.5741564102564103</v>
      </c>
      <c r="Y45" s="406"/>
      <c r="Z45" s="406"/>
      <c r="AA45" s="174"/>
      <c r="AB45" s="657" t="s">
        <v>31</v>
      </c>
      <c r="AC45" s="658"/>
      <c r="AD45" s="658"/>
      <c r="AE45" s="658"/>
      <c r="AF45" s="231">
        <v>7.6999999999999999E-2</v>
      </c>
      <c r="AG45" s="231">
        <v>0.10249999999999999</v>
      </c>
      <c r="AH45" s="233">
        <v>0.13450000000000001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64.52</v>
      </c>
      <c r="R46" s="152">
        <v>63.23</v>
      </c>
      <c r="S46" s="153">
        <v>59.35</v>
      </c>
      <c r="T46" s="174"/>
      <c r="U46" s="555" t="s">
        <v>123</v>
      </c>
      <c r="V46" s="555"/>
      <c r="W46" s="179" t="s">
        <v>41</v>
      </c>
      <c r="X46" s="401">
        <f>MIN(M42:M44)</f>
        <v>24.589743589743591</v>
      </c>
      <c r="Y46" s="401"/>
      <c r="Z46" s="401"/>
      <c r="AA46" s="174"/>
      <c r="AB46" s="660" t="s">
        <v>32</v>
      </c>
      <c r="AC46" s="661"/>
      <c r="AD46" s="661"/>
      <c r="AE46" s="661"/>
      <c r="AF46" s="234">
        <v>0.161</v>
      </c>
      <c r="AG46" s="234">
        <v>0.189</v>
      </c>
      <c r="AH46" s="235">
        <v>0.16800000000000001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27.190519717942031</v>
      </c>
      <c r="R47" s="125">
        <f>((R43-R45)/(R45-R46))*100</f>
        <v>31.272409083148389</v>
      </c>
      <c r="S47" s="126">
        <f>((S43-S45)/(S45-S46))*100</f>
        <v>32.55292507498325</v>
      </c>
      <c r="T47" s="174"/>
      <c r="U47" s="555" t="s">
        <v>162</v>
      </c>
      <c r="V47" s="555"/>
      <c r="W47" s="179" t="s">
        <v>41</v>
      </c>
      <c r="X47" s="402">
        <f>IF(L25=D103,"-",IF(L25=D102,"-",IF(L25=D101,M25)))</f>
        <v>0</v>
      </c>
      <c r="Y47" s="402"/>
      <c r="Z47" s="402"/>
      <c r="AA47" s="174"/>
      <c r="AB47" s="662" t="s">
        <v>33</v>
      </c>
      <c r="AC47" s="663"/>
      <c r="AD47" s="663"/>
      <c r="AE47" s="663"/>
      <c r="AF47" s="232">
        <f>(AF46-AF45)*2.54</f>
        <v>0.21336000000000002</v>
      </c>
      <c r="AG47" s="232">
        <f>(AG46-AG45)*2.54</f>
        <v>0.21971000000000002</v>
      </c>
      <c r="AH47" s="239">
        <f>(AH46-AH45)*2.54</f>
        <v>8.5090000000000013E-2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1.8393103448275865</v>
      </c>
      <c r="AG48" s="142">
        <f>IF(AG47&lt;&gt;"",IF(R24&lt;&gt;"",AG47/R24*100,""),"")</f>
        <v>1.9409010600706715</v>
      </c>
      <c r="AH48" s="173">
        <f>IF(AH47&lt;&gt;"",IF(S24&lt;&gt;"",AH47/S24*100,""),"")</f>
        <v>0.75770258236865551</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0.14799999999999999</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0.61399999999999999</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1.093</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1.4319999999999999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1.6870000000000001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1.996</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2.2679999999999998</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2.5230000000000001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2.6970000000000001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3.4860000000000002</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4.07</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4.4119999999999999</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-3.8999999999999998E-3</v>
      </c>
      <c r="G74" s="75">
        <v>-0.12509999999999999</v>
      </c>
      <c r="J74" s="701"/>
      <c r="K74" s="702"/>
      <c r="L74" s="44"/>
      <c r="M74" s="44"/>
      <c r="N74" s="44"/>
    </row>
    <row r="75" spans="1:94" ht="26.25" customHeight="1" thickBot="1" x14ac:dyDescent="0.3">
      <c r="A75" s="11"/>
      <c r="B75" s="377" t="s">
        <v>113</v>
      </c>
      <c r="C75" s="377"/>
      <c r="D75" s="19"/>
      <c r="E75" s="54" t="s">
        <v>12</v>
      </c>
      <c r="F75" s="55">
        <v>0.1918</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-0.78400000000000003</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0.61399999999999999</v>
      </c>
      <c r="AM76" s="3">
        <f t="shared" si="4"/>
        <v>0.31780538302277428</v>
      </c>
      <c r="AN76" s="5">
        <f>AA23</f>
        <v>0.39800000000000002</v>
      </c>
      <c r="AO76" s="3">
        <f t="shared" ref="AO76:AO86" si="7">((AN76/19.32)*10)</f>
        <v>0.2060041407867495</v>
      </c>
      <c r="AP76" s="5">
        <f>AE23</f>
        <v>0.27800000000000002</v>
      </c>
      <c r="AQ76" s="161">
        <f t="shared" si="5"/>
        <v>0.14389233954451347</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1.093</v>
      </c>
      <c r="AM77" s="3">
        <f t="shared" si="4"/>
        <v>0.56573498964803315</v>
      </c>
      <c r="AN77" s="5">
        <f>AA24</f>
        <v>0.69799999999999995</v>
      </c>
      <c r="AO77" s="3">
        <f t="shared" si="7"/>
        <v>0.36128364389233952</v>
      </c>
      <c r="AP77" s="5">
        <f>AE24</f>
        <v>0.501</v>
      </c>
      <c r="AQ77" s="161">
        <f t="shared" si="5"/>
        <v>0.25931677018633537</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1.4319999999999999</v>
      </c>
      <c r="AM78" s="3">
        <f t="shared" si="4"/>
        <v>0.74120082815734989</v>
      </c>
      <c r="AN78" s="5">
        <f>AA25</f>
        <v>0.93500000000000005</v>
      </c>
      <c r="AO78" s="3">
        <f t="shared" si="7"/>
        <v>0.48395445134575565</v>
      </c>
      <c r="AP78" s="5">
        <f>AE25</f>
        <v>0.68899999999999995</v>
      </c>
      <c r="AQ78" s="161">
        <f t="shared" si="5"/>
        <v>0.35662525879917184</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1.6870000000000001</v>
      </c>
      <c r="AM79" s="4">
        <f t="shared" si="4"/>
        <v>0.87318840579710155</v>
      </c>
      <c r="AN79" s="5">
        <f>AA26</f>
        <v>1.1040000000000001</v>
      </c>
      <c r="AO79" s="4">
        <f t="shared" si="7"/>
        <v>0.57142857142857151</v>
      </c>
      <c r="AP79" s="5">
        <f>AE26</f>
        <v>0.83240131578947363</v>
      </c>
      <c r="AQ79" s="162">
        <f t="shared" si="5"/>
        <v>0.43084954233409606</v>
      </c>
      <c r="BB79" s="12">
        <v>17</v>
      </c>
      <c r="BC79" s="12">
        <v>18</v>
      </c>
    </row>
    <row r="80" spans="1:94" ht="42" customHeight="1" thickTop="1" thickBot="1" x14ac:dyDescent="0.3">
      <c r="D80" s="49"/>
      <c r="H80" s="711" t="s">
        <v>105</v>
      </c>
      <c r="I80" s="712"/>
      <c r="J80" s="58"/>
      <c r="AJ80" s="160">
        <f>U28</f>
        <v>0.125</v>
      </c>
      <c r="AK80" s="3">
        <f t="shared" si="6"/>
        <v>3.1749999999999998</v>
      </c>
      <c r="AL80" s="5">
        <f>W28</f>
        <v>1.996</v>
      </c>
      <c r="AM80" s="3">
        <f t="shared" si="4"/>
        <v>1.0331262939958592</v>
      </c>
      <c r="AN80" s="5">
        <f>AA28</f>
        <v>1.3131578947368421</v>
      </c>
      <c r="AO80" s="3">
        <f t="shared" si="7"/>
        <v>0.67968835131306526</v>
      </c>
      <c r="AP80" s="5">
        <f>AE28</f>
        <v>0.9848684210526315</v>
      </c>
      <c r="AQ80" s="161">
        <f t="shared" si="5"/>
        <v>0.50976626348479892</v>
      </c>
      <c r="BC80" s="45">
        <v>0.99880400000000003</v>
      </c>
      <c r="BD80" s="45">
        <v>0.99862499999999998</v>
      </c>
    </row>
    <row r="81" spans="2:43" ht="15.75" customHeight="1" x14ac:dyDescent="0.25">
      <c r="AJ81" s="160">
        <f>U30</f>
        <v>0.15</v>
      </c>
      <c r="AK81" s="3">
        <f t="shared" si="6"/>
        <v>3.8099999999999996</v>
      </c>
      <c r="AL81" s="5">
        <f>W30</f>
        <v>2.2679999999999998</v>
      </c>
      <c r="AM81" s="3">
        <f t="shared" si="4"/>
        <v>1.1739130434782608</v>
      </c>
      <c r="AN81" s="5">
        <f>AA30</f>
        <v>1.4921052631578946</v>
      </c>
      <c r="AO81" s="3">
        <f t="shared" si="7"/>
        <v>0.77231121281464521</v>
      </c>
      <c r="AP81" s="5">
        <f>AE30</f>
        <v>1.1190789473684211</v>
      </c>
      <c r="AQ81" s="161">
        <f t="shared" si="5"/>
        <v>0.57923340961098402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2.5230000000000001</v>
      </c>
      <c r="AM82" s="3">
        <f t="shared" si="4"/>
        <v>1.3059006211180124</v>
      </c>
      <c r="AN82" s="5">
        <f>AA31</f>
        <v>1.6598684210526315</v>
      </c>
      <c r="AO82" s="3">
        <f t="shared" si="7"/>
        <v>0.85914514547237653</v>
      </c>
      <c r="AP82" s="5">
        <f>AE31</f>
        <v>1.2449013157894737</v>
      </c>
      <c r="AQ82" s="161">
        <f t="shared" si="5"/>
        <v>0.64435885910428248</v>
      </c>
    </row>
    <row r="83" spans="2:43" ht="15" customHeight="1" x14ac:dyDescent="0.25">
      <c r="B83" s="49"/>
      <c r="C83" s="49"/>
      <c r="D83" s="49">
        <v>0</v>
      </c>
      <c r="E83" s="50">
        <f>M42</f>
        <v>24.589743589743591</v>
      </c>
      <c r="F83" s="49"/>
      <c r="G83" s="43">
        <f>G84/10</f>
        <v>1.723583923696306</v>
      </c>
      <c r="H83" s="43">
        <f>H84/10</f>
        <v>1.6160901903907807</v>
      </c>
      <c r="I83" s="43">
        <f>I84/10</f>
        <v>1.5436185898406813</v>
      </c>
      <c r="J83" s="43">
        <f>J84/10</f>
        <v>1.4738794433951774</v>
      </c>
      <c r="K83" s="43"/>
      <c r="L83" s="42">
        <v>0</v>
      </c>
      <c r="O83" s="706"/>
      <c r="P83" s="706"/>
      <c r="Q83" s="706"/>
      <c r="R83" s="706"/>
      <c r="S83" s="707"/>
      <c r="W83" s="112"/>
      <c r="AJ83" s="160">
        <f>U33</f>
        <v>0.2</v>
      </c>
      <c r="AK83" s="4">
        <f t="shared" si="6"/>
        <v>5.08</v>
      </c>
      <c r="AL83" s="5">
        <f>W33</f>
        <v>2.6970000000000001</v>
      </c>
      <c r="AM83" s="4">
        <f t="shared" si="4"/>
        <v>1.3959627329192548</v>
      </c>
      <c r="AN83" s="5">
        <f>AA33</f>
        <v>1.7743421052631578</v>
      </c>
      <c r="AO83" s="4">
        <f t="shared" si="7"/>
        <v>0.91839653481529904</v>
      </c>
      <c r="AP83" s="5">
        <f>AE33</f>
        <v>1.3307565789473683</v>
      </c>
      <c r="AQ83" s="162">
        <f t="shared" si="5"/>
        <v>0.68879740111147436</v>
      </c>
    </row>
    <row r="84" spans="2:43" ht="15" customHeight="1" x14ac:dyDescent="0.25">
      <c r="C84" s="94"/>
      <c r="D84" s="94"/>
      <c r="E84" s="94"/>
      <c r="F84" s="49"/>
      <c r="G84" s="43">
        <f>($M$34/(1+(E34*$M$34/100)))*($O$73)</f>
        <v>17.235839236963059</v>
      </c>
      <c r="H84" s="43">
        <f>($M$34/(1+(F34*$M$34/100)))*($O$73)</f>
        <v>16.160901903907806</v>
      </c>
      <c r="I84" s="43">
        <f>($M$34/(1+(G34*$M$34/100)))*($O$73)</f>
        <v>15.436185898406814</v>
      </c>
      <c r="J84" s="43">
        <f>($M$34/(1+(H34*$M$34/100)))*($O$73)</f>
        <v>14.738794433951774</v>
      </c>
      <c r="K84" s="43"/>
      <c r="O84" s="706" t="s">
        <v>146</v>
      </c>
      <c r="P84" s="706"/>
      <c r="Q84" s="706"/>
      <c r="R84" s="706"/>
      <c r="S84" s="707">
        <v>2240</v>
      </c>
      <c r="W84" s="112"/>
      <c r="AJ84" s="160">
        <f>U34</f>
        <v>0.3</v>
      </c>
      <c r="AK84" s="3">
        <f t="shared" si="6"/>
        <v>7.6199999999999992</v>
      </c>
      <c r="AL84" s="5">
        <f>W34</f>
        <v>3.4860000000000002</v>
      </c>
      <c r="AM84" s="3">
        <f t="shared" si="4"/>
        <v>1.8043478260869565</v>
      </c>
      <c r="AN84" s="5">
        <f>AA34</f>
        <v>2.2930000000000001</v>
      </c>
      <c r="AO84" s="3">
        <f t="shared" si="7"/>
        <v>1.1868530020703933</v>
      </c>
      <c r="AP84" s="5">
        <f>AE34</f>
        <v>1.7200657894736842</v>
      </c>
      <c r="AQ84" s="161">
        <f t="shared" si="5"/>
        <v>0.8903032036613272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4.07</v>
      </c>
      <c r="AM85" s="3">
        <f t="shared" si="4"/>
        <v>2.1066252587991716</v>
      </c>
      <c r="AN85" s="5">
        <f>AA35</f>
        <v>2.6776315789473686</v>
      </c>
      <c r="AO85" s="3">
        <f t="shared" si="7"/>
        <v>1.3859376702626132</v>
      </c>
      <c r="AP85" s="5">
        <f>AE35</f>
        <v>1.8465400000000001</v>
      </c>
      <c r="AQ85" s="161">
        <f>((AP85/19.32)*10)</f>
        <v>0.9557660455486543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4.4119999999999999</v>
      </c>
      <c r="AM86" s="164">
        <f t="shared" si="4"/>
        <v>2.2836438923395446</v>
      </c>
      <c r="AN86" s="165">
        <f>AA37</f>
        <v>3.0175000000000001</v>
      </c>
      <c r="AO86" s="164">
        <f t="shared" si="7"/>
        <v>1.5618530020703933</v>
      </c>
      <c r="AP86" s="165">
        <f>AE37</f>
        <v>1.9875</v>
      </c>
      <c r="AQ86" s="166">
        <f>((AP86/19.32)*10)</f>
        <v>1.0287267080745341</v>
      </c>
    </row>
    <row r="87" spans="2:43" x14ac:dyDescent="0.25">
      <c r="B87" s="92" t="s">
        <v>54</v>
      </c>
      <c r="C87" s="93"/>
      <c r="D87" s="93"/>
      <c r="E87" s="93"/>
      <c r="F87" s="49"/>
      <c r="G87" s="49"/>
      <c r="H87" s="49"/>
      <c r="I87" s="49"/>
      <c r="O87" s="706"/>
      <c r="P87" s="706"/>
      <c r="Q87" s="706"/>
      <c r="R87" s="706"/>
      <c r="S87" s="721"/>
      <c r="W87" s="600"/>
    </row>
    <row r="88" spans="2:43" x14ac:dyDescent="0.25">
      <c r="B88" s="92" t="s">
        <v>238</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1.5424865242927284</v>
      </c>
      <c r="AK91" s="9">
        <f>R31</f>
        <v>1.4837061662729543</v>
      </c>
      <c r="AL91" s="10">
        <f>S31</f>
        <v>1.4535036779097672</v>
      </c>
    </row>
    <row r="92" spans="2:43" ht="21" customHeight="1" thickBot="1" x14ac:dyDescent="0.3">
      <c r="B92" s="92"/>
      <c r="C92" s="93"/>
      <c r="D92" s="93"/>
      <c r="E92" s="93"/>
      <c r="F92" s="62"/>
      <c r="G92" s="63"/>
      <c r="H92" s="49"/>
      <c r="I92" s="49"/>
      <c r="O92" s="725" t="s">
        <v>147</v>
      </c>
      <c r="P92" s="726"/>
      <c r="Q92" s="726"/>
      <c r="R92" s="726"/>
      <c r="S92" s="61">
        <f>M42</f>
        <v>24.589743589743591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12.654904431842052</v>
      </c>
      <c r="AK94" s="158">
        <f>AA42</f>
        <v>8.2815734989648053</v>
      </c>
      <c r="AL94" s="158">
        <f>AD42</f>
        <v>6.2441962657115369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863" priority="50">
      <formula>LEN(TRIM(D6))=0</formula>
    </cfRule>
  </conditionalFormatting>
  <conditionalFormatting sqref="D6:H10">
    <cfRule type="containsBlanks" dxfId="1862" priority="49">
      <formula>LEN(TRIM(D6))=0</formula>
    </cfRule>
  </conditionalFormatting>
  <conditionalFormatting sqref="M19">
    <cfRule type="containsBlanks" dxfId="1861" priority="48">
      <formula>LEN(TRIM(M19))=0</formula>
    </cfRule>
  </conditionalFormatting>
  <conditionalFormatting sqref="CP70">
    <cfRule type="containsBlanks" dxfId="1860" priority="47">
      <formula>LEN(TRIM(CP70))=0</formula>
    </cfRule>
  </conditionalFormatting>
  <conditionalFormatting sqref="M21">
    <cfRule type="containsBlanks" dxfId="1859" priority="46">
      <formula>LEN(TRIM(M21))=0</formula>
    </cfRule>
  </conditionalFormatting>
  <conditionalFormatting sqref="D12:M12">
    <cfRule type="containsBlanks" dxfId="1858" priority="45">
      <formula>LEN(TRIM(D12))=0</formula>
    </cfRule>
  </conditionalFormatting>
  <conditionalFormatting sqref="L9:M9">
    <cfRule type="containsBlanks" dxfId="1857" priority="44">
      <formula>LEN(TRIM(L9))=0</formula>
    </cfRule>
  </conditionalFormatting>
  <conditionalFormatting sqref="L25">
    <cfRule type="containsBlanks" dxfId="1856" priority="43">
      <formula>LEN(TRIM(L25))=0</formula>
    </cfRule>
  </conditionalFormatting>
  <conditionalFormatting sqref="Q20:S21">
    <cfRule type="containsBlanks" dxfId="1855" priority="33">
      <formula>LEN(TRIM(Q20))=0</formula>
    </cfRule>
    <cfRule type="containsBlanks" dxfId="1854" priority="42">
      <formula>LEN(TRIM(Q20))=0</formula>
    </cfRule>
  </conditionalFormatting>
  <conditionalFormatting sqref="U26:V27 AC33 AC26">
    <cfRule type="cellIs" dxfId="1853" priority="41" operator="between">
      <formula>0</formula>
      <formula>500</formula>
    </cfRule>
  </conditionalFormatting>
  <conditionalFormatting sqref="U33:V33">
    <cfRule type="cellIs" dxfId="1852" priority="40" operator="between">
      <formula>0</formula>
      <formula>500</formula>
    </cfRule>
  </conditionalFormatting>
  <conditionalFormatting sqref="AF45:AH46">
    <cfRule type="containsBlanks" dxfId="1851" priority="39">
      <formula>LEN(TRIM(AF45))=0</formula>
    </cfRule>
  </conditionalFormatting>
  <conditionalFormatting sqref="AF51:AG53">
    <cfRule type="containsBlanks" dxfId="1850" priority="38">
      <formula>LEN(TRIM(AF51))=0</formula>
    </cfRule>
  </conditionalFormatting>
  <conditionalFormatting sqref="E20:H24">
    <cfRule type="containsBlanks" dxfId="1849" priority="37">
      <formula>LEN(TRIM(E20))=0</formula>
    </cfRule>
  </conditionalFormatting>
  <conditionalFormatting sqref="M25">
    <cfRule type="containsBlanks" dxfId="1848" priority="32">
      <formula>LEN(TRIM(M25))=0</formula>
    </cfRule>
  </conditionalFormatting>
  <conditionalFormatting sqref="U26:V27 Y26:Z27 AC26:AD27 AG26:AG27">
    <cfRule type="containsBlanks" dxfId="1847" priority="30">
      <formula>LEN(TRIM(U26))=0</formula>
    </cfRule>
    <cfRule type="cellIs" dxfId="1846" priority="31" operator="between">
      <formula>0</formula>
      <formula>1000</formula>
    </cfRule>
  </conditionalFormatting>
  <conditionalFormatting sqref="W87:W88">
    <cfRule type="cellIs" dxfId="1845" priority="29" operator="between">
      <formula>0</formula>
      <formula>500</formula>
    </cfRule>
  </conditionalFormatting>
  <conditionalFormatting sqref="W94">
    <cfRule type="cellIs" dxfId="1844" priority="28" operator="between">
      <formula>0</formula>
      <formula>500</formula>
    </cfRule>
  </conditionalFormatting>
  <conditionalFormatting sqref="W87:W88">
    <cfRule type="containsBlanks" dxfId="1843" priority="26">
      <formula>LEN(TRIM(W87))=0</formula>
    </cfRule>
    <cfRule type="cellIs" dxfId="1842" priority="27" operator="between">
      <formula>0</formula>
      <formula>1000</formula>
    </cfRule>
  </conditionalFormatting>
  <conditionalFormatting sqref="U33:V33 Y33:Z33 AC33:AD33 AG33">
    <cfRule type="cellIs" dxfId="1841" priority="25" operator="between">
      <formula>0</formula>
      <formula>1000</formula>
    </cfRule>
  </conditionalFormatting>
  <conditionalFormatting sqref="Q27:S27">
    <cfRule type="containsBlanks" dxfId="1840" priority="23">
      <formula>LEN(TRIM(Q27))=0</formula>
    </cfRule>
    <cfRule type="containsBlanks" dxfId="1839" priority="24">
      <formula>LEN(TRIM(Q27))=0</formula>
    </cfRule>
  </conditionalFormatting>
  <conditionalFormatting sqref="W30:W31 W33:W35 W37 W28 W22:W26">
    <cfRule type="containsBlanks" dxfId="1838" priority="22">
      <formula>LEN(TRIM(W22))=0</formula>
    </cfRule>
  </conditionalFormatting>
  <conditionalFormatting sqref="W37 W30:W31 W33:W35 W28 W22:W26">
    <cfRule type="containsBlanks" dxfId="1837" priority="21">
      <formula>LEN(TRIM(W22))=0</formula>
    </cfRule>
  </conditionalFormatting>
  <conditionalFormatting sqref="W33:X33">
    <cfRule type="cellIs" dxfId="1836" priority="20" operator="between">
      <formula>0</formula>
      <formula>1000</formula>
    </cfRule>
  </conditionalFormatting>
  <conditionalFormatting sqref="W30:X37 W26 W28 W22:X25">
    <cfRule type="containsBlanks" dxfId="1835" priority="19">
      <formula>LEN(TRIM(W22))=0</formula>
    </cfRule>
  </conditionalFormatting>
  <conditionalFormatting sqref="AA37 AA30:AA31 AA33 AA22:AA26 AA28 AA35">
    <cfRule type="containsBlanks" dxfId="1834" priority="18">
      <formula>LEN(TRIM(AA22))=0</formula>
    </cfRule>
  </conditionalFormatting>
  <conditionalFormatting sqref="AA37 AA30:AA31 AA33 AA22:AA26 AA28 AA35">
    <cfRule type="containsBlanks" dxfId="1833" priority="17">
      <formula>LEN(TRIM(AA22))=0</formula>
    </cfRule>
  </conditionalFormatting>
  <conditionalFormatting sqref="AA33:AB33">
    <cfRule type="cellIs" dxfId="1832" priority="16" operator="between">
      <formula>0</formula>
      <formula>1000</formula>
    </cfRule>
  </conditionalFormatting>
  <conditionalFormatting sqref="AA30:AB30 AA31 AA33:AB33 AA22:AB25 AA26 AA28 AA35:AB37">
    <cfRule type="containsBlanks" dxfId="1831" priority="15">
      <formula>LEN(TRIM(AA22))=0</formula>
    </cfRule>
  </conditionalFormatting>
  <conditionalFormatting sqref="AE37 AE28 AE30:AE31 AE33:AE35 AE22:AE26">
    <cfRule type="containsBlanks" dxfId="1830" priority="14">
      <formula>LEN(TRIM(AE22))=0</formula>
    </cfRule>
  </conditionalFormatting>
  <conditionalFormatting sqref="AE37 AE28 AE30:AE31 AE33:AE35 AE22:AE26">
    <cfRule type="containsBlanks" dxfId="1829" priority="13">
      <formula>LEN(TRIM(AE22))=0</formula>
    </cfRule>
  </conditionalFormatting>
  <conditionalFormatting sqref="AE33:AF33">
    <cfRule type="cellIs" dxfId="1828" priority="12" operator="between">
      <formula>0</formula>
      <formula>1000</formula>
    </cfRule>
  </conditionalFormatting>
  <conditionalFormatting sqref="AE33:AF37 AE26 AE28 AE30:AE31 AE22:AF25">
    <cfRule type="containsBlanks" dxfId="1827" priority="11">
      <formula>LEN(TRIM(AE22))=0</formula>
    </cfRule>
  </conditionalFormatting>
  <conditionalFormatting sqref="K6:M6">
    <cfRule type="containsBlanks" dxfId="1826" priority="10">
      <formula>LEN(TRIM(K6))=0</formula>
    </cfRule>
  </conditionalFormatting>
  <conditionalFormatting sqref="K7:K8">
    <cfRule type="containsBlanks" dxfId="1825" priority="9">
      <formula>LEN(TRIM(K7))=0</formula>
    </cfRule>
  </conditionalFormatting>
  <conditionalFormatting sqref="D13:M13">
    <cfRule type="containsBlanks" dxfId="1824" priority="8">
      <formula>LEN(TRIM(D13))=0</formula>
    </cfRule>
  </conditionalFormatting>
  <conditionalFormatting sqref="B6:B10">
    <cfRule type="containsBlanks" dxfId="1823" priority="7">
      <formula>LEN(TRIM(B6))=0</formula>
    </cfRule>
  </conditionalFormatting>
  <conditionalFormatting sqref="B12:B13">
    <cfRule type="containsBlanks" dxfId="1822" priority="6">
      <formula>LEN(TRIM(B12))=0</formula>
    </cfRule>
  </conditionalFormatting>
  <conditionalFormatting sqref="E28:H33">
    <cfRule type="containsBlanks" dxfId="1821" priority="5">
      <formula>LEN(TRIM(E28))=0</formula>
    </cfRule>
  </conditionalFormatting>
  <conditionalFormatting sqref="Q22:S26">
    <cfRule type="containsBlanks" dxfId="1820" priority="3">
      <formula>LEN(TRIM(Q22))=0</formula>
    </cfRule>
    <cfRule type="containsBlanks" dxfId="1819" priority="4">
      <formula>LEN(TRIM(Q22))=0</formula>
    </cfRule>
  </conditionalFormatting>
  <conditionalFormatting sqref="Q34:S39">
    <cfRule type="containsBlanks" dxfId="1818" priority="2">
      <formula>LEN(TRIM(Q34))=0</formula>
    </cfRule>
  </conditionalFormatting>
  <conditionalFormatting sqref="Q42:S46">
    <cfRule type="containsBlanks" dxfId="1817" priority="1">
      <formula>LEN(TRIM(Q42))=0</formula>
    </cfRule>
  </conditionalFormatting>
  <dataValidations count="5">
    <dataValidation type="list" allowBlank="1" showInputMessage="1" showErrorMessage="1" sqref="L25" xr:uid="{00000000-0002-0000-1400-000000000000}">
      <formula1>$D$101:$D$104</formula1>
    </dataValidation>
    <dataValidation type="list" allowBlank="1" showInputMessage="1" showErrorMessage="1" sqref="M21" xr:uid="{00000000-0002-0000-1400-000001000000}">
      <formula1>$AX$3:$AX$4</formula1>
    </dataValidation>
    <dataValidation type="list" allowBlank="1" showInputMessage="1" showErrorMessage="1" sqref="M19" xr:uid="{00000000-0002-0000-1400-000002000000}">
      <formula1>$AX$3:$AX$5</formula1>
    </dataValidation>
    <dataValidation type="list" allowBlank="1" showInputMessage="1" showErrorMessage="1" sqref="CP70" xr:uid="{00000000-0002-0000-1400-000003000000}">
      <formula1>$BA$3:$BA$5</formula1>
    </dataValidation>
    <dataValidation type="list" allowBlank="1" showInputMessage="1" showErrorMessage="1" sqref="D12:E12" xr:uid="{00000000-0002-0000-1400-000004000000}">
      <formula1>$B$87:$B$94</formula1>
    </dataValidation>
  </dataValidations>
  <hyperlinks>
    <hyperlink ref="D8" r:id="rId1" xr:uid="{00000000-0004-0000-14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35169"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35170"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35171"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3517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3517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35174"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35175"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3517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3517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3517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61">
    <tabColor theme="8" tint="0.79998168889431442"/>
  </sheetPr>
  <dimension ref="A1:CP153"/>
  <sheetViews>
    <sheetView view="pageBreakPreview" topLeftCell="A23" zoomScaleNormal="100" zoomScaleSheetLayoutView="10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25-P-VILLA RICA AP2-1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K10</f>
        <v>056 25-P-VILLA RICA AP2-1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240</v>
      </c>
      <c r="G12" s="31" t="s">
        <v>4</v>
      </c>
      <c r="H12" s="146">
        <v>1</v>
      </c>
      <c r="I12" s="546" t="s">
        <v>5</v>
      </c>
      <c r="J12" s="546"/>
      <c r="K12" s="209">
        <v>0</v>
      </c>
      <c r="L12" s="32" t="s">
        <v>6</v>
      </c>
      <c r="M12" s="147">
        <v>1.1000000000000001</v>
      </c>
      <c r="N12" s="78"/>
      <c r="O12" s="501" t="s">
        <v>3</v>
      </c>
      <c r="P12" s="501"/>
      <c r="Q12" s="225" t="s">
        <v>234</v>
      </c>
      <c r="R12" s="224" t="str">
        <f>F12</f>
        <v>P-VILLA RICA AP2</v>
      </c>
      <c r="S12" s="224"/>
      <c r="T12" s="502" t="s">
        <v>4</v>
      </c>
      <c r="U12" s="502"/>
      <c r="V12" s="33">
        <f>+H12</f>
        <v>1</v>
      </c>
      <c r="W12" s="547" t="s">
        <v>5</v>
      </c>
      <c r="X12" s="547"/>
      <c r="Y12" s="547"/>
      <c r="Z12" s="547"/>
      <c r="AA12" s="547"/>
      <c r="AB12" s="547"/>
      <c r="AC12" s="34">
        <f>K12</f>
        <v>0</v>
      </c>
      <c r="AD12" s="548" t="s">
        <v>6</v>
      </c>
      <c r="AE12" s="548"/>
      <c r="AF12" s="35">
        <f>+M12</f>
        <v>1.1000000000000001</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89" t="s">
        <v>254</v>
      </c>
      <c r="E13" s="789"/>
      <c r="F13" s="789"/>
      <c r="G13" s="789"/>
      <c r="H13" s="789"/>
      <c r="I13" s="789"/>
      <c r="J13" s="789"/>
      <c r="K13" s="789"/>
      <c r="L13" s="789"/>
      <c r="M13" s="790"/>
      <c r="N13" s="188"/>
      <c r="O13" s="526" t="s">
        <v>130</v>
      </c>
      <c r="P13" s="526"/>
      <c r="Q13" s="527" t="str">
        <f>D13</f>
        <v>ARCILLA DE ALTA PLASTICIDAD, CON VETAS DE OXIDACIÓN, DE COLOR GRIS OSCURO, CONSISTENCIA FIRME,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48">
        <v>538</v>
      </c>
      <c r="R20" s="148">
        <v>409</v>
      </c>
      <c r="S20" s="149">
        <v>423</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10897</v>
      </c>
      <c r="F22" s="150">
        <v>11158</v>
      </c>
      <c r="G22" s="150">
        <v>11167</v>
      </c>
      <c r="H22" s="151">
        <v>11014</v>
      </c>
      <c r="I22" s="174"/>
      <c r="J22" s="578"/>
      <c r="K22" s="578"/>
      <c r="L22" s="578"/>
      <c r="M22" s="104"/>
      <c r="N22" s="103"/>
      <c r="O22" s="579" t="s">
        <v>132</v>
      </c>
      <c r="P22" s="580"/>
      <c r="Q22" s="219">
        <v>7486</v>
      </c>
      <c r="R22" s="219">
        <v>7327</v>
      </c>
      <c r="S22" s="208">
        <v>7127</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0.04</v>
      </c>
      <c r="AJ22" s="42">
        <f>AJ50/1.52</f>
        <v>2.6315789473684209E-2</v>
      </c>
      <c r="AK22" s="42">
        <f>AJ22*0.75</f>
        <v>1.9736842105263157E-2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3772</v>
      </c>
      <c r="R23" s="150">
        <v>3835</v>
      </c>
      <c r="S23" s="151">
        <v>3846</v>
      </c>
      <c r="T23" s="174"/>
      <c r="U23" s="112">
        <v>2.5000000000000001E-2</v>
      </c>
      <c r="V23" s="113">
        <f>U23*25.4</f>
        <v>0.63500000000000001</v>
      </c>
      <c r="W23" s="581">
        <f>AI23</f>
        <v>0.14000000000000001</v>
      </c>
      <c r="X23" s="582"/>
      <c r="Y23" s="449">
        <f>((W23/19.32)*10)</f>
        <v>7.2463768115942045E-2</v>
      </c>
      <c r="Z23" s="450"/>
      <c r="AA23" s="581">
        <v>8.8999999999999996E-2</v>
      </c>
      <c r="AB23" s="582"/>
      <c r="AC23" s="449">
        <f>((AA23/19.32)*10)</f>
        <v>4.606625258799172E-2</v>
      </c>
      <c r="AD23" s="450"/>
      <c r="AE23" s="581">
        <v>6.2E-2</v>
      </c>
      <c r="AF23" s="582"/>
      <c r="AG23" s="114">
        <f>((AE23/19.32)*10)</f>
        <v>3.2091097308488616E-2</v>
      </c>
      <c r="AH23" s="104"/>
      <c r="AI23" s="42">
        <f t="shared" ref="AI23:AI33" si="0">AJ51</f>
        <v>0.14000000000000001</v>
      </c>
      <c r="AJ23" s="42">
        <f t="shared" ref="AJ23:AJ33" si="1">AJ51/1.52</f>
        <v>9.2105263157894746E-2</v>
      </c>
      <c r="AK23" s="42">
        <f t="shared" ref="AK23:AK33" si="2">AJ23*0.75</f>
        <v>6.9078947368421059E-2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11.39</v>
      </c>
      <c r="S24" s="153">
        <v>11.29</v>
      </c>
      <c r="T24" s="174"/>
      <c r="U24" s="112">
        <v>0.05</v>
      </c>
      <c r="V24" s="113">
        <f>U24*25.4</f>
        <v>1.27</v>
      </c>
      <c r="W24" s="581">
        <f>AI24</f>
        <v>0.249</v>
      </c>
      <c r="X24" s="582"/>
      <c r="Y24" s="449">
        <f>((W24/19.32)*10)</f>
        <v>0.12888198757763975</v>
      </c>
      <c r="Z24" s="450"/>
      <c r="AA24" s="581">
        <v>0.16</v>
      </c>
      <c r="AB24" s="582"/>
      <c r="AC24" s="449">
        <f>((AA24/19.32)*10)</f>
        <v>8.2815734989648032E-2</v>
      </c>
      <c r="AD24" s="450"/>
      <c r="AE24" s="581">
        <v>0.112</v>
      </c>
      <c r="AF24" s="582"/>
      <c r="AG24" s="114">
        <f>((AE24/19.32)*10)</f>
        <v>5.7971014492753624E-2</v>
      </c>
      <c r="AH24" s="104"/>
      <c r="AI24" s="42">
        <f t="shared" si="0"/>
        <v>0.249</v>
      </c>
      <c r="AJ24" s="42">
        <f t="shared" si="1"/>
        <v>0.16381578947368422</v>
      </c>
      <c r="AK24" s="42">
        <f t="shared" si="2"/>
        <v>0.12286184210526316</v>
      </c>
      <c r="AO24" s="42">
        <v>0.68400000000000005</v>
      </c>
      <c r="AS24" s="42">
        <f t="shared" si="3"/>
        <v>0.55609756097560981</v>
      </c>
    </row>
    <row r="25" spans="1:45" ht="24.95" customHeight="1" thickBot="1" x14ac:dyDescent="0.3">
      <c r="A25" s="103"/>
      <c r="B25" s="602" t="s">
        <v>69</v>
      </c>
      <c r="C25" s="603"/>
      <c r="D25" s="603"/>
      <c r="E25" s="115">
        <f>E22-E23</f>
        <v>3585</v>
      </c>
      <c r="F25" s="115">
        <f>F22-F23</f>
        <v>3846</v>
      </c>
      <c r="G25" s="115">
        <f>G22-G23</f>
        <v>3855</v>
      </c>
      <c r="H25" s="116">
        <f>H22-H23</f>
        <v>3702</v>
      </c>
      <c r="I25" s="174"/>
      <c r="J25" s="174" t="s">
        <v>127</v>
      </c>
      <c r="K25" s="174"/>
      <c r="L25" s="218" t="s">
        <v>128</v>
      </c>
      <c r="M25" s="246">
        <v>0</v>
      </c>
      <c r="N25" s="103"/>
      <c r="O25" s="604" t="s">
        <v>46</v>
      </c>
      <c r="P25" s="605"/>
      <c r="Q25" s="608">
        <v>15.25</v>
      </c>
      <c r="R25" s="608">
        <v>15.24</v>
      </c>
      <c r="S25" s="610">
        <v>15.26</v>
      </c>
      <c r="T25" s="174"/>
      <c r="U25" s="112">
        <v>7.4999999999999997E-2</v>
      </c>
      <c r="V25" s="113">
        <f>U25*25.4</f>
        <v>1.9049999999999998</v>
      </c>
      <c r="W25" s="581">
        <f>AI25</f>
        <v>0.34200000000000003</v>
      </c>
      <c r="X25" s="582"/>
      <c r="Y25" s="449">
        <f>((W25/19.32)*10)</f>
        <v>0.17701863354037267</v>
      </c>
      <c r="Z25" s="450"/>
      <c r="AA25" s="581">
        <v>0.222</v>
      </c>
      <c r="AB25" s="582"/>
      <c r="AC25" s="449">
        <f>((AA25/19.32)*10)</f>
        <v>0.11490683229813664</v>
      </c>
      <c r="AD25" s="450"/>
      <c r="AE25" s="581">
        <v>0.16</v>
      </c>
      <c r="AF25" s="582"/>
      <c r="AG25" s="114">
        <f>((AE25/19.32)*10)</f>
        <v>8.2815734989648032E-2</v>
      </c>
      <c r="AH25" s="104"/>
      <c r="AI25" s="42">
        <f t="shared" si="0"/>
        <v>0.34200000000000003</v>
      </c>
      <c r="AJ25" s="42">
        <f t="shared" si="1"/>
        <v>0.22500000000000001</v>
      </c>
      <c r="AK25" s="42">
        <f t="shared" si="2"/>
        <v>0.16875000000000001</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0.41299999999999998</v>
      </c>
      <c r="X26" s="779"/>
      <c r="Y26" s="461">
        <f>((W26/19.32)*10)</f>
        <v>0.21376811594202899</v>
      </c>
      <c r="Z26" s="462"/>
      <c r="AA26" s="746">
        <f>AJ26</f>
        <v>0.27171052631578946</v>
      </c>
      <c r="AB26" s="747"/>
      <c r="AC26" s="461">
        <f>((AA26/19.32)*10)</f>
        <v>0.14063691838291381</v>
      </c>
      <c r="AD26" s="462"/>
      <c r="AE26" s="746">
        <f>AK26</f>
        <v>0.20378289473684208</v>
      </c>
      <c r="AF26" s="747"/>
      <c r="AG26" s="469">
        <f>((AE26/19.32)*10)</f>
        <v>0.10547768878718534</v>
      </c>
      <c r="AH26" s="104"/>
      <c r="AI26" s="42">
        <f t="shared" si="0"/>
        <v>0.41299999999999998</v>
      </c>
      <c r="AJ26" s="42">
        <f t="shared" si="1"/>
        <v>0.27171052631578946</v>
      </c>
      <c r="AK26" s="42">
        <f t="shared" si="2"/>
        <v>0.20378289473684208</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2077.7033472913795</v>
      </c>
      <c r="S27" s="153">
        <f>(PI()*((S25^2)/4)*S24)</f>
        <v>2064.8708366553715</v>
      </c>
      <c r="T27" s="174"/>
      <c r="U27" s="600"/>
      <c r="V27" s="601"/>
      <c r="W27" s="780"/>
      <c r="X27" s="781"/>
      <c r="Y27" s="463"/>
      <c r="Z27" s="464"/>
      <c r="AA27" s="748"/>
      <c r="AB27" s="749"/>
      <c r="AC27" s="463"/>
      <c r="AD27" s="464"/>
      <c r="AE27" s="748"/>
      <c r="AF27" s="749"/>
      <c r="AG27" s="470"/>
      <c r="AH27" s="193"/>
      <c r="AI27" s="42">
        <f t="shared" si="0"/>
        <v>0.48</v>
      </c>
      <c r="AJ27" s="42">
        <f t="shared" si="1"/>
        <v>0.31578947368421051</v>
      </c>
      <c r="AK27" s="42">
        <f t="shared" si="2"/>
        <v>0.23684210526315788</v>
      </c>
      <c r="AO27" s="42">
        <v>2.387</v>
      </c>
      <c r="AS27" s="42">
        <f t="shared" si="3"/>
        <v>1.9406504065040651</v>
      </c>
    </row>
    <row r="28" spans="1:45" ht="24.95" customHeight="1" thickBot="1" x14ac:dyDescent="0.3">
      <c r="A28" s="103"/>
      <c r="B28" s="560" t="s">
        <v>9</v>
      </c>
      <c r="C28" s="561"/>
      <c r="D28" s="561"/>
      <c r="E28" s="148">
        <v>216</v>
      </c>
      <c r="F28" s="148">
        <v>707</v>
      </c>
      <c r="G28" s="148">
        <v>208</v>
      </c>
      <c r="H28" s="149">
        <v>674</v>
      </c>
      <c r="I28" s="174"/>
      <c r="J28" s="597" t="s">
        <v>107</v>
      </c>
      <c r="K28" s="597"/>
      <c r="L28" s="562" t="s">
        <v>119</v>
      </c>
      <c r="M28" s="459">
        <f>IF(M26="","",(100-M26))</f>
        <v>100</v>
      </c>
      <c r="N28" s="103"/>
      <c r="O28" s="625" t="s">
        <v>136</v>
      </c>
      <c r="P28" s="626"/>
      <c r="Q28" s="220">
        <f>Q22-Q23</f>
        <v>3714</v>
      </c>
      <c r="R28" s="220">
        <f>R22-R23</f>
        <v>3492</v>
      </c>
      <c r="S28" s="221">
        <f>S22-S23</f>
        <v>3281</v>
      </c>
      <c r="T28" s="174"/>
      <c r="U28" s="627">
        <v>0.125</v>
      </c>
      <c r="V28" s="624">
        <f>U28*25.4</f>
        <v>3.1749999999999998</v>
      </c>
      <c r="W28" s="593">
        <f>AI27</f>
        <v>0.48</v>
      </c>
      <c r="X28" s="594"/>
      <c r="Y28" s="439">
        <f>((W28/19.32)*10)</f>
        <v>0.24844720496894407</v>
      </c>
      <c r="Z28" s="440"/>
      <c r="AA28" s="593">
        <f>AJ27</f>
        <v>0.31578947368421051</v>
      </c>
      <c r="AB28" s="594"/>
      <c r="AC28" s="439">
        <f>((AA28/19.32)*10)</f>
        <v>0.16345210853220005</v>
      </c>
      <c r="AD28" s="440"/>
      <c r="AE28" s="593">
        <f>AK27</f>
        <v>0.23684210526315788</v>
      </c>
      <c r="AF28" s="594"/>
      <c r="AG28" s="443">
        <f>((AE28/19.32)*10)</f>
        <v>0.12258908139915003</v>
      </c>
      <c r="AH28" s="104"/>
      <c r="AI28" s="42">
        <f t="shared" si="0"/>
        <v>0.54300000000000004</v>
      </c>
      <c r="AJ28" s="42">
        <f t="shared" si="1"/>
        <v>0.35723684210526319</v>
      </c>
      <c r="AK28" s="42">
        <f t="shared" si="2"/>
        <v>0.26792763157894739</v>
      </c>
      <c r="AO28" s="42">
        <v>2.8959999999999999</v>
      </c>
      <c r="AS28" s="42">
        <f t="shared" si="3"/>
        <v>2.3544715447154472</v>
      </c>
    </row>
    <row r="29" spans="1:45" ht="5.0999999999999996" customHeight="1" thickBot="1" x14ac:dyDescent="0.3">
      <c r="A29" s="103"/>
      <c r="B29" s="612" t="s">
        <v>73</v>
      </c>
      <c r="C29" s="613"/>
      <c r="D29" s="614"/>
      <c r="E29" s="618">
        <v>745.54</v>
      </c>
      <c r="F29" s="618">
        <v>945.46</v>
      </c>
      <c r="G29" s="618">
        <v>811.06</v>
      </c>
      <c r="H29" s="620">
        <v>925.75</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0.59399999999999997</v>
      </c>
      <c r="AJ29" s="42">
        <f t="shared" si="1"/>
        <v>0.39078947368421052</v>
      </c>
      <c r="AK29" s="42">
        <f t="shared" si="2"/>
        <v>0.29309210526315788</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14.591865634615386</v>
      </c>
      <c r="N30" s="103"/>
      <c r="O30" s="622" t="s">
        <v>134</v>
      </c>
      <c r="P30" s="623"/>
      <c r="Q30" s="229">
        <f>Q28/Q27</f>
        <v>1.7528887003480318</v>
      </c>
      <c r="R30" s="229">
        <f>R28/R27</f>
        <v>1.6807019176016555</v>
      </c>
      <c r="S30" s="131">
        <f>S28/S27</f>
        <v>1.5889613731551779</v>
      </c>
      <c r="T30" s="174"/>
      <c r="U30" s="120">
        <v>0.15</v>
      </c>
      <c r="V30" s="113">
        <f>U30*25.4</f>
        <v>3.8099999999999996</v>
      </c>
      <c r="W30" s="581">
        <f>AI28</f>
        <v>0.54300000000000004</v>
      </c>
      <c r="X30" s="582"/>
      <c r="Y30" s="449">
        <f>((W30/19.32)*10)</f>
        <v>0.28105590062111802</v>
      </c>
      <c r="Z30" s="450"/>
      <c r="AA30" s="581">
        <f>AJ28</f>
        <v>0.35723684210526319</v>
      </c>
      <c r="AB30" s="582"/>
      <c r="AC30" s="449">
        <f>((AA30/19.32)*10)</f>
        <v>0.18490519777705133</v>
      </c>
      <c r="AD30" s="450"/>
      <c r="AE30" s="581">
        <f>AK28</f>
        <v>0.26792763157894739</v>
      </c>
      <c r="AF30" s="582"/>
      <c r="AG30" s="114">
        <f>((AE30/19.32)*10)</f>
        <v>0.13867889833278851</v>
      </c>
      <c r="AH30" s="104"/>
      <c r="AI30" s="42">
        <f t="shared" si="0"/>
        <v>0.63700000000000001</v>
      </c>
      <c r="AJ30" s="42">
        <f>AJ58/1.52</f>
        <v>0.41907894736842105</v>
      </c>
      <c r="AK30" s="42">
        <f t="shared" si="2"/>
        <v>0.31430921052631577</v>
      </c>
      <c r="AO30" s="42">
        <v>3.8439999999999999</v>
      </c>
      <c r="AS30" s="42">
        <f t="shared" si="3"/>
        <v>3.1252032520325201</v>
      </c>
    </row>
    <row r="31" spans="1:45" ht="24.95" customHeight="1" thickBot="1" x14ac:dyDescent="0.3">
      <c r="A31" s="103"/>
      <c r="B31" s="576" t="s">
        <v>74</v>
      </c>
      <c r="C31" s="577"/>
      <c r="D31" s="577"/>
      <c r="E31" s="152">
        <v>645.44000000000005</v>
      </c>
      <c r="F31" s="152">
        <v>800</v>
      </c>
      <c r="G31" s="152">
        <v>674.04</v>
      </c>
      <c r="H31" s="153">
        <v>745.78</v>
      </c>
      <c r="I31" s="174"/>
      <c r="J31" s="597" t="s">
        <v>138</v>
      </c>
      <c r="K31" s="597"/>
      <c r="L31" s="562" t="s">
        <v>116</v>
      </c>
      <c r="M31" s="457">
        <f>IF(M25="","",S82)</f>
        <v>2.7120000000000002</v>
      </c>
      <c r="N31" s="121"/>
      <c r="O31" s="628" t="s">
        <v>135</v>
      </c>
      <c r="P31" s="629"/>
      <c r="Q31" s="122">
        <f>Q30/(1+Q40/100)</f>
        <v>1.4523433090273499</v>
      </c>
      <c r="R31" s="122">
        <f>R30/(1+R40/100)</f>
        <v>1.3941363952149537</v>
      </c>
      <c r="S31" s="123">
        <f>S30/(1+S40/100)</f>
        <v>1.314406884831077</v>
      </c>
      <c r="T31" s="174"/>
      <c r="U31" s="627">
        <v>0.17499999999999999</v>
      </c>
      <c r="V31" s="624">
        <f>U31*25.4</f>
        <v>4.4449999999999994</v>
      </c>
      <c r="W31" s="593">
        <f>AI29</f>
        <v>0.59399999999999997</v>
      </c>
      <c r="X31" s="594"/>
      <c r="Y31" s="439">
        <f>((W31/19.32)*10)</f>
        <v>0.30745341614906829</v>
      </c>
      <c r="Z31" s="440"/>
      <c r="AA31" s="593">
        <f>AJ29</f>
        <v>0.39078947368421052</v>
      </c>
      <c r="AB31" s="594"/>
      <c r="AC31" s="439">
        <f>((AA31/19.32)*10)</f>
        <v>0.20227198430859755</v>
      </c>
      <c r="AD31" s="440"/>
      <c r="AE31" s="593">
        <f>AK29</f>
        <v>0.29309210526315788</v>
      </c>
      <c r="AF31" s="594"/>
      <c r="AG31" s="443">
        <f>((AE31/19.32)*10)</f>
        <v>0.15170398823144818</v>
      </c>
      <c r="AH31" s="104"/>
      <c r="AI31" s="42">
        <f t="shared" si="0"/>
        <v>0.77900000000000003</v>
      </c>
      <c r="AJ31" s="42">
        <f t="shared" si="1"/>
        <v>0.51249999999999996</v>
      </c>
      <c r="AK31" s="42">
        <f t="shared" si="2"/>
        <v>0.38437499999999997</v>
      </c>
      <c r="AO31" s="42">
        <v>5.516</v>
      </c>
      <c r="AS31" s="42">
        <f t="shared" si="3"/>
        <v>4.4845528455284551</v>
      </c>
    </row>
    <row r="32" spans="1:45" ht="5.0999999999999996" customHeight="1" thickBot="1" x14ac:dyDescent="0.3">
      <c r="A32" s="103"/>
      <c r="B32" s="612" t="s">
        <v>75</v>
      </c>
      <c r="C32" s="613"/>
      <c r="D32" s="614"/>
      <c r="E32" s="618">
        <v>61.88</v>
      </c>
      <c r="F32" s="618">
        <v>55.71</v>
      </c>
      <c r="G32" s="618">
        <v>60.56</v>
      </c>
      <c r="H32" s="620">
        <v>39.549999999999997</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0.88800000000000001</v>
      </c>
      <c r="AJ32" s="42">
        <f t="shared" si="1"/>
        <v>0.58421052631578951</v>
      </c>
      <c r="AK32" s="42">
        <f t="shared" si="2"/>
        <v>0.43815789473684214</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0.63700000000000001</v>
      </c>
      <c r="X33" s="582"/>
      <c r="Y33" s="449">
        <f>((W33/19.32)*10)</f>
        <v>0.32971014492753625</v>
      </c>
      <c r="Z33" s="450"/>
      <c r="AA33" s="581">
        <f>AJ30</f>
        <v>0.41907894736842105</v>
      </c>
      <c r="AB33" s="582"/>
      <c r="AC33" s="449">
        <f>((AA33/19.32)*10)</f>
        <v>0.21691456903127382</v>
      </c>
      <c r="AD33" s="450"/>
      <c r="AE33" s="581">
        <f>AK30</f>
        <v>0.31430921052631577</v>
      </c>
      <c r="AF33" s="582"/>
      <c r="AG33" s="144">
        <f>((AE33/19.32)*10)</f>
        <v>0.16268592677345536</v>
      </c>
      <c r="AH33" s="104"/>
      <c r="AI33" s="42">
        <f t="shared" si="0"/>
        <v>0.995</v>
      </c>
      <c r="AJ33" s="42">
        <f t="shared" si="1"/>
        <v>0.65460526315789469</v>
      </c>
      <c r="AK33" s="42">
        <f t="shared" si="2"/>
        <v>0.49095394736842102</v>
      </c>
      <c r="AO33" s="42">
        <v>7.7720000000000002</v>
      </c>
      <c r="AS33" s="42">
        <f t="shared" si="3"/>
        <v>6.3186991869918705</v>
      </c>
    </row>
    <row r="34" spans="1:45" ht="24.95" customHeight="1" thickBot="1" x14ac:dyDescent="0.3">
      <c r="A34" s="103"/>
      <c r="B34" s="602" t="s">
        <v>10</v>
      </c>
      <c r="C34" s="603"/>
      <c r="D34" s="603"/>
      <c r="E34" s="125">
        <f>((E29-E31)/(E31-E32))*100</f>
        <v>17.153334704229199</v>
      </c>
      <c r="F34" s="125">
        <f>((F29-F31)/(F31-F32))*100</f>
        <v>19.543457523277223</v>
      </c>
      <c r="G34" s="125">
        <f>((G29-G31)/(G31-G32))*100</f>
        <v>22.334876442589813</v>
      </c>
      <c r="H34" s="126">
        <f>((H29-H31)/(H31-H32))*100</f>
        <v>25.483199524234319</v>
      </c>
      <c r="I34" s="174"/>
      <c r="J34" s="630" t="s">
        <v>125</v>
      </c>
      <c r="K34" s="630"/>
      <c r="L34" s="184" t="s">
        <v>126</v>
      </c>
      <c r="M34" s="245">
        <v>2.7</v>
      </c>
      <c r="N34" s="128"/>
      <c r="O34" s="631" t="s">
        <v>9</v>
      </c>
      <c r="P34" s="632"/>
      <c r="Q34" s="156">
        <v>311</v>
      </c>
      <c r="R34" s="156">
        <v>640</v>
      </c>
      <c r="S34" s="157">
        <v>614</v>
      </c>
      <c r="T34" s="174"/>
      <c r="U34" s="120">
        <v>0.3</v>
      </c>
      <c r="V34" s="113">
        <f>U34*25.4</f>
        <v>7.6199999999999992</v>
      </c>
      <c r="W34" s="581">
        <f>AI31</f>
        <v>0.77900000000000003</v>
      </c>
      <c r="X34" s="582"/>
      <c r="Y34" s="449">
        <f>((W34/19.32)*10)</f>
        <v>0.40320910973084884</v>
      </c>
      <c r="Z34" s="450"/>
      <c r="AA34" s="449">
        <v>0.51300000000000001</v>
      </c>
      <c r="AB34" s="450"/>
      <c r="AC34" s="449">
        <f>((AA34/19.32)*10)</f>
        <v>0.26552795031055904</v>
      </c>
      <c r="AD34" s="450"/>
      <c r="AE34" s="581">
        <f>AK31</f>
        <v>0.38437499999999997</v>
      </c>
      <c r="AF34" s="582"/>
      <c r="AG34" s="114">
        <f>((AE34/19.32)*10)</f>
        <v>0.19895186335403725</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480.26</v>
      </c>
      <c r="R35" s="608">
        <v>522.07000000000005</v>
      </c>
      <c r="S35" s="610">
        <v>565.79999999999995</v>
      </c>
      <c r="T35" s="174"/>
      <c r="U35" s="627">
        <v>0.4</v>
      </c>
      <c r="V35" s="624">
        <f>U35*25.4</f>
        <v>10.16</v>
      </c>
      <c r="W35" s="593">
        <f>AI32</f>
        <v>0.88800000000000001</v>
      </c>
      <c r="X35" s="594"/>
      <c r="Y35" s="439">
        <f>((W35/19.32)*10)</f>
        <v>0.45962732919254656</v>
      </c>
      <c r="Z35" s="440"/>
      <c r="AA35" s="593">
        <f>AJ32</f>
        <v>0.58421052631578951</v>
      </c>
      <c r="AB35" s="594"/>
      <c r="AC35" s="439">
        <f>(AA35/19.32)*10</f>
        <v>0.30238640078457013</v>
      </c>
      <c r="AD35" s="440"/>
      <c r="AE35" s="593">
        <v>0.39900000000000002</v>
      </c>
      <c r="AF35" s="594"/>
      <c r="AG35" s="443">
        <f>((AE35/19.32)*10)</f>
        <v>0.20652173913043481</v>
      </c>
      <c r="AH35" s="104"/>
      <c r="AS35" s="42">
        <f t="shared" si="3"/>
        <v>0</v>
      </c>
    </row>
    <row r="36" spans="1:45" ht="20.100000000000001" customHeight="1" thickBot="1" x14ac:dyDescent="0.3">
      <c r="A36" s="103"/>
      <c r="B36" s="639" t="s">
        <v>71</v>
      </c>
      <c r="C36" s="640"/>
      <c r="D36" s="640"/>
      <c r="E36" s="130">
        <f>E25/E24</f>
        <v>1.6689944134078212</v>
      </c>
      <c r="F36" s="130">
        <f>F25/F24</f>
        <v>1.7905027932960893</v>
      </c>
      <c r="G36" s="130">
        <f>G25/G24</f>
        <v>1.7946927374301676</v>
      </c>
      <c r="H36" s="131">
        <f>H25/H24</f>
        <v>1.723463687150838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1.424623906456818</v>
      </c>
      <c r="F37" s="230">
        <f>F36/(1+F34/100)</f>
        <v>1.4977840112642273</v>
      </c>
      <c r="G37" s="230">
        <f>G36/(1+G34/100)</f>
        <v>1.4670327788922839</v>
      </c>
      <c r="H37" s="123">
        <f>H36/(1+H34/100)</f>
        <v>1.3734617013953241</v>
      </c>
      <c r="I37" s="174"/>
      <c r="J37" s="641" t="s">
        <v>139</v>
      </c>
      <c r="K37" s="641"/>
      <c r="L37" s="643" t="s">
        <v>121</v>
      </c>
      <c r="M37" s="433">
        <f>IF(F74="","",(M42^2*F74+M42*F75+F76))</f>
        <v>1.4874480769230769</v>
      </c>
      <c r="N37" s="101"/>
      <c r="O37" s="576" t="s">
        <v>28</v>
      </c>
      <c r="P37" s="577"/>
      <c r="Q37" s="150">
        <v>415.24</v>
      </c>
      <c r="R37" s="152">
        <v>439.71</v>
      </c>
      <c r="S37" s="153">
        <v>475.2</v>
      </c>
      <c r="T37" s="174"/>
      <c r="U37" s="132">
        <v>0.5</v>
      </c>
      <c r="V37" s="133">
        <f>U37*25.4</f>
        <v>12.7</v>
      </c>
      <c r="W37" s="637">
        <f>AI33</f>
        <v>0.995</v>
      </c>
      <c r="X37" s="638"/>
      <c r="Y37" s="431">
        <f>((W37/19.32)*10)</f>
        <v>0.51501035196687373</v>
      </c>
      <c r="Z37" s="432"/>
      <c r="AA37" s="637">
        <v>0.625</v>
      </c>
      <c r="AB37" s="638"/>
      <c r="AC37" s="431">
        <f>((AA37/19.32)*10)</f>
        <v>0.32349896480331264</v>
      </c>
      <c r="AD37" s="432"/>
      <c r="AE37" s="637">
        <v>0.41299999999999998</v>
      </c>
      <c r="AF37" s="638"/>
      <c r="AG37" s="134">
        <f>((AE37/19.32)*10)</f>
        <v>0.21376811594202899</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101.04</v>
      </c>
      <c r="R38" s="647">
        <v>39.03</v>
      </c>
      <c r="S38" s="648">
        <v>41.46</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14.591865634615386</v>
      </c>
      <c r="N40" s="103"/>
      <c r="O40" s="628" t="s">
        <v>10</v>
      </c>
      <c r="P40" s="629"/>
      <c r="Q40" s="125">
        <f>((Q35-Q37)/(Q37-Q38))*100</f>
        <v>20.69382558879694</v>
      </c>
      <c r="R40" s="125">
        <f>((R35-R37)/(R37-R38))*100</f>
        <v>20.555056404113028</v>
      </c>
      <c r="S40" s="126">
        <f>((S35-S37)/(S37-S38))*100</f>
        <v>20.888089638954206</v>
      </c>
      <c r="T40" s="174"/>
      <c r="U40" s="645" t="s">
        <v>151</v>
      </c>
      <c r="V40" s="646"/>
      <c r="W40" s="423">
        <f>(AM79/6.9)*100</f>
        <v>3.0980886368409997</v>
      </c>
      <c r="X40" s="423"/>
      <c r="Y40" s="423"/>
      <c r="Z40" s="424"/>
      <c r="AA40" s="425">
        <f>(AO79/6.9)*100</f>
        <v>2.0382162084480262</v>
      </c>
      <c r="AB40" s="426"/>
      <c r="AC40" s="427"/>
      <c r="AD40" s="425">
        <f>(AQ79/6.9)*100</f>
        <v>1.5286621563360194</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3.2010693682285067</v>
      </c>
      <c r="X41" s="418"/>
      <c r="Y41" s="418"/>
      <c r="Z41" s="419"/>
      <c r="AA41" s="420">
        <f>(AO83/10.3)*100</f>
        <v>2.1059666896240175</v>
      </c>
      <c r="AB41" s="421"/>
      <c r="AC41" s="418"/>
      <c r="AD41" s="420">
        <f>(AQ83/10.3)*100</f>
        <v>1.5794750172180132</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20.596153846153847</v>
      </c>
      <c r="N42" s="103"/>
      <c r="O42" s="639" t="s">
        <v>9</v>
      </c>
      <c r="P42" s="640"/>
      <c r="Q42" s="148">
        <v>628</v>
      </c>
      <c r="R42" s="148">
        <v>735</v>
      </c>
      <c r="S42" s="149">
        <v>716</v>
      </c>
      <c r="T42" s="174"/>
      <c r="U42" s="651" t="s">
        <v>42</v>
      </c>
      <c r="V42" s="652"/>
      <c r="W42" s="413">
        <f>IF(W40&lt;W41,W40,W41)</f>
        <v>3.0980886368409997</v>
      </c>
      <c r="X42" s="414"/>
      <c r="Y42" s="414"/>
      <c r="Z42" s="415"/>
      <c r="AA42" s="416">
        <f>IF(AA40&lt;AA41,AA40,AA41)</f>
        <v>2.0382162084480262</v>
      </c>
      <c r="AB42" s="414"/>
      <c r="AC42" s="415"/>
      <c r="AD42" s="416">
        <f>IF(AD40&lt;AD41,AD40,AD41)</f>
        <v>1.5286621563360194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18">
        <v>369.12</v>
      </c>
      <c r="R43" s="608">
        <v>654.55999999999995</v>
      </c>
      <c r="S43" s="610">
        <v>502.66</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295.04000000000002</v>
      </c>
      <c r="R45" s="150">
        <v>509.15</v>
      </c>
      <c r="S45" s="153">
        <v>387</v>
      </c>
      <c r="T45" s="174"/>
      <c r="U45" s="656" t="s">
        <v>139</v>
      </c>
      <c r="V45" s="656"/>
      <c r="W45" s="179" t="s">
        <v>121</v>
      </c>
      <c r="X45" s="406">
        <f>MAX(M37:M39)</f>
        <v>1.4874480769230769</v>
      </c>
      <c r="Y45" s="406"/>
      <c r="Z45" s="406"/>
      <c r="AA45" s="174"/>
      <c r="AB45" s="657" t="s">
        <v>31</v>
      </c>
      <c r="AC45" s="658"/>
      <c r="AD45" s="658"/>
      <c r="AE45" s="658"/>
      <c r="AF45" s="231">
        <v>0.13450000000000001</v>
      </c>
      <c r="AG45" s="231">
        <v>9.6600000000000005E-2</v>
      </c>
      <c r="AH45" s="233">
        <v>0.15939999999999999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48.03</v>
      </c>
      <c r="R46" s="152">
        <v>44.34</v>
      </c>
      <c r="S46" s="153">
        <v>48.9</v>
      </c>
      <c r="T46" s="174"/>
      <c r="U46" s="555" t="s">
        <v>123</v>
      </c>
      <c r="V46" s="555"/>
      <c r="W46" s="179" t="s">
        <v>41</v>
      </c>
      <c r="X46" s="401">
        <f>MIN(M42:M44)</f>
        <v>20.596153846153847</v>
      </c>
      <c r="Y46" s="401"/>
      <c r="Z46" s="401"/>
      <c r="AA46" s="174"/>
      <c r="AB46" s="660" t="s">
        <v>32</v>
      </c>
      <c r="AC46" s="661"/>
      <c r="AD46" s="661"/>
      <c r="AE46" s="661"/>
      <c r="AF46" s="234">
        <v>0.159</v>
      </c>
      <c r="AG46" s="234">
        <v>0.10979999999999999</v>
      </c>
      <c r="AH46" s="235">
        <v>0.16059999999999999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29.990688636087597</v>
      </c>
      <c r="R47" s="125">
        <f>((R43-R45)/(R45-R46))*100</f>
        <v>31.28375034960521</v>
      </c>
      <c r="S47" s="126">
        <f>((S43-S45)/(S45-S46))*100</f>
        <v>34.208813960366761</v>
      </c>
      <c r="T47" s="174"/>
      <c r="U47" s="555" t="s">
        <v>162</v>
      </c>
      <c r="V47" s="555"/>
      <c r="W47" s="179" t="s">
        <v>41</v>
      </c>
      <c r="X47" s="402">
        <f>IF(L25=D103,"-",IF(L25=D102,"-",IF(L25=D101,M25)))</f>
        <v>0</v>
      </c>
      <c r="Y47" s="402"/>
      <c r="Z47" s="402"/>
      <c r="AA47" s="174"/>
      <c r="AB47" s="662" t="s">
        <v>33</v>
      </c>
      <c r="AC47" s="663"/>
      <c r="AD47" s="663"/>
      <c r="AE47" s="663"/>
      <c r="AF47" s="232">
        <f>(AF46-AF45)*2.54</f>
        <v>6.2229999999999987E-2</v>
      </c>
      <c r="AG47" s="232">
        <f>(AG46-AG45)*2.54</f>
        <v>3.3527999999999974E-2</v>
      </c>
      <c r="AH47" s="239">
        <f>(AH46-AH45)*2.54</f>
        <v>3.0480000000000168E-3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0.53646551724137914</v>
      </c>
      <c r="AG48" s="142">
        <f>IF(AG47&lt;&gt;"",IF(R24&lt;&gt;"",AG47/R24*100,""),"")</f>
        <v>0.29436347673397695</v>
      </c>
      <c r="AH48" s="173">
        <f>IF(AH47&lt;&gt;"",IF(S24&lt;&gt;"",AH47/S24*100,""),"")</f>
        <v>2.6997342781222473E-2</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247">
        <v>0.04</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247">
        <v>0.14000000000000001</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247">
        <v>0.249</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247">
        <v>0.34200000000000003</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247">
        <v>0.41299999999999998</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247">
        <v>0.48</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247">
        <v>0.54300000000000004</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247">
        <v>0.59399999999999997</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247">
        <v>0.63700000000000001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247">
        <v>0.77900000000000003</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247">
        <v>0.88800000000000001</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247">
        <v>0.995</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-5.1999999999999998E-3</v>
      </c>
      <c r="G74" s="75">
        <v>-0.12509999999999999</v>
      </c>
      <c r="J74" s="701"/>
      <c r="K74" s="702"/>
      <c r="L74" s="44"/>
      <c r="M74" s="44"/>
      <c r="N74" s="44"/>
    </row>
    <row r="75" spans="1:94" ht="26.25" customHeight="1" thickBot="1" x14ac:dyDescent="0.3">
      <c r="A75" s="11"/>
      <c r="B75" s="377" t="s">
        <v>113</v>
      </c>
      <c r="C75" s="377"/>
      <c r="D75" s="19"/>
      <c r="E75" s="54" t="s">
        <v>12</v>
      </c>
      <c r="F75" s="55">
        <v>0.2142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-0.71840000000000004</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0.14000000000000001</v>
      </c>
      <c r="AM76" s="3">
        <f t="shared" si="4"/>
        <v>7.2463768115942045E-2</v>
      </c>
      <c r="AN76" s="5">
        <f>AA23</f>
        <v>8.8999999999999996E-2</v>
      </c>
      <c r="AO76" s="3">
        <f t="shared" ref="AO76:AO86" si="7">((AN76/19.32)*10)</f>
        <v>4.606625258799172E-2</v>
      </c>
      <c r="AP76" s="5">
        <f>AE23</f>
        <v>6.2E-2</v>
      </c>
      <c r="AQ76" s="161">
        <f t="shared" si="5"/>
        <v>3.2091097308488616E-2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0.249</v>
      </c>
      <c r="AM77" s="3">
        <f t="shared" si="4"/>
        <v>0.12888198757763975</v>
      </c>
      <c r="AN77" s="5">
        <f>AA24</f>
        <v>0.16</v>
      </c>
      <c r="AO77" s="3">
        <f t="shared" si="7"/>
        <v>8.2815734989648032E-2</v>
      </c>
      <c r="AP77" s="5">
        <f>AE24</f>
        <v>0.112</v>
      </c>
      <c r="AQ77" s="161">
        <f t="shared" si="5"/>
        <v>5.7971014492753624E-2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0.34200000000000003</v>
      </c>
      <c r="AM78" s="3">
        <f t="shared" si="4"/>
        <v>0.17701863354037267</v>
      </c>
      <c r="AN78" s="5">
        <f>AA25</f>
        <v>0.222</v>
      </c>
      <c r="AO78" s="3">
        <f t="shared" si="7"/>
        <v>0.11490683229813664</v>
      </c>
      <c r="AP78" s="5">
        <f>AE25</f>
        <v>0.16</v>
      </c>
      <c r="AQ78" s="161">
        <f t="shared" si="5"/>
        <v>8.2815734989648032E-2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0.41299999999999998</v>
      </c>
      <c r="AM79" s="4">
        <f t="shared" si="4"/>
        <v>0.21376811594202899</v>
      </c>
      <c r="AN79" s="5">
        <f>AA26</f>
        <v>0.27171052631578946</v>
      </c>
      <c r="AO79" s="4">
        <f t="shared" si="7"/>
        <v>0.14063691838291381</v>
      </c>
      <c r="AP79" s="5">
        <f>AE26</f>
        <v>0.20378289473684208</v>
      </c>
      <c r="AQ79" s="162">
        <f t="shared" si="5"/>
        <v>0.10547768878718534</v>
      </c>
      <c r="BB79" s="12">
        <v>17</v>
      </c>
      <c r="BC79" s="12">
        <v>18</v>
      </c>
    </row>
    <row r="80" spans="1:94" ht="42" customHeight="1" thickTop="1" thickBot="1" x14ac:dyDescent="0.3">
      <c r="D80" s="49"/>
      <c r="H80" s="711" t="s">
        <v>105</v>
      </c>
      <c r="I80" s="712"/>
      <c r="J80" s="58"/>
      <c r="AJ80" s="160">
        <f>U28</f>
        <v>0.125</v>
      </c>
      <c r="AK80" s="3">
        <f t="shared" si="6"/>
        <v>3.1749999999999998</v>
      </c>
      <c r="AL80" s="5">
        <f>W28</f>
        <v>0.48</v>
      </c>
      <c r="AM80" s="3">
        <f t="shared" si="4"/>
        <v>0.24844720496894407</v>
      </c>
      <c r="AN80" s="5">
        <f>AA28</f>
        <v>0.31578947368421051</v>
      </c>
      <c r="AO80" s="3">
        <f t="shared" si="7"/>
        <v>0.16345210853220005</v>
      </c>
      <c r="AP80" s="5">
        <f>AE28</f>
        <v>0.23684210526315788</v>
      </c>
      <c r="AQ80" s="161">
        <f t="shared" si="5"/>
        <v>0.12258908139915003</v>
      </c>
      <c r="BC80" s="45">
        <v>0.99880400000000003</v>
      </c>
      <c r="BD80" s="45">
        <v>0.99862499999999998</v>
      </c>
    </row>
    <row r="81" spans="2:43" ht="15.75" customHeight="1" x14ac:dyDescent="0.25">
      <c r="AJ81" s="160">
        <f>U30</f>
        <v>0.15</v>
      </c>
      <c r="AK81" s="3">
        <f t="shared" si="6"/>
        <v>3.8099999999999996</v>
      </c>
      <c r="AL81" s="5">
        <f>W30</f>
        <v>0.54300000000000004</v>
      </c>
      <c r="AM81" s="3">
        <f t="shared" si="4"/>
        <v>0.28105590062111802</v>
      </c>
      <c r="AN81" s="5">
        <f>AA30</f>
        <v>0.35723684210526319</v>
      </c>
      <c r="AO81" s="3">
        <f t="shared" si="7"/>
        <v>0.18490519777705133</v>
      </c>
      <c r="AP81" s="5">
        <f>AE30</f>
        <v>0.26792763157894739</v>
      </c>
      <c r="AQ81" s="161">
        <f t="shared" si="5"/>
        <v>0.13867889833278851</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0.59399999999999997</v>
      </c>
      <c r="AM82" s="3">
        <f t="shared" si="4"/>
        <v>0.30745341614906829</v>
      </c>
      <c r="AN82" s="5">
        <f>AA31</f>
        <v>0.39078947368421052</v>
      </c>
      <c r="AO82" s="3">
        <f t="shared" si="7"/>
        <v>0.20227198430859755</v>
      </c>
      <c r="AP82" s="5">
        <f>AE31</f>
        <v>0.29309210526315788</v>
      </c>
      <c r="AQ82" s="161">
        <f t="shared" si="5"/>
        <v>0.15170398823144818</v>
      </c>
    </row>
    <row r="83" spans="2:43" ht="15" customHeight="1" x14ac:dyDescent="0.25">
      <c r="B83" s="49"/>
      <c r="C83" s="49"/>
      <c r="D83" s="49">
        <v>0</v>
      </c>
      <c r="E83" s="50">
        <f>M42</f>
        <v>20.596153846153847</v>
      </c>
      <c r="F83" s="49"/>
      <c r="G83" s="43">
        <f>G84/10</f>
        <v>1.8102846843048386</v>
      </c>
      <c r="H83" s="43">
        <f>H84/10</f>
        <v>1.7338130527548916</v>
      </c>
      <c r="I83" s="43">
        <f>I84/10</f>
        <v>1.6522964184683471</v>
      </c>
      <c r="J83" s="43">
        <f>J84/10</f>
        <v>1.5690919515932991</v>
      </c>
      <c r="K83" s="43"/>
      <c r="L83" s="42">
        <v>0</v>
      </c>
      <c r="O83" s="706"/>
      <c r="P83" s="706"/>
      <c r="Q83" s="706"/>
      <c r="R83" s="706"/>
      <c r="S83" s="707"/>
      <c r="W83" s="112"/>
      <c r="AJ83" s="160">
        <f>U33</f>
        <v>0.2</v>
      </c>
      <c r="AK83" s="4">
        <f t="shared" si="6"/>
        <v>5.08</v>
      </c>
      <c r="AL83" s="5">
        <f>W33</f>
        <v>0.63700000000000001</v>
      </c>
      <c r="AM83" s="4">
        <f t="shared" si="4"/>
        <v>0.32971014492753625</v>
      </c>
      <c r="AN83" s="5">
        <f>AA33</f>
        <v>0.41907894736842105</v>
      </c>
      <c r="AO83" s="4">
        <f t="shared" si="7"/>
        <v>0.21691456903127382</v>
      </c>
      <c r="AP83" s="5">
        <f>AE33</f>
        <v>0.31430921052631577</v>
      </c>
      <c r="AQ83" s="162">
        <f t="shared" si="5"/>
        <v>0.16268592677345536</v>
      </c>
    </row>
    <row r="84" spans="2:43" ht="15" customHeight="1" x14ac:dyDescent="0.25">
      <c r="C84" s="94"/>
      <c r="D84" s="94"/>
      <c r="E84" s="94"/>
      <c r="F84" s="49"/>
      <c r="G84" s="43">
        <f>($M$34/(1+(E34*$M$34/100)))*($O$73)</f>
        <v>18.102846843048386</v>
      </c>
      <c r="H84" s="43">
        <f>($M$34/(1+(F34*$M$34/100)))*($O$73)</f>
        <v>17.338130527548916</v>
      </c>
      <c r="I84" s="43">
        <f>($M$34/(1+(G34*$M$34/100)))*($O$73)</f>
        <v>16.52296418468347</v>
      </c>
      <c r="J84" s="43">
        <f>($M$34/(1+(H34*$M$34/100)))*($O$73)</f>
        <v>15.69091951593299</v>
      </c>
      <c r="K84" s="43"/>
      <c r="O84" s="706" t="s">
        <v>146</v>
      </c>
      <c r="P84" s="706"/>
      <c r="Q84" s="706"/>
      <c r="R84" s="706"/>
      <c r="S84" s="707">
        <v>2240</v>
      </c>
      <c r="W84" s="112"/>
      <c r="AJ84" s="160">
        <f>U34</f>
        <v>0.3</v>
      </c>
      <c r="AK84" s="3">
        <f t="shared" si="6"/>
        <v>7.6199999999999992</v>
      </c>
      <c r="AL84" s="5">
        <f>W34</f>
        <v>0.77900000000000003</v>
      </c>
      <c r="AM84" s="3">
        <f t="shared" si="4"/>
        <v>0.40320910973084884</v>
      </c>
      <c r="AN84" s="5">
        <f>AA34</f>
        <v>0.51300000000000001</v>
      </c>
      <c r="AO84" s="3">
        <f t="shared" si="7"/>
        <v>0.26552795031055904</v>
      </c>
      <c r="AP84" s="5">
        <f>AE34</f>
        <v>0.38437499999999997</v>
      </c>
      <c r="AQ84" s="161">
        <f t="shared" si="5"/>
        <v>0.19895186335403725</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0.88800000000000001</v>
      </c>
      <c r="AM85" s="3">
        <f t="shared" si="4"/>
        <v>0.45962732919254656</v>
      </c>
      <c r="AN85" s="5">
        <f>AA35</f>
        <v>0.58421052631578951</v>
      </c>
      <c r="AO85" s="3">
        <f t="shared" si="7"/>
        <v>0.30238640078457013</v>
      </c>
      <c r="AP85" s="5">
        <f>AE35</f>
        <v>0.39900000000000002</v>
      </c>
      <c r="AQ85" s="161">
        <f>((AP85/19.32)*10)</f>
        <v>0.20652173913043481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0.995</v>
      </c>
      <c r="AM86" s="164">
        <f t="shared" si="4"/>
        <v>0.51501035196687373</v>
      </c>
      <c r="AN86" s="165">
        <f>AA37</f>
        <v>0.625</v>
      </c>
      <c r="AO86" s="164">
        <f t="shared" si="7"/>
        <v>0.32349896480331264</v>
      </c>
      <c r="AP86" s="165">
        <f>AE37</f>
        <v>0.41299999999999998</v>
      </c>
      <c r="AQ86" s="166">
        <f>((AP86/19.32)*10)</f>
        <v>0.21376811594202899</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1.4523433090273499</v>
      </c>
      <c r="AK91" s="9">
        <f>R31</f>
        <v>1.3941363952149537</v>
      </c>
      <c r="AL91" s="10">
        <f>S31</f>
        <v>1.314406884831077</v>
      </c>
    </row>
    <row r="92" spans="2:43" ht="21" customHeight="1" thickBot="1" x14ac:dyDescent="0.3">
      <c r="B92" s="92"/>
      <c r="C92" s="93"/>
      <c r="D92" s="93"/>
      <c r="E92" s="93"/>
      <c r="F92" s="62"/>
      <c r="G92" s="63"/>
      <c r="H92" s="49"/>
      <c r="I92" s="49"/>
      <c r="O92" s="725" t="s">
        <v>147</v>
      </c>
      <c r="P92" s="726"/>
      <c r="Q92" s="726"/>
      <c r="R92" s="726"/>
      <c r="S92" s="61">
        <f>M42</f>
        <v>20.596153846153847</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3.0980886368409997</v>
      </c>
      <c r="AK94" s="158">
        <f>AA42</f>
        <v>2.0382162084480262</v>
      </c>
      <c r="AL94" s="158">
        <f>AD42</f>
        <v>1.5286621563360194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816" priority="47">
      <formula>LEN(TRIM(D6))=0</formula>
    </cfRule>
  </conditionalFormatting>
  <conditionalFormatting sqref="D6:H10">
    <cfRule type="containsBlanks" dxfId="1815" priority="46">
      <formula>LEN(TRIM(D6))=0</formula>
    </cfRule>
  </conditionalFormatting>
  <conditionalFormatting sqref="M19">
    <cfRule type="containsBlanks" dxfId="1814" priority="45">
      <formula>LEN(TRIM(M19))=0</formula>
    </cfRule>
  </conditionalFormatting>
  <conditionalFormatting sqref="CP70">
    <cfRule type="containsBlanks" dxfId="1813" priority="44">
      <formula>LEN(TRIM(CP70))=0</formula>
    </cfRule>
  </conditionalFormatting>
  <conditionalFormatting sqref="M21">
    <cfRule type="containsBlanks" dxfId="1812" priority="43">
      <formula>LEN(TRIM(M21))=0</formula>
    </cfRule>
  </conditionalFormatting>
  <conditionalFormatting sqref="D12:M12">
    <cfRule type="containsBlanks" dxfId="1811" priority="42">
      <formula>LEN(TRIM(D12))=0</formula>
    </cfRule>
  </conditionalFormatting>
  <conditionalFormatting sqref="L9:M9">
    <cfRule type="containsBlanks" dxfId="1810" priority="41">
      <formula>LEN(TRIM(L9))=0</formula>
    </cfRule>
  </conditionalFormatting>
  <conditionalFormatting sqref="L25">
    <cfRule type="containsBlanks" dxfId="1809" priority="40">
      <formula>LEN(TRIM(L25))=0</formula>
    </cfRule>
  </conditionalFormatting>
  <conditionalFormatting sqref="Q20:S21">
    <cfRule type="containsBlanks" dxfId="1808" priority="33">
      <formula>LEN(TRIM(Q20))=0</formula>
    </cfRule>
    <cfRule type="containsBlanks" dxfId="1807" priority="39">
      <formula>LEN(TRIM(Q20))=0</formula>
    </cfRule>
  </conditionalFormatting>
  <conditionalFormatting sqref="U26:V27 AC33 AC26">
    <cfRule type="cellIs" dxfId="1806" priority="38" operator="between">
      <formula>0</formula>
      <formula>500</formula>
    </cfRule>
  </conditionalFormatting>
  <conditionalFormatting sqref="U33:V33">
    <cfRule type="cellIs" dxfId="1805" priority="37" operator="between">
      <formula>0</formula>
      <formula>500</formula>
    </cfRule>
  </conditionalFormatting>
  <conditionalFormatting sqref="AF45:AH46">
    <cfRule type="containsBlanks" dxfId="1804" priority="36">
      <formula>LEN(TRIM(AF45))=0</formula>
    </cfRule>
  </conditionalFormatting>
  <conditionalFormatting sqref="AF51:AG53">
    <cfRule type="containsBlanks" dxfId="1803" priority="35">
      <formula>LEN(TRIM(AF51))=0</formula>
    </cfRule>
  </conditionalFormatting>
  <conditionalFormatting sqref="E20:H24">
    <cfRule type="containsBlanks" dxfId="1802" priority="34">
      <formula>LEN(TRIM(E20))=0</formula>
    </cfRule>
  </conditionalFormatting>
  <conditionalFormatting sqref="M25">
    <cfRule type="containsBlanks" dxfId="1801" priority="32">
      <formula>LEN(TRIM(M25))=0</formula>
    </cfRule>
  </conditionalFormatting>
  <conditionalFormatting sqref="U26:V27 Y26:Z27 AC26:AD27 AG26:AG27">
    <cfRule type="containsBlanks" dxfId="1800" priority="30">
      <formula>LEN(TRIM(U26))=0</formula>
    </cfRule>
    <cfRule type="cellIs" dxfId="1799" priority="31" operator="between">
      <formula>0</formula>
      <formula>1000</formula>
    </cfRule>
  </conditionalFormatting>
  <conditionalFormatting sqref="W87:W88">
    <cfRule type="cellIs" dxfId="1798" priority="29" operator="between">
      <formula>0</formula>
      <formula>500</formula>
    </cfRule>
  </conditionalFormatting>
  <conditionalFormatting sqref="W94">
    <cfRule type="cellIs" dxfId="1797" priority="28" operator="between">
      <formula>0</formula>
      <formula>500</formula>
    </cfRule>
  </conditionalFormatting>
  <conditionalFormatting sqref="W87:W88">
    <cfRule type="containsBlanks" dxfId="1796" priority="26">
      <formula>LEN(TRIM(W87))=0</formula>
    </cfRule>
    <cfRule type="cellIs" dxfId="1795" priority="27" operator="between">
      <formula>0</formula>
      <formula>1000</formula>
    </cfRule>
  </conditionalFormatting>
  <conditionalFormatting sqref="U33:V33 Y33:Z33 AC33:AD33 AG33">
    <cfRule type="cellIs" dxfId="1794" priority="25" operator="between">
      <formula>0</formula>
      <formula>1000</formula>
    </cfRule>
  </conditionalFormatting>
  <conditionalFormatting sqref="Q27:S27">
    <cfRule type="containsBlanks" dxfId="1793" priority="23">
      <formula>LEN(TRIM(Q27))=0</formula>
    </cfRule>
    <cfRule type="containsBlanks" dxfId="1792" priority="24">
      <formula>LEN(TRIM(Q27))=0</formula>
    </cfRule>
  </conditionalFormatting>
  <conditionalFormatting sqref="W30:W31 W33:W35 W37 W28 W22:W26">
    <cfRule type="containsBlanks" dxfId="1791" priority="22">
      <formula>LEN(TRIM(W22))=0</formula>
    </cfRule>
  </conditionalFormatting>
  <conditionalFormatting sqref="W37 W30:W31 W33:W35 W28 W22:W26">
    <cfRule type="containsBlanks" dxfId="1790" priority="21">
      <formula>LEN(TRIM(W22))=0</formula>
    </cfRule>
  </conditionalFormatting>
  <conditionalFormatting sqref="W33:X33">
    <cfRule type="cellIs" dxfId="1789" priority="20" operator="between">
      <formula>0</formula>
      <formula>1000</formula>
    </cfRule>
  </conditionalFormatting>
  <conditionalFormatting sqref="W30:X37 W26 W28 W22:X25">
    <cfRule type="containsBlanks" dxfId="1788" priority="19">
      <formula>LEN(TRIM(W22))=0</formula>
    </cfRule>
  </conditionalFormatting>
  <conditionalFormatting sqref="AA37 AA30:AA31 AA33 AA22:AA26 AA28 AA35">
    <cfRule type="containsBlanks" dxfId="1787" priority="18">
      <formula>LEN(TRIM(AA22))=0</formula>
    </cfRule>
  </conditionalFormatting>
  <conditionalFormatting sqref="AA37 AA30:AA31 AA33 AA22:AA26 AA28 AA35">
    <cfRule type="containsBlanks" dxfId="1786" priority="17">
      <formula>LEN(TRIM(AA22))=0</formula>
    </cfRule>
  </conditionalFormatting>
  <conditionalFormatting sqref="AA33:AB33">
    <cfRule type="cellIs" dxfId="1785" priority="16" operator="between">
      <formula>0</formula>
      <formula>1000</formula>
    </cfRule>
  </conditionalFormatting>
  <conditionalFormatting sqref="AA30:AB30 AA31 AA33:AB33 AA22:AB25 AA26 AA28 AA35:AB37">
    <cfRule type="containsBlanks" dxfId="1784" priority="15">
      <formula>LEN(TRIM(AA22))=0</formula>
    </cfRule>
  </conditionalFormatting>
  <conditionalFormatting sqref="AE37 AE28 AE30:AE31 AE33:AE35 AE22:AE26">
    <cfRule type="containsBlanks" dxfId="1783" priority="14">
      <formula>LEN(TRIM(AE22))=0</formula>
    </cfRule>
  </conditionalFormatting>
  <conditionalFormatting sqref="AE37 AE28 AE30:AE31 AE33:AE35 AE22:AE26">
    <cfRule type="containsBlanks" dxfId="1782" priority="13">
      <formula>LEN(TRIM(AE22))=0</formula>
    </cfRule>
  </conditionalFormatting>
  <conditionalFormatting sqref="AE33:AF33">
    <cfRule type="cellIs" dxfId="1781" priority="12" operator="between">
      <formula>0</formula>
      <formula>1000</formula>
    </cfRule>
  </conditionalFormatting>
  <conditionalFormatting sqref="AE33:AF37 AE26 AE28 AE30:AE31 AE22:AF25">
    <cfRule type="containsBlanks" dxfId="1780" priority="11">
      <formula>LEN(TRIM(AE22))=0</formula>
    </cfRule>
  </conditionalFormatting>
  <conditionalFormatting sqref="K6:M6">
    <cfRule type="containsBlanks" dxfId="1779" priority="10">
      <formula>LEN(TRIM(K6))=0</formula>
    </cfRule>
  </conditionalFormatting>
  <conditionalFormatting sqref="K7:K8">
    <cfRule type="containsBlanks" dxfId="1778" priority="9">
      <formula>LEN(TRIM(K7))=0</formula>
    </cfRule>
  </conditionalFormatting>
  <conditionalFormatting sqref="D13:M13">
    <cfRule type="containsBlanks" dxfId="1777" priority="8">
      <formula>LEN(TRIM(D13))=0</formula>
    </cfRule>
  </conditionalFormatting>
  <conditionalFormatting sqref="B6:B10">
    <cfRule type="containsBlanks" dxfId="1776" priority="7">
      <formula>LEN(TRIM(B6))=0</formula>
    </cfRule>
  </conditionalFormatting>
  <conditionalFormatting sqref="B12:B13">
    <cfRule type="containsBlanks" dxfId="1775" priority="6">
      <formula>LEN(TRIM(B12))=0</formula>
    </cfRule>
  </conditionalFormatting>
  <conditionalFormatting sqref="E28:H33">
    <cfRule type="containsBlanks" dxfId="1774" priority="5">
      <formula>LEN(TRIM(E28))=0</formula>
    </cfRule>
  </conditionalFormatting>
  <conditionalFormatting sqref="Q22:S26">
    <cfRule type="containsBlanks" dxfId="1773" priority="3">
      <formula>LEN(TRIM(Q22))=0</formula>
    </cfRule>
    <cfRule type="containsBlanks" dxfId="1772" priority="4">
      <formula>LEN(TRIM(Q22))=0</formula>
    </cfRule>
  </conditionalFormatting>
  <conditionalFormatting sqref="Q34:S39">
    <cfRule type="containsBlanks" dxfId="1771" priority="2">
      <formula>LEN(TRIM(Q34))=0</formula>
    </cfRule>
  </conditionalFormatting>
  <conditionalFormatting sqref="Q42:S46">
    <cfRule type="containsBlanks" dxfId="1770" priority="1">
      <formula>LEN(TRIM(Q42))=0</formula>
    </cfRule>
  </conditionalFormatting>
  <dataValidations count="5">
    <dataValidation type="list" allowBlank="1" showInputMessage="1" showErrorMessage="1" sqref="D12:E12" xr:uid="{00000000-0002-0000-1500-000000000000}">
      <formula1>$B$87:$B$94</formula1>
    </dataValidation>
    <dataValidation type="list" allowBlank="1" showInputMessage="1" showErrorMessage="1" sqref="CP70" xr:uid="{00000000-0002-0000-1500-000001000000}">
      <formula1>$BA$3:$BA$5</formula1>
    </dataValidation>
    <dataValidation type="list" allowBlank="1" showInputMessage="1" showErrorMessage="1" sqref="M19" xr:uid="{00000000-0002-0000-1500-000002000000}">
      <formula1>$AX$3:$AX$5</formula1>
    </dataValidation>
    <dataValidation type="list" allowBlank="1" showInputMessage="1" showErrorMessage="1" sqref="M21" xr:uid="{00000000-0002-0000-1500-000003000000}">
      <formula1>$AX$3:$AX$4</formula1>
    </dataValidation>
    <dataValidation type="list" allowBlank="1" showInputMessage="1" showErrorMessage="1" sqref="L25" xr:uid="{00000000-0002-0000-1500-000004000000}">
      <formula1>$D$101:$D$104</formula1>
    </dataValidation>
  </dataValidations>
  <hyperlinks>
    <hyperlink ref="D8" r:id="rId1" xr:uid="{00000000-0004-0000-15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36193"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36194"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36195"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3619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3619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36198"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36199"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3620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3620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3620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63">
    <tabColor theme="8" tint="0.79998168889431442"/>
  </sheetPr>
  <dimension ref="A1:CP153"/>
  <sheetViews>
    <sheetView view="pageBreakPreview" topLeftCell="A22" zoomScale="96" zoomScaleNormal="100" zoomScaleSheetLayoutView="96"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25-P-VILLA RICA AP3-1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25-P-VILLA RICA AP3-1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241</v>
      </c>
      <c r="G12" s="31" t="s">
        <v>4</v>
      </c>
      <c r="H12" s="146">
        <v>1</v>
      </c>
      <c r="I12" s="546" t="s">
        <v>5</v>
      </c>
      <c r="J12" s="546"/>
      <c r="K12" s="209">
        <v>0</v>
      </c>
      <c r="L12" s="32" t="s">
        <v>6</v>
      </c>
      <c r="M12" s="147">
        <v>0.15</v>
      </c>
      <c r="N12" s="78"/>
      <c r="O12" s="501" t="s">
        <v>3</v>
      </c>
      <c r="P12" s="501"/>
      <c r="Q12" s="225" t="s">
        <v>234</v>
      </c>
      <c r="R12" s="224" t="str">
        <f>F12</f>
        <v>P-VILLA RICA AP3</v>
      </c>
      <c r="S12" s="224"/>
      <c r="T12" s="502" t="s">
        <v>4</v>
      </c>
      <c r="U12" s="502"/>
      <c r="V12" s="33">
        <f>+H12</f>
        <v>1</v>
      </c>
      <c r="W12" s="547" t="s">
        <v>5</v>
      </c>
      <c r="X12" s="547"/>
      <c r="Y12" s="547"/>
      <c r="Z12" s="547"/>
      <c r="AA12" s="547"/>
      <c r="AB12" s="547"/>
      <c r="AC12" s="34">
        <f>K12</f>
        <v>0</v>
      </c>
      <c r="AD12" s="548" t="s">
        <v>6</v>
      </c>
      <c r="AE12" s="548"/>
      <c r="AF12" s="35">
        <f>+M12</f>
        <v>0.15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89" t="s">
        <v>255</v>
      </c>
      <c r="E13" s="789"/>
      <c r="F13" s="789"/>
      <c r="G13" s="789"/>
      <c r="H13" s="789"/>
      <c r="I13" s="789"/>
      <c r="J13" s="789"/>
      <c r="K13" s="789"/>
      <c r="L13" s="789"/>
      <c r="M13" s="790"/>
      <c r="N13" s="188"/>
      <c r="O13" s="526" t="s">
        <v>130</v>
      </c>
      <c r="P13" s="526"/>
      <c r="Q13" s="527" t="str">
        <f>D13</f>
        <v>ARCILLA DE BAJA PLASTICIDAD, CON ALGO DE ARENA, COLOR MARRÓN, CONSISTENCIA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48">
        <v>609</v>
      </c>
      <c r="R20" s="148">
        <v>420</v>
      </c>
      <c r="S20" s="149">
        <v>410</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10976</v>
      </c>
      <c r="F22" s="150">
        <v>11183</v>
      </c>
      <c r="G22" s="150">
        <v>11284</v>
      </c>
      <c r="H22" s="151">
        <v>11156</v>
      </c>
      <c r="I22" s="174"/>
      <c r="J22" s="578"/>
      <c r="K22" s="578"/>
      <c r="L22" s="578"/>
      <c r="M22" s="104"/>
      <c r="N22" s="103"/>
      <c r="O22" s="579" t="s">
        <v>132</v>
      </c>
      <c r="P22" s="580"/>
      <c r="Q22" s="219">
        <v>7712</v>
      </c>
      <c r="R22" s="219">
        <v>7478</v>
      </c>
      <c r="S22" s="208">
        <v>7345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5.0999999999999997E-2</v>
      </c>
      <c r="AJ22" s="42">
        <f>AJ50/1.52</f>
        <v>3.3552631578947369E-2</v>
      </c>
      <c r="AK22" s="42">
        <f>AJ22*0.75</f>
        <v>2.5164473684210528E-2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3848</v>
      </c>
      <c r="R23" s="150">
        <v>3832</v>
      </c>
      <c r="S23" s="151">
        <v>3837</v>
      </c>
      <c r="T23" s="174"/>
      <c r="U23" s="112">
        <v>2.5000000000000001E-2</v>
      </c>
      <c r="V23" s="113">
        <f>U23*25.4</f>
        <v>0.63500000000000001</v>
      </c>
      <c r="W23" s="581">
        <v>0.26400000000000001</v>
      </c>
      <c r="X23" s="582"/>
      <c r="Y23" s="449">
        <f>((W23/19.32)*10)</f>
        <v>0.13664596273291926</v>
      </c>
      <c r="Z23" s="450"/>
      <c r="AA23" s="581">
        <f>AJ23</f>
        <v>0.13947368421052631</v>
      </c>
      <c r="AB23" s="582"/>
      <c r="AC23" s="449">
        <f>((AA23/19.32)*10)</f>
        <v>7.2191347935055022E-2</v>
      </c>
      <c r="AD23" s="450"/>
      <c r="AE23" s="581">
        <v>9.8000000000000004E-2</v>
      </c>
      <c r="AF23" s="582"/>
      <c r="AG23" s="114">
        <f>((AE23/19.32)*10)</f>
        <v>5.0724637681159424E-2</v>
      </c>
      <c r="AH23" s="104"/>
      <c r="AI23" s="42">
        <f t="shared" ref="AI23:AI33" si="0">AJ51</f>
        <v>0.21199999999999999</v>
      </c>
      <c r="AJ23" s="42">
        <f t="shared" ref="AJ23:AJ33" si="1">AJ51/1.52</f>
        <v>0.13947368421052631</v>
      </c>
      <c r="AK23" s="42">
        <f t="shared" ref="AK23:AK33" si="2">AJ23*0.75</f>
        <v>0.10460526315789473</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11.23</v>
      </c>
      <c r="S24" s="153">
        <v>11.25</v>
      </c>
      <c r="T24" s="174"/>
      <c r="U24" s="112">
        <v>0.05</v>
      </c>
      <c r="V24" s="113">
        <f>U24*25.4</f>
        <v>1.27</v>
      </c>
      <c r="W24" s="581">
        <v>0.46500000000000002</v>
      </c>
      <c r="X24" s="582"/>
      <c r="Y24" s="449">
        <f>((W24/19.32)*10)</f>
        <v>0.24068322981366461</v>
      </c>
      <c r="Z24" s="450"/>
      <c r="AA24" s="581">
        <f>AJ24</f>
        <v>0.26776315789473681</v>
      </c>
      <c r="AB24" s="582"/>
      <c r="AC24" s="449">
        <f>((AA24/19.32)*10)</f>
        <v>0.13859376702626128</v>
      </c>
      <c r="AD24" s="450"/>
      <c r="AE24" s="581">
        <v>0.189</v>
      </c>
      <c r="AF24" s="582"/>
      <c r="AG24" s="114">
        <f>((AE24/19.32)*10)</f>
        <v>9.7826086956521743E-2</v>
      </c>
      <c r="AH24" s="104"/>
      <c r="AI24" s="42">
        <f t="shared" si="0"/>
        <v>0.40699999999999997</v>
      </c>
      <c r="AJ24" s="42">
        <f t="shared" si="1"/>
        <v>0.26776315789473681</v>
      </c>
      <c r="AK24" s="42">
        <f t="shared" si="2"/>
        <v>0.20082236842105261</v>
      </c>
      <c r="AO24" s="42">
        <v>0.68400000000000005</v>
      </c>
      <c r="AS24" s="42">
        <f t="shared" si="3"/>
        <v>0.55609756097560981</v>
      </c>
    </row>
    <row r="25" spans="1:45" ht="24.95" customHeight="1" thickBot="1" x14ac:dyDescent="0.3">
      <c r="A25" s="103"/>
      <c r="B25" s="602" t="s">
        <v>69</v>
      </c>
      <c r="C25" s="603"/>
      <c r="D25" s="603"/>
      <c r="E25" s="115">
        <f>E22-E23</f>
        <v>3664</v>
      </c>
      <c r="F25" s="115">
        <f>F22-F23</f>
        <v>3871</v>
      </c>
      <c r="G25" s="115">
        <f>G22-G23</f>
        <v>3972</v>
      </c>
      <c r="H25" s="116">
        <f>H22-H23</f>
        <v>3844</v>
      </c>
      <c r="I25" s="174"/>
      <c r="J25" s="174" t="s">
        <v>127</v>
      </c>
      <c r="K25" s="174"/>
      <c r="L25" s="218" t="s">
        <v>128</v>
      </c>
      <c r="M25" s="246">
        <v>12.33</v>
      </c>
      <c r="N25" s="103"/>
      <c r="O25" s="604" t="s">
        <v>46</v>
      </c>
      <c r="P25" s="605"/>
      <c r="Q25" s="608">
        <v>15.2</v>
      </c>
      <c r="R25" s="608">
        <v>15.23</v>
      </c>
      <c r="S25" s="610">
        <v>15.25</v>
      </c>
      <c r="T25" s="174"/>
      <c r="U25" s="112">
        <v>7.4999999999999997E-2</v>
      </c>
      <c r="V25" s="113">
        <f>U25*25.4</f>
        <v>1.9049999999999998</v>
      </c>
      <c r="W25" s="581">
        <v>0.68700000000000006</v>
      </c>
      <c r="X25" s="582"/>
      <c r="Y25" s="449">
        <f>((W25/19.32)*10)</f>
        <v>0.35559006211180127</v>
      </c>
      <c r="Z25" s="450"/>
      <c r="AA25" s="581">
        <f>AJ25</f>
        <v>0.4006578947368421</v>
      </c>
      <c r="AB25" s="582"/>
      <c r="AC25" s="449">
        <f>((AA25/19.32)*10)</f>
        <v>0.20737986270022882</v>
      </c>
      <c r="AD25" s="450"/>
      <c r="AE25" s="581">
        <v>0.28899999999999998</v>
      </c>
      <c r="AF25" s="582"/>
      <c r="AG25" s="114">
        <f>((AE25/19.32)*10)</f>
        <v>0.14958592132505175</v>
      </c>
      <c r="AH25" s="104"/>
      <c r="AI25" s="42">
        <f t="shared" si="0"/>
        <v>0.60899999999999999</v>
      </c>
      <c r="AJ25" s="42">
        <f t="shared" si="1"/>
        <v>0.4006578947368421</v>
      </c>
      <c r="AK25" s="42">
        <f t="shared" si="2"/>
        <v>0.30049342105263155</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v>0.84699999999999998</v>
      </c>
      <c r="X26" s="779"/>
      <c r="Y26" s="461">
        <f>((W26/19.32)*10)</f>
        <v>0.43840579710144928</v>
      </c>
      <c r="Z26" s="462"/>
      <c r="AA26" s="746">
        <f>AJ26</f>
        <v>0.53092105263157896</v>
      </c>
      <c r="AB26" s="747"/>
      <c r="AC26" s="461">
        <f>((AA26/19.32)*10)</f>
        <v>0.27480385746976138</v>
      </c>
      <c r="AD26" s="462"/>
      <c r="AE26" s="746">
        <v>0.38700000000000001</v>
      </c>
      <c r="AF26" s="747"/>
      <c r="AG26" s="469">
        <f>((AE26/19.32)*10)</f>
        <v>0.2003105590062112</v>
      </c>
      <c r="AH26" s="104"/>
      <c r="AI26" s="42">
        <f t="shared" si="0"/>
        <v>0.80700000000000005</v>
      </c>
      <c r="AJ26" s="42">
        <f t="shared" si="1"/>
        <v>0.53092105263157896</v>
      </c>
      <c r="AK26" s="42">
        <f t="shared" si="2"/>
        <v>0.39819078947368425</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2045.8295359824156</v>
      </c>
      <c r="S27" s="153">
        <f>(PI()*((S25^2)/4)*S24)</f>
        <v>2054.8593042200896</v>
      </c>
      <c r="T27" s="174"/>
      <c r="U27" s="600"/>
      <c r="V27" s="601"/>
      <c r="W27" s="780"/>
      <c r="X27" s="781"/>
      <c r="Y27" s="463"/>
      <c r="Z27" s="464"/>
      <c r="AA27" s="748"/>
      <c r="AB27" s="749"/>
      <c r="AC27" s="463"/>
      <c r="AD27" s="464"/>
      <c r="AE27" s="748"/>
      <c r="AF27" s="749"/>
      <c r="AG27" s="470"/>
      <c r="AH27" s="193"/>
      <c r="AI27" s="42">
        <f t="shared" si="0"/>
        <v>1.054</v>
      </c>
      <c r="AJ27" s="42">
        <f t="shared" si="1"/>
        <v>0.69342105263157894</v>
      </c>
      <c r="AK27" s="42">
        <f t="shared" si="2"/>
        <v>0.5200657894736842</v>
      </c>
      <c r="AO27" s="42">
        <v>2.387</v>
      </c>
      <c r="AS27" s="42">
        <f t="shared" si="3"/>
        <v>1.9406504065040651</v>
      </c>
    </row>
    <row r="28" spans="1:45" ht="24.95" customHeight="1" thickBot="1" x14ac:dyDescent="0.3">
      <c r="A28" s="103"/>
      <c r="B28" s="560" t="s">
        <v>9</v>
      </c>
      <c r="C28" s="561"/>
      <c r="D28" s="561"/>
      <c r="E28" s="148">
        <v>726</v>
      </c>
      <c r="F28" s="148">
        <v>727</v>
      </c>
      <c r="G28" s="148">
        <v>739</v>
      </c>
      <c r="H28" s="149">
        <v>719</v>
      </c>
      <c r="I28" s="174"/>
      <c r="J28" s="597" t="s">
        <v>107</v>
      </c>
      <c r="K28" s="597"/>
      <c r="L28" s="562" t="s">
        <v>119</v>
      </c>
      <c r="M28" s="459">
        <f>IF(M26="","",(100-M26))</f>
        <v>100</v>
      </c>
      <c r="N28" s="103"/>
      <c r="O28" s="625" t="s">
        <v>136</v>
      </c>
      <c r="P28" s="626"/>
      <c r="Q28" s="220">
        <f>Q22-Q23</f>
        <v>3864</v>
      </c>
      <c r="R28" s="220">
        <f>R22-R23</f>
        <v>3646</v>
      </c>
      <c r="S28" s="221">
        <f>S22-S23</f>
        <v>3508</v>
      </c>
      <c r="T28" s="174"/>
      <c r="U28" s="627">
        <v>0.125</v>
      </c>
      <c r="V28" s="624">
        <f>U28*25.4</f>
        <v>3.1749999999999998</v>
      </c>
      <c r="W28" s="593">
        <f>AI27</f>
        <v>1.054</v>
      </c>
      <c r="X28" s="594"/>
      <c r="Y28" s="439">
        <f>((W28/19.32)*10)</f>
        <v>0.54554865424430643</v>
      </c>
      <c r="Z28" s="440"/>
      <c r="AA28" s="593">
        <f>AJ27</f>
        <v>0.69342105263157894</v>
      </c>
      <c r="AB28" s="594"/>
      <c r="AC28" s="439">
        <f>((AA28/19.32)*10)</f>
        <v>0.35891358831862263</v>
      </c>
      <c r="AD28" s="440"/>
      <c r="AE28" s="593">
        <v>0.50700000000000001</v>
      </c>
      <c r="AF28" s="594"/>
      <c r="AG28" s="443">
        <f>((AE28/19.32)*10)</f>
        <v>0.26242236024844723</v>
      </c>
      <c r="AH28" s="104"/>
      <c r="AI28" s="42">
        <f t="shared" si="0"/>
        <v>1.2749999999999999</v>
      </c>
      <c r="AJ28" s="42">
        <f t="shared" si="1"/>
        <v>0.83881578947368418</v>
      </c>
      <c r="AK28" s="42">
        <f t="shared" si="2"/>
        <v>0.62911184210526316</v>
      </c>
      <c r="AO28" s="42">
        <v>2.8959999999999999</v>
      </c>
      <c r="AS28" s="42">
        <f t="shared" si="3"/>
        <v>2.3544715447154472</v>
      </c>
    </row>
    <row r="29" spans="1:45" ht="5.0999999999999996" customHeight="1" thickBot="1" x14ac:dyDescent="0.3">
      <c r="A29" s="103"/>
      <c r="B29" s="612" t="s">
        <v>73</v>
      </c>
      <c r="C29" s="613"/>
      <c r="D29" s="614"/>
      <c r="E29" s="618">
        <v>698.75</v>
      </c>
      <c r="F29" s="618">
        <v>892.34</v>
      </c>
      <c r="G29" s="618">
        <v>469.62</v>
      </c>
      <c r="H29" s="620">
        <v>689.35</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1.4450000000000001</v>
      </c>
      <c r="AJ29" s="42">
        <f t="shared" si="1"/>
        <v>0.95065789473684215</v>
      </c>
      <c r="AK29" s="42">
        <f t="shared" si="2"/>
        <v>0.71299342105263164</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14.948157288461541</v>
      </c>
      <c r="N30" s="103"/>
      <c r="O30" s="622" t="s">
        <v>134</v>
      </c>
      <c r="P30" s="623"/>
      <c r="Q30" s="229">
        <f>Q28/Q27</f>
        <v>1.835701535805365</v>
      </c>
      <c r="R30" s="229">
        <f>R28/R27</f>
        <v>1.7821621674110675</v>
      </c>
      <c r="S30" s="131">
        <f>S28/S27</f>
        <v>1.7071728428294715</v>
      </c>
      <c r="T30" s="174"/>
      <c r="U30" s="120">
        <v>0.15</v>
      </c>
      <c r="V30" s="113">
        <f>U30*25.4</f>
        <v>3.8099999999999996</v>
      </c>
      <c r="W30" s="581">
        <f>AI28</f>
        <v>1.2749999999999999</v>
      </c>
      <c r="X30" s="582"/>
      <c r="Y30" s="449">
        <f>((W30/19.32)*10)</f>
        <v>0.65993788819875776</v>
      </c>
      <c r="Z30" s="450"/>
      <c r="AA30" s="581">
        <f>AJ28</f>
        <v>0.83881578947368418</v>
      </c>
      <c r="AB30" s="582"/>
      <c r="AC30" s="449">
        <f>((AA30/19.32)*10)</f>
        <v>0.43416966328865636</v>
      </c>
      <c r="AD30" s="450"/>
      <c r="AE30" s="581">
        <v>0.61399999999999999</v>
      </c>
      <c r="AF30" s="582"/>
      <c r="AG30" s="114">
        <f>((AE30/19.32)*10)</f>
        <v>0.31780538302277428</v>
      </c>
      <c r="AH30" s="104"/>
      <c r="AI30" s="42">
        <f t="shared" si="0"/>
        <v>1.5880000000000001</v>
      </c>
      <c r="AJ30" s="42">
        <f t="shared" si="1"/>
        <v>1.0447368421052632</v>
      </c>
      <c r="AK30" s="42">
        <f t="shared" si="2"/>
        <v>0.78355263157894739</v>
      </c>
      <c r="AO30" s="42">
        <v>3.8439999999999999</v>
      </c>
      <c r="AS30" s="42">
        <f t="shared" si="3"/>
        <v>3.1252032520325201</v>
      </c>
    </row>
    <row r="31" spans="1:45" ht="24.95" customHeight="1" thickBot="1" x14ac:dyDescent="0.3">
      <c r="A31" s="103"/>
      <c r="B31" s="576" t="s">
        <v>74</v>
      </c>
      <c r="C31" s="577"/>
      <c r="D31" s="577"/>
      <c r="E31" s="152">
        <v>605.35</v>
      </c>
      <c r="F31" s="152">
        <v>755.04</v>
      </c>
      <c r="G31" s="152">
        <v>392.62</v>
      </c>
      <c r="H31" s="153">
        <v>559.49</v>
      </c>
      <c r="I31" s="174"/>
      <c r="J31" s="597" t="s">
        <v>138</v>
      </c>
      <c r="K31" s="597"/>
      <c r="L31" s="562" t="s">
        <v>116</v>
      </c>
      <c r="M31" s="457">
        <f>IF(M25="","",S82)</f>
        <v>2.7120000000000002</v>
      </c>
      <c r="N31" s="121"/>
      <c r="O31" s="628" t="s">
        <v>135</v>
      </c>
      <c r="P31" s="629"/>
      <c r="Q31" s="122">
        <f>Q30/(1+Q40/100)</f>
        <v>1.5155006525306678</v>
      </c>
      <c r="R31" s="122">
        <f>R30/(1+R40/100)</f>
        <v>1.4760304304837706</v>
      </c>
      <c r="S31" s="123">
        <f>S30/(1+S40/100)</f>
        <v>1.4147875829671508</v>
      </c>
      <c r="T31" s="174"/>
      <c r="U31" s="627">
        <v>0.17499999999999999</v>
      </c>
      <c r="V31" s="624">
        <f>U31*25.4</f>
        <v>4.4449999999999994</v>
      </c>
      <c r="W31" s="593">
        <f>AI29</f>
        <v>1.4450000000000001</v>
      </c>
      <c r="X31" s="594"/>
      <c r="Y31" s="439">
        <f>((W31/19.32)*10)</f>
        <v>0.74792960662525887</v>
      </c>
      <c r="Z31" s="440"/>
      <c r="AA31" s="593">
        <f>AJ29</f>
        <v>0.95065789473684215</v>
      </c>
      <c r="AB31" s="594"/>
      <c r="AC31" s="439">
        <f>((AA31/19.32)*10)</f>
        <v>0.49205895172714398</v>
      </c>
      <c r="AD31" s="440"/>
      <c r="AE31" s="593">
        <f>AK29</f>
        <v>0.71299342105263164</v>
      </c>
      <c r="AF31" s="594"/>
      <c r="AG31" s="443">
        <f>((AE31/19.32)*10)</f>
        <v>0.36904421379535801</v>
      </c>
      <c r="AH31" s="104"/>
      <c r="AI31" s="42">
        <f t="shared" si="0"/>
        <v>2.004</v>
      </c>
      <c r="AJ31" s="42">
        <f t="shared" si="1"/>
        <v>1.3184210526315789</v>
      </c>
      <c r="AK31" s="42">
        <f t="shared" si="2"/>
        <v>0.9888157894736842</v>
      </c>
      <c r="AO31" s="42">
        <v>5.516</v>
      </c>
      <c r="AS31" s="42">
        <f t="shared" si="3"/>
        <v>4.4845528455284551</v>
      </c>
    </row>
    <row r="32" spans="1:45" ht="5.0999999999999996" customHeight="1" thickBot="1" x14ac:dyDescent="0.3">
      <c r="A32" s="103"/>
      <c r="B32" s="612" t="s">
        <v>75</v>
      </c>
      <c r="C32" s="613"/>
      <c r="D32" s="614"/>
      <c r="E32" s="618">
        <v>46.17</v>
      </c>
      <c r="F32" s="618">
        <v>46.67</v>
      </c>
      <c r="G32" s="618">
        <v>47.69</v>
      </c>
      <c r="H32" s="620">
        <v>49.03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2.347</v>
      </c>
      <c r="AJ32" s="42">
        <f t="shared" si="1"/>
        <v>1.5440789473684211</v>
      </c>
      <c r="AK32" s="42">
        <f t="shared" si="2"/>
        <v>1.1580592105263159</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1.5880000000000001</v>
      </c>
      <c r="X33" s="582"/>
      <c r="Y33" s="449">
        <f>((W33/19.32)*10)</f>
        <v>0.82194616977225676</v>
      </c>
      <c r="Z33" s="450"/>
      <c r="AA33" s="581">
        <f>AJ30</f>
        <v>1.0447368421052632</v>
      </c>
      <c r="AB33" s="582"/>
      <c r="AC33" s="449">
        <f>((AA33/19.32)*10)</f>
        <v>0.54075405906069529</v>
      </c>
      <c r="AD33" s="450"/>
      <c r="AE33" s="581">
        <f>AK30</f>
        <v>0.78355263157894739</v>
      </c>
      <c r="AF33" s="582"/>
      <c r="AG33" s="144">
        <f>((AE33/19.32)*10)</f>
        <v>0.40556554429552139</v>
      </c>
      <c r="AH33" s="104"/>
      <c r="AI33" s="42">
        <f t="shared" si="0"/>
        <v>2.726</v>
      </c>
      <c r="AJ33" s="42">
        <f t="shared" si="1"/>
        <v>1.7934210526315788</v>
      </c>
      <c r="AK33" s="42">
        <f t="shared" si="2"/>
        <v>1.3450657894736842</v>
      </c>
      <c r="AO33" s="42">
        <v>7.7720000000000002</v>
      </c>
      <c r="AS33" s="42">
        <f t="shared" si="3"/>
        <v>6.3186991869918705</v>
      </c>
    </row>
    <row r="34" spans="1:45" ht="24.95" customHeight="1" thickBot="1" x14ac:dyDescent="0.3">
      <c r="A34" s="103"/>
      <c r="B34" s="602" t="s">
        <v>10</v>
      </c>
      <c r="C34" s="603"/>
      <c r="D34" s="603"/>
      <c r="E34" s="125">
        <f>((E29-E31)/(E31-E32))*100</f>
        <v>16.703029435959792</v>
      </c>
      <c r="F34" s="125">
        <f>((F29-F31)/(F31-F32))*100</f>
        <v>19.382526081002876</v>
      </c>
      <c r="G34" s="125">
        <f>((G29-G31)/(G31-G32))*100</f>
        <v>22.32336995912214</v>
      </c>
      <c r="H34" s="126">
        <f>((H29-H31)/(H31-H32))*100</f>
        <v>25.439799396622654</v>
      </c>
      <c r="I34" s="174"/>
      <c r="J34" s="630" t="s">
        <v>125</v>
      </c>
      <c r="K34" s="630"/>
      <c r="L34" s="184" t="s">
        <v>126</v>
      </c>
      <c r="M34" s="245">
        <v>2.68</v>
      </c>
      <c r="N34" s="128"/>
      <c r="O34" s="631" t="s">
        <v>9</v>
      </c>
      <c r="P34" s="632"/>
      <c r="Q34" s="156">
        <v>358</v>
      </c>
      <c r="R34" s="156">
        <v>614</v>
      </c>
      <c r="S34" s="157">
        <v>618</v>
      </c>
      <c r="T34" s="174"/>
      <c r="U34" s="120">
        <v>0.3</v>
      </c>
      <c r="V34" s="113">
        <f>U34*25.4</f>
        <v>7.6199999999999992</v>
      </c>
      <c r="W34" s="581">
        <f>AI31</f>
        <v>2.004</v>
      </c>
      <c r="X34" s="582"/>
      <c r="Y34" s="449">
        <f>((W34/19.32)*10)</f>
        <v>1.0372670807453415</v>
      </c>
      <c r="Z34" s="450"/>
      <c r="AA34" s="449">
        <v>1.3180000000000001</v>
      </c>
      <c r="AB34" s="450"/>
      <c r="AC34" s="449">
        <f>((AA34/19.32)*10)</f>
        <v>0.68219461697722572</v>
      </c>
      <c r="AD34" s="450"/>
      <c r="AE34" s="581">
        <f>AK31</f>
        <v>0.9888157894736842</v>
      </c>
      <c r="AF34" s="582"/>
      <c r="AG34" s="114">
        <f>((AE34/19.32)*10)</f>
        <v>0.51180941484145137</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667.53</v>
      </c>
      <c r="R35" s="608">
        <v>725.89</v>
      </c>
      <c r="S35" s="610">
        <v>892.13</v>
      </c>
      <c r="T35" s="174"/>
      <c r="U35" s="627">
        <v>0.4</v>
      </c>
      <c r="V35" s="624">
        <f>U35*25.4</f>
        <v>10.16</v>
      </c>
      <c r="W35" s="593">
        <f>AI32</f>
        <v>2.347</v>
      </c>
      <c r="X35" s="594"/>
      <c r="Y35" s="439">
        <f>((W35/19.32)*10)</f>
        <v>1.2148033126293996</v>
      </c>
      <c r="Z35" s="440"/>
      <c r="AA35" s="593">
        <f>AJ32</f>
        <v>1.5440789473684211</v>
      </c>
      <c r="AB35" s="594"/>
      <c r="AC35" s="439">
        <f>(AA35/19.32)*10</f>
        <v>0.79921270567723668</v>
      </c>
      <c r="AD35" s="440"/>
      <c r="AE35" s="593">
        <v>1.087</v>
      </c>
      <c r="AF35" s="594"/>
      <c r="AG35" s="443">
        <f>((AE35/19.32)*10)</f>
        <v>0.56262939958592129</v>
      </c>
      <c r="AH35" s="104"/>
      <c r="AS35" s="42">
        <f t="shared" si="3"/>
        <v>0</v>
      </c>
    </row>
    <row r="36" spans="1:45" ht="20.100000000000001" customHeight="1" thickBot="1" x14ac:dyDescent="0.3">
      <c r="A36" s="103"/>
      <c r="B36" s="639" t="s">
        <v>71</v>
      </c>
      <c r="C36" s="640"/>
      <c r="D36" s="640"/>
      <c r="E36" s="130">
        <f>E25/E24</f>
        <v>1.7057728119180633</v>
      </c>
      <c r="F36" s="130">
        <f>F25/F24</f>
        <v>1.8021415270018621</v>
      </c>
      <c r="G36" s="130">
        <f>G25/G24</f>
        <v>1.8491620111731844</v>
      </c>
      <c r="H36" s="131">
        <f>H25/H24</f>
        <v>1.7895716945996276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1.4616354178312889</v>
      </c>
      <c r="F37" s="230">
        <f>F36/(1+F34/100)</f>
        <v>1.5095521816811628</v>
      </c>
      <c r="G37" s="230">
        <f>G36/(1+G34/100)</f>
        <v>1.5116996954802135</v>
      </c>
      <c r="H37" s="123">
        <f>H36/(1+H34/100)</f>
        <v>1.4266378798496469</v>
      </c>
      <c r="I37" s="174"/>
      <c r="J37" s="641" t="s">
        <v>139</v>
      </c>
      <c r="K37" s="641"/>
      <c r="L37" s="643" t="s">
        <v>121</v>
      </c>
      <c r="M37" s="433">
        <f>IF(F74="","",(M42^2*F74+M42*F75+F76))</f>
        <v>1.5237673076923079</v>
      </c>
      <c r="N37" s="101"/>
      <c r="O37" s="576" t="s">
        <v>28</v>
      </c>
      <c r="P37" s="577"/>
      <c r="Q37" s="150">
        <v>568.89</v>
      </c>
      <c r="R37" s="152">
        <v>608.32000000000005</v>
      </c>
      <c r="S37" s="153">
        <v>747.36</v>
      </c>
      <c r="T37" s="174"/>
      <c r="U37" s="132">
        <v>0.5</v>
      </c>
      <c r="V37" s="133">
        <f>U37*25.4</f>
        <v>12.7</v>
      </c>
      <c r="W37" s="637">
        <v>2.5979999999999999</v>
      </c>
      <c r="X37" s="638"/>
      <c r="Y37" s="431">
        <f>((W37/19.32)*10)</f>
        <v>1.3447204968944098</v>
      </c>
      <c r="Z37" s="432"/>
      <c r="AA37" s="637">
        <v>1.712</v>
      </c>
      <c r="AB37" s="638"/>
      <c r="AC37" s="431">
        <f>((AA37/19.32)*10)</f>
        <v>0.88612836438923392</v>
      </c>
      <c r="AD37" s="432"/>
      <c r="AE37" s="637">
        <v>1.1206</v>
      </c>
      <c r="AF37" s="638"/>
      <c r="AG37" s="134">
        <f>((AE37/19.32)*10)</f>
        <v>0.58002070393374749</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102.03</v>
      </c>
      <c r="R38" s="647">
        <v>41.45</v>
      </c>
      <c r="S38" s="648">
        <v>46.85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1.5237673076923082</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14.948157288461541</v>
      </c>
      <c r="N40" s="103"/>
      <c r="O40" s="628" t="s">
        <v>10</v>
      </c>
      <c r="P40" s="629"/>
      <c r="Q40" s="125">
        <f>((Q35-Q37)/(Q37-Q38))*100</f>
        <v>21.128389667137895</v>
      </c>
      <c r="R40" s="125">
        <f>((R35-R37)/(R37-R38))*100</f>
        <v>20.74020498526998</v>
      </c>
      <c r="S40" s="126">
        <f>((S35-S37)/(S37-S38))*100</f>
        <v>20.666371643516865</v>
      </c>
      <c r="T40" s="174"/>
      <c r="U40" s="645" t="s">
        <v>151</v>
      </c>
      <c r="V40" s="646"/>
      <c r="W40" s="423">
        <f>(AM79/6.9)*100</f>
        <v>6.3537072043688303</v>
      </c>
      <c r="X40" s="423"/>
      <c r="Y40" s="423"/>
      <c r="Z40" s="424"/>
      <c r="AA40" s="425">
        <f>(AO79/6.9)*100</f>
        <v>3.9826646010110345</v>
      </c>
      <c r="AB40" s="426"/>
      <c r="AC40" s="427"/>
      <c r="AD40" s="425">
        <f>(AQ79/6.9)*100</f>
        <v>2.9030515798001622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14.948157288461541</v>
      </c>
      <c r="N41" s="138"/>
      <c r="O41" s="565" t="s">
        <v>36</v>
      </c>
      <c r="P41" s="566"/>
      <c r="Q41" s="566"/>
      <c r="R41" s="566"/>
      <c r="S41" s="567"/>
      <c r="T41" s="174"/>
      <c r="U41" s="653" t="s">
        <v>152</v>
      </c>
      <c r="V41" s="654"/>
      <c r="W41" s="418">
        <f>(AM83/10.3)*100</f>
        <v>7.9800599007015212</v>
      </c>
      <c r="X41" s="418"/>
      <c r="Y41" s="418"/>
      <c r="Z41" s="419"/>
      <c r="AA41" s="420">
        <f>(AO83/10.3)*100</f>
        <v>5.2500394083562645</v>
      </c>
      <c r="AB41" s="421"/>
      <c r="AC41" s="418"/>
      <c r="AD41" s="420">
        <f>(AQ83/10.3)*100</f>
        <v>3.9375295562671977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20.653846153846153</v>
      </c>
      <c r="N42" s="103"/>
      <c r="O42" s="639" t="s">
        <v>9</v>
      </c>
      <c r="P42" s="640"/>
      <c r="Q42" s="148">
        <v>219</v>
      </c>
      <c r="R42" s="148">
        <v>205</v>
      </c>
      <c r="S42" s="149">
        <v>700</v>
      </c>
      <c r="T42" s="174"/>
      <c r="U42" s="651" t="s">
        <v>42</v>
      </c>
      <c r="V42" s="652"/>
      <c r="W42" s="413">
        <f>IF(W40&lt;W41,W40,W41)</f>
        <v>6.3537072043688303</v>
      </c>
      <c r="X42" s="414"/>
      <c r="Y42" s="414"/>
      <c r="Z42" s="415"/>
      <c r="AA42" s="416">
        <f>IF(AA40&lt;AA41,AA40,AA41)</f>
        <v>3.9826646010110345</v>
      </c>
      <c r="AB42" s="414"/>
      <c r="AC42" s="415"/>
      <c r="AD42" s="416">
        <f>IF(AD40&lt;AD41,AD40,AD41)</f>
        <v>2.9030515798001622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15.840384615384615</v>
      </c>
      <c r="N43" s="103"/>
      <c r="O43" s="612" t="s">
        <v>49</v>
      </c>
      <c r="P43" s="614"/>
      <c r="Q43" s="618">
        <v>406.56</v>
      </c>
      <c r="R43" s="608">
        <v>553.16</v>
      </c>
      <c r="S43" s="610">
        <v>438.46</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333.7</v>
      </c>
      <c r="R45" s="150">
        <v>440.22</v>
      </c>
      <c r="S45" s="151">
        <v>345.65</v>
      </c>
      <c r="T45" s="174"/>
      <c r="U45" s="656" t="s">
        <v>139</v>
      </c>
      <c r="V45" s="656"/>
      <c r="W45" s="179" t="s">
        <v>121</v>
      </c>
      <c r="X45" s="406">
        <f>MAX(M37:M39)</f>
        <v>1.5237673076923082</v>
      </c>
      <c r="Y45" s="406"/>
      <c r="Z45" s="406"/>
      <c r="AA45" s="174"/>
      <c r="AB45" s="657" t="s">
        <v>31</v>
      </c>
      <c r="AC45" s="658"/>
      <c r="AD45" s="658"/>
      <c r="AE45" s="658"/>
      <c r="AF45" s="231">
        <v>0.20200000000000001</v>
      </c>
      <c r="AG45" s="231">
        <v>8.9599999999999999E-2</v>
      </c>
      <c r="AH45" s="233">
        <v>0.1134</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59.48</v>
      </c>
      <c r="R46" s="152">
        <v>49.22</v>
      </c>
      <c r="S46" s="153">
        <v>48.91</v>
      </c>
      <c r="T46" s="174"/>
      <c r="U46" s="555" t="s">
        <v>123</v>
      </c>
      <c r="V46" s="555"/>
      <c r="W46" s="179" t="s">
        <v>41</v>
      </c>
      <c r="X46" s="401">
        <f>MIN(M42:M44)</f>
        <v>15.840384615384615</v>
      </c>
      <c r="Y46" s="401"/>
      <c r="Z46" s="401"/>
      <c r="AA46" s="174"/>
      <c r="AB46" s="660" t="s">
        <v>32</v>
      </c>
      <c r="AC46" s="661"/>
      <c r="AD46" s="661"/>
      <c r="AE46" s="661"/>
      <c r="AF46" s="234">
        <v>0.4365</v>
      </c>
      <c r="AG46" s="234">
        <v>0.23649999999999999</v>
      </c>
      <c r="AH46" s="235">
        <v>0.1961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26.569907373641609</v>
      </c>
      <c r="R47" s="125">
        <f>((R43-R45)/(R45-R46))*100</f>
        <v>28.884910485933489</v>
      </c>
      <c r="S47" s="126">
        <f>((S43-S45)/(S45-S46))*100</f>
        <v>31.276538383770301</v>
      </c>
      <c r="T47" s="174"/>
      <c r="U47" s="555" t="s">
        <v>162</v>
      </c>
      <c r="V47" s="555"/>
      <c r="W47" s="179" t="s">
        <v>41</v>
      </c>
      <c r="X47" s="402">
        <f>IF(L25=D103,"-",IF(L25=D102,"-",IF(L25=D101,M25)))</f>
        <v>12.33</v>
      </c>
      <c r="Y47" s="402"/>
      <c r="Z47" s="402"/>
      <c r="AA47" s="174"/>
      <c r="AB47" s="662" t="s">
        <v>33</v>
      </c>
      <c r="AC47" s="663"/>
      <c r="AD47" s="663"/>
      <c r="AE47" s="663"/>
      <c r="AF47" s="232">
        <f>(AF46-AF45)*2.54</f>
        <v>0.59562999999999999</v>
      </c>
      <c r="AG47" s="232">
        <f>(AG46-AG45)*2.54</f>
        <v>0.37312599999999996</v>
      </c>
      <c r="AH47" s="239">
        <f>(AH46-AH45)*2.54</f>
        <v>0.21005799999999999</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5.1347413793103449</v>
      </c>
      <c r="AG48" s="142">
        <f>IF(AG47&lt;&gt;"",IF(R24&lt;&gt;"",AG47/R24*100,""),"")</f>
        <v>3.3225823686553873</v>
      </c>
      <c r="AH48" s="173">
        <f>IF(AH47&lt;&gt;"",IF(S24&lt;&gt;"",AH47/S24*100,""),"")</f>
        <v>1.8671822222222221</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5.0999999999999997E-2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0.21199999999999999</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0.40699999999999997</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0.60899999999999999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0.80700000000000005</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1.054</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1.2749999999999999</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1.4450000000000001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1.5880000000000001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2.004</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2.347</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2.726</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-3.8999999999999998E-3</v>
      </c>
      <c r="G74" s="75">
        <v>-0.12509999999999999</v>
      </c>
      <c r="J74" s="701"/>
      <c r="K74" s="702"/>
      <c r="L74" s="44"/>
      <c r="M74" s="44"/>
      <c r="N74" s="44"/>
    </row>
    <row r="75" spans="1:94" ht="26.25" customHeight="1" thickBot="1" x14ac:dyDescent="0.3">
      <c r="A75" s="11"/>
      <c r="B75" s="377" t="s">
        <v>113</v>
      </c>
      <c r="C75" s="377"/>
      <c r="D75" s="19"/>
      <c r="E75" s="54" t="s">
        <v>12</v>
      </c>
      <c r="F75" s="55">
        <v>0.16109999999999999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-0.1399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0.26400000000000001</v>
      </c>
      <c r="AM76" s="3">
        <f t="shared" si="4"/>
        <v>0.13664596273291926</v>
      </c>
      <c r="AN76" s="5">
        <f>AA23</f>
        <v>0.13947368421052631</v>
      </c>
      <c r="AO76" s="3">
        <f t="shared" ref="AO76:AO86" si="7">((AN76/19.32)*10)</f>
        <v>7.2191347935055022E-2</v>
      </c>
      <c r="AP76" s="5">
        <f>AE23</f>
        <v>9.8000000000000004E-2</v>
      </c>
      <c r="AQ76" s="161">
        <f t="shared" si="5"/>
        <v>5.0724637681159424E-2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0.46500000000000002</v>
      </c>
      <c r="AM77" s="3">
        <f t="shared" si="4"/>
        <v>0.24068322981366461</v>
      </c>
      <c r="AN77" s="5">
        <f>AA24</f>
        <v>0.26776315789473681</v>
      </c>
      <c r="AO77" s="3">
        <f t="shared" si="7"/>
        <v>0.13859376702626128</v>
      </c>
      <c r="AP77" s="5">
        <f>AE24</f>
        <v>0.189</v>
      </c>
      <c r="AQ77" s="161">
        <f t="shared" si="5"/>
        <v>9.7826086956521743E-2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0.68700000000000006</v>
      </c>
      <c r="AM78" s="3">
        <f t="shared" si="4"/>
        <v>0.35559006211180127</v>
      </c>
      <c r="AN78" s="5">
        <f>AA25</f>
        <v>0.4006578947368421</v>
      </c>
      <c r="AO78" s="3">
        <f t="shared" si="7"/>
        <v>0.20737986270022882</v>
      </c>
      <c r="AP78" s="5">
        <f>AE25</f>
        <v>0.28899999999999998</v>
      </c>
      <c r="AQ78" s="161">
        <f t="shared" si="5"/>
        <v>0.14958592132505175</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0.84699999999999998</v>
      </c>
      <c r="AM79" s="4">
        <f t="shared" si="4"/>
        <v>0.43840579710144928</v>
      </c>
      <c r="AN79" s="5">
        <f>AA26</f>
        <v>0.53092105263157896</v>
      </c>
      <c r="AO79" s="4">
        <f t="shared" si="7"/>
        <v>0.27480385746976138</v>
      </c>
      <c r="AP79" s="5">
        <f>AE26</f>
        <v>0.38700000000000001</v>
      </c>
      <c r="AQ79" s="162">
        <f t="shared" si="5"/>
        <v>0.2003105590062112</v>
      </c>
      <c r="BB79" s="12">
        <v>17</v>
      </c>
      <c r="BC79" s="12">
        <v>18</v>
      </c>
    </row>
    <row r="80" spans="1:94" ht="42" customHeight="1" thickTop="1" thickBot="1" x14ac:dyDescent="0.3">
      <c r="D80" s="49"/>
      <c r="H80" s="711" t="s">
        <v>105</v>
      </c>
      <c r="I80" s="712"/>
      <c r="J80" s="58"/>
      <c r="AJ80" s="160">
        <f>U28</f>
        <v>0.125</v>
      </c>
      <c r="AK80" s="3">
        <f t="shared" si="6"/>
        <v>3.1749999999999998</v>
      </c>
      <c r="AL80" s="5">
        <f>W28</f>
        <v>1.054</v>
      </c>
      <c r="AM80" s="3">
        <f t="shared" si="4"/>
        <v>0.54554865424430643</v>
      </c>
      <c r="AN80" s="5">
        <f>AA28</f>
        <v>0.69342105263157894</v>
      </c>
      <c r="AO80" s="3">
        <f t="shared" si="7"/>
        <v>0.35891358831862263</v>
      </c>
      <c r="AP80" s="5">
        <f>AE28</f>
        <v>0.50700000000000001</v>
      </c>
      <c r="AQ80" s="161">
        <f t="shared" si="5"/>
        <v>0.26242236024844723</v>
      </c>
      <c r="BC80" s="45">
        <v>0.99880400000000003</v>
      </c>
      <c r="BD80" s="45">
        <v>0.99862499999999998</v>
      </c>
    </row>
    <row r="81" spans="2:43" ht="15.75" customHeight="1" x14ac:dyDescent="0.25">
      <c r="AJ81" s="160">
        <f>U30</f>
        <v>0.15</v>
      </c>
      <c r="AK81" s="3">
        <f t="shared" si="6"/>
        <v>3.8099999999999996</v>
      </c>
      <c r="AL81" s="5">
        <f>W30</f>
        <v>1.2749999999999999</v>
      </c>
      <c r="AM81" s="3">
        <f t="shared" si="4"/>
        <v>0.65993788819875776</v>
      </c>
      <c r="AN81" s="5">
        <f>AA30</f>
        <v>0.83881578947368418</v>
      </c>
      <c r="AO81" s="3">
        <f t="shared" si="7"/>
        <v>0.43416966328865636</v>
      </c>
      <c r="AP81" s="5">
        <f>AE30</f>
        <v>0.61399999999999999</v>
      </c>
      <c r="AQ81" s="161">
        <f t="shared" si="5"/>
        <v>0.31780538302277428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1.4450000000000001</v>
      </c>
      <c r="AM82" s="3">
        <f t="shared" si="4"/>
        <v>0.74792960662525887</v>
      </c>
      <c r="AN82" s="5">
        <f>AA31</f>
        <v>0.95065789473684215</v>
      </c>
      <c r="AO82" s="3">
        <f t="shared" si="7"/>
        <v>0.49205895172714398</v>
      </c>
      <c r="AP82" s="5">
        <f>AE31</f>
        <v>0.71299342105263164</v>
      </c>
      <c r="AQ82" s="161">
        <f t="shared" si="5"/>
        <v>0.36904421379535801</v>
      </c>
    </row>
    <row r="83" spans="2:43" ht="15" customHeight="1" x14ac:dyDescent="0.25">
      <c r="B83" s="49"/>
      <c r="C83" s="49"/>
      <c r="D83" s="49">
        <v>0</v>
      </c>
      <c r="E83" s="50">
        <f>M42</f>
        <v>20.653846153846153</v>
      </c>
      <c r="F83" s="49"/>
      <c r="G83" s="43">
        <f>G84/10</f>
        <v>1.8161130121113001</v>
      </c>
      <c r="H83" s="43">
        <f>H84/10</f>
        <v>1.7302820496240012</v>
      </c>
      <c r="I83" s="43">
        <f>I84/10</f>
        <v>1.6449573988282029</v>
      </c>
      <c r="J83" s="43">
        <f>J84/10</f>
        <v>1.5632660902091686</v>
      </c>
      <c r="K83" s="43"/>
      <c r="L83" s="42">
        <v>0</v>
      </c>
      <c r="O83" s="706"/>
      <c r="P83" s="706"/>
      <c r="Q83" s="706"/>
      <c r="R83" s="706"/>
      <c r="S83" s="707"/>
      <c r="W83" s="112"/>
      <c r="AJ83" s="160">
        <f>U33</f>
        <v>0.2</v>
      </c>
      <c r="AK83" s="4">
        <f t="shared" si="6"/>
        <v>5.08</v>
      </c>
      <c r="AL83" s="5">
        <f>W33</f>
        <v>1.5880000000000001</v>
      </c>
      <c r="AM83" s="4">
        <f t="shared" si="4"/>
        <v>0.82194616977225676</v>
      </c>
      <c r="AN83" s="5">
        <f>AA33</f>
        <v>1.0447368421052632</v>
      </c>
      <c r="AO83" s="4">
        <f t="shared" si="7"/>
        <v>0.54075405906069529</v>
      </c>
      <c r="AP83" s="5">
        <f>AE33</f>
        <v>0.78355263157894739</v>
      </c>
      <c r="AQ83" s="162">
        <f t="shared" si="5"/>
        <v>0.40556554429552139</v>
      </c>
    </row>
    <row r="84" spans="2:43" ht="15" customHeight="1" x14ac:dyDescent="0.25">
      <c r="C84" s="94"/>
      <c r="D84" s="94"/>
      <c r="E84" s="94"/>
      <c r="F84" s="49"/>
      <c r="G84" s="43">
        <f>($M$34/(1+(E34*$M$34/100)))*($O$73)</f>
        <v>18.161130121113001</v>
      </c>
      <c r="H84" s="43">
        <f>($M$34/(1+(F34*$M$34/100)))*($O$73)</f>
        <v>17.302820496240013</v>
      </c>
      <c r="I84" s="43">
        <f>($M$34/(1+(G34*$M$34/100)))*($O$73)</f>
        <v>16.44957398828203</v>
      </c>
      <c r="J84" s="43">
        <f>($M$34/(1+(H34*$M$34/100)))*($O$73)</f>
        <v>15.632660902091686</v>
      </c>
      <c r="K84" s="43"/>
      <c r="O84" s="706" t="s">
        <v>146</v>
      </c>
      <c r="P84" s="706"/>
      <c r="Q84" s="706"/>
      <c r="R84" s="706"/>
      <c r="S84" s="707">
        <v>2240</v>
      </c>
      <c r="W84" s="112"/>
      <c r="AJ84" s="160">
        <f>U34</f>
        <v>0.3</v>
      </c>
      <c r="AK84" s="3">
        <f t="shared" si="6"/>
        <v>7.6199999999999992</v>
      </c>
      <c r="AL84" s="5">
        <f>W34</f>
        <v>2.004</v>
      </c>
      <c r="AM84" s="3">
        <f t="shared" si="4"/>
        <v>1.0372670807453415</v>
      </c>
      <c r="AN84" s="5">
        <f>AA34</f>
        <v>1.3180000000000001</v>
      </c>
      <c r="AO84" s="3">
        <f t="shared" si="7"/>
        <v>0.68219461697722572</v>
      </c>
      <c r="AP84" s="5">
        <f>AE34</f>
        <v>0.9888157894736842</v>
      </c>
      <c r="AQ84" s="161">
        <f t="shared" si="5"/>
        <v>0.51180941484145137</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2.347</v>
      </c>
      <c r="AM85" s="3">
        <f t="shared" si="4"/>
        <v>1.2148033126293996</v>
      </c>
      <c r="AN85" s="5">
        <f>AA35</f>
        <v>1.5440789473684211</v>
      </c>
      <c r="AO85" s="3">
        <f t="shared" si="7"/>
        <v>0.79921270567723668</v>
      </c>
      <c r="AP85" s="5">
        <f>AE35</f>
        <v>1.087</v>
      </c>
      <c r="AQ85" s="161">
        <f>((AP85/19.32)*10)</f>
        <v>0.56262939958592129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2.5979999999999999</v>
      </c>
      <c r="AM86" s="164">
        <f t="shared" si="4"/>
        <v>1.3447204968944098</v>
      </c>
      <c r="AN86" s="165">
        <f>AA37</f>
        <v>1.712</v>
      </c>
      <c r="AO86" s="164">
        <f t="shared" si="7"/>
        <v>0.88612836438923392</v>
      </c>
      <c r="AP86" s="165">
        <f>AE37</f>
        <v>1.1206</v>
      </c>
      <c r="AQ86" s="166">
        <f>((AP86/19.32)*10)</f>
        <v>0.58002070393374749</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1.5155006525306678</v>
      </c>
      <c r="AK91" s="9">
        <f>R31</f>
        <v>1.4760304304837706</v>
      </c>
      <c r="AL91" s="10">
        <f>S31</f>
        <v>1.4147875829671508</v>
      </c>
    </row>
    <row r="92" spans="2:43" ht="21" customHeight="1" thickBot="1" x14ac:dyDescent="0.3">
      <c r="B92" s="92"/>
      <c r="C92" s="93"/>
      <c r="D92" s="93"/>
      <c r="E92" s="93"/>
      <c r="F92" s="62"/>
      <c r="G92" s="63"/>
      <c r="H92" s="49"/>
      <c r="I92" s="49"/>
      <c r="O92" s="725" t="s">
        <v>147</v>
      </c>
      <c r="P92" s="726"/>
      <c r="Q92" s="726"/>
      <c r="R92" s="726"/>
      <c r="S92" s="61">
        <f>M42</f>
        <v>20.653846153846153</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6.3537072043688303</v>
      </c>
      <c r="AK94" s="158">
        <f>AA42</f>
        <v>3.9826646010110345</v>
      </c>
      <c r="AL94" s="158">
        <f>AD42</f>
        <v>2.9030515798001622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769" priority="47">
      <formula>LEN(TRIM(D6))=0</formula>
    </cfRule>
  </conditionalFormatting>
  <conditionalFormatting sqref="D6:H10">
    <cfRule type="containsBlanks" dxfId="1768" priority="46">
      <formula>LEN(TRIM(D6))=0</formula>
    </cfRule>
  </conditionalFormatting>
  <conditionalFormatting sqref="M19">
    <cfRule type="containsBlanks" dxfId="1767" priority="45">
      <formula>LEN(TRIM(M19))=0</formula>
    </cfRule>
  </conditionalFormatting>
  <conditionalFormatting sqref="CP70">
    <cfRule type="containsBlanks" dxfId="1766" priority="44">
      <formula>LEN(TRIM(CP70))=0</formula>
    </cfRule>
  </conditionalFormatting>
  <conditionalFormatting sqref="M21">
    <cfRule type="containsBlanks" dxfId="1765" priority="43">
      <formula>LEN(TRIM(M21))=0</formula>
    </cfRule>
  </conditionalFormatting>
  <conditionalFormatting sqref="D12:M12">
    <cfRule type="containsBlanks" dxfId="1764" priority="42">
      <formula>LEN(TRIM(D12))=0</formula>
    </cfRule>
  </conditionalFormatting>
  <conditionalFormatting sqref="L9:M9">
    <cfRule type="containsBlanks" dxfId="1763" priority="41">
      <formula>LEN(TRIM(L9))=0</formula>
    </cfRule>
  </conditionalFormatting>
  <conditionalFormatting sqref="L25">
    <cfRule type="containsBlanks" dxfId="1762" priority="40">
      <formula>LEN(TRIM(L25))=0</formula>
    </cfRule>
  </conditionalFormatting>
  <conditionalFormatting sqref="Q20:S21">
    <cfRule type="containsBlanks" dxfId="1761" priority="33">
      <formula>LEN(TRIM(Q20))=0</formula>
    </cfRule>
    <cfRule type="containsBlanks" dxfId="1760" priority="39">
      <formula>LEN(TRIM(Q20))=0</formula>
    </cfRule>
  </conditionalFormatting>
  <conditionalFormatting sqref="U26:V27 AC33 AC26">
    <cfRule type="cellIs" dxfId="1759" priority="38" operator="between">
      <formula>0</formula>
      <formula>500</formula>
    </cfRule>
  </conditionalFormatting>
  <conditionalFormatting sqref="U33:V33">
    <cfRule type="cellIs" dxfId="1758" priority="37" operator="between">
      <formula>0</formula>
      <formula>500</formula>
    </cfRule>
  </conditionalFormatting>
  <conditionalFormatting sqref="AF45:AH46">
    <cfRule type="containsBlanks" dxfId="1757" priority="36">
      <formula>LEN(TRIM(AF45))=0</formula>
    </cfRule>
  </conditionalFormatting>
  <conditionalFormatting sqref="AF51:AG53">
    <cfRule type="containsBlanks" dxfId="1756" priority="35">
      <formula>LEN(TRIM(AF51))=0</formula>
    </cfRule>
  </conditionalFormatting>
  <conditionalFormatting sqref="E20:H24">
    <cfRule type="containsBlanks" dxfId="1755" priority="34">
      <formula>LEN(TRIM(E20))=0</formula>
    </cfRule>
  </conditionalFormatting>
  <conditionalFormatting sqref="M25">
    <cfRule type="containsBlanks" dxfId="1754" priority="32">
      <formula>LEN(TRIM(M25))=0</formula>
    </cfRule>
  </conditionalFormatting>
  <conditionalFormatting sqref="U26:V27 Y26:Z27 AC26:AD27 AG26:AG27">
    <cfRule type="containsBlanks" dxfId="1753" priority="30">
      <formula>LEN(TRIM(U26))=0</formula>
    </cfRule>
    <cfRule type="cellIs" dxfId="1752" priority="31" operator="between">
      <formula>0</formula>
      <formula>1000</formula>
    </cfRule>
  </conditionalFormatting>
  <conditionalFormatting sqref="W87:W88">
    <cfRule type="cellIs" dxfId="1751" priority="29" operator="between">
      <formula>0</formula>
      <formula>500</formula>
    </cfRule>
  </conditionalFormatting>
  <conditionalFormatting sqref="W94">
    <cfRule type="cellIs" dxfId="1750" priority="28" operator="between">
      <formula>0</formula>
      <formula>500</formula>
    </cfRule>
  </conditionalFormatting>
  <conditionalFormatting sqref="W87:W88">
    <cfRule type="containsBlanks" dxfId="1749" priority="26">
      <formula>LEN(TRIM(W87))=0</formula>
    </cfRule>
    <cfRule type="cellIs" dxfId="1748" priority="27" operator="between">
      <formula>0</formula>
      <formula>1000</formula>
    </cfRule>
  </conditionalFormatting>
  <conditionalFormatting sqref="U33:V33 Y33:Z33 AC33:AD33 AG33">
    <cfRule type="cellIs" dxfId="1747" priority="25" operator="between">
      <formula>0</formula>
      <formula>1000</formula>
    </cfRule>
  </conditionalFormatting>
  <conditionalFormatting sqref="Q27:S27">
    <cfRule type="containsBlanks" dxfId="1746" priority="23">
      <formula>LEN(TRIM(Q27))=0</formula>
    </cfRule>
    <cfRule type="containsBlanks" dxfId="1745" priority="24">
      <formula>LEN(TRIM(Q27))=0</formula>
    </cfRule>
  </conditionalFormatting>
  <conditionalFormatting sqref="W30:W31 W33:W35 W37 W28 W22:W26">
    <cfRule type="containsBlanks" dxfId="1744" priority="22">
      <formula>LEN(TRIM(W22))=0</formula>
    </cfRule>
  </conditionalFormatting>
  <conditionalFormatting sqref="W37 W30:W31 W33:W35 W28 W22:W26">
    <cfRule type="containsBlanks" dxfId="1743" priority="21">
      <formula>LEN(TRIM(W22))=0</formula>
    </cfRule>
  </conditionalFormatting>
  <conditionalFormatting sqref="W33:X33">
    <cfRule type="cellIs" dxfId="1742" priority="20" operator="between">
      <formula>0</formula>
      <formula>1000</formula>
    </cfRule>
  </conditionalFormatting>
  <conditionalFormatting sqref="W30:X37 W26 W28 W22:X25">
    <cfRule type="containsBlanks" dxfId="1741" priority="19">
      <formula>LEN(TRIM(W22))=0</formula>
    </cfRule>
  </conditionalFormatting>
  <conditionalFormatting sqref="AA37 AA30:AA31 AA33 AA22:AA26 AA28 AA35">
    <cfRule type="containsBlanks" dxfId="1740" priority="18">
      <formula>LEN(TRIM(AA22))=0</formula>
    </cfRule>
  </conditionalFormatting>
  <conditionalFormatting sqref="AA37 AA30:AA31 AA33 AA22:AA26 AA28 AA35">
    <cfRule type="containsBlanks" dxfId="1739" priority="17">
      <formula>LEN(TRIM(AA22))=0</formula>
    </cfRule>
  </conditionalFormatting>
  <conditionalFormatting sqref="AA33:AB33">
    <cfRule type="cellIs" dxfId="1738" priority="16" operator="between">
      <formula>0</formula>
      <formula>1000</formula>
    </cfRule>
  </conditionalFormatting>
  <conditionalFormatting sqref="AA30:AB30 AA31 AA33:AB33 AA22:AB25 AA26 AA28 AA35:AB37">
    <cfRule type="containsBlanks" dxfId="1737" priority="15">
      <formula>LEN(TRIM(AA22))=0</formula>
    </cfRule>
  </conditionalFormatting>
  <conditionalFormatting sqref="AE37 AE28 AE30:AE31 AE33:AE35 AE22:AE26">
    <cfRule type="containsBlanks" dxfId="1736" priority="14">
      <formula>LEN(TRIM(AE22))=0</formula>
    </cfRule>
  </conditionalFormatting>
  <conditionalFormatting sqref="AE37 AE28 AE30:AE31 AE33:AE35 AE22:AE26">
    <cfRule type="containsBlanks" dxfId="1735" priority="13">
      <formula>LEN(TRIM(AE22))=0</formula>
    </cfRule>
  </conditionalFormatting>
  <conditionalFormatting sqref="AE33:AF33">
    <cfRule type="cellIs" dxfId="1734" priority="12" operator="between">
      <formula>0</formula>
      <formula>1000</formula>
    </cfRule>
  </conditionalFormatting>
  <conditionalFormatting sqref="AE33:AF37 AE26 AE28 AE30:AE31 AE22:AF25">
    <cfRule type="containsBlanks" dxfId="1733" priority="11">
      <formula>LEN(TRIM(AE22))=0</formula>
    </cfRule>
  </conditionalFormatting>
  <conditionalFormatting sqref="K6:M6">
    <cfRule type="containsBlanks" dxfId="1732" priority="10">
      <formula>LEN(TRIM(K6))=0</formula>
    </cfRule>
  </conditionalFormatting>
  <conditionalFormatting sqref="K7:K8">
    <cfRule type="containsBlanks" dxfId="1731" priority="9">
      <formula>LEN(TRIM(K7))=0</formula>
    </cfRule>
  </conditionalFormatting>
  <conditionalFormatting sqref="D13:M13">
    <cfRule type="containsBlanks" dxfId="1730" priority="8">
      <formula>LEN(TRIM(D13))=0</formula>
    </cfRule>
  </conditionalFormatting>
  <conditionalFormatting sqref="B6:B10">
    <cfRule type="containsBlanks" dxfId="1729" priority="7">
      <formula>LEN(TRIM(B6))=0</formula>
    </cfRule>
  </conditionalFormatting>
  <conditionalFormatting sqref="B12:B13">
    <cfRule type="containsBlanks" dxfId="1728" priority="6">
      <formula>LEN(TRIM(B12))=0</formula>
    </cfRule>
  </conditionalFormatting>
  <conditionalFormatting sqref="E28:H33">
    <cfRule type="containsBlanks" dxfId="1727" priority="5">
      <formula>LEN(TRIM(E28))=0</formula>
    </cfRule>
  </conditionalFormatting>
  <conditionalFormatting sqref="Q22:S26">
    <cfRule type="containsBlanks" dxfId="1726" priority="3">
      <formula>LEN(TRIM(Q22))=0</formula>
    </cfRule>
    <cfRule type="containsBlanks" dxfId="1725" priority="4">
      <formula>LEN(TRIM(Q22))=0</formula>
    </cfRule>
  </conditionalFormatting>
  <conditionalFormatting sqref="Q34:S39">
    <cfRule type="containsBlanks" dxfId="1724" priority="2">
      <formula>LEN(TRIM(Q34))=0</formula>
    </cfRule>
  </conditionalFormatting>
  <conditionalFormatting sqref="Q42:S46">
    <cfRule type="containsBlanks" dxfId="1723" priority="1">
      <formula>LEN(TRIM(Q42))=0</formula>
    </cfRule>
  </conditionalFormatting>
  <dataValidations count="5">
    <dataValidation type="list" allowBlank="1" showInputMessage="1" showErrorMessage="1" sqref="D12:E12" xr:uid="{00000000-0002-0000-1600-000000000000}">
      <formula1>$B$87:$B$94</formula1>
    </dataValidation>
    <dataValidation type="list" allowBlank="1" showInputMessage="1" showErrorMessage="1" sqref="CP70" xr:uid="{00000000-0002-0000-1600-000001000000}">
      <formula1>$BA$3:$BA$5</formula1>
    </dataValidation>
    <dataValidation type="list" allowBlank="1" showInputMessage="1" showErrorMessage="1" sqref="M19" xr:uid="{00000000-0002-0000-1600-000002000000}">
      <formula1>$AX$3:$AX$5</formula1>
    </dataValidation>
    <dataValidation type="list" allowBlank="1" showInputMessage="1" showErrorMessage="1" sqref="M21" xr:uid="{00000000-0002-0000-1600-000003000000}">
      <formula1>$AX$3:$AX$4</formula1>
    </dataValidation>
    <dataValidation type="list" allowBlank="1" showInputMessage="1" showErrorMessage="1" sqref="L25" xr:uid="{00000000-0002-0000-1600-000004000000}">
      <formula1>$D$101:$D$104</formula1>
    </dataValidation>
  </dataValidations>
  <hyperlinks>
    <hyperlink ref="D8" r:id="rId1" xr:uid="{00000000-0004-0000-16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38241"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38242"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38243"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3824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3824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38246"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38247"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3824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3824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3825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64">
    <tabColor theme="8" tint="0.79998168889431442"/>
  </sheetPr>
  <dimension ref="A1:CP153"/>
  <sheetViews>
    <sheetView view="pageBreakPreview" topLeftCell="A19" zoomScale="90" zoomScaleNormal="100" zoomScaleSheetLayoutView="9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259</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25-P-VILLA RICA AP4-4</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25-P-VILLA RICA AP4-4</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242</v>
      </c>
      <c r="G12" s="31" t="s">
        <v>4</v>
      </c>
      <c r="H12" s="146">
        <v>4</v>
      </c>
      <c r="I12" s="546" t="s">
        <v>5</v>
      </c>
      <c r="J12" s="546"/>
      <c r="K12" s="209">
        <v>1.5</v>
      </c>
      <c r="L12" s="32" t="s">
        <v>6</v>
      </c>
      <c r="M12" s="147">
        <v>2</v>
      </c>
      <c r="N12" s="78"/>
      <c r="O12" s="501" t="s">
        <v>3</v>
      </c>
      <c r="P12" s="501"/>
      <c r="Q12" s="225" t="s">
        <v>234</v>
      </c>
      <c r="R12" s="224" t="str">
        <f>F12</f>
        <v>P-VILLA RICA AP4</v>
      </c>
      <c r="S12" s="224"/>
      <c r="T12" s="502" t="s">
        <v>4</v>
      </c>
      <c r="U12" s="502"/>
      <c r="V12" s="33">
        <f>+H12</f>
        <v>4</v>
      </c>
      <c r="W12" s="547" t="s">
        <v>5</v>
      </c>
      <c r="X12" s="547"/>
      <c r="Y12" s="547"/>
      <c r="Z12" s="547"/>
      <c r="AA12" s="547"/>
      <c r="AB12" s="547"/>
      <c r="AC12" s="34">
        <f>K12</f>
        <v>1.5</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256</v>
      </c>
      <c r="E13" s="479"/>
      <c r="F13" s="479"/>
      <c r="G13" s="479"/>
      <c r="H13" s="479"/>
      <c r="I13" s="479"/>
      <c r="J13" s="479"/>
      <c r="K13" s="479"/>
      <c r="L13" s="479"/>
      <c r="M13" s="480"/>
      <c r="N13" s="188"/>
      <c r="O13" s="526" t="s">
        <v>130</v>
      </c>
      <c r="P13" s="526"/>
      <c r="Q13" s="527" t="str">
        <f>D13</f>
        <v>LIMO DE ALTA PLASTICIDAD CON VETAS DE OXIDACIÓN, DE COLOR MARRÓN, CONSISTENCIA MUY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48">
        <v>604</v>
      </c>
      <c r="R20" s="148">
        <v>413</v>
      </c>
      <c r="S20" s="149">
        <v>422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11024</v>
      </c>
      <c r="F22" s="150">
        <v>11299</v>
      </c>
      <c r="G22" s="150">
        <v>11312</v>
      </c>
      <c r="H22" s="151">
        <v>11189</v>
      </c>
      <c r="I22" s="174"/>
      <c r="J22" s="578"/>
      <c r="K22" s="578"/>
      <c r="L22" s="578"/>
      <c r="M22" s="104"/>
      <c r="N22" s="103"/>
      <c r="O22" s="579" t="s">
        <v>132</v>
      </c>
      <c r="P22" s="580"/>
      <c r="Q22" s="219">
        <v>7662</v>
      </c>
      <c r="R22" s="219">
        <v>7465</v>
      </c>
      <c r="S22" s="208">
        <v>7249</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v>
      </c>
      <c r="AJ22" s="42">
        <f>AJ50/1.52</f>
        <v>0</v>
      </c>
      <c r="AK22" s="42">
        <f>AJ22*0.75</f>
        <v>0</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3830</v>
      </c>
      <c r="R23" s="150">
        <v>3798</v>
      </c>
      <c r="S23" s="151">
        <v>3835</v>
      </c>
      <c r="T23" s="174"/>
      <c r="U23" s="112">
        <v>2.5000000000000001E-2</v>
      </c>
      <c r="V23" s="113">
        <f>U23*25.4</f>
        <v>0.63500000000000001</v>
      </c>
      <c r="W23" s="581">
        <v>0.21299999999999999</v>
      </c>
      <c r="X23" s="582"/>
      <c r="Y23" s="449">
        <f>((W23/19.32)*10)</f>
        <v>0.11024844720496893</v>
      </c>
      <c r="Z23" s="450"/>
      <c r="AA23" s="581">
        <v>0.157</v>
      </c>
      <c r="AB23" s="582"/>
      <c r="AC23" s="449">
        <f>((AA23/19.32)*10)</f>
        <v>8.1262939958592129E-2</v>
      </c>
      <c r="AD23" s="450"/>
      <c r="AE23" s="581">
        <v>5.6000000000000001E-2</v>
      </c>
      <c r="AF23" s="582"/>
      <c r="AG23" s="114">
        <f>((AE23/19.32)*10)</f>
        <v>2.8985507246376812E-2</v>
      </c>
      <c r="AH23" s="104"/>
      <c r="AI23" s="42">
        <f t="shared" ref="AI23:AI33" si="0">AJ51</f>
        <v>0</v>
      </c>
      <c r="AJ23" s="42">
        <f t="shared" ref="AJ23:AJ33" si="1">AJ51/1.52</f>
        <v>0</v>
      </c>
      <c r="AK23" s="42">
        <f t="shared" ref="AK23:AK33" si="2">AJ23*0.75</f>
        <v>0</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11.5</v>
      </c>
      <c r="R24" s="152">
        <v>11.35</v>
      </c>
      <c r="S24" s="153">
        <v>11.31</v>
      </c>
      <c r="T24" s="174"/>
      <c r="U24" s="112">
        <v>0.05</v>
      </c>
      <c r="V24" s="113">
        <f>U24*25.4</f>
        <v>1.27</v>
      </c>
      <c r="W24" s="581">
        <v>0.42499999999999999</v>
      </c>
      <c r="X24" s="582"/>
      <c r="Y24" s="449">
        <f>((W24/19.32)*10)</f>
        <v>0.21997929606625255</v>
      </c>
      <c r="Z24" s="450"/>
      <c r="AA24" s="581">
        <v>0.307</v>
      </c>
      <c r="AB24" s="582"/>
      <c r="AC24" s="449">
        <f>((AA24/19.32)*10)</f>
        <v>0.15890269151138714</v>
      </c>
      <c r="AD24" s="450"/>
      <c r="AE24" s="581">
        <v>9.4E-2</v>
      </c>
      <c r="AF24" s="582"/>
      <c r="AG24" s="114">
        <f>((AE24/19.32)*10)</f>
        <v>4.8654244306418216E-2</v>
      </c>
      <c r="AH24" s="104"/>
      <c r="AI24" s="42">
        <f t="shared" si="0"/>
        <v>0.218</v>
      </c>
      <c r="AJ24" s="42">
        <f t="shared" si="1"/>
        <v>0.14342105263157895</v>
      </c>
      <c r="AK24" s="42">
        <f t="shared" si="2"/>
        <v>0.10756578947368421</v>
      </c>
      <c r="AO24" s="42">
        <v>0.68400000000000005</v>
      </c>
      <c r="AS24" s="42">
        <f t="shared" si="3"/>
        <v>0.55609756097560981</v>
      </c>
    </row>
    <row r="25" spans="1:45" ht="24.95" customHeight="1" thickBot="1" x14ac:dyDescent="0.3">
      <c r="A25" s="103"/>
      <c r="B25" s="602" t="s">
        <v>69</v>
      </c>
      <c r="C25" s="603"/>
      <c r="D25" s="603"/>
      <c r="E25" s="115">
        <f>E22-E23</f>
        <v>3712</v>
      </c>
      <c r="F25" s="115">
        <f>F22-F23</f>
        <v>3987</v>
      </c>
      <c r="G25" s="115">
        <f>G22-G23</f>
        <v>4000</v>
      </c>
      <c r="H25" s="116">
        <f>H22-H23</f>
        <v>3877</v>
      </c>
      <c r="I25" s="174"/>
      <c r="J25" s="174" t="s">
        <v>127</v>
      </c>
      <c r="K25" s="174"/>
      <c r="L25" s="218" t="s">
        <v>128</v>
      </c>
      <c r="M25" s="246">
        <v>0</v>
      </c>
      <c r="N25" s="103"/>
      <c r="O25" s="604" t="s">
        <v>46</v>
      </c>
      <c r="P25" s="605"/>
      <c r="Q25" s="608">
        <v>15.1</v>
      </c>
      <c r="R25" s="608">
        <v>15.25</v>
      </c>
      <c r="S25" s="610">
        <v>15.27</v>
      </c>
      <c r="T25" s="174"/>
      <c r="U25" s="112">
        <v>7.4999999999999997E-2</v>
      </c>
      <c r="V25" s="113">
        <f>U25*25.4</f>
        <v>1.9049999999999998</v>
      </c>
      <c r="W25" s="581">
        <f>AI25</f>
        <v>0.77</v>
      </c>
      <c r="X25" s="582"/>
      <c r="Y25" s="449">
        <f>((W25/19.32)*10)</f>
        <v>0.39855072463768121</v>
      </c>
      <c r="Z25" s="450"/>
      <c r="AA25" s="581">
        <f>AJ25</f>
        <v>0.50657894736842102</v>
      </c>
      <c r="AB25" s="582"/>
      <c r="AC25" s="449">
        <f>((AA25/19.32)*10)</f>
        <v>0.26220442410373757</v>
      </c>
      <c r="AD25" s="450"/>
      <c r="AE25" s="581">
        <v>0.2266</v>
      </c>
      <c r="AF25" s="582"/>
      <c r="AG25" s="114">
        <f>((AE25/19.32)*10)</f>
        <v>0.11728778467908903</v>
      </c>
      <c r="AH25" s="104"/>
      <c r="AI25" s="42">
        <f t="shared" si="0"/>
        <v>0.77</v>
      </c>
      <c r="AJ25" s="42">
        <f t="shared" si="1"/>
        <v>0.50657894736842102</v>
      </c>
      <c r="AK25" s="42">
        <f t="shared" si="2"/>
        <v>0.37993421052631576</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1.331</v>
      </c>
      <c r="X26" s="779"/>
      <c r="Y26" s="461">
        <f>((W26/19.32)*10)</f>
        <v>0.68892339544513459</v>
      </c>
      <c r="Z26" s="462"/>
      <c r="AA26" s="746">
        <f>AJ26</f>
        <v>0.87565789473684208</v>
      </c>
      <c r="AB26" s="747"/>
      <c r="AC26" s="461">
        <f>((AA26/19.32)*10)</f>
        <v>0.45323907595074642</v>
      </c>
      <c r="AD26" s="462"/>
      <c r="AE26" s="746">
        <v>0.36699999999999999</v>
      </c>
      <c r="AF26" s="747"/>
      <c r="AG26" s="469">
        <f>((AE26/19.32)*10)</f>
        <v>0.18995859213250518</v>
      </c>
      <c r="AH26" s="104"/>
      <c r="AI26" s="42">
        <f t="shared" si="0"/>
        <v>1.331</v>
      </c>
      <c r="AJ26" s="42">
        <f t="shared" si="1"/>
        <v>0.87565789473684208</v>
      </c>
      <c r="AK26" s="42">
        <f t="shared" si="2"/>
        <v>0.6567434210526315</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2059.4043052169</v>
      </c>
      <c r="R27" s="152">
        <f>(PI()*((R25^2)/4)*R24)</f>
        <v>2073.1247202576014</v>
      </c>
      <c r="S27" s="153">
        <f>(PI()*((S25^2)/4)*S24)</f>
        <v>2071.2406474529835</v>
      </c>
      <c r="T27" s="174"/>
      <c r="U27" s="600"/>
      <c r="V27" s="601"/>
      <c r="W27" s="780"/>
      <c r="X27" s="781"/>
      <c r="Y27" s="463"/>
      <c r="Z27" s="464"/>
      <c r="AA27" s="748"/>
      <c r="AB27" s="749"/>
      <c r="AC27" s="463"/>
      <c r="AD27" s="464"/>
      <c r="AE27" s="748"/>
      <c r="AF27" s="749"/>
      <c r="AG27" s="470"/>
      <c r="AH27" s="193"/>
      <c r="AI27" s="42">
        <f t="shared" si="0"/>
        <v>1.6950000000000001</v>
      </c>
      <c r="AJ27" s="42">
        <f t="shared" si="1"/>
        <v>1.1151315789473684</v>
      </c>
      <c r="AK27" s="42">
        <f t="shared" si="2"/>
        <v>0.83634868421052633</v>
      </c>
      <c r="AO27" s="42">
        <v>2.387</v>
      </c>
      <c r="AS27" s="42">
        <f t="shared" si="3"/>
        <v>1.9406504065040651</v>
      </c>
    </row>
    <row r="28" spans="1:45" ht="24.95" customHeight="1" thickBot="1" x14ac:dyDescent="0.3">
      <c r="A28" s="103"/>
      <c r="B28" s="560" t="s">
        <v>9</v>
      </c>
      <c r="C28" s="561"/>
      <c r="D28" s="561"/>
      <c r="E28" s="148">
        <v>608</v>
      </c>
      <c r="F28" s="148">
        <v>745</v>
      </c>
      <c r="G28" s="148">
        <v>888</v>
      </c>
      <c r="H28" s="149">
        <v>702</v>
      </c>
      <c r="I28" s="174"/>
      <c r="J28" s="597" t="s">
        <v>107</v>
      </c>
      <c r="K28" s="597"/>
      <c r="L28" s="562" t="s">
        <v>119</v>
      </c>
      <c r="M28" s="459">
        <f>IF(M26="","",(100-M26))</f>
        <v>100</v>
      </c>
      <c r="N28" s="103"/>
      <c r="O28" s="625" t="s">
        <v>136</v>
      </c>
      <c r="P28" s="626"/>
      <c r="Q28" s="220">
        <f>Q22-Q23</f>
        <v>3832</v>
      </c>
      <c r="R28" s="220">
        <f>R22-R23</f>
        <v>3667</v>
      </c>
      <c r="S28" s="221">
        <f>S22-S23</f>
        <v>3414</v>
      </c>
      <c r="T28" s="174"/>
      <c r="U28" s="627">
        <v>0.125</v>
      </c>
      <c r="V28" s="624">
        <f>U28*25.4</f>
        <v>3.1749999999999998</v>
      </c>
      <c r="W28" s="593">
        <f>AI27</f>
        <v>1.6950000000000001</v>
      </c>
      <c r="X28" s="594"/>
      <c r="Y28" s="439">
        <f>((W28/19.32)*10)</f>
        <v>0.87732919254658381</v>
      </c>
      <c r="Z28" s="440"/>
      <c r="AA28" s="593">
        <f>AJ27</f>
        <v>1.1151315789473684</v>
      </c>
      <c r="AB28" s="594"/>
      <c r="AC28" s="439">
        <f>((AA28/19.32)*10)</f>
        <v>0.57719025825433146</v>
      </c>
      <c r="AD28" s="440"/>
      <c r="AE28" s="593">
        <v>0.625</v>
      </c>
      <c r="AF28" s="594"/>
      <c r="AG28" s="443">
        <f>((AE28/19.32)*10)</f>
        <v>0.32349896480331264</v>
      </c>
      <c r="AH28" s="104"/>
      <c r="AI28" s="42">
        <f t="shared" si="0"/>
        <v>1.982</v>
      </c>
      <c r="AJ28" s="42">
        <f t="shared" si="1"/>
        <v>1.3039473684210525</v>
      </c>
      <c r="AK28" s="42">
        <f t="shared" si="2"/>
        <v>0.97796052631578934</v>
      </c>
      <c r="AO28" s="42">
        <v>2.8959999999999999</v>
      </c>
      <c r="AS28" s="42">
        <f t="shared" si="3"/>
        <v>2.3544715447154472</v>
      </c>
    </row>
    <row r="29" spans="1:45" ht="5.0999999999999996" customHeight="1" thickBot="1" x14ac:dyDescent="0.3">
      <c r="A29" s="103"/>
      <c r="B29" s="612" t="s">
        <v>73</v>
      </c>
      <c r="C29" s="613"/>
      <c r="D29" s="614"/>
      <c r="E29" s="618">
        <v>875.76</v>
      </c>
      <c r="F29" s="618">
        <v>753.59</v>
      </c>
      <c r="G29" s="618">
        <v>659.18</v>
      </c>
      <c r="H29" s="620">
        <v>855.56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2.206</v>
      </c>
      <c r="AJ29" s="42">
        <f t="shared" si="1"/>
        <v>1.4513157894736841</v>
      </c>
      <c r="AK29" s="42">
        <f t="shared" si="2"/>
        <v>1.0884868421052631</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14.943893407258059</v>
      </c>
      <c r="N30" s="103"/>
      <c r="O30" s="622" t="s">
        <v>134</v>
      </c>
      <c r="P30" s="623"/>
      <c r="Q30" s="229">
        <f>Q28/Q27</f>
        <v>1.8607322468408685</v>
      </c>
      <c r="R30" s="229">
        <f>R28/R27</f>
        <v>1.7688274922235974</v>
      </c>
      <c r="S30" s="131">
        <f>S28/S27</f>
        <v>1.6482874668369489</v>
      </c>
      <c r="T30" s="174"/>
      <c r="U30" s="120">
        <v>0.15</v>
      </c>
      <c r="V30" s="113">
        <f>U30*25.4</f>
        <v>3.8099999999999996</v>
      </c>
      <c r="W30" s="581">
        <f>AI28</f>
        <v>1.982</v>
      </c>
      <c r="X30" s="582"/>
      <c r="Y30" s="449">
        <f>((W30/19.32)*10)</f>
        <v>1.025879917184265</v>
      </c>
      <c r="Z30" s="450"/>
      <c r="AA30" s="581">
        <f>AJ28</f>
        <v>1.3039473684210525</v>
      </c>
      <c r="AB30" s="582"/>
      <c r="AC30" s="449">
        <f>((AA30/19.32)*10)</f>
        <v>0.67492099814754258</v>
      </c>
      <c r="AD30" s="450"/>
      <c r="AE30" s="581">
        <v>0.81200000000000006</v>
      </c>
      <c r="AF30" s="582"/>
      <c r="AG30" s="114">
        <f>((AE30/19.32)*10)</f>
        <v>0.4202898550724638</v>
      </c>
      <c r="AH30" s="104"/>
      <c r="AI30" s="42">
        <f t="shared" si="0"/>
        <v>2.3769999999999998</v>
      </c>
      <c r="AJ30" s="42">
        <f t="shared" si="1"/>
        <v>1.5638157894736839</v>
      </c>
      <c r="AK30" s="42">
        <f t="shared" si="2"/>
        <v>1.172861842105263</v>
      </c>
      <c r="AO30" s="42">
        <v>3.8439999999999999</v>
      </c>
      <c r="AS30" s="42">
        <f t="shared" si="3"/>
        <v>3.1252032520325201</v>
      </c>
    </row>
    <row r="31" spans="1:45" ht="24.95" customHeight="1" thickBot="1" x14ac:dyDescent="0.3">
      <c r="A31" s="103"/>
      <c r="B31" s="576" t="s">
        <v>74</v>
      </c>
      <c r="C31" s="577"/>
      <c r="D31" s="577"/>
      <c r="E31" s="152">
        <v>725.08</v>
      </c>
      <c r="F31" s="152">
        <v>615.35</v>
      </c>
      <c r="G31" s="152">
        <v>524.97</v>
      </c>
      <c r="H31" s="153">
        <v>668.62</v>
      </c>
      <c r="I31" s="174"/>
      <c r="J31" s="597" t="s">
        <v>138</v>
      </c>
      <c r="K31" s="597"/>
      <c r="L31" s="562" t="s">
        <v>116</v>
      </c>
      <c r="M31" s="457">
        <f>IF(M25="","",S82)</f>
        <v>2.7120000000000002</v>
      </c>
      <c r="N31" s="121"/>
      <c r="O31" s="628" t="s">
        <v>135</v>
      </c>
      <c r="P31" s="629"/>
      <c r="Q31" s="122">
        <f>Q30/(1+Q40/100)</f>
        <v>1.4703303654263153</v>
      </c>
      <c r="R31" s="122">
        <f>R30/(1+R40/100)</f>
        <v>1.3996389169674297</v>
      </c>
      <c r="S31" s="123">
        <f>S30/(1+S40/100)</f>
        <v>1.3032027910301629</v>
      </c>
      <c r="T31" s="174"/>
      <c r="U31" s="627">
        <v>0.17499999999999999</v>
      </c>
      <c r="V31" s="624">
        <f>U31*25.4</f>
        <v>4.4449999999999994</v>
      </c>
      <c r="W31" s="593">
        <f>AI29</f>
        <v>2.206</v>
      </c>
      <c r="X31" s="594"/>
      <c r="Y31" s="439">
        <f>((W31/19.32)*10)</f>
        <v>1.1418219461697723</v>
      </c>
      <c r="Z31" s="440"/>
      <c r="AA31" s="593">
        <f>AJ29</f>
        <v>1.4513157894736841</v>
      </c>
      <c r="AB31" s="594"/>
      <c r="AC31" s="439">
        <f>((AA31/19.32)*10)</f>
        <v>0.7511986487959027</v>
      </c>
      <c r="AD31" s="440"/>
      <c r="AE31" s="593">
        <v>0.91800000000000004</v>
      </c>
      <c r="AF31" s="594"/>
      <c r="AG31" s="443">
        <f>((AE31/19.32)*10)</f>
        <v>0.4751552795031056</v>
      </c>
      <c r="AH31" s="104"/>
      <c r="AI31" s="42">
        <f t="shared" si="0"/>
        <v>2.7919999999999998</v>
      </c>
      <c r="AJ31" s="42">
        <f t="shared" si="1"/>
        <v>1.8368421052631578</v>
      </c>
      <c r="AK31" s="42">
        <f t="shared" si="2"/>
        <v>1.3776315789473683</v>
      </c>
      <c r="AO31" s="42">
        <v>5.516</v>
      </c>
      <c r="AS31" s="42">
        <f t="shared" si="3"/>
        <v>4.4845528455284551</v>
      </c>
    </row>
    <row r="32" spans="1:45" ht="5.0999999999999996" customHeight="1" thickBot="1" x14ac:dyDescent="0.3">
      <c r="A32" s="103"/>
      <c r="B32" s="612" t="s">
        <v>75</v>
      </c>
      <c r="C32" s="613"/>
      <c r="D32" s="614"/>
      <c r="E32" s="618">
        <v>48.84</v>
      </c>
      <c r="F32" s="618">
        <v>45.89</v>
      </c>
      <c r="G32" s="618">
        <v>40.76</v>
      </c>
      <c r="H32" s="620">
        <v>44.55</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3.0979999999999999</v>
      </c>
      <c r="AJ32" s="42">
        <f t="shared" si="1"/>
        <v>2.0381578947368419</v>
      </c>
      <c r="AK32" s="42">
        <f t="shared" si="2"/>
        <v>1.5286184210526315</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2.3769999999999998</v>
      </c>
      <c r="X33" s="582"/>
      <c r="Y33" s="449">
        <f>((W33/19.32)*10)</f>
        <v>1.2303312629399585</v>
      </c>
      <c r="Z33" s="450"/>
      <c r="AA33" s="581">
        <f>AJ30</f>
        <v>1.5638157894736839</v>
      </c>
      <c r="AB33" s="582"/>
      <c r="AC33" s="449">
        <f>((AA33/19.32)*10)</f>
        <v>0.80942846246049882</v>
      </c>
      <c r="AD33" s="450"/>
      <c r="AE33" s="581">
        <v>1.0065</v>
      </c>
      <c r="AF33" s="582"/>
      <c r="AG33" s="144">
        <f>((AE33/19.32)*10)</f>
        <v>0.52096273291925466</v>
      </c>
      <c r="AH33" s="104"/>
      <c r="AI33" s="42">
        <f t="shared" si="0"/>
        <v>3.4489999999999998</v>
      </c>
      <c r="AJ33" s="42">
        <f t="shared" si="1"/>
        <v>2.269078947368421</v>
      </c>
      <c r="AK33" s="42">
        <f t="shared" si="2"/>
        <v>1.7018092105263158</v>
      </c>
      <c r="AO33" s="42">
        <v>7.7720000000000002</v>
      </c>
      <c r="AS33" s="42">
        <f t="shared" si="3"/>
        <v>6.3186991869918705</v>
      </c>
    </row>
    <row r="34" spans="1:45" ht="24.95" customHeight="1" thickBot="1" x14ac:dyDescent="0.3">
      <c r="A34" s="103"/>
      <c r="B34" s="602" t="s">
        <v>10</v>
      </c>
      <c r="C34" s="603"/>
      <c r="D34" s="603"/>
      <c r="E34" s="125">
        <f>((E29-E31)/(E31-E32))*100</f>
        <v>22.282030048503483</v>
      </c>
      <c r="F34" s="125">
        <f>((F29-F31)/(F31-F32))*100</f>
        <v>24.275629543778315</v>
      </c>
      <c r="G34" s="125">
        <f>((G29-G31)/(G31-G32))*100</f>
        <v>27.717312736209475</v>
      </c>
      <c r="H34" s="126">
        <f>((H29-H31)/(H31-H32))*100</f>
        <v>29.954972999823724</v>
      </c>
      <c r="I34" s="174"/>
      <c r="J34" s="630" t="s">
        <v>125</v>
      </c>
      <c r="K34" s="630"/>
      <c r="L34" s="184" t="s">
        <v>126</v>
      </c>
      <c r="M34" s="245">
        <v>2.69</v>
      </c>
      <c r="N34" s="128"/>
      <c r="O34" s="631" t="s">
        <v>9</v>
      </c>
      <c r="P34" s="632"/>
      <c r="Q34" s="156">
        <v>330</v>
      </c>
      <c r="R34" s="156">
        <v>300</v>
      </c>
      <c r="S34" s="157">
        <v>724</v>
      </c>
      <c r="T34" s="174"/>
      <c r="U34" s="120">
        <v>0.3</v>
      </c>
      <c r="V34" s="113">
        <f>U34*25.4</f>
        <v>7.6199999999999992</v>
      </c>
      <c r="W34" s="581">
        <f>AI31</f>
        <v>2.7919999999999998</v>
      </c>
      <c r="X34" s="582"/>
      <c r="Y34" s="449">
        <f>((W34/19.32)*10)</f>
        <v>1.4451345755693581</v>
      </c>
      <c r="Z34" s="450"/>
      <c r="AA34" s="449">
        <v>1.837</v>
      </c>
      <c r="AB34" s="450"/>
      <c r="AC34" s="449">
        <f>((AA34/19.32)*10)</f>
        <v>0.95082815734989645</v>
      </c>
      <c r="AD34" s="450"/>
      <c r="AE34" s="581">
        <v>1.298</v>
      </c>
      <c r="AF34" s="582"/>
      <c r="AG34" s="114">
        <f>((AE34/19.32)*10)</f>
        <v>0.67184265010351962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644.75</v>
      </c>
      <c r="R35" s="608">
        <v>708.3</v>
      </c>
      <c r="S35" s="610">
        <v>632.23</v>
      </c>
      <c r="T35" s="174"/>
      <c r="U35" s="627">
        <v>0.4</v>
      </c>
      <c r="V35" s="624">
        <f>U35*25.4</f>
        <v>10.16</v>
      </c>
      <c r="W35" s="593">
        <f>AI32</f>
        <v>3.0979999999999999</v>
      </c>
      <c r="X35" s="594"/>
      <c r="Y35" s="439">
        <f>((W35/19.32)*10)</f>
        <v>1.6035196687370599</v>
      </c>
      <c r="Z35" s="440"/>
      <c r="AA35" s="593">
        <f>AJ32</f>
        <v>2.0381578947368419</v>
      </c>
      <c r="AB35" s="594"/>
      <c r="AC35" s="439">
        <f>(AA35/19.32)*10</f>
        <v>1.0549471504849079</v>
      </c>
      <c r="AD35" s="440"/>
      <c r="AE35" s="593">
        <v>1.4650000000000001</v>
      </c>
      <c r="AF35" s="594"/>
      <c r="AG35" s="443">
        <f>((AE35/19.32)*10)</f>
        <v>0.75828157349896474</v>
      </c>
      <c r="AH35" s="104"/>
      <c r="AS35" s="42">
        <f t="shared" si="3"/>
        <v>0</v>
      </c>
    </row>
    <row r="36" spans="1:45" ht="20.100000000000001" customHeight="1" thickBot="1" x14ac:dyDescent="0.3">
      <c r="A36" s="103"/>
      <c r="B36" s="639" t="s">
        <v>71</v>
      </c>
      <c r="C36" s="640"/>
      <c r="D36" s="640"/>
      <c r="E36" s="130">
        <f>E25/E24</f>
        <v>1.7281191806331471</v>
      </c>
      <c r="F36" s="130">
        <f>F25/F24</f>
        <v>1.8561452513966481</v>
      </c>
      <c r="G36" s="130">
        <f>G25/G24</f>
        <v>1.8621973929236499</v>
      </c>
      <c r="H36" s="131">
        <f>H25/H24</f>
        <v>1.8049348230912476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1.4132241507175536</v>
      </c>
      <c r="F37" s="230">
        <f>F36/(1+F34/100)</f>
        <v>1.4935713930483754</v>
      </c>
      <c r="G37" s="230">
        <f>G36/(1+G34/100)</f>
        <v>1.4580618343966247</v>
      </c>
      <c r="H37" s="123">
        <f>H36/(1+H34/100)</f>
        <v>1.3888924613094229</v>
      </c>
      <c r="I37" s="174"/>
      <c r="J37" s="641" t="s">
        <v>139</v>
      </c>
      <c r="K37" s="641"/>
      <c r="L37" s="643" t="s">
        <v>121</v>
      </c>
      <c r="M37" s="433">
        <f>IF(F74="","",(M42^2*F74+M42*F75+F76))</f>
        <v>1.523332661290322</v>
      </c>
      <c r="N37" s="101"/>
      <c r="O37" s="576" t="s">
        <v>28</v>
      </c>
      <c r="P37" s="577"/>
      <c r="Q37" s="150">
        <v>535.47</v>
      </c>
      <c r="R37" s="152">
        <v>569.08000000000004</v>
      </c>
      <c r="S37" s="153">
        <v>509.65</v>
      </c>
      <c r="T37" s="174"/>
      <c r="U37" s="132">
        <v>0.5</v>
      </c>
      <c r="V37" s="133">
        <f>U37*25.4</f>
        <v>12.7</v>
      </c>
      <c r="W37" s="637">
        <f>AI33</f>
        <v>3.4489999999999998</v>
      </c>
      <c r="X37" s="638"/>
      <c r="Y37" s="431">
        <f>((W37/19.32)*10)</f>
        <v>1.7851966873706004</v>
      </c>
      <c r="Z37" s="432"/>
      <c r="AA37" s="637">
        <v>2.2389999999999999</v>
      </c>
      <c r="AB37" s="638"/>
      <c r="AC37" s="431">
        <f>((AA37/19.32)*10)</f>
        <v>1.1589026915113871</v>
      </c>
      <c r="AD37" s="432"/>
      <c r="AE37" s="637">
        <v>1.5660000000000001</v>
      </c>
      <c r="AF37" s="638"/>
      <c r="AG37" s="134">
        <f>((AE37/19.32)*10)</f>
        <v>0.81055900621118016</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123.9</v>
      </c>
      <c r="R38" s="647">
        <v>41.28</v>
      </c>
      <c r="S38" s="648">
        <v>46.73</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14.943893407258059</v>
      </c>
      <c r="N40" s="103"/>
      <c r="O40" s="628" t="s">
        <v>10</v>
      </c>
      <c r="P40" s="629"/>
      <c r="Q40" s="125">
        <f>((Q35-Q37)/(Q37-Q38))*100</f>
        <v>26.551983866656936</v>
      </c>
      <c r="R40" s="125">
        <f>((R35-R37)/(R37-R38))*100</f>
        <v>26.377415687760497</v>
      </c>
      <c r="S40" s="126">
        <f>((S35-S37)/(S37-S38))*100</f>
        <v>26.479737319623268</v>
      </c>
      <c r="T40" s="174"/>
      <c r="U40" s="645" t="s">
        <v>151</v>
      </c>
      <c r="V40" s="646"/>
      <c r="W40" s="423">
        <f>(AM79/6.9)*100</f>
        <v>9.984397035436734</v>
      </c>
      <c r="X40" s="423"/>
      <c r="Y40" s="423"/>
      <c r="Z40" s="424"/>
      <c r="AA40" s="425">
        <f>(AO79/6.9)*100</f>
        <v>6.5686822601557449</v>
      </c>
      <c r="AB40" s="426"/>
      <c r="AC40" s="427"/>
      <c r="AD40" s="425">
        <f>(AQ79/6.9)*100</f>
        <v>2.7530230743841329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11.944963717863674</v>
      </c>
      <c r="X41" s="418"/>
      <c r="Y41" s="418"/>
      <c r="Z41" s="419"/>
      <c r="AA41" s="420">
        <f>(AO83/10.3)*100</f>
        <v>7.8585287617524147</v>
      </c>
      <c r="AB41" s="421"/>
      <c r="AC41" s="418"/>
      <c r="AD41" s="420">
        <f>(AQ83/10.3)*100</f>
        <v>5.0578906108665498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25.927419354838712</v>
      </c>
      <c r="N42" s="103"/>
      <c r="O42" s="639" t="s">
        <v>9</v>
      </c>
      <c r="P42" s="640"/>
      <c r="Q42" s="148">
        <v>617</v>
      </c>
      <c r="R42" s="148">
        <v>708</v>
      </c>
      <c r="S42" s="149">
        <v>717</v>
      </c>
      <c r="T42" s="174"/>
      <c r="U42" s="651" t="s">
        <v>42</v>
      </c>
      <c r="V42" s="652"/>
      <c r="W42" s="413">
        <f>IF(W40&lt;W41,W40,W41)</f>
        <v>9.984397035436734</v>
      </c>
      <c r="X42" s="414"/>
      <c r="Y42" s="414"/>
      <c r="Z42" s="415"/>
      <c r="AA42" s="416">
        <f>IF(AA40&lt;AA41,AA40,AA41)</f>
        <v>6.5686822601557449</v>
      </c>
      <c r="AB42" s="414"/>
      <c r="AC42" s="415"/>
      <c r="AD42" s="416">
        <f>IF(AD40&lt;AD41,AD40,AD41)</f>
        <v>2.7530230743841329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18">
        <v>372.64</v>
      </c>
      <c r="R43" s="608">
        <v>509.87</v>
      </c>
      <c r="S43" s="610">
        <v>598.49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285.43</v>
      </c>
      <c r="R45" s="150">
        <v>378.35</v>
      </c>
      <c r="S45" s="151">
        <v>439.09</v>
      </c>
      <c r="T45" s="174"/>
      <c r="U45" s="656" t="s">
        <v>139</v>
      </c>
      <c r="V45" s="656"/>
      <c r="W45" s="179" t="s">
        <v>121</v>
      </c>
      <c r="X45" s="406">
        <f>MAX(M37:M39)</f>
        <v>1.523332661290322</v>
      </c>
      <c r="Y45" s="406"/>
      <c r="Z45" s="406"/>
      <c r="AA45" s="174"/>
      <c r="AB45" s="657" t="s">
        <v>31</v>
      </c>
      <c r="AC45" s="658"/>
      <c r="AD45" s="658"/>
      <c r="AE45" s="658"/>
      <c r="AF45" s="231">
        <v>3.85E-2</v>
      </c>
      <c r="AG45" s="231">
        <v>0.1178</v>
      </c>
      <c r="AH45" s="233">
        <v>9.6699999999999994E-2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36.85</v>
      </c>
      <c r="R46" s="152">
        <v>46.43</v>
      </c>
      <c r="S46" s="153">
        <v>46.92</v>
      </c>
      <c r="T46" s="174"/>
      <c r="U46" s="555" t="s">
        <v>123</v>
      </c>
      <c r="V46" s="555"/>
      <c r="W46" s="179" t="s">
        <v>41</v>
      </c>
      <c r="X46" s="401">
        <f>MIN(M42:M44)</f>
        <v>25.927419354838712</v>
      </c>
      <c r="Y46" s="401"/>
      <c r="Z46" s="401"/>
      <c r="AA46" s="174"/>
      <c r="AB46" s="660" t="s">
        <v>32</v>
      </c>
      <c r="AC46" s="661"/>
      <c r="AD46" s="661"/>
      <c r="AE46" s="661"/>
      <c r="AF46" s="234">
        <v>0.24</v>
      </c>
      <c r="AG46" s="234">
        <v>0.28649999999999998</v>
      </c>
      <c r="AH46" s="235">
        <v>0.18920000000000001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35.083272990586522</v>
      </c>
      <c r="R47" s="125">
        <f>((R43-R45)/(R45-R46))*100</f>
        <v>39.624005784526382</v>
      </c>
      <c r="S47" s="126">
        <f>((S43-S45)/(S45-S46))*100</f>
        <v>40.645638371114579</v>
      </c>
      <c r="T47" s="174"/>
      <c r="U47" s="555" t="s">
        <v>162</v>
      </c>
      <c r="V47" s="555"/>
      <c r="W47" s="179" t="s">
        <v>41</v>
      </c>
      <c r="X47" s="402">
        <f>IF(L25=D103,"-",IF(L25=D102,"-",IF(L25=D101,M25)))</f>
        <v>0</v>
      </c>
      <c r="Y47" s="402"/>
      <c r="Z47" s="402"/>
      <c r="AA47" s="174"/>
      <c r="AB47" s="662" t="s">
        <v>33</v>
      </c>
      <c r="AC47" s="663"/>
      <c r="AD47" s="663"/>
      <c r="AE47" s="663"/>
      <c r="AF47" s="232">
        <f>(AF46-AF45)*2.54</f>
        <v>0.51180999999999999</v>
      </c>
      <c r="AG47" s="232">
        <f>(AG46-AG45)*2.54</f>
        <v>0.42849799999999993</v>
      </c>
      <c r="AH47" s="239">
        <f>(AH46-AH45)*2.54</f>
        <v>0.23495000000000005</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4.4505217391304353</v>
      </c>
      <c r="AG48" s="142">
        <f>IF(AG47&lt;&gt;"",IF(R24&lt;&gt;"",AG47/R24*100,""),"")</f>
        <v>3.7753127753303959</v>
      </c>
      <c r="AH48" s="173">
        <f>IF(AH47&lt;&gt;"",IF(S24&lt;&gt;"",AH47/S24*100,""),"")</f>
        <v>2.0773651635720607</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0.218</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0.77</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1.331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1.6950000000000001</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1.982</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2.206</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2.3769999999999998</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2.7919999999999998</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3.0979999999999999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3.4489999999999998</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-6.1999999999999998E-3</v>
      </c>
      <c r="G74" s="75">
        <v>-0.12509999999999999</v>
      </c>
      <c r="J74" s="701"/>
      <c r="K74" s="702"/>
      <c r="L74" s="44"/>
      <c r="M74" s="44"/>
      <c r="N74" s="44"/>
    </row>
    <row r="75" spans="1:94" ht="26.25" customHeight="1" thickBot="1" x14ac:dyDescent="0.3">
      <c r="A75" s="11"/>
      <c r="B75" s="377" t="s">
        <v>113</v>
      </c>
      <c r="C75" s="377"/>
      <c r="D75" s="19"/>
      <c r="E75" s="54" t="s">
        <v>12</v>
      </c>
      <c r="F75" s="55">
        <v>0.32150000000000001</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-2.6444999999999999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0.21299999999999999</v>
      </c>
      <c r="AM76" s="3">
        <f t="shared" si="4"/>
        <v>0.11024844720496893</v>
      </c>
      <c r="AN76" s="5">
        <f>AA23</f>
        <v>0.157</v>
      </c>
      <c r="AO76" s="3">
        <f t="shared" ref="AO76:AO86" si="7">((AN76/19.32)*10)</f>
        <v>8.1262939958592129E-2</v>
      </c>
      <c r="AP76" s="5">
        <f>AE23</f>
        <v>5.6000000000000001E-2</v>
      </c>
      <c r="AQ76" s="161">
        <f t="shared" si="5"/>
        <v>2.8985507246376812E-2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0.42499999999999999</v>
      </c>
      <c r="AM77" s="3">
        <f t="shared" si="4"/>
        <v>0.21997929606625255</v>
      </c>
      <c r="AN77" s="5">
        <f>AA24</f>
        <v>0.307</v>
      </c>
      <c r="AO77" s="3">
        <f t="shared" si="7"/>
        <v>0.15890269151138714</v>
      </c>
      <c r="AP77" s="5">
        <f>AE24</f>
        <v>9.4E-2</v>
      </c>
      <c r="AQ77" s="161">
        <f t="shared" si="5"/>
        <v>4.8654244306418216E-2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0.77</v>
      </c>
      <c r="AM78" s="3">
        <f t="shared" si="4"/>
        <v>0.39855072463768121</v>
      </c>
      <c r="AN78" s="5">
        <f>AA25</f>
        <v>0.50657894736842102</v>
      </c>
      <c r="AO78" s="3">
        <f t="shared" si="7"/>
        <v>0.26220442410373757</v>
      </c>
      <c r="AP78" s="5">
        <f>AE25</f>
        <v>0.2266</v>
      </c>
      <c r="AQ78" s="161">
        <f t="shared" si="5"/>
        <v>0.11728778467908903</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1.331</v>
      </c>
      <c r="AM79" s="4">
        <f t="shared" si="4"/>
        <v>0.68892339544513459</v>
      </c>
      <c r="AN79" s="5">
        <f>AA26</f>
        <v>0.87565789473684208</v>
      </c>
      <c r="AO79" s="4">
        <f t="shared" si="7"/>
        <v>0.45323907595074642</v>
      </c>
      <c r="AP79" s="5">
        <f>AE26</f>
        <v>0.36699999999999999</v>
      </c>
      <c r="AQ79" s="162">
        <f t="shared" si="5"/>
        <v>0.18995859213250518</v>
      </c>
      <c r="BB79" s="12">
        <v>17</v>
      </c>
      <c r="BC79" s="12">
        <v>18</v>
      </c>
    </row>
    <row r="80" spans="1:94" ht="42" customHeight="1" thickTop="1" thickBot="1" x14ac:dyDescent="0.3">
      <c r="D80" s="49"/>
      <c r="H80" s="711" t="s">
        <v>105</v>
      </c>
      <c r="I80" s="712"/>
      <c r="J80" s="58"/>
      <c r="AJ80" s="160">
        <f>U28</f>
        <v>0.125</v>
      </c>
      <c r="AK80" s="3">
        <f t="shared" si="6"/>
        <v>3.1749999999999998</v>
      </c>
      <c r="AL80" s="5">
        <f>W28</f>
        <v>1.6950000000000001</v>
      </c>
      <c r="AM80" s="3">
        <f t="shared" si="4"/>
        <v>0.87732919254658381</v>
      </c>
      <c r="AN80" s="5">
        <f>AA28</f>
        <v>1.1151315789473684</v>
      </c>
      <c r="AO80" s="3">
        <f t="shared" si="7"/>
        <v>0.57719025825433146</v>
      </c>
      <c r="AP80" s="5">
        <f>AE28</f>
        <v>0.625</v>
      </c>
      <c r="AQ80" s="161">
        <f t="shared" si="5"/>
        <v>0.32349896480331264</v>
      </c>
      <c r="BC80" s="45">
        <v>0.99880400000000003</v>
      </c>
      <c r="BD80" s="45">
        <v>0.99862499999999998</v>
      </c>
    </row>
    <row r="81" spans="2:43" ht="15.75" customHeight="1" x14ac:dyDescent="0.25">
      <c r="AJ81" s="160">
        <f>U30</f>
        <v>0.15</v>
      </c>
      <c r="AK81" s="3">
        <f t="shared" si="6"/>
        <v>3.8099999999999996</v>
      </c>
      <c r="AL81" s="5">
        <f>W30</f>
        <v>1.982</v>
      </c>
      <c r="AM81" s="3">
        <f t="shared" si="4"/>
        <v>1.025879917184265</v>
      </c>
      <c r="AN81" s="5">
        <f>AA30</f>
        <v>1.3039473684210525</v>
      </c>
      <c r="AO81" s="3">
        <f t="shared" si="7"/>
        <v>0.67492099814754258</v>
      </c>
      <c r="AP81" s="5">
        <f>AE30</f>
        <v>0.81200000000000006</v>
      </c>
      <c r="AQ81" s="161">
        <f t="shared" si="5"/>
        <v>0.4202898550724638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2.206</v>
      </c>
      <c r="AM82" s="3">
        <f t="shared" si="4"/>
        <v>1.1418219461697723</v>
      </c>
      <c r="AN82" s="5">
        <f>AA31</f>
        <v>1.4513157894736841</v>
      </c>
      <c r="AO82" s="3">
        <f t="shared" si="7"/>
        <v>0.7511986487959027</v>
      </c>
      <c r="AP82" s="5">
        <f>AE31</f>
        <v>0.91800000000000004</v>
      </c>
      <c r="AQ82" s="161">
        <f t="shared" si="5"/>
        <v>0.4751552795031056</v>
      </c>
    </row>
    <row r="83" spans="2:43" ht="15" customHeight="1" x14ac:dyDescent="0.25">
      <c r="B83" s="49"/>
      <c r="C83" s="49"/>
      <c r="D83" s="49">
        <v>0</v>
      </c>
      <c r="E83" s="50">
        <f>M42</f>
        <v>25.927419354838712</v>
      </c>
      <c r="F83" s="49"/>
      <c r="G83" s="43">
        <f>G84/10</f>
        <v>1.649938786718409</v>
      </c>
      <c r="H83" s="43">
        <f>H84/10</f>
        <v>1.5964107418304569</v>
      </c>
      <c r="I83" s="43">
        <f>I84/10</f>
        <v>1.5117417973394147</v>
      </c>
      <c r="J83" s="43">
        <f>J84/10</f>
        <v>1.4613503187307635</v>
      </c>
      <c r="K83" s="43"/>
      <c r="L83" s="42">
        <v>0</v>
      </c>
      <c r="O83" s="706"/>
      <c r="P83" s="706"/>
      <c r="Q83" s="706"/>
      <c r="R83" s="706"/>
      <c r="S83" s="707"/>
      <c r="W83" s="112"/>
      <c r="AJ83" s="160">
        <f>U33</f>
        <v>0.2</v>
      </c>
      <c r="AK83" s="4">
        <f t="shared" si="6"/>
        <v>5.08</v>
      </c>
      <c r="AL83" s="5">
        <f>W33</f>
        <v>2.3769999999999998</v>
      </c>
      <c r="AM83" s="4">
        <f t="shared" si="4"/>
        <v>1.2303312629399585</v>
      </c>
      <c r="AN83" s="5">
        <f>AA33</f>
        <v>1.5638157894736839</v>
      </c>
      <c r="AO83" s="4">
        <f t="shared" si="7"/>
        <v>0.80942846246049882</v>
      </c>
      <c r="AP83" s="5">
        <f>AE33</f>
        <v>1.0065</v>
      </c>
      <c r="AQ83" s="162">
        <f t="shared" si="5"/>
        <v>0.52096273291925466</v>
      </c>
    </row>
    <row r="84" spans="2:43" ht="15" customHeight="1" x14ac:dyDescent="0.25">
      <c r="C84" s="94"/>
      <c r="D84" s="94"/>
      <c r="E84" s="94"/>
      <c r="F84" s="49"/>
      <c r="G84" s="43">
        <f>($M$34/(1+(E34*$M$34/100)))*($O$73)</f>
        <v>16.49938786718409</v>
      </c>
      <c r="H84" s="43">
        <f>($M$34/(1+(F34*$M$34/100)))*($O$73)</f>
        <v>15.96410741830457</v>
      </c>
      <c r="I84" s="43">
        <f>($M$34/(1+(G34*$M$34/100)))*($O$73)</f>
        <v>15.117417973394147</v>
      </c>
      <c r="J84" s="43">
        <f>($M$34/(1+(H34*$M$34/100)))*($O$73)</f>
        <v>14.613503187307634</v>
      </c>
      <c r="K84" s="43"/>
      <c r="O84" s="706" t="s">
        <v>146</v>
      </c>
      <c r="P84" s="706"/>
      <c r="Q84" s="706"/>
      <c r="R84" s="706"/>
      <c r="S84" s="707">
        <v>2240</v>
      </c>
      <c r="W84" s="112"/>
      <c r="AJ84" s="160">
        <f>U34</f>
        <v>0.3</v>
      </c>
      <c r="AK84" s="3">
        <f t="shared" si="6"/>
        <v>7.6199999999999992</v>
      </c>
      <c r="AL84" s="5">
        <f>W34</f>
        <v>2.7919999999999998</v>
      </c>
      <c r="AM84" s="3">
        <f t="shared" si="4"/>
        <v>1.4451345755693581</v>
      </c>
      <c r="AN84" s="5">
        <f>AA34</f>
        <v>1.837</v>
      </c>
      <c r="AO84" s="3">
        <f t="shared" si="7"/>
        <v>0.95082815734989645</v>
      </c>
      <c r="AP84" s="5">
        <f>AE34</f>
        <v>1.298</v>
      </c>
      <c r="AQ84" s="161">
        <f t="shared" si="5"/>
        <v>0.67184265010351962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3.0979999999999999</v>
      </c>
      <c r="AM85" s="3">
        <f t="shared" si="4"/>
        <v>1.6035196687370599</v>
      </c>
      <c r="AN85" s="5">
        <f>AA35</f>
        <v>2.0381578947368419</v>
      </c>
      <c r="AO85" s="3">
        <f t="shared" si="7"/>
        <v>1.0549471504849079</v>
      </c>
      <c r="AP85" s="5">
        <f>AE35</f>
        <v>1.4650000000000001</v>
      </c>
      <c r="AQ85" s="161">
        <f>((AP85/19.32)*10)</f>
        <v>0.75828157349896474</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3.4489999999999998</v>
      </c>
      <c r="AM86" s="164">
        <f t="shared" si="4"/>
        <v>1.7851966873706004</v>
      </c>
      <c r="AN86" s="165">
        <f>AA37</f>
        <v>2.2389999999999999</v>
      </c>
      <c r="AO86" s="164">
        <f t="shared" si="7"/>
        <v>1.1589026915113871</v>
      </c>
      <c r="AP86" s="165">
        <f>AE37</f>
        <v>1.5660000000000001</v>
      </c>
      <c r="AQ86" s="166">
        <f>((AP86/19.32)*10)</f>
        <v>0.81055900621118016</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1.4703303654263153</v>
      </c>
      <c r="AK91" s="9">
        <f>R31</f>
        <v>1.3996389169674297</v>
      </c>
      <c r="AL91" s="10">
        <f>S31</f>
        <v>1.3032027910301629</v>
      </c>
    </row>
    <row r="92" spans="2:43" ht="21" customHeight="1" thickBot="1" x14ac:dyDescent="0.3">
      <c r="B92" s="92"/>
      <c r="C92" s="93"/>
      <c r="D92" s="93"/>
      <c r="E92" s="93"/>
      <c r="F92" s="62"/>
      <c r="G92" s="63"/>
      <c r="H92" s="49"/>
      <c r="I92" s="49"/>
      <c r="O92" s="725" t="s">
        <v>147</v>
      </c>
      <c r="P92" s="726"/>
      <c r="Q92" s="726"/>
      <c r="R92" s="726"/>
      <c r="S92" s="61">
        <f>M42</f>
        <v>25.927419354838712</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9.984397035436734</v>
      </c>
      <c r="AK94" s="158">
        <f>AA42</f>
        <v>6.5686822601557449</v>
      </c>
      <c r="AL94" s="158">
        <f>AD42</f>
        <v>2.7530230743841329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722" priority="47">
      <formula>LEN(TRIM(D6))=0</formula>
    </cfRule>
  </conditionalFormatting>
  <conditionalFormatting sqref="D6:H10">
    <cfRule type="containsBlanks" dxfId="1721" priority="46">
      <formula>LEN(TRIM(D6))=0</formula>
    </cfRule>
  </conditionalFormatting>
  <conditionalFormatting sqref="M19">
    <cfRule type="containsBlanks" dxfId="1720" priority="45">
      <formula>LEN(TRIM(M19))=0</formula>
    </cfRule>
  </conditionalFormatting>
  <conditionalFormatting sqref="CP70">
    <cfRule type="containsBlanks" dxfId="1719" priority="44">
      <formula>LEN(TRIM(CP70))=0</formula>
    </cfRule>
  </conditionalFormatting>
  <conditionalFormatting sqref="M21">
    <cfRule type="containsBlanks" dxfId="1718" priority="43">
      <formula>LEN(TRIM(M21))=0</formula>
    </cfRule>
  </conditionalFormatting>
  <conditionalFormatting sqref="D12:M12">
    <cfRule type="containsBlanks" dxfId="1717" priority="42">
      <formula>LEN(TRIM(D12))=0</formula>
    </cfRule>
  </conditionalFormatting>
  <conditionalFormatting sqref="L9:M9">
    <cfRule type="containsBlanks" dxfId="1716" priority="41">
      <formula>LEN(TRIM(L9))=0</formula>
    </cfRule>
  </conditionalFormatting>
  <conditionalFormatting sqref="L25">
    <cfRule type="containsBlanks" dxfId="1715" priority="40">
      <formula>LEN(TRIM(L25))=0</formula>
    </cfRule>
  </conditionalFormatting>
  <conditionalFormatting sqref="Q20:S21">
    <cfRule type="containsBlanks" dxfId="1714" priority="33">
      <formula>LEN(TRIM(Q20))=0</formula>
    </cfRule>
    <cfRule type="containsBlanks" dxfId="1713" priority="39">
      <formula>LEN(TRIM(Q20))=0</formula>
    </cfRule>
  </conditionalFormatting>
  <conditionalFormatting sqref="U26:V27 AC33 AC26">
    <cfRule type="cellIs" dxfId="1712" priority="38" operator="between">
      <formula>0</formula>
      <formula>500</formula>
    </cfRule>
  </conditionalFormatting>
  <conditionalFormatting sqref="U33:V33">
    <cfRule type="cellIs" dxfId="1711" priority="37" operator="between">
      <formula>0</formula>
      <formula>500</formula>
    </cfRule>
  </conditionalFormatting>
  <conditionalFormatting sqref="AF45:AH46">
    <cfRule type="containsBlanks" dxfId="1710" priority="36">
      <formula>LEN(TRIM(AF45))=0</formula>
    </cfRule>
  </conditionalFormatting>
  <conditionalFormatting sqref="AF51:AG53">
    <cfRule type="containsBlanks" dxfId="1709" priority="35">
      <formula>LEN(TRIM(AF51))=0</formula>
    </cfRule>
  </conditionalFormatting>
  <conditionalFormatting sqref="E20:H24">
    <cfRule type="containsBlanks" dxfId="1708" priority="34">
      <formula>LEN(TRIM(E20))=0</formula>
    </cfRule>
  </conditionalFormatting>
  <conditionalFormatting sqref="M25">
    <cfRule type="containsBlanks" dxfId="1707" priority="32">
      <formula>LEN(TRIM(M25))=0</formula>
    </cfRule>
  </conditionalFormatting>
  <conditionalFormatting sqref="U26:V27 Y26:Z27 AC26:AD27 AG26:AG27">
    <cfRule type="containsBlanks" dxfId="1706" priority="30">
      <formula>LEN(TRIM(U26))=0</formula>
    </cfRule>
    <cfRule type="cellIs" dxfId="1705" priority="31" operator="between">
      <formula>0</formula>
      <formula>1000</formula>
    </cfRule>
  </conditionalFormatting>
  <conditionalFormatting sqref="W87:W88">
    <cfRule type="cellIs" dxfId="1704" priority="29" operator="between">
      <formula>0</formula>
      <formula>500</formula>
    </cfRule>
  </conditionalFormatting>
  <conditionalFormatting sqref="W94">
    <cfRule type="cellIs" dxfId="1703" priority="28" operator="between">
      <formula>0</formula>
      <formula>500</formula>
    </cfRule>
  </conditionalFormatting>
  <conditionalFormatting sqref="W87:W88">
    <cfRule type="containsBlanks" dxfId="1702" priority="26">
      <formula>LEN(TRIM(W87))=0</formula>
    </cfRule>
    <cfRule type="cellIs" dxfId="1701" priority="27" operator="between">
      <formula>0</formula>
      <formula>1000</formula>
    </cfRule>
  </conditionalFormatting>
  <conditionalFormatting sqref="U33:V33 Y33:Z33 AC33:AD33 AG33">
    <cfRule type="cellIs" dxfId="1700" priority="25" operator="between">
      <formula>0</formula>
      <formula>1000</formula>
    </cfRule>
  </conditionalFormatting>
  <conditionalFormatting sqref="Q27:S27">
    <cfRule type="containsBlanks" dxfId="1699" priority="23">
      <formula>LEN(TRIM(Q27))=0</formula>
    </cfRule>
    <cfRule type="containsBlanks" dxfId="1698" priority="24">
      <formula>LEN(TRIM(Q27))=0</formula>
    </cfRule>
  </conditionalFormatting>
  <conditionalFormatting sqref="W30:W31 W33:W35 W37 W28 W22:W26">
    <cfRule type="containsBlanks" dxfId="1697" priority="22">
      <formula>LEN(TRIM(W22))=0</formula>
    </cfRule>
  </conditionalFormatting>
  <conditionalFormatting sqref="W37 W30:W31 W33:W35 W28 W22:W26">
    <cfRule type="containsBlanks" dxfId="1696" priority="21">
      <formula>LEN(TRIM(W22))=0</formula>
    </cfRule>
  </conditionalFormatting>
  <conditionalFormatting sqref="W33:X33">
    <cfRule type="cellIs" dxfId="1695" priority="20" operator="between">
      <formula>0</formula>
      <formula>1000</formula>
    </cfRule>
  </conditionalFormatting>
  <conditionalFormatting sqref="W30:X37 W26 W28 W22:X25">
    <cfRule type="containsBlanks" dxfId="1694" priority="19">
      <formula>LEN(TRIM(W22))=0</formula>
    </cfRule>
  </conditionalFormatting>
  <conditionalFormatting sqref="AA37 AA30:AA31 AA33 AA22:AA26 AA28 AA35">
    <cfRule type="containsBlanks" dxfId="1693" priority="18">
      <formula>LEN(TRIM(AA22))=0</formula>
    </cfRule>
  </conditionalFormatting>
  <conditionalFormatting sqref="AA37 AA30:AA31 AA33 AA22:AA26 AA28 AA35">
    <cfRule type="containsBlanks" dxfId="1692" priority="17">
      <formula>LEN(TRIM(AA22))=0</formula>
    </cfRule>
  </conditionalFormatting>
  <conditionalFormatting sqref="AA33:AB33">
    <cfRule type="cellIs" dxfId="1691" priority="16" operator="between">
      <formula>0</formula>
      <formula>1000</formula>
    </cfRule>
  </conditionalFormatting>
  <conditionalFormatting sqref="AA30:AB30 AA31 AA33:AB33 AA22:AB25 AA26 AA28 AA35:AB37">
    <cfRule type="containsBlanks" dxfId="1690" priority="15">
      <formula>LEN(TRIM(AA22))=0</formula>
    </cfRule>
  </conditionalFormatting>
  <conditionalFormatting sqref="AE37 AE28 AE30:AE31 AE33:AE35 AE22:AE26">
    <cfRule type="containsBlanks" dxfId="1689" priority="14">
      <formula>LEN(TRIM(AE22))=0</formula>
    </cfRule>
  </conditionalFormatting>
  <conditionalFormatting sqref="AE37 AE28 AE30:AE31 AE33:AE35 AE22:AE26">
    <cfRule type="containsBlanks" dxfId="1688" priority="13">
      <formula>LEN(TRIM(AE22))=0</formula>
    </cfRule>
  </conditionalFormatting>
  <conditionalFormatting sqref="AE33:AF33">
    <cfRule type="cellIs" dxfId="1687" priority="12" operator="between">
      <formula>0</formula>
      <formula>1000</formula>
    </cfRule>
  </conditionalFormatting>
  <conditionalFormatting sqref="AE33:AF37 AE26 AE28 AE30:AE31 AE22:AF25">
    <cfRule type="containsBlanks" dxfId="1686" priority="11">
      <formula>LEN(TRIM(AE22))=0</formula>
    </cfRule>
  </conditionalFormatting>
  <conditionalFormatting sqref="K6:M6">
    <cfRule type="containsBlanks" dxfId="1685" priority="10">
      <formula>LEN(TRIM(K6))=0</formula>
    </cfRule>
  </conditionalFormatting>
  <conditionalFormatting sqref="K7:K8">
    <cfRule type="containsBlanks" dxfId="1684" priority="9">
      <formula>LEN(TRIM(K7))=0</formula>
    </cfRule>
  </conditionalFormatting>
  <conditionalFormatting sqref="D13:M13">
    <cfRule type="containsBlanks" dxfId="1683" priority="8">
      <formula>LEN(TRIM(D13))=0</formula>
    </cfRule>
  </conditionalFormatting>
  <conditionalFormatting sqref="B6:B10">
    <cfRule type="containsBlanks" dxfId="1682" priority="7">
      <formula>LEN(TRIM(B6))=0</formula>
    </cfRule>
  </conditionalFormatting>
  <conditionalFormatting sqref="B12:B13">
    <cfRule type="containsBlanks" dxfId="1681" priority="6">
      <formula>LEN(TRIM(B12))=0</formula>
    </cfRule>
  </conditionalFormatting>
  <conditionalFormatting sqref="E28:H33">
    <cfRule type="containsBlanks" dxfId="1680" priority="5">
      <formula>LEN(TRIM(E28))=0</formula>
    </cfRule>
  </conditionalFormatting>
  <conditionalFormatting sqref="Q22:S26">
    <cfRule type="containsBlanks" dxfId="1679" priority="3">
      <formula>LEN(TRIM(Q22))=0</formula>
    </cfRule>
    <cfRule type="containsBlanks" dxfId="1678" priority="4">
      <formula>LEN(TRIM(Q22))=0</formula>
    </cfRule>
  </conditionalFormatting>
  <conditionalFormatting sqref="Q34:S39">
    <cfRule type="containsBlanks" dxfId="1677" priority="2">
      <formula>LEN(TRIM(Q34))=0</formula>
    </cfRule>
  </conditionalFormatting>
  <conditionalFormatting sqref="Q42:S46">
    <cfRule type="containsBlanks" dxfId="1676" priority="1">
      <formula>LEN(TRIM(Q42))=0</formula>
    </cfRule>
  </conditionalFormatting>
  <dataValidations count="5">
    <dataValidation type="list" allowBlank="1" showInputMessage="1" showErrorMessage="1" sqref="D12:E12" xr:uid="{00000000-0002-0000-1700-000000000000}">
      <formula1>$B$87:$B$94</formula1>
    </dataValidation>
    <dataValidation type="list" allowBlank="1" showInputMessage="1" showErrorMessage="1" sqref="CP70" xr:uid="{00000000-0002-0000-1700-000001000000}">
      <formula1>$BA$3:$BA$5</formula1>
    </dataValidation>
    <dataValidation type="list" allowBlank="1" showInputMessage="1" showErrorMessage="1" sqref="M19" xr:uid="{00000000-0002-0000-1700-000002000000}">
      <formula1>$AX$3:$AX$5</formula1>
    </dataValidation>
    <dataValidation type="list" allowBlank="1" showInputMessage="1" showErrorMessage="1" sqref="M21" xr:uid="{00000000-0002-0000-1700-000003000000}">
      <formula1>$AX$3:$AX$4</formula1>
    </dataValidation>
    <dataValidation type="list" allowBlank="1" showInputMessage="1" showErrorMessage="1" sqref="L25" xr:uid="{00000000-0002-0000-1700-000004000000}">
      <formula1>$D$101:$D$104</formula1>
    </dataValidation>
  </dataValidations>
  <hyperlinks>
    <hyperlink ref="D8" r:id="rId1" xr:uid="{00000000-0004-0000-17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39265"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39266"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39267"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3926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3926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39270"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39271"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3927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3927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3927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65">
    <tabColor theme="8" tint="0.79998168889431442"/>
  </sheetPr>
  <dimension ref="A1:CP153"/>
  <sheetViews>
    <sheetView view="pageBreakPreview" topLeftCell="B18" zoomScale="90" zoomScaleNormal="100" zoomScaleSheetLayoutView="9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25-P-VILLA RICA AP5-2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25-P-VILLA RICA AP5-2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243</v>
      </c>
      <c r="G12" s="31" t="s">
        <v>4</v>
      </c>
      <c r="H12" s="146">
        <v>2</v>
      </c>
      <c r="I12" s="546" t="s">
        <v>5</v>
      </c>
      <c r="J12" s="546"/>
      <c r="K12" s="209">
        <v>0.5</v>
      </c>
      <c r="L12" s="32" t="s">
        <v>6</v>
      </c>
      <c r="M12" s="147">
        <v>1.8</v>
      </c>
      <c r="N12" s="78"/>
      <c r="O12" s="501" t="s">
        <v>3</v>
      </c>
      <c r="P12" s="501"/>
      <c r="Q12" s="225" t="s">
        <v>234</v>
      </c>
      <c r="R12" s="224" t="str">
        <f>F12</f>
        <v>P-VILLA RICA AP5</v>
      </c>
      <c r="S12" s="224"/>
      <c r="T12" s="502" t="s">
        <v>4</v>
      </c>
      <c r="U12" s="502"/>
      <c r="V12" s="33">
        <f>+H12</f>
        <v>2</v>
      </c>
      <c r="W12" s="547" t="s">
        <v>5</v>
      </c>
      <c r="X12" s="547"/>
      <c r="Y12" s="547"/>
      <c r="Z12" s="547"/>
      <c r="AA12" s="547"/>
      <c r="AB12" s="547"/>
      <c r="AC12" s="34">
        <f>K12</f>
        <v>0.5</v>
      </c>
      <c r="AD12" s="548" t="s">
        <v>6</v>
      </c>
      <c r="AE12" s="548"/>
      <c r="AF12" s="35">
        <f>+M12</f>
        <v>1.8</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257</v>
      </c>
      <c r="E13" s="479"/>
      <c r="F13" s="479"/>
      <c r="G13" s="479"/>
      <c r="H13" s="479"/>
      <c r="I13" s="479"/>
      <c r="J13" s="479"/>
      <c r="K13" s="479"/>
      <c r="L13" s="479"/>
      <c r="M13" s="480"/>
      <c r="N13" s="188"/>
      <c r="O13" s="526" t="s">
        <v>130</v>
      </c>
      <c r="P13" s="526"/>
      <c r="Q13" s="527" t="str">
        <f>D13</f>
        <v>ARCILLA DE ALTA PLASTICIDAD, DE COLOR MARRÓN AMARILLENTO, CONSISTENCIA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48">
        <v>604</v>
      </c>
      <c r="R20" s="148">
        <v>409</v>
      </c>
      <c r="S20" s="149">
        <v>416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10798</v>
      </c>
      <c r="F22" s="150">
        <v>11069</v>
      </c>
      <c r="G22" s="150">
        <v>11205</v>
      </c>
      <c r="H22" s="151">
        <v>10995</v>
      </c>
      <c r="I22" s="174"/>
      <c r="J22" s="578"/>
      <c r="K22" s="578"/>
      <c r="L22" s="578"/>
      <c r="M22" s="104"/>
      <c r="N22" s="103"/>
      <c r="O22" s="579" t="s">
        <v>132</v>
      </c>
      <c r="P22" s="580"/>
      <c r="Q22" s="219">
        <v>7598</v>
      </c>
      <c r="R22" s="219">
        <v>7398</v>
      </c>
      <c r="S22" s="208">
        <v>7268</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7.5999999999999998E-2</v>
      </c>
      <c r="AJ22" s="42">
        <f>AJ50/1.52</f>
        <v>4.9999999999999996E-2</v>
      </c>
      <c r="AK22" s="42">
        <f>AJ22*0.75</f>
        <v>3.7499999999999999E-2</v>
      </c>
      <c r="AO22" s="42">
        <v>0.06</v>
      </c>
      <c r="AS22" s="42">
        <f>AO22/1.23</f>
        <v>4.878048780487805E-2</v>
      </c>
    </row>
    <row r="23" spans="1:45" ht="24.95" customHeight="1" x14ac:dyDescent="0.25">
      <c r="A23" s="103"/>
      <c r="B23" s="583" t="s">
        <v>68</v>
      </c>
      <c r="C23" s="584"/>
      <c r="D23" s="584"/>
      <c r="E23" s="150">
        <v>7312</v>
      </c>
      <c r="F23" s="150">
        <v>7312</v>
      </c>
      <c r="G23" s="150">
        <v>7312</v>
      </c>
      <c r="H23" s="248">
        <v>7312</v>
      </c>
      <c r="I23" s="174"/>
      <c r="J23" s="587" t="s">
        <v>165</v>
      </c>
      <c r="K23" s="588"/>
      <c r="L23" s="588"/>
      <c r="M23" s="589"/>
      <c r="N23" s="103"/>
      <c r="O23" s="579" t="s">
        <v>27</v>
      </c>
      <c r="P23" s="580"/>
      <c r="Q23" s="150">
        <v>3830</v>
      </c>
      <c r="R23" s="150">
        <v>3836</v>
      </c>
      <c r="S23" s="151">
        <v>3843</v>
      </c>
      <c r="T23" s="174"/>
      <c r="U23" s="112">
        <v>2.5000000000000001E-2</v>
      </c>
      <c r="V23" s="113">
        <f>U23*25.4</f>
        <v>0.63500000000000001</v>
      </c>
      <c r="W23" s="581">
        <v>0.38400000000000001</v>
      </c>
      <c r="X23" s="582"/>
      <c r="Y23" s="449">
        <f>((W23/19.32)*10)</f>
        <v>0.19875776397515529</v>
      </c>
      <c r="Z23" s="450"/>
      <c r="AA23" s="581">
        <v>0.249</v>
      </c>
      <c r="AB23" s="582"/>
      <c r="AC23" s="449">
        <f>((AA23/19.32)*10)</f>
        <v>0.12888198757763975</v>
      </c>
      <c r="AD23" s="450"/>
      <c r="AE23" s="581">
        <v>8.6999999999999994E-2</v>
      </c>
      <c r="AF23" s="582"/>
      <c r="AG23" s="114">
        <f>((AE23/19.32)*10)</f>
        <v>4.5031055900621113E-2</v>
      </c>
      <c r="AH23" s="104"/>
      <c r="AI23" s="42">
        <f t="shared" ref="AI23:AI33" si="0">AJ51</f>
        <v>0.39200000000000002</v>
      </c>
      <c r="AJ23" s="42">
        <f t="shared" ref="AJ23:AJ33" si="1">AJ51/1.52</f>
        <v>0.25789473684210529</v>
      </c>
      <c r="AK23" s="42">
        <f t="shared" ref="AK23:AK33" si="2">AJ23*0.75</f>
        <v>0.19342105263157897</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11.45</v>
      </c>
      <c r="S24" s="153">
        <v>11.4</v>
      </c>
      <c r="T24" s="174"/>
      <c r="U24" s="112">
        <v>0.05</v>
      </c>
      <c r="V24" s="113">
        <f>U24*25.4</f>
        <v>1.27</v>
      </c>
      <c r="W24" s="581">
        <f>AI24</f>
        <v>0.74099999999999999</v>
      </c>
      <c r="X24" s="582"/>
      <c r="Y24" s="449">
        <f>((W24/19.32)*10)</f>
        <v>0.38354037267080748</v>
      </c>
      <c r="Z24" s="450"/>
      <c r="AA24" s="581">
        <v>0.504</v>
      </c>
      <c r="AB24" s="582"/>
      <c r="AC24" s="449">
        <f>((AA24/19.32)*10)</f>
        <v>0.2608695652173913</v>
      </c>
      <c r="AD24" s="450"/>
      <c r="AE24" s="581">
        <v>0.308</v>
      </c>
      <c r="AF24" s="582"/>
      <c r="AG24" s="114">
        <f>((AE24/19.32)*10)</f>
        <v>0.15942028985507245</v>
      </c>
      <c r="AH24" s="104"/>
      <c r="AI24" s="42">
        <f t="shared" si="0"/>
        <v>0.74099999999999999</v>
      </c>
      <c r="AJ24" s="42">
        <f t="shared" si="1"/>
        <v>0.48749999999999999</v>
      </c>
      <c r="AK24" s="42">
        <f t="shared" si="2"/>
        <v>0.36562499999999998</v>
      </c>
      <c r="AO24" s="42">
        <v>0.68400000000000005</v>
      </c>
      <c r="AS24" s="42">
        <f t="shared" si="3"/>
        <v>0.55609756097560981</v>
      </c>
    </row>
    <row r="25" spans="1:45" ht="24.95" customHeight="1" thickBot="1" x14ac:dyDescent="0.3">
      <c r="A25" s="103"/>
      <c r="B25" s="602" t="s">
        <v>69</v>
      </c>
      <c r="C25" s="603"/>
      <c r="D25" s="603"/>
      <c r="E25" s="115">
        <f>E22-E23</f>
        <v>3486</v>
      </c>
      <c r="F25" s="115">
        <f>F22-F23</f>
        <v>3757</v>
      </c>
      <c r="G25" s="115">
        <f>G22-G23</f>
        <v>3893</v>
      </c>
      <c r="H25" s="116">
        <f>H22-H23</f>
        <v>3683</v>
      </c>
      <c r="I25" s="174"/>
      <c r="J25" s="174" t="s">
        <v>127</v>
      </c>
      <c r="K25" s="174"/>
      <c r="L25" s="218" t="s">
        <v>128</v>
      </c>
      <c r="M25" s="246">
        <v>0</v>
      </c>
      <c r="N25" s="103"/>
      <c r="O25" s="604" t="s">
        <v>46</v>
      </c>
      <c r="P25" s="605"/>
      <c r="Q25" s="608">
        <v>15.2</v>
      </c>
      <c r="R25" s="608">
        <v>15.24</v>
      </c>
      <c r="S25" s="610">
        <v>15.25</v>
      </c>
      <c r="T25" s="174"/>
      <c r="U25" s="112">
        <v>7.4999999999999997E-2</v>
      </c>
      <c r="V25" s="113">
        <f>U25*25.4</f>
        <v>1.9049999999999998</v>
      </c>
      <c r="W25" s="581">
        <f>AI25</f>
        <v>0.96899999999999997</v>
      </c>
      <c r="X25" s="582"/>
      <c r="Y25" s="449">
        <f>((W25/19.32)*10)</f>
        <v>0.50155279503105588</v>
      </c>
      <c r="Z25" s="450"/>
      <c r="AA25" s="581">
        <f>AJ25</f>
        <v>0.63749999999999996</v>
      </c>
      <c r="AB25" s="582"/>
      <c r="AC25" s="449">
        <f>((AA25/19.32)*10)</f>
        <v>0.32996894409937888</v>
      </c>
      <c r="AD25" s="450"/>
      <c r="AE25" s="581">
        <v>0.47899999999999998</v>
      </c>
      <c r="AF25" s="582"/>
      <c r="AG25" s="114">
        <f>((AE25/19.32)*10)</f>
        <v>0.24792960662525876</v>
      </c>
      <c r="AH25" s="104"/>
      <c r="AI25" s="42">
        <f t="shared" si="0"/>
        <v>0.96899999999999997</v>
      </c>
      <c r="AJ25" s="42">
        <f t="shared" si="1"/>
        <v>0.63749999999999996</v>
      </c>
      <c r="AK25" s="42">
        <f t="shared" si="2"/>
        <v>0.47812499999999997</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1.095</v>
      </c>
      <c r="X26" s="779"/>
      <c r="Y26" s="461">
        <f>((W26/19.32)*10)</f>
        <v>0.56677018633540366</v>
      </c>
      <c r="Z26" s="462"/>
      <c r="AA26" s="746">
        <f>AJ26</f>
        <v>0.7203947368421052</v>
      </c>
      <c r="AB26" s="747"/>
      <c r="AC26" s="461">
        <f>((AA26/19.32)*10)</f>
        <v>0.37287512258908134</v>
      </c>
      <c r="AD26" s="462"/>
      <c r="AE26" s="746">
        <f>AK26</f>
        <v>0.54029605263157887</v>
      </c>
      <c r="AF26" s="747"/>
      <c r="AG26" s="469">
        <f>((AE26/19.32)*10)</f>
        <v>0.27965634194181099</v>
      </c>
      <c r="AH26" s="104"/>
      <c r="AI26" s="42">
        <f t="shared" si="0"/>
        <v>1.095</v>
      </c>
      <c r="AJ26" s="42">
        <f t="shared" si="1"/>
        <v>0.7203947368421052</v>
      </c>
      <c r="AK26" s="42">
        <f t="shared" si="2"/>
        <v>0.54029605263157887</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2088.6482288398852</v>
      </c>
      <c r="S27" s="153">
        <f>(PI()*((S25^2)/4)*S24)</f>
        <v>2082.2574282763576</v>
      </c>
      <c r="T27" s="174"/>
      <c r="U27" s="600"/>
      <c r="V27" s="601"/>
      <c r="W27" s="780"/>
      <c r="X27" s="781"/>
      <c r="Y27" s="463"/>
      <c r="Z27" s="464"/>
      <c r="AA27" s="748"/>
      <c r="AB27" s="749"/>
      <c r="AC27" s="463"/>
      <c r="AD27" s="464"/>
      <c r="AE27" s="748"/>
      <c r="AF27" s="749"/>
      <c r="AG27" s="470"/>
      <c r="AH27" s="193"/>
      <c r="AI27" s="42">
        <f t="shared" si="0"/>
        <v>1.2190000000000001</v>
      </c>
      <c r="AJ27" s="42">
        <f t="shared" si="1"/>
        <v>0.80197368421052639</v>
      </c>
      <c r="AK27" s="42">
        <f t="shared" si="2"/>
        <v>0.60148026315789482</v>
      </c>
      <c r="AO27" s="42">
        <v>2.387</v>
      </c>
      <c r="AS27" s="42">
        <f t="shared" si="3"/>
        <v>1.9406504065040651</v>
      </c>
    </row>
    <row r="28" spans="1:45" ht="24.95" customHeight="1" thickBot="1" x14ac:dyDescent="0.3">
      <c r="A28" s="103"/>
      <c r="B28" s="560" t="s">
        <v>9</v>
      </c>
      <c r="C28" s="561"/>
      <c r="D28" s="561"/>
      <c r="E28" s="148">
        <v>329</v>
      </c>
      <c r="F28" s="148">
        <v>629</v>
      </c>
      <c r="G28" s="148">
        <v>716</v>
      </c>
      <c r="H28" s="149">
        <v>719</v>
      </c>
      <c r="I28" s="174"/>
      <c r="J28" s="597" t="s">
        <v>107</v>
      </c>
      <c r="K28" s="597"/>
      <c r="L28" s="562" t="s">
        <v>119</v>
      </c>
      <c r="M28" s="459">
        <f>IF(M26="","",(100-M26))</f>
        <v>100</v>
      </c>
      <c r="N28" s="103"/>
      <c r="O28" s="625" t="s">
        <v>136</v>
      </c>
      <c r="P28" s="626"/>
      <c r="Q28" s="220">
        <f>Q22-Q23</f>
        <v>3768</v>
      </c>
      <c r="R28" s="220">
        <f>R22-R23</f>
        <v>3562</v>
      </c>
      <c r="S28" s="221">
        <f>S22-S23</f>
        <v>3425</v>
      </c>
      <c r="T28" s="174"/>
      <c r="U28" s="627">
        <v>0.125</v>
      </c>
      <c r="V28" s="624">
        <f>U28*25.4</f>
        <v>3.1749999999999998</v>
      </c>
      <c r="W28" s="593">
        <f>AI27</f>
        <v>1.2190000000000001</v>
      </c>
      <c r="X28" s="594"/>
      <c r="Y28" s="439">
        <f>((W28/19.32)*10)</f>
        <v>0.63095238095238093</v>
      </c>
      <c r="Z28" s="440"/>
      <c r="AA28" s="593">
        <f>AJ27</f>
        <v>0.80197368421052639</v>
      </c>
      <c r="AB28" s="594"/>
      <c r="AC28" s="439">
        <f>((AA28/19.32)*10)</f>
        <v>0.41510025062656641</v>
      </c>
      <c r="AD28" s="440"/>
      <c r="AE28" s="593">
        <f>AK27</f>
        <v>0.60148026315789482</v>
      </c>
      <c r="AF28" s="594"/>
      <c r="AG28" s="443">
        <f>((AE28/19.32)*10)</f>
        <v>0.31132518796992481</v>
      </c>
      <c r="AH28" s="104"/>
      <c r="AI28" s="42">
        <f t="shared" si="0"/>
        <v>1.3140000000000001</v>
      </c>
      <c r="AJ28" s="42">
        <f t="shared" si="1"/>
        <v>0.86447368421052639</v>
      </c>
      <c r="AK28" s="42">
        <f t="shared" si="2"/>
        <v>0.64835526315789482</v>
      </c>
      <c r="AO28" s="42">
        <v>2.8959999999999999</v>
      </c>
      <c r="AS28" s="42">
        <f t="shared" si="3"/>
        <v>2.3544715447154472</v>
      </c>
    </row>
    <row r="29" spans="1:45" ht="5.0999999999999996" customHeight="1" thickBot="1" x14ac:dyDescent="0.3">
      <c r="A29" s="103"/>
      <c r="B29" s="612" t="s">
        <v>73</v>
      </c>
      <c r="C29" s="613"/>
      <c r="D29" s="614"/>
      <c r="E29" s="618">
        <v>644</v>
      </c>
      <c r="F29" s="618">
        <v>705.25</v>
      </c>
      <c r="G29" s="618">
        <v>632.66999999999996</v>
      </c>
      <c r="H29" s="620">
        <v>842.62</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1.3959999999999999</v>
      </c>
      <c r="AJ29" s="42">
        <f t="shared" si="1"/>
        <v>0.91842105263157892</v>
      </c>
      <c r="AK29" s="42">
        <f t="shared" si="2"/>
        <v>0.68881578947368416</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13.928913932926823</v>
      </c>
      <c r="N30" s="103"/>
      <c r="O30" s="622" t="s">
        <v>134</v>
      </c>
      <c r="P30" s="623"/>
      <c r="Q30" s="229">
        <f>Q28/Q27</f>
        <v>1.7900940442325608</v>
      </c>
      <c r="R30" s="229">
        <f>R28/R27</f>
        <v>1.7054092454709191</v>
      </c>
      <c r="S30" s="131">
        <f>S28/S27</f>
        <v>1.644849456887342</v>
      </c>
      <c r="T30" s="174"/>
      <c r="U30" s="120">
        <v>0.15</v>
      </c>
      <c r="V30" s="113">
        <f>U30*25.4</f>
        <v>3.8099999999999996</v>
      </c>
      <c r="W30" s="581">
        <f>AI28</f>
        <v>1.3140000000000001</v>
      </c>
      <c r="X30" s="582"/>
      <c r="Y30" s="449">
        <f>((W30/19.32)*10)</f>
        <v>0.68012422360248448</v>
      </c>
      <c r="Z30" s="450"/>
      <c r="AA30" s="581">
        <f>AJ28</f>
        <v>0.86447368421052639</v>
      </c>
      <c r="AB30" s="582"/>
      <c r="AC30" s="449">
        <f>((AA30/19.32)*10)</f>
        <v>0.44745014710689768</v>
      </c>
      <c r="AD30" s="450"/>
      <c r="AE30" s="581">
        <f>AK28</f>
        <v>0.64835526315789482</v>
      </c>
      <c r="AF30" s="582"/>
      <c r="AG30" s="114">
        <f>((AE30/19.32)*10)</f>
        <v>0.33558761033017331</v>
      </c>
      <c r="AH30" s="104"/>
      <c r="AI30" s="42">
        <f t="shared" si="0"/>
        <v>1.474</v>
      </c>
      <c r="AJ30" s="42">
        <f t="shared" si="1"/>
        <v>0.96973684210526312</v>
      </c>
      <c r="AK30" s="42">
        <f t="shared" si="2"/>
        <v>0.72730263157894737</v>
      </c>
      <c r="AO30" s="42">
        <v>3.8439999999999999</v>
      </c>
      <c r="AS30" s="42">
        <f t="shared" si="3"/>
        <v>3.1252032520325201</v>
      </c>
    </row>
    <row r="31" spans="1:45" ht="24.95" customHeight="1" thickBot="1" x14ac:dyDescent="0.3">
      <c r="A31" s="103"/>
      <c r="B31" s="576" t="s">
        <v>74</v>
      </c>
      <c r="C31" s="577"/>
      <c r="D31" s="577"/>
      <c r="E31" s="152">
        <v>545.76</v>
      </c>
      <c r="F31" s="152">
        <v>569.41999999999996</v>
      </c>
      <c r="G31" s="152">
        <v>501.97</v>
      </c>
      <c r="H31" s="153">
        <v>651.64</v>
      </c>
      <c r="I31" s="174"/>
      <c r="J31" s="597" t="s">
        <v>138</v>
      </c>
      <c r="K31" s="597"/>
      <c r="L31" s="562" t="s">
        <v>116</v>
      </c>
      <c r="M31" s="457">
        <f>IF(M25="","",S82)</f>
        <v>2.7120000000000002</v>
      </c>
      <c r="N31" s="121"/>
      <c r="O31" s="628" t="s">
        <v>135</v>
      </c>
      <c r="P31" s="629"/>
      <c r="Q31" s="122">
        <f>Q30/(1+Q40/100)</f>
        <v>1.3996114250280576</v>
      </c>
      <c r="R31" s="122">
        <f>R30/(1+R40/100)</f>
        <v>1.3340211522365457</v>
      </c>
      <c r="S31" s="123">
        <f>S30/(1+S40/100)</f>
        <v>1.2905986601197321</v>
      </c>
      <c r="T31" s="174"/>
      <c r="U31" s="627">
        <v>0.17499999999999999</v>
      </c>
      <c r="V31" s="624">
        <f>U31*25.4</f>
        <v>4.4449999999999994</v>
      </c>
      <c r="W31" s="593">
        <f>AI29</f>
        <v>1.3959999999999999</v>
      </c>
      <c r="X31" s="594"/>
      <c r="Y31" s="439">
        <f>((W31/19.32)*10)</f>
        <v>0.72256728778467905</v>
      </c>
      <c r="Z31" s="440"/>
      <c r="AA31" s="593">
        <f>AJ29</f>
        <v>0.91842105263157892</v>
      </c>
      <c r="AB31" s="594"/>
      <c r="AC31" s="439">
        <f>((AA31/19.32)*10)</f>
        <v>0.47537321564781515</v>
      </c>
      <c r="AD31" s="440"/>
      <c r="AE31" s="593">
        <f>AK29</f>
        <v>0.68881578947368416</v>
      </c>
      <c r="AF31" s="594"/>
      <c r="AG31" s="443">
        <f>((AE31/19.32)*10)</f>
        <v>0.35652991173586135</v>
      </c>
      <c r="AH31" s="104"/>
      <c r="AI31" s="42">
        <f t="shared" si="0"/>
        <v>1.86</v>
      </c>
      <c r="AJ31" s="42">
        <f t="shared" si="1"/>
        <v>1.2236842105263159</v>
      </c>
      <c r="AK31" s="42">
        <f t="shared" si="2"/>
        <v>0.91776315789473695</v>
      </c>
      <c r="AO31" s="42">
        <v>5.516</v>
      </c>
      <c r="AS31" s="42">
        <f t="shared" si="3"/>
        <v>4.4845528455284551</v>
      </c>
    </row>
    <row r="32" spans="1:45" ht="5.0999999999999996" customHeight="1" thickBot="1" x14ac:dyDescent="0.3">
      <c r="A32" s="103"/>
      <c r="B32" s="612" t="s">
        <v>75</v>
      </c>
      <c r="C32" s="613"/>
      <c r="D32" s="614"/>
      <c r="E32" s="618">
        <v>100.89</v>
      </c>
      <c r="F32" s="618">
        <v>37.76</v>
      </c>
      <c r="G32" s="618">
        <v>48.95</v>
      </c>
      <c r="H32" s="620">
        <v>49.05</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2.254</v>
      </c>
      <c r="AJ32" s="42">
        <f t="shared" si="1"/>
        <v>1.4828947368421053</v>
      </c>
      <c r="AK32" s="42">
        <f t="shared" si="2"/>
        <v>1.1121710526315789</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v>1.502</v>
      </c>
      <c r="X33" s="582"/>
      <c r="Y33" s="449">
        <f>((W33/19.32)*10)</f>
        <v>0.77743271221532084</v>
      </c>
      <c r="Z33" s="450"/>
      <c r="AA33" s="581">
        <v>0.98</v>
      </c>
      <c r="AB33" s="582"/>
      <c r="AC33" s="449">
        <f>((AA33/19.32)*10)</f>
        <v>0.50724637681159412</v>
      </c>
      <c r="AD33" s="450"/>
      <c r="AE33" s="581">
        <v>0.74199999999999999</v>
      </c>
      <c r="AF33" s="582"/>
      <c r="AG33" s="144">
        <f>((AE33/19.32)*10)</f>
        <v>0.38405797101449268</v>
      </c>
      <c r="AH33" s="104"/>
      <c r="AI33" s="42">
        <f t="shared" si="0"/>
        <v>2.661</v>
      </c>
      <c r="AJ33" s="42">
        <f t="shared" si="1"/>
        <v>1.7506578947368421</v>
      </c>
      <c r="AK33" s="42">
        <f t="shared" si="2"/>
        <v>1.3129934210526315</v>
      </c>
      <c r="AO33" s="42">
        <v>7.7720000000000002</v>
      </c>
      <c r="AS33" s="42">
        <f t="shared" si="3"/>
        <v>6.3186991869918705</v>
      </c>
    </row>
    <row r="34" spans="1:45" ht="24.95" customHeight="1" thickBot="1" x14ac:dyDescent="0.3">
      <c r="A34" s="103"/>
      <c r="B34" s="602" t="s">
        <v>10</v>
      </c>
      <c r="C34" s="603"/>
      <c r="D34" s="603"/>
      <c r="E34" s="125">
        <f>((E29-E31)/(E31-E32))*100</f>
        <v>22.082855665700095</v>
      </c>
      <c r="F34" s="125">
        <f>((F29-F31)/(F31-F32))*100</f>
        <v>25.548282737087625</v>
      </c>
      <c r="G34" s="125">
        <f>((G29-G31)/(G31-G32))*100</f>
        <v>28.850823363206906</v>
      </c>
      <c r="H34" s="126">
        <f>((H29-H31)/(H31-H32))*100</f>
        <v>31.693191058597058</v>
      </c>
      <c r="I34" s="174"/>
      <c r="J34" s="630" t="s">
        <v>125</v>
      </c>
      <c r="K34" s="630"/>
      <c r="L34" s="184" t="s">
        <v>126</v>
      </c>
      <c r="M34" s="245">
        <v>2.71</v>
      </c>
      <c r="N34" s="128"/>
      <c r="O34" s="631" t="s">
        <v>9</v>
      </c>
      <c r="P34" s="632"/>
      <c r="Q34" s="156">
        <v>382</v>
      </c>
      <c r="R34" s="156">
        <v>626</v>
      </c>
      <c r="S34" s="157">
        <v>651</v>
      </c>
      <c r="T34" s="174"/>
      <c r="U34" s="120">
        <v>0.3</v>
      </c>
      <c r="V34" s="113">
        <f>U34*25.4</f>
        <v>7.6199999999999992</v>
      </c>
      <c r="W34" s="581">
        <f>AI31</f>
        <v>1.86</v>
      </c>
      <c r="X34" s="582"/>
      <c r="Y34" s="449">
        <f>((W34/19.32)*10)</f>
        <v>0.96273291925465843</v>
      </c>
      <c r="Z34" s="450"/>
      <c r="AA34" s="449">
        <v>1.226</v>
      </c>
      <c r="AB34" s="450"/>
      <c r="AC34" s="449">
        <f>((AA34/19.32)*10)</f>
        <v>0.63457556935817794</v>
      </c>
      <c r="AD34" s="450"/>
      <c r="AE34" s="581">
        <v>0.89700000000000002</v>
      </c>
      <c r="AF34" s="582"/>
      <c r="AG34" s="114">
        <f>((AE34/19.32)*10)</f>
        <v>0.4642857142857143</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726.17</v>
      </c>
      <c r="R35" s="608">
        <v>734.79</v>
      </c>
      <c r="S35" s="610">
        <v>546.26</v>
      </c>
      <c r="T35" s="174"/>
      <c r="U35" s="627">
        <v>0.4</v>
      </c>
      <c r="V35" s="624">
        <f>U35*25.4</f>
        <v>10.16</v>
      </c>
      <c r="W35" s="593">
        <f>AI32</f>
        <v>2.254</v>
      </c>
      <c r="X35" s="594"/>
      <c r="Y35" s="439">
        <f>((W35/19.32)*10)</f>
        <v>1.1666666666666667</v>
      </c>
      <c r="Z35" s="440"/>
      <c r="AA35" s="593">
        <f>AJ32</f>
        <v>1.4828947368421053</v>
      </c>
      <c r="AB35" s="594"/>
      <c r="AC35" s="439">
        <f>(AA35/19.32)*10</f>
        <v>0.76754385964912286</v>
      </c>
      <c r="AD35" s="440"/>
      <c r="AE35" s="593">
        <v>1.0029999999999999</v>
      </c>
      <c r="AF35" s="594"/>
      <c r="AG35" s="443">
        <f>((AE35/19.32)*10)</f>
        <v>0.51915113871635599</v>
      </c>
      <c r="AH35" s="104"/>
      <c r="AS35" s="42">
        <f t="shared" si="3"/>
        <v>0</v>
      </c>
    </row>
    <row r="36" spans="1:45" ht="20.100000000000001" customHeight="1" thickBot="1" x14ac:dyDescent="0.3">
      <c r="A36" s="103"/>
      <c r="B36" s="639" t="s">
        <v>71</v>
      </c>
      <c r="C36" s="640"/>
      <c r="D36" s="640"/>
      <c r="E36" s="130">
        <f>E25/E24</f>
        <v>1.6229050279329609</v>
      </c>
      <c r="F36" s="130">
        <f>F25/F24</f>
        <v>1.7490689013035381</v>
      </c>
      <c r="G36" s="130">
        <f>G25/G24</f>
        <v>1.8123836126629422</v>
      </c>
      <c r="H36" s="131">
        <f>H25/H24</f>
        <v>1.7146182495344506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1.3293472036540228</v>
      </c>
      <c r="F37" s="230">
        <f>F36/(1+F34/100)</f>
        <v>1.3931444247360094</v>
      </c>
      <c r="G37" s="230">
        <f>G36/(1+G34/100)</f>
        <v>1.4065751117120644</v>
      </c>
      <c r="H37" s="123">
        <f>H36/(1+H34/100)</f>
        <v>1.3019794233488724</v>
      </c>
      <c r="I37" s="174"/>
      <c r="J37" s="641" t="s">
        <v>139</v>
      </c>
      <c r="K37" s="641"/>
      <c r="L37" s="643" t="s">
        <v>121</v>
      </c>
      <c r="M37" s="433">
        <f>IF(F74="","",(M42^2*F74+M42*F75+F76))</f>
        <v>1.4198689024390236</v>
      </c>
      <c r="N37" s="101"/>
      <c r="O37" s="576" t="s">
        <v>28</v>
      </c>
      <c r="P37" s="577"/>
      <c r="Q37" s="150">
        <v>589.89</v>
      </c>
      <c r="R37" s="152">
        <v>582.54</v>
      </c>
      <c r="S37" s="153">
        <v>437.13</v>
      </c>
      <c r="T37" s="174"/>
      <c r="U37" s="132">
        <v>0.5</v>
      </c>
      <c r="V37" s="133">
        <f>U37*25.4</f>
        <v>12.7</v>
      </c>
      <c r="W37" s="637">
        <v>2.5470000000000002</v>
      </c>
      <c r="X37" s="638"/>
      <c r="Y37" s="431">
        <f>((W37/19.32)*10)</f>
        <v>1.3183229813664596</v>
      </c>
      <c r="Z37" s="432"/>
      <c r="AA37" s="637">
        <v>1.8089999999999999</v>
      </c>
      <c r="AB37" s="638"/>
      <c r="AC37" s="431">
        <f>((AA37/19.32)*10)</f>
        <v>0.93633540372670798</v>
      </c>
      <c r="AD37" s="432"/>
      <c r="AE37" s="637">
        <v>1.2090000000000001</v>
      </c>
      <c r="AF37" s="638"/>
      <c r="AG37" s="134">
        <f>((AE37/19.32)*10)</f>
        <v>0.62577639751552794</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101.42</v>
      </c>
      <c r="R38" s="647">
        <v>35.659999999999997</v>
      </c>
      <c r="S38" s="648">
        <v>39.549999999999997</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13.928913932926823</v>
      </c>
      <c r="N40" s="103"/>
      <c r="O40" s="628" t="s">
        <v>10</v>
      </c>
      <c r="P40" s="629"/>
      <c r="Q40" s="125">
        <f>((Q35-Q37)/(Q37-Q38))*100</f>
        <v>27.899359223698482</v>
      </c>
      <c r="R40" s="125">
        <f>((R35-R37)/(R37-R38))*100</f>
        <v>27.839745465184318</v>
      </c>
      <c r="S40" s="126">
        <f>((S35-S37)/(S37-S38))*100</f>
        <v>27.448563811056893</v>
      </c>
      <c r="T40" s="174"/>
      <c r="U40" s="645" t="s">
        <v>151</v>
      </c>
      <c r="V40" s="646"/>
      <c r="W40" s="423">
        <f>(AM79/6.9)*100</f>
        <v>8.214060671527589</v>
      </c>
      <c r="X40" s="423"/>
      <c r="Y40" s="423"/>
      <c r="Z40" s="424"/>
      <c r="AA40" s="425">
        <f>(AO79/6.9)*100</f>
        <v>5.4039872838997294</v>
      </c>
      <c r="AB40" s="426"/>
      <c r="AC40" s="427"/>
      <c r="AD40" s="425">
        <f>(AQ79/6.9)*100</f>
        <v>4.0529904629247966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7.5478904098574828</v>
      </c>
      <c r="X41" s="418"/>
      <c r="Y41" s="418"/>
      <c r="Z41" s="419"/>
      <c r="AA41" s="420">
        <f>(AO83/10.3)*100</f>
        <v>4.924722104966933</v>
      </c>
      <c r="AB41" s="421"/>
      <c r="AC41" s="418"/>
      <c r="AD41" s="420">
        <f>(AQ83/10.3)*100</f>
        <v>3.7287181651892496</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26.743902439024389</v>
      </c>
      <c r="N42" s="103"/>
      <c r="O42" s="639" t="s">
        <v>9</v>
      </c>
      <c r="P42" s="640"/>
      <c r="Q42" s="148">
        <v>207</v>
      </c>
      <c r="R42" s="148">
        <v>620</v>
      </c>
      <c r="S42" s="149">
        <v>618</v>
      </c>
      <c r="T42" s="174"/>
      <c r="U42" s="651" t="s">
        <v>42</v>
      </c>
      <c r="V42" s="652"/>
      <c r="W42" s="413">
        <f>IF(W40&lt;W41,W40,W41)</f>
        <v>7.5478904098574828</v>
      </c>
      <c r="X42" s="414"/>
      <c r="Y42" s="414"/>
      <c r="Z42" s="415"/>
      <c r="AA42" s="416">
        <f>IF(AA40&lt;AA41,AA40,AA41)</f>
        <v>4.924722104966933</v>
      </c>
      <c r="AB42" s="414"/>
      <c r="AC42" s="415"/>
      <c r="AD42" s="416">
        <f>IF(AD40&lt;AD41,AD40,AD41)</f>
        <v>3.7287181651892496</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18">
        <v>389.47</v>
      </c>
      <c r="R43" s="608">
        <v>732.07</v>
      </c>
      <c r="S43" s="610">
        <v>642.47</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309.61</v>
      </c>
      <c r="R45" s="150">
        <v>554.32000000000005</v>
      </c>
      <c r="S45" s="151">
        <v>479.24</v>
      </c>
      <c r="T45" s="174"/>
      <c r="U45" s="656" t="s">
        <v>139</v>
      </c>
      <c r="V45" s="656"/>
      <c r="W45" s="179" t="s">
        <v>121</v>
      </c>
      <c r="X45" s="406">
        <f>MAX(M37:M39)</f>
        <v>1.4198689024390236</v>
      </c>
      <c r="Y45" s="406"/>
      <c r="Z45" s="406"/>
      <c r="AA45" s="174"/>
      <c r="AB45" s="657" t="s">
        <v>31</v>
      </c>
      <c r="AC45" s="658"/>
      <c r="AD45" s="658"/>
      <c r="AE45" s="658"/>
      <c r="AF45" s="231">
        <v>5.7500000000000002E-2</v>
      </c>
      <c r="AG45" s="231">
        <v>0.18959999999999999</v>
      </c>
      <c r="AH45" s="233">
        <v>0.2036</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63.23</v>
      </c>
      <c r="R46" s="152">
        <v>34.44</v>
      </c>
      <c r="S46" s="153">
        <v>46.85</v>
      </c>
      <c r="T46" s="174"/>
      <c r="U46" s="555" t="s">
        <v>123</v>
      </c>
      <c r="V46" s="555"/>
      <c r="W46" s="179" t="s">
        <v>41</v>
      </c>
      <c r="X46" s="401">
        <f>MIN(M42:M44)</f>
        <v>26.743902439024389</v>
      </c>
      <c r="Y46" s="401"/>
      <c r="Z46" s="401"/>
      <c r="AA46" s="174"/>
      <c r="AB46" s="660" t="s">
        <v>32</v>
      </c>
      <c r="AC46" s="661"/>
      <c r="AD46" s="661"/>
      <c r="AE46" s="661"/>
      <c r="AF46" s="234">
        <v>0.27150000000000002</v>
      </c>
      <c r="AG46" s="234">
        <v>0.32969999999999999</v>
      </c>
      <c r="AH46" s="235">
        <v>0.31979999999999997</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32.413345239061613</v>
      </c>
      <c r="R47" s="125">
        <f>((R43-R45)/(R45-R46))*100</f>
        <v>34.19058244210202</v>
      </c>
      <c r="S47" s="126">
        <f>((S43-S45)/(S45-S46))*100</f>
        <v>37.750641781724838</v>
      </c>
      <c r="T47" s="174"/>
      <c r="U47" s="555" t="s">
        <v>162</v>
      </c>
      <c r="V47" s="555"/>
      <c r="W47" s="179" t="s">
        <v>41</v>
      </c>
      <c r="X47" s="402">
        <f>IF(L25=D103,"-",IF(L25=D102,"-",IF(L25=D101,M25)))</f>
        <v>0</v>
      </c>
      <c r="Y47" s="402"/>
      <c r="Z47" s="402"/>
      <c r="AA47" s="174"/>
      <c r="AB47" s="662" t="s">
        <v>33</v>
      </c>
      <c r="AC47" s="663"/>
      <c r="AD47" s="663"/>
      <c r="AE47" s="663"/>
      <c r="AF47" s="232">
        <f>(AF46-AF45)*2.54</f>
        <v>0.54356000000000004</v>
      </c>
      <c r="AG47" s="232">
        <f>(AG46-AG45)*2.54</f>
        <v>0.355854</v>
      </c>
      <c r="AH47" s="239">
        <f>(AH46-AH45)*2.54</f>
        <v>0.29514799999999991</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4.6858620689655179</v>
      </c>
      <c r="AG48" s="142">
        <f>IF(AG47&lt;&gt;"",IF(R24&lt;&gt;"",AG47/R24*100,""),"")</f>
        <v>3.1078951965065502</v>
      </c>
      <c r="AH48" s="173">
        <f>IF(AH47&lt;&gt;"",IF(S24&lt;&gt;"",AH47/S24*100,""),"")</f>
        <v>2.5890175438596486</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7.5999999999999998E-2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0.39200000000000002</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0.74099999999999999</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0.96899999999999997</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1.095</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1.2190000000000001</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1.3140000000000001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1.3959999999999999</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1.474</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1.86</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2.254</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2.661</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-4.1000000000000003E-3</v>
      </c>
      <c r="G74" s="75">
        <v>-0.12509999999999999</v>
      </c>
      <c r="J74" s="701"/>
      <c r="K74" s="702"/>
      <c r="L74" s="44"/>
      <c r="M74" s="44"/>
      <c r="N74" s="44"/>
    </row>
    <row r="75" spans="1:94" ht="26.25" customHeight="1" thickBot="1" x14ac:dyDescent="0.3">
      <c r="A75" s="11"/>
      <c r="B75" s="377" t="s">
        <v>113</v>
      </c>
      <c r="C75" s="377"/>
      <c r="D75" s="19"/>
      <c r="E75" s="54" t="s">
        <v>12</v>
      </c>
      <c r="F75" s="55">
        <v>0.21929999999999999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-1.5125999999999999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0.38400000000000001</v>
      </c>
      <c r="AM76" s="3">
        <f t="shared" si="4"/>
        <v>0.19875776397515529</v>
      </c>
      <c r="AN76" s="5">
        <f>AA23</f>
        <v>0.249</v>
      </c>
      <c r="AO76" s="3">
        <f t="shared" ref="AO76:AO86" si="7">((AN76/19.32)*10)</f>
        <v>0.12888198757763975</v>
      </c>
      <c r="AP76" s="5">
        <f>AE23</f>
        <v>8.6999999999999994E-2</v>
      </c>
      <c r="AQ76" s="161">
        <f t="shared" si="5"/>
        <v>4.5031055900621113E-2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0.74099999999999999</v>
      </c>
      <c r="AM77" s="3">
        <f t="shared" si="4"/>
        <v>0.38354037267080748</v>
      </c>
      <c r="AN77" s="5">
        <f>AA24</f>
        <v>0.504</v>
      </c>
      <c r="AO77" s="3">
        <f t="shared" si="7"/>
        <v>0.2608695652173913</v>
      </c>
      <c r="AP77" s="5">
        <f>AE24</f>
        <v>0.308</v>
      </c>
      <c r="AQ77" s="161">
        <f t="shared" si="5"/>
        <v>0.15942028985507245</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0.96899999999999997</v>
      </c>
      <c r="AM78" s="3">
        <f t="shared" si="4"/>
        <v>0.50155279503105588</v>
      </c>
      <c r="AN78" s="5">
        <f>AA25</f>
        <v>0.63749999999999996</v>
      </c>
      <c r="AO78" s="3">
        <f t="shared" si="7"/>
        <v>0.32996894409937888</v>
      </c>
      <c r="AP78" s="5">
        <f>AE25</f>
        <v>0.47899999999999998</v>
      </c>
      <c r="AQ78" s="161">
        <f t="shared" si="5"/>
        <v>0.24792960662525876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1.095</v>
      </c>
      <c r="AM79" s="4">
        <f t="shared" si="4"/>
        <v>0.56677018633540366</v>
      </c>
      <c r="AN79" s="5">
        <f>AA26</f>
        <v>0.7203947368421052</v>
      </c>
      <c r="AO79" s="4">
        <f t="shared" si="7"/>
        <v>0.37287512258908134</v>
      </c>
      <c r="AP79" s="5">
        <f>AE26</f>
        <v>0.54029605263157887</v>
      </c>
      <c r="AQ79" s="162">
        <f t="shared" si="5"/>
        <v>0.27965634194181099</v>
      </c>
      <c r="BB79" s="12">
        <v>17</v>
      </c>
      <c r="BC79" s="12">
        <v>18</v>
      </c>
    </row>
    <row r="80" spans="1:94" ht="42" customHeight="1" thickTop="1" thickBot="1" x14ac:dyDescent="0.3">
      <c r="D80" s="49"/>
      <c r="H80" s="711" t="s">
        <v>105</v>
      </c>
      <c r="I80" s="712"/>
      <c r="J80" s="58"/>
      <c r="AJ80" s="160">
        <f>U28</f>
        <v>0.125</v>
      </c>
      <c r="AK80" s="3">
        <f t="shared" si="6"/>
        <v>3.1749999999999998</v>
      </c>
      <c r="AL80" s="5">
        <f>W28</f>
        <v>1.2190000000000001</v>
      </c>
      <c r="AM80" s="3">
        <f t="shared" si="4"/>
        <v>0.63095238095238093</v>
      </c>
      <c r="AN80" s="5">
        <f>AA28</f>
        <v>0.80197368421052639</v>
      </c>
      <c r="AO80" s="3">
        <f t="shared" si="7"/>
        <v>0.41510025062656641</v>
      </c>
      <c r="AP80" s="5">
        <f>AE28</f>
        <v>0.60148026315789482</v>
      </c>
      <c r="AQ80" s="161">
        <f t="shared" si="5"/>
        <v>0.31132518796992481</v>
      </c>
      <c r="BC80" s="45">
        <v>0.99880400000000003</v>
      </c>
      <c r="BD80" s="45">
        <v>0.99862499999999998</v>
      </c>
    </row>
    <row r="81" spans="2:43" ht="15.75" customHeight="1" x14ac:dyDescent="0.25">
      <c r="AJ81" s="160">
        <f>U30</f>
        <v>0.15</v>
      </c>
      <c r="AK81" s="3">
        <f t="shared" si="6"/>
        <v>3.8099999999999996</v>
      </c>
      <c r="AL81" s="5">
        <f>W30</f>
        <v>1.3140000000000001</v>
      </c>
      <c r="AM81" s="3">
        <f t="shared" si="4"/>
        <v>0.68012422360248448</v>
      </c>
      <c r="AN81" s="5">
        <f>AA30</f>
        <v>0.86447368421052639</v>
      </c>
      <c r="AO81" s="3">
        <f t="shared" si="7"/>
        <v>0.44745014710689768</v>
      </c>
      <c r="AP81" s="5">
        <f>AE30</f>
        <v>0.64835526315789482</v>
      </c>
      <c r="AQ81" s="161">
        <f t="shared" si="5"/>
        <v>0.33558761033017331</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1.3959999999999999</v>
      </c>
      <c r="AM82" s="3">
        <f t="shared" si="4"/>
        <v>0.72256728778467905</v>
      </c>
      <c r="AN82" s="5">
        <f>AA31</f>
        <v>0.91842105263157892</v>
      </c>
      <c r="AO82" s="3">
        <f t="shared" si="7"/>
        <v>0.47537321564781515</v>
      </c>
      <c r="AP82" s="5">
        <f>AE31</f>
        <v>0.68881578947368416</v>
      </c>
      <c r="AQ82" s="161">
        <f t="shared" si="5"/>
        <v>0.35652991173586135</v>
      </c>
    </row>
    <row r="83" spans="2:43" ht="15" customHeight="1" x14ac:dyDescent="0.25">
      <c r="B83" s="49"/>
      <c r="C83" s="49"/>
      <c r="D83" s="49">
        <v>0</v>
      </c>
      <c r="E83" s="50">
        <f>M42</f>
        <v>26.743902439024389</v>
      </c>
      <c r="F83" s="49"/>
      <c r="G83" s="43">
        <f>G84/10</f>
        <v>1.6631847537984794</v>
      </c>
      <c r="H83" s="43">
        <f>H84/10</f>
        <v>1.5708905999637899</v>
      </c>
      <c r="I83" s="43">
        <f>I84/10</f>
        <v>1.4919881521325744</v>
      </c>
      <c r="J83" s="43">
        <f>J84/10</f>
        <v>1.4301634134592123</v>
      </c>
      <c r="K83" s="43"/>
      <c r="L83" s="42">
        <v>0</v>
      </c>
      <c r="O83" s="706"/>
      <c r="P83" s="706"/>
      <c r="Q83" s="706"/>
      <c r="R83" s="706"/>
      <c r="S83" s="707"/>
      <c r="W83" s="112"/>
      <c r="AJ83" s="160">
        <f>U33</f>
        <v>0.2</v>
      </c>
      <c r="AK83" s="4">
        <f t="shared" si="6"/>
        <v>5.08</v>
      </c>
      <c r="AL83" s="5">
        <f>W33</f>
        <v>1.502</v>
      </c>
      <c r="AM83" s="4">
        <f t="shared" si="4"/>
        <v>0.77743271221532084</v>
      </c>
      <c r="AN83" s="5">
        <f>AA33</f>
        <v>0.98</v>
      </c>
      <c r="AO83" s="4">
        <f t="shared" si="7"/>
        <v>0.50724637681159412</v>
      </c>
      <c r="AP83" s="5">
        <f>AE33</f>
        <v>0.74199999999999999</v>
      </c>
      <c r="AQ83" s="162">
        <f t="shared" si="5"/>
        <v>0.38405797101449268</v>
      </c>
    </row>
    <row r="84" spans="2:43" ht="15" customHeight="1" x14ac:dyDescent="0.25">
      <c r="C84" s="94"/>
      <c r="D84" s="94"/>
      <c r="E84" s="94"/>
      <c r="F84" s="49"/>
      <c r="G84" s="43">
        <f>($M$34/(1+(E34*$M$34/100)))*($O$73)</f>
        <v>16.631847537984793</v>
      </c>
      <c r="H84" s="43">
        <f>($M$34/(1+(F34*$M$34/100)))*($O$73)</f>
        <v>15.708905999637899</v>
      </c>
      <c r="I84" s="43">
        <f>($M$34/(1+(G34*$M$34/100)))*($O$73)</f>
        <v>14.919881521325744</v>
      </c>
      <c r="J84" s="43">
        <f>($M$34/(1+(H34*$M$34/100)))*($O$73)</f>
        <v>14.301634134592122</v>
      </c>
      <c r="K84" s="43"/>
      <c r="O84" s="706" t="s">
        <v>146</v>
      </c>
      <c r="P84" s="706"/>
      <c r="Q84" s="706"/>
      <c r="R84" s="706"/>
      <c r="S84" s="707">
        <v>2240</v>
      </c>
      <c r="W84" s="112"/>
      <c r="AJ84" s="160">
        <f>U34</f>
        <v>0.3</v>
      </c>
      <c r="AK84" s="3">
        <f t="shared" si="6"/>
        <v>7.6199999999999992</v>
      </c>
      <c r="AL84" s="5">
        <f>W34</f>
        <v>1.86</v>
      </c>
      <c r="AM84" s="3">
        <f t="shared" si="4"/>
        <v>0.96273291925465843</v>
      </c>
      <c r="AN84" s="5">
        <f>AA34</f>
        <v>1.226</v>
      </c>
      <c r="AO84" s="3">
        <f t="shared" si="7"/>
        <v>0.63457556935817794</v>
      </c>
      <c r="AP84" s="5">
        <f>AE34</f>
        <v>0.89700000000000002</v>
      </c>
      <c r="AQ84" s="161">
        <f t="shared" si="5"/>
        <v>0.4642857142857143</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2.254</v>
      </c>
      <c r="AM85" s="3">
        <f t="shared" si="4"/>
        <v>1.1666666666666667</v>
      </c>
      <c r="AN85" s="5">
        <f>AA35</f>
        <v>1.4828947368421053</v>
      </c>
      <c r="AO85" s="3">
        <f t="shared" si="7"/>
        <v>0.76754385964912286</v>
      </c>
      <c r="AP85" s="5">
        <f>AE35</f>
        <v>1.0029999999999999</v>
      </c>
      <c r="AQ85" s="161">
        <f>((AP85/19.32)*10)</f>
        <v>0.51915113871635599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2.5470000000000002</v>
      </c>
      <c r="AM86" s="164">
        <f t="shared" si="4"/>
        <v>1.3183229813664596</v>
      </c>
      <c r="AN86" s="165">
        <f>AA37</f>
        <v>1.8089999999999999</v>
      </c>
      <c r="AO86" s="164">
        <f t="shared" si="7"/>
        <v>0.93633540372670798</v>
      </c>
      <c r="AP86" s="165">
        <f>AE37</f>
        <v>1.2090000000000001</v>
      </c>
      <c r="AQ86" s="166">
        <f>((AP86/19.32)*10)</f>
        <v>0.62577639751552794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1.3996114250280576</v>
      </c>
      <c r="AK91" s="9">
        <f>R31</f>
        <v>1.3340211522365457</v>
      </c>
      <c r="AL91" s="10">
        <f>S31</f>
        <v>1.2905986601197321</v>
      </c>
    </row>
    <row r="92" spans="2:43" ht="21" customHeight="1" thickBot="1" x14ac:dyDescent="0.3">
      <c r="B92" s="92"/>
      <c r="C92" s="93"/>
      <c r="D92" s="93"/>
      <c r="E92" s="93"/>
      <c r="F92" s="62"/>
      <c r="G92" s="63"/>
      <c r="H92" s="49"/>
      <c r="I92" s="49"/>
      <c r="O92" s="725" t="s">
        <v>147</v>
      </c>
      <c r="P92" s="726"/>
      <c r="Q92" s="726"/>
      <c r="R92" s="726"/>
      <c r="S92" s="61">
        <f>M42</f>
        <v>26.743902439024389</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7.5478904098574828</v>
      </c>
      <c r="AK94" s="158">
        <f>AA42</f>
        <v>4.924722104966933</v>
      </c>
      <c r="AL94" s="158">
        <f>AD42</f>
        <v>3.7287181651892496</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675" priority="47">
      <formula>LEN(TRIM(D6))=0</formula>
    </cfRule>
  </conditionalFormatting>
  <conditionalFormatting sqref="D6:H10">
    <cfRule type="containsBlanks" dxfId="1674" priority="46">
      <formula>LEN(TRIM(D6))=0</formula>
    </cfRule>
  </conditionalFormatting>
  <conditionalFormatting sqref="M19">
    <cfRule type="containsBlanks" dxfId="1673" priority="45">
      <formula>LEN(TRIM(M19))=0</formula>
    </cfRule>
  </conditionalFormatting>
  <conditionalFormatting sqref="CP70">
    <cfRule type="containsBlanks" dxfId="1672" priority="44">
      <formula>LEN(TRIM(CP70))=0</formula>
    </cfRule>
  </conditionalFormatting>
  <conditionalFormatting sqref="M21">
    <cfRule type="containsBlanks" dxfId="1671" priority="43">
      <formula>LEN(TRIM(M21))=0</formula>
    </cfRule>
  </conditionalFormatting>
  <conditionalFormatting sqref="D12:M12">
    <cfRule type="containsBlanks" dxfId="1670" priority="42">
      <formula>LEN(TRIM(D12))=0</formula>
    </cfRule>
  </conditionalFormatting>
  <conditionalFormatting sqref="L9:M9">
    <cfRule type="containsBlanks" dxfId="1669" priority="41">
      <formula>LEN(TRIM(L9))=0</formula>
    </cfRule>
  </conditionalFormatting>
  <conditionalFormatting sqref="L25">
    <cfRule type="containsBlanks" dxfId="1668" priority="40">
      <formula>LEN(TRIM(L25))=0</formula>
    </cfRule>
  </conditionalFormatting>
  <conditionalFormatting sqref="Q20:S21">
    <cfRule type="containsBlanks" dxfId="1667" priority="33">
      <formula>LEN(TRIM(Q20))=0</formula>
    </cfRule>
    <cfRule type="containsBlanks" dxfId="1666" priority="39">
      <formula>LEN(TRIM(Q20))=0</formula>
    </cfRule>
  </conditionalFormatting>
  <conditionalFormatting sqref="U26:V27 AC33 AC26">
    <cfRule type="cellIs" dxfId="1665" priority="38" operator="between">
      <formula>0</formula>
      <formula>500</formula>
    </cfRule>
  </conditionalFormatting>
  <conditionalFormatting sqref="U33:V33">
    <cfRule type="cellIs" dxfId="1664" priority="37" operator="between">
      <formula>0</formula>
      <formula>500</formula>
    </cfRule>
  </conditionalFormatting>
  <conditionalFormatting sqref="AF45:AH46">
    <cfRule type="containsBlanks" dxfId="1663" priority="36">
      <formula>LEN(TRIM(AF45))=0</formula>
    </cfRule>
  </conditionalFormatting>
  <conditionalFormatting sqref="AF51:AG53">
    <cfRule type="containsBlanks" dxfId="1662" priority="35">
      <formula>LEN(TRIM(AF51))=0</formula>
    </cfRule>
  </conditionalFormatting>
  <conditionalFormatting sqref="E20:H24">
    <cfRule type="containsBlanks" dxfId="1661" priority="34">
      <formula>LEN(TRIM(E20))=0</formula>
    </cfRule>
  </conditionalFormatting>
  <conditionalFormatting sqref="M25">
    <cfRule type="containsBlanks" dxfId="1660" priority="32">
      <formula>LEN(TRIM(M25))=0</formula>
    </cfRule>
  </conditionalFormatting>
  <conditionalFormatting sqref="U26:V27 Y26:Z27 AC26:AD27 AG26:AG27">
    <cfRule type="containsBlanks" dxfId="1659" priority="30">
      <formula>LEN(TRIM(U26))=0</formula>
    </cfRule>
    <cfRule type="cellIs" dxfId="1658" priority="31" operator="between">
      <formula>0</formula>
      <formula>1000</formula>
    </cfRule>
  </conditionalFormatting>
  <conditionalFormatting sqref="W87:W88">
    <cfRule type="cellIs" dxfId="1657" priority="29" operator="between">
      <formula>0</formula>
      <formula>500</formula>
    </cfRule>
  </conditionalFormatting>
  <conditionalFormatting sqref="W94">
    <cfRule type="cellIs" dxfId="1656" priority="28" operator="between">
      <formula>0</formula>
      <formula>500</formula>
    </cfRule>
  </conditionalFormatting>
  <conditionalFormatting sqref="W87:W88">
    <cfRule type="containsBlanks" dxfId="1655" priority="26">
      <formula>LEN(TRIM(W87))=0</formula>
    </cfRule>
    <cfRule type="cellIs" dxfId="1654" priority="27" operator="between">
      <formula>0</formula>
      <formula>1000</formula>
    </cfRule>
  </conditionalFormatting>
  <conditionalFormatting sqref="U33:V33 Y33:Z33 AC33:AD33 AG33">
    <cfRule type="cellIs" dxfId="1653" priority="25" operator="between">
      <formula>0</formula>
      <formula>1000</formula>
    </cfRule>
  </conditionalFormatting>
  <conditionalFormatting sqref="Q27:S27">
    <cfRule type="containsBlanks" dxfId="1652" priority="23">
      <formula>LEN(TRIM(Q27))=0</formula>
    </cfRule>
    <cfRule type="containsBlanks" dxfId="1651" priority="24">
      <formula>LEN(TRIM(Q27))=0</formula>
    </cfRule>
  </conditionalFormatting>
  <conditionalFormatting sqref="W30:W31 W33:W35 W37 W28 W22:W26">
    <cfRule type="containsBlanks" dxfId="1650" priority="22">
      <formula>LEN(TRIM(W22))=0</formula>
    </cfRule>
  </conditionalFormatting>
  <conditionalFormatting sqref="W37 W30:W31 W33:W35 W28 W22:W26">
    <cfRule type="containsBlanks" dxfId="1649" priority="21">
      <formula>LEN(TRIM(W22))=0</formula>
    </cfRule>
  </conditionalFormatting>
  <conditionalFormatting sqref="W33:X33">
    <cfRule type="cellIs" dxfId="1648" priority="20" operator="between">
      <formula>0</formula>
      <formula>1000</formula>
    </cfRule>
  </conditionalFormatting>
  <conditionalFormatting sqref="W30:X37 W26 W28 W22:X25">
    <cfRule type="containsBlanks" dxfId="1647" priority="19">
      <formula>LEN(TRIM(W22))=0</formula>
    </cfRule>
  </conditionalFormatting>
  <conditionalFormatting sqref="AA37 AA30:AA31 AA33 AA22:AA26 AA28 AA35">
    <cfRule type="containsBlanks" dxfId="1646" priority="18">
      <formula>LEN(TRIM(AA22))=0</formula>
    </cfRule>
  </conditionalFormatting>
  <conditionalFormatting sqref="AA37 AA30:AA31 AA33 AA22:AA26 AA28 AA35">
    <cfRule type="containsBlanks" dxfId="1645" priority="17">
      <formula>LEN(TRIM(AA22))=0</formula>
    </cfRule>
  </conditionalFormatting>
  <conditionalFormatting sqref="AA33:AB33">
    <cfRule type="cellIs" dxfId="1644" priority="16" operator="between">
      <formula>0</formula>
      <formula>1000</formula>
    </cfRule>
  </conditionalFormatting>
  <conditionalFormatting sqref="AA30:AB30 AA31 AA33:AB33 AA22:AB25 AA26 AA28 AA35:AB37">
    <cfRule type="containsBlanks" dxfId="1643" priority="15">
      <formula>LEN(TRIM(AA22))=0</formula>
    </cfRule>
  </conditionalFormatting>
  <conditionalFormatting sqref="AE37 AE28 AE30:AE31 AE33:AE35 AE22:AE26">
    <cfRule type="containsBlanks" dxfId="1642" priority="14">
      <formula>LEN(TRIM(AE22))=0</formula>
    </cfRule>
  </conditionalFormatting>
  <conditionalFormatting sqref="AE37 AE28 AE30:AE31 AE33:AE35 AE22:AE26">
    <cfRule type="containsBlanks" dxfId="1641" priority="13">
      <formula>LEN(TRIM(AE22))=0</formula>
    </cfRule>
  </conditionalFormatting>
  <conditionalFormatting sqref="AE33:AF33">
    <cfRule type="cellIs" dxfId="1640" priority="12" operator="between">
      <formula>0</formula>
      <formula>1000</formula>
    </cfRule>
  </conditionalFormatting>
  <conditionalFormatting sqref="AE33:AF37 AE26 AE28 AE30:AE31 AE22:AF25">
    <cfRule type="containsBlanks" dxfId="1639" priority="11">
      <formula>LEN(TRIM(AE22))=0</formula>
    </cfRule>
  </conditionalFormatting>
  <conditionalFormatting sqref="K6:M6">
    <cfRule type="containsBlanks" dxfId="1638" priority="10">
      <formula>LEN(TRIM(K6))=0</formula>
    </cfRule>
  </conditionalFormatting>
  <conditionalFormatting sqref="K7:K8">
    <cfRule type="containsBlanks" dxfId="1637" priority="9">
      <formula>LEN(TRIM(K7))=0</formula>
    </cfRule>
  </conditionalFormatting>
  <conditionalFormatting sqref="D13:M13">
    <cfRule type="containsBlanks" dxfId="1636" priority="8">
      <formula>LEN(TRIM(D13))=0</formula>
    </cfRule>
  </conditionalFormatting>
  <conditionalFormatting sqref="B6:B10">
    <cfRule type="containsBlanks" dxfId="1635" priority="7">
      <formula>LEN(TRIM(B6))=0</formula>
    </cfRule>
  </conditionalFormatting>
  <conditionalFormatting sqref="B12:B13">
    <cfRule type="containsBlanks" dxfId="1634" priority="6">
      <formula>LEN(TRIM(B12))=0</formula>
    </cfRule>
  </conditionalFormatting>
  <conditionalFormatting sqref="E28:H33">
    <cfRule type="containsBlanks" dxfId="1633" priority="5">
      <formula>LEN(TRIM(E28))=0</formula>
    </cfRule>
  </conditionalFormatting>
  <conditionalFormatting sqref="Q22:S26">
    <cfRule type="containsBlanks" dxfId="1632" priority="3">
      <formula>LEN(TRIM(Q22))=0</formula>
    </cfRule>
    <cfRule type="containsBlanks" dxfId="1631" priority="4">
      <formula>LEN(TRIM(Q22))=0</formula>
    </cfRule>
  </conditionalFormatting>
  <conditionalFormatting sqref="Q34:S39">
    <cfRule type="containsBlanks" dxfId="1630" priority="2">
      <formula>LEN(TRIM(Q34))=0</formula>
    </cfRule>
  </conditionalFormatting>
  <conditionalFormatting sqref="Q42:S46">
    <cfRule type="containsBlanks" dxfId="1629" priority="1">
      <formula>LEN(TRIM(Q42))=0</formula>
    </cfRule>
  </conditionalFormatting>
  <dataValidations count="5">
    <dataValidation type="list" allowBlank="1" showInputMessage="1" showErrorMessage="1" sqref="D12:E12" xr:uid="{00000000-0002-0000-1800-000000000000}">
      <formula1>$B$87:$B$94</formula1>
    </dataValidation>
    <dataValidation type="list" allowBlank="1" showInputMessage="1" showErrorMessage="1" sqref="CP70" xr:uid="{00000000-0002-0000-1800-000001000000}">
      <formula1>$BA$3:$BA$5</formula1>
    </dataValidation>
    <dataValidation type="list" allowBlank="1" showInputMessage="1" showErrorMessage="1" sqref="M19" xr:uid="{00000000-0002-0000-1800-000002000000}">
      <formula1>$AX$3:$AX$5</formula1>
    </dataValidation>
    <dataValidation type="list" allowBlank="1" showInputMessage="1" showErrorMessage="1" sqref="M21" xr:uid="{00000000-0002-0000-1800-000003000000}">
      <formula1>$AX$3:$AX$4</formula1>
    </dataValidation>
    <dataValidation type="list" allowBlank="1" showInputMessage="1" showErrorMessage="1" sqref="L25" xr:uid="{00000000-0002-0000-1800-000004000000}">
      <formula1>$D$101:$D$104</formula1>
    </dataValidation>
  </dataValidations>
  <hyperlinks>
    <hyperlink ref="D8" r:id="rId1" xr:uid="{00000000-0004-0000-18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40289"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40290"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40291"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4029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4029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40294"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40295"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4029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4029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4029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66">
    <tabColor theme="8" tint="0.79998168889431442"/>
  </sheetPr>
  <dimension ref="A1:CP153"/>
  <sheetViews>
    <sheetView view="pageBreakPreview" topLeftCell="O13" zoomScale="90" zoomScaleNormal="100" zoomScaleSheetLayoutView="9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25-P-VILLA RICA AP6-2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25-P-VILLA RICA AP6-2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244</v>
      </c>
      <c r="G12" s="31" t="s">
        <v>4</v>
      </c>
      <c r="H12" s="146">
        <v>2</v>
      </c>
      <c r="I12" s="546" t="s">
        <v>5</v>
      </c>
      <c r="J12" s="546"/>
      <c r="K12" s="209">
        <v>1</v>
      </c>
      <c r="L12" s="32" t="s">
        <v>6</v>
      </c>
      <c r="M12" s="147">
        <v>1.8</v>
      </c>
      <c r="N12" s="78"/>
      <c r="O12" s="501" t="s">
        <v>3</v>
      </c>
      <c r="P12" s="501"/>
      <c r="Q12" s="225" t="s">
        <v>234</v>
      </c>
      <c r="R12" s="224" t="str">
        <f>F12</f>
        <v>P-VILLA RICA AP6</v>
      </c>
      <c r="S12" s="224"/>
      <c r="T12" s="502" t="s">
        <v>4</v>
      </c>
      <c r="U12" s="502"/>
      <c r="V12" s="33">
        <f>+H12</f>
        <v>2</v>
      </c>
      <c r="W12" s="547" t="s">
        <v>5</v>
      </c>
      <c r="X12" s="547"/>
      <c r="Y12" s="547"/>
      <c r="Z12" s="547"/>
      <c r="AA12" s="547"/>
      <c r="AB12" s="547"/>
      <c r="AC12" s="34">
        <f>K12</f>
        <v>1</v>
      </c>
      <c r="AD12" s="548" t="s">
        <v>6</v>
      </c>
      <c r="AE12" s="548"/>
      <c r="AF12" s="35">
        <f>+M12</f>
        <v>1.8</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258</v>
      </c>
      <c r="E13" s="479"/>
      <c r="F13" s="479"/>
      <c r="G13" s="479"/>
      <c r="H13" s="479"/>
      <c r="I13" s="479"/>
      <c r="J13" s="479"/>
      <c r="K13" s="479"/>
      <c r="L13" s="479"/>
      <c r="M13" s="480"/>
      <c r="N13" s="188"/>
      <c r="O13" s="526" t="s">
        <v>130</v>
      </c>
      <c r="P13" s="526"/>
      <c r="Q13" s="527" t="str">
        <f>D13</f>
        <v>ARCILLA DE ALTA PLASTICIDAD CON ALGO DE ARENA, DE COLOR MARRÓN, CONSISTENCIA BLANDA,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538</v>
      </c>
      <c r="R20" s="156">
        <v>423</v>
      </c>
      <c r="S20" s="157">
        <v>415</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11125</v>
      </c>
      <c r="F22" s="150">
        <v>11499</v>
      </c>
      <c r="G22" s="150">
        <v>11536</v>
      </c>
      <c r="H22" s="151">
        <v>11194</v>
      </c>
      <c r="I22" s="174"/>
      <c r="J22" s="578"/>
      <c r="K22" s="578"/>
      <c r="L22" s="578"/>
      <c r="M22" s="104"/>
      <c r="N22" s="103"/>
      <c r="O22" s="579" t="s">
        <v>132</v>
      </c>
      <c r="P22" s="580"/>
      <c r="Q22" s="219">
        <v>7898</v>
      </c>
      <c r="R22" s="219">
        <v>7756</v>
      </c>
      <c r="S22" s="208">
        <v>7445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2.5999999999999999E-2</v>
      </c>
      <c r="AJ22" s="42">
        <f>AJ50/1.52</f>
        <v>1.7105263157894735E-2</v>
      </c>
      <c r="AK22" s="42">
        <f>AJ22*0.75</f>
        <v>1.2828947368421051E-2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3772</v>
      </c>
      <c r="R23" s="150">
        <v>3846</v>
      </c>
      <c r="S23" s="151">
        <v>3786</v>
      </c>
      <c r="T23" s="174"/>
      <c r="U23" s="112">
        <v>2.5000000000000001E-2</v>
      </c>
      <c r="V23" s="113">
        <f>U23*25.4</f>
        <v>0.63500000000000001</v>
      </c>
      <c r="W23" s="581">
        <v>9.8000000000000004E-2</v>
      </c>
      <c r="X23" s="582"/>
      <c r="Y23" s="449">
        <f>((W23/19.32)*10)</f>
        <v>5.0724637681159424E-2</v>
      </c>
      <c r="Z23" s="450"/>
      <c r="AA23" s="581">
        <f>AJ23</f>
        <v>4.4078947368421058E-2</v>
      </c>
      <c r="AB23" s="582"/>
      <c r="AC23" s="449">
        <f>((AA23/19.32)*10)</f>
        <v>2.2815190149286263E-2</v>
      </c>
      <c r="AD23" s="450"/>
      <c r="AE23" s="581">
        <v>3.5000000000000003E-2</v>
      </c>
      <c r="AF23" s="582"/>
      <c r="AG23" s="114">
        <f>((AE23/19.32)*10)</f>
        <v>1.8115942028985511E-2</v>
      </c>
      <c r="AH23" s="104"/>
      <c r="AI23" s="42">
        <f t="shared" ref="AI23:AI33" si="0">AJ51</f>
        <v>6.7000000000000004E-2</v>
      </c>
      <c r="AJ23" s="42">
        <f t="shared" ref="AJ23:AJ33" si="1">AJ51/1.52</f>
        <v>4.4078947368421058E-2</v>
      </c>
      <c r="AK23" s="42">
        <f t="shared" ref="AK23:AK33" si="2">AJ23*0.75</f>
        <v>3.3059210526315795E-2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11.45</v>
      </c>
      <c r="S24" s="153">
        <v>11.32</v>
      </c>
      <c r="T24" s="174"/>
      <c r="U24" s="112">
        <v>0.05</v>
      </c>
      <c r="V24" s="113">
        <f>U24*25.4</f>
        <v>1.27</v>
      </c>
      <c r="W24" s="581">
        <v>0.1656</v>
      </c>
      <c r="X24" s="582"/>
      <c r="Y24" s="449">
        <f>((W24/19.32)*10)</f>
        <v>8.5714285714285715E-2</v>
      </c>
      <c r="Z24" s="450"/>
      <c r="AA24" s="581">
        <f>AJ24</f>
        <v>7.6315789473684212E-2</v>
      </c>
      <c r="AB24" s="582"/>
      <c r="AC24" s="449">
        <f>((AA24/19.32)*10)</f>
        <v>3.9500926228615015E-2</v>
      </c>
      <c r="AD24" s="450"/>
      <c r="AE24" s="581">
        <v>5.1999999999999998E-2</v>
      </c>
      <c r="AF24" s="582"/>
      <c r="AG24" s="114">
        <f>((AE24/19.32)*10)</f>
        <v>2.6915113871635608E-2</v>
      </c>
      <c r="AH24" s="104"/>
      <c r="AI24" s="42">
        <f t="shared" si="0"/>
        <v>0.11600000000000001</v>
      </c>
      <c r="AJ24" s="42">
        <f t="shared" si="1"/>
        <v>7.6315789473684212E-2</v>
      </c>
      <c r="AK24" s="42">
        <f t="shared" si="2"/>
        <v>5.7236842105263155E-2</v>
      </c>
      <c r="AO24" s="42">
        <v>0.68400000000000005</v>
      </c>
      <c r="AS24" s="42">
        <f t="shared" si="3"/>
        <v>0.55609756097560981</v>
      </c>
    </row>
    <row r="25" spans="1:45" ht="24.95" customHeight="1" thickBot="1" x14ac:dyDescent="0.3">
      <c r="A25" s="103"/>
      <c r="B25" s="602" t="s">
        <v>69</v>
      </c>
      <c r="C25" s="603"/>
      <c r="D25" s="603"/>
      <c r="E25" s="115">
        <f>E22-E23</f>
        <v>3813</v>
      </c>
      <c r="F25" s="115">
        <f>F22-F23</f>
        <v>4187</v>
      </c>
      <c r="G25" s="115">
        <f>G22-G23</f>
        <v>4224</v>
      </c>
      <c r="H25" s="116">
        <f>H22-H23</f>
        <v>3882</v>
      </c>
      <c r="I25" s="174"/>
      <c r="J25" s="174" t="s">
        <v>127</v>
      </c>
      <c r="K25" s="174"/>
      <c r="L25" s="218" t="s">
        <v>128</v>
      </c>
      <c r="M25" s="246">
        <v>6.44</v>
      </c>
      <c r="N25" s="103"/>
      <c r="O25" s="604" t="s">
        <v>46</v>
      </c>
      <c r="P25" s="605"/>
      <c r="Q25" s="608">
        <v>15.22</v>
      </c>
      <c r="R25" s="608">
        <v>15.26</v>
      </c>
      <c r="S25" s="610">
        <v>15.26</v>
      </c>
      <c r="T25" s="174"/>
      <c r="U25" s="112">
        <v>7.4999999999999997E-2</v>
      </c>
      <c r="V25" s="113">
        <f>U25*25.4</f>
        <v>1.9049999999999998</v>
      </c>
      <c r="W25" s="581">
        <v>0.216</v>
      </c>
      <c r="X25" s="582"/>
      <c r="Y25" s="449">
        <f>((W25/19.32)*10)</f>
        <v>0.11180124223602483</v>
      </c>
      <c r="Z25" s="450"/>
      <c r="AA25" s="581">
        <f>AJ25</f>
        <v>0.10855263157894737</v>
      </c>
      <c r="AB25" s="582"/>
      <c r="AC25" s="449">
        <f>((AA25/19.32)*10)</f>
        <v>5.6186662307943773E-2</v>
      </c>
      <c r="AD25" s="450"/>
      <c r="AE25" s="581">
        <f>AK25</f>
        <v>8.1414473684210537E-2</v>
      </c>
      <c r="AF25" s="582"/>
      <c r="AG25" s="114">
        <f>((AE25/19.32)*10)</f>
        <v>4.2139996730957835E-2</v>
      </c>
      <c r="AH25" s="104"/>
      <c r="AI25" s="42">
        <f t="shared" si="0"/>
        <v>0.16500000000000001</v>
      </c>
      <c r="AJ25" s="42">
        <f t="shared" si="1"/>
        <v>0.10855263157894737</v>
      </c>
      <c r="AK25" s="42">
        <f t="shared" si="2"/>
        <v>8.1414473684210537E-2</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v>0.26600000000000001</v>
      </c>
      <c r="X26" s="779"/>
      <c r="Y26" s="461">
        <f>((W26/19.32)*10)</f>
        <v>0.13768115942028986</v>
      </c>
      <c r="Z26" s="462"/>
      <c r="AA26" s="746">
        <f>AJ26</f>
        <v>0.14013157894736841</v>
      </c>
      <c r="AB26" s="747"/>
      <c r="AC26" s="461">
        <f>((AA26/19.32)*10)</f>
        <v>7.2531873161163773E-2</v>
      </c>
      <c r="AD26" s="462"/>
      <c r="AE26" s="746">
        <f>AK26</f>
        <v>0.10509868421052632</v>
      </c>
      <c r="AF26" s="747"/>
      <c r="AG26" s="469">
        <f>((AE26/19.32)*10)</f>
        <v>5.439890487087283E-2</v>
      </c>
      <c r="AH26" s="104"/>
      <c r="AI26" s="42">
        <f t="shared" si="0"/>
        <v>0.21299999999999999</v>
      </c>
      <c r="AJ26" s="42">
        <f t="shared" si="1"/>
        <v>0.14013157894736841</v>
      </c>
      <c r="AK26" s="42">
        <f t="shared" si="2"/>
        <v>0.10509868421052632</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2110.4602438019065</v>
      </c>
      <c r="R27" s="152">
        <f>(PI()*((R25^2)/4)*R24)</f>
        <v>2094.1338423121347</v>
      </c>
      <c r="S27" s="153">
        <f>(PI()*((S25^2)/4)*S24)</f>
        <v>2070.3576502160145</v>
      </c>
      <c r="T27" s="174"/>
      <c r="U27" s="600"/>
      <c r="V27" s="601"/>
      <c r="W27" s="780"/>
      <c r="X27" s="781"/>
      <c r="Y27" s="463"/>
      <c r="Z27" s="464"/>
      <c r="AA27" s="748"/>
      <c r="AB27" s="749"/>
      <c r="AC27" s="463"/>
      <c r="AD27" s="464"/>
      <c r="AE27" s="748"/>
      <c r="AF27" s="749"/>
      <c r="AG27" s="470"/>
      <c r="AH27" s="193"/>
      <c r="AI27" s="42">
        <f t="shared" si="0"/>
        <v>0.27200000000000002</v>
      </c>
      <c r="AJ27" s="42">
        <f t="shared" si="1"/>
        <v>0.17894736842105263</v>
      </c>
      <c r="AK27" s="42">
        <f t="shared" si="2"/>
        <v>0.13421052631578947</v>
      </c>
      <c r="AO27" s="42">
        <v>2.387</v>
      </c>
      <c r="AS27" s="42">
        <f t="shared" si="3"/>
        <v>1.9406504065040651</v>
      </c>
    </row>
    <row r="28" spans="1:45" ht="24.95" customHeight="1" thickBot="1" x14ac:dyDescent="0.3">
      <c r="A28" s="103"/>
      <c r="B28" s="560" t="s">
        <v>9</v>
      </c>
      <c r="C28" s="561"/>
      <c r="D28" s="561"/>
      <c r="E28" s="148">
        <v>738</v>
      </c>
      <c r="F28" s="148">
        <v>707</v>
      </c>
      <c r="G28" s="149">
        <v>615</v>
      </c>
      <c r="H28" s="149">
        <v>731</v>
      </c>
      <c r="I28" s="174"/>
      <c r="J28" s="597" t="s">
        <v>107</v>
      </c>
      <c r="K28" s="597"/>
      <c r="L28" s="562" t="s">
        <v>119</v>
      </c>
      <c r="M28" s="459">
        <f>IF(M26="","",(100-M26))</f>
        <v>100</v>
      </c>
      <c r="N28" s="103"/>
      <c r="O28" s="625" t="s">
        <v>136</v>
      </c>
      <c r="P28" s="626"/>
      <c r="Q28" s="220">
        <f>Q22-Q23</f>
        <v>4126</v>
      </c>
      <c r="R28" s="220">
        <f>R22-R23</f>
        <v>3910</v>
      </c>
      <c r="S28" s="221">
        <f>S22-S23</f>
        <v>3659</v>
      </c>
      <c r="T28" s="174"/>
      <c r="U28" s="627">
        <v>0.125</v>
      </c>
      <c r="V28" s="624">
        <f>U28*25.4</f>
        <v>3.1749999999999998</v>
      </c>
      <c r="W28" s="593">
        <v>0.30499999999999999</v>
      </c>
      <c r="X28" s="594"/>
      <c r="Y28" s="439">
        <f>((W28/19.32)*10)</f>
        <v>0.15786749482401657</v>
      </c>
      <c r="Z28" s="440"/>
      <c r="AA28" s="593">
        <f>AJ27</f>
        <v>0.17894736842105263</v>
      </c>
      <c r="AB28" s="594"/>
      <c r="AC28" s="439">
        <f>((AA28/19.32)*10)</f>
        <v>9.2622861501580042E-2</v>
      </c>
      <c r="AD28" s="440"/>
      <c r="AE28" s="593">
        <f>AK27</f>
        <v>0.13421052631578947</v>
      </c>
      <c r="AF28" s="594"/>
      <c r="AG28" s="443">
        <f>((AE28/19.32)*10)</f>
        <v>6.9467146126185028E-2</v>
      </c>
      <c r="AH28" s="104"/>
      <c r="AI28" s="42">
        <f t="shared" si="0"/>
        <v>0.33600000000000002</v>
      </c>
      <c r="AJ28" s="42">
        <f t="shared" si="1"/>
        <v>0.22105263157894739</v>
      </c>
      <c r="AK28" s="42">
        <f t="shared" si="2"/>
        <v>0.16578947368421054</v>
      </c>
      <c r="AO28" s="42">
        <v>2.8959999999999999</v>
      </c>
      <c r="AS28" s="42">
        <f t="shared" si="3"/>
        <v>2.3544715447154472</v>
      </c>
    </row>
    <row r="29" spans="1:45" ht="5.0999999999999996" customHeight="1" thickBot="1" x14ac:dyDescent="0.3">
      <c r="A29" s="103"/>
      <c r="B29" s="612" t="s">
        <v>73</v>
      </c>
      <c r="C29" s="613"/>
      <c r="D29" s="614"/>
      <c r="E29" s="618">
        <v>560.78</v>
      </c>
      <c r="F29" s="618">
        <v>894.12300000000005</v>
      </c>
      <c r="G29" s="620">
        <v>731.86</v>
      </c>
      <c r="H29" s="620">
        <v>762.38</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0.39700000000000002</v>
      </c>
      <c r="AJ29" s="42">
        <f t="shared" si="1"/>
        <v>0.2611842105263158</v>
      </c>
      <c r="AK29" s="42">
        <f t="shared" si="2"/>
        <v>0.19588815789473685</v>
      </c>
      <c r="AO29" s="42">
        <v>3.3879999999999999</v>
      </c>
      <c r="AS29" s="42">
        <f t="shared" si="3"/>
        <v>2.7544715447154471</v>
      </c>
    </row>
    <row r="30" spans="1:45" ht="24.95" customHeight="1" thickBot="1" x14ac:dyDescent="0.3">
      <c r="A30" s="103"/>
      <c r="B30" s="615"/>
      <c r="C30" s="616"/>
      <c r="D30" s="617"/>
      <c r="E30" s="619"/>
      <c r="F30" s="619"/>
      <c r="G30" s="621"/>
      <c r="H30" s="621"/>
      <c r="I30" s="174"/>
      <c r="J30" s="174" t="s">
        <v>108</v>
      </c>
      <c r="K30" s="174"/>
      <c r="L30" s="180" t="s">
        <v>137</v>
      </c>
      <c r="M30" s="119">
        <f>IF(M25="","",(M37*1000*9.81/1000))</f>
        <v>16.564152055970148</v>
      </c>
      <c r="N30" s="103"/>
      <c r="O30" s="622" t="s">
        <v>134</v>
      </c>
      <c r="P30" s="623"/>
      <c r="Q30" s="229">
        <f>Q28/Q27</f>
        <v>1.955023797352933</v>
      </c>
      <c r="R30" s="229">
        <f>R28/R27</f>
        <v>1.8671203917333985</v>
      </c>
      <c r="S30" s="131">
        <f>S28/S27</f>
        <v>1.767327495139901</v>
      </c>
      <c r="T30" s="174"/>
      <c r="U30" s="120">
        <v>0.15</v>
      </c>
      <c r="V30" s="113">
        <f>U30*25.4</f>
        <v>3.8099999999999996</v>
      </c>
      <c r="W30" s="581">
        <v>0.34599999999999997</v>
      </c>
      <c r="X30" s="582"/>
      <c r="Y30" s="449">
        <f>((W30/19.32)*10)</f>
        <v>0.17908902691511386</v>
      </c>
      <c r="Z30" s="450"/>
      <c r="AA30" s="581">
        <f>AJ28</f>
        <v>0.22105263157894739</v>
      </c>
      <c r="AB30" s="582"/>
      <c r="AC30" s="449">
        <f>((AA30/19.32)*10)</f>
        <v>0.11441647597254007</v>
      </c>
      <c r="AD30" s="450"/>
      <c r="AE30" s="581">
        <f>AK28</f>
        <v>0.16578947368421054</v>
      </c>
      <c r="AF30" s="582"/>
      <c r="AG30" s="114">
        <f>((AE30/19.32)*10)</f>
        <v>8.5812356979405036E-2</v>
      </c>
      <c r="AH30" s="104"/>
      <c r="AI30" s="42">
        <f t="shared" si="0"/>
        <v>0.45</v>
      </c>
      <c r="AJ30" s="42">
        <f t="shared" si="1"/>
        <v>0.29605263157894735</v>
      </c>
      <c r="AK30" s="42">
        <f t="shared" si="2"/>
        <v>0.22203947368421051</v>
      </c>
      <c r="AO30" s="42">
        <v>3.8439999999999999</v>
      </c>
      <c r="AS30" s="42">
        <f t="shared" si="3"/>
        <v>3.1252032520325201</v>
      </c>
    </row>
    <row r="31" spans="1:45" ht="24.95" customHeight="1" thickBot="1" x14ac:dyDescent="0.3">
      <c r="A31" s="103"/>
      <c r="B31" s="576" t="s">
        <v>74</v>
      </c>
      <c r="C31" s="577"/>
      <c r="D31" s="577"/>
      <c r="E31" s="152">
        <v>498.06</v>
      </c>
      <c r="F31" s="152">
        <v>780.12</v>
      </c>
      <c r="G31" s="153">
        <v>630.22</v>
      </c>
      <c r="H31" s="153">
        <v>645</v>
      </c>
      <c r="I31" s="174"/>
      <c r="J31" s="597" t="s">
        <v>138</v>
      </c>
      <c r="K31" s="597"/>
      <c r="L31" s="562" t="s">
        <v>116</v>
      </c>
      <c r="M31" s="457">
        <f>IF(M25="","",S82)</f>
        <v>2.7120000000000002</v>
      </c>
      <c r="N31" s="121"/>
      <c r="O31" s="628" t="s">
        <v>135</v>
      </c>
      <c r="P31" s="629"/>
      <c r="Q31" s="122">
        <f>Q30/(1+Q40/100)</f>
        <v>1.6734580898379425</v>
      </c>
      <c r="R31" s="122">
        <f>R30/(1+R40/100)</f>
        <v>1.5997982509901874</v>
      </c>
      <c r="S31" s="123">
        <f>S30/(1+S40/100)</f>
        <v>1.5160940504340459</v>
      </c>
      <c r="T31" s="174"/>
      <c r="U31" s="627">
        <v>0.17499999999999999</v>
      </c>
      <c r="V31" s="624">
        <f>U31*25.4</f>
        <v>4.4449999999999994</v>
      </c>
      <c r="W31" s="593">
        <f>AI29</f>
        <v>0.39700000000000002</v>
      </c>
      <c r="X31" s="594"/>
      <c r="Y31" s="439">
        <f>((W31/19.32)*10)</f>
        <v>0.20548654244306419</v>
      </c>
      <c r="Z31" s="440"/>
      <c r="AA31" s="593">
        <f>AJ29</f>
        <v>0.2611842105263158</v>
      </c>
      <c r="AB31" s="594"/>
      <c r="AC31" s="439">
        <f>((AA31/19.32)*10)</f>
        <v>0.13518851476517382</v>
      </c>
      <c r="AD31" s="440"/>
      <c r="AE31" s="593">
        <f>AK29</f>
        <v>0.19588815789473685</v>
      </c>
      <c r="AF31" s="594"/>
      <c r="AG31" s="443">
        <f>((AE31/19.32)*10)</f>
        <v>0.10139138607388035</v>
      </c>
      <c r="AH31" s="104"/>
      <c r="AI31" s="42">
        <f t="shared" si="0"/>
        <v>0.65300000000000002</v>
      </c>
      <c r="AJ31" s="42">
        <f t="shared" si="1"/>
        <v>0.42960526315789477</v>
      </c>
      <c r="AK31" s="42">
        <f t="shared" si="2"/>
        <v>0.32220394736842106</v>
      </c>
      <c r="AO31" s="42">
        <v>5.516</v>
      </c>
      <c r="AS31" s="42">
        <f t="shared" si="3"/>
        <v>4.4845528455284551</v>
      </c>
    </row>
    <row r="32" spans="1:45" ht="5.0999999999999996" customHeight="1" thickBot="1" x14ac:dyDescent="0.3">
      <c r="A32" s="103"/>
      <c r="B32" s="612" t="s">
        <v>75</v>
      </c>
      <c r="C32" s="613"/>
      <c r="D32" s="614"/>
      <c r="E32" s="618">
        <v>49.55</v>
      </c>
      <c r="F32" s="618">
        <v>55.72</v>
      </c>
      <c r="G32" s="620">
        <v>48</v>
      </c>
      <c r="H32" s="620">
        <v>46.23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0.83699999999999997</v>
      </c>
      <c r="AJ32" s="42">
        <f t="shared" si="1"/>
        <v>0.55065789473684212</v>
      </c>
      <c r="AK32" s="42">
        <f t="shared" si="2"/>
        <v>0.41299342105263159</v>
      </c>
      <c r="AO32" s="42">
        <v>6.7220000000000004</v>
      </c>
      <c r="AS32" s="42">
        <f t="shared" si="3"/>
        <v>5.4650406504065048</v>
      </c>
    </row>
    <row r="33" spans="1:45" ht="24.95" customHeight="1" thickBot="1" x14ac:dyDescent="0.3">
      <c r="A33" s="103"/>
      <c r="B33" s="615"/>
      <c r="C33" s="616"/>
      <c r="D33" s="617"/>
      <c r="E33" s="619"/>
      <c r="F33" s="619"/>
      <c r="G33" s="621"/>
      <c r="H33" s="621"/>
      <c r="I33" s="174"/>
      <c r="J33" s="633" t="s">
        <v>109</v>
      </c>
      <c r="K33" s="633"/>
      <c r="L33" s="180" t="s">
        <v>117</v>
      </c>
      <c r="M33" s="118">
        <f>IF(M25="","",O73)</f>
        <v>9.81</v>
      </c>
      <c r="N33" s="101"/>
      <c r="O33" s="634" t="s">
        <v>25</v>
      </c>
      <c r="P33" s="635"/>
      <c r="Q33" s="635"/>
      <c r="R33" s="635"/>
      <c r="S33" s="636"/>
      <c r="T33" s="174"/>
      <c r="U33" s="117">
        <v>0.2</v>
      </c>
      <c r="V33" s="124">
        <f>U33*25.4</f>
        <v>5.08</v>
      </c>
      <c r="W33" s="581">
        <f>AI30</f>
        <v>0.45</v>
      </c>
      <c r="X33" s="582"/>
      <c r="Y33" s="449">
        <f>((W33/19.32)*10)</f>
        <v>0.23291925465838509</v>
      </c>
      <c r="Z33" s="450"/>
      <c r="AA33" s="581">
        <f>AJ30</f>
        <v>0.29605263157894735</v>
      </c>
      <c r="AB33" s="582"/>
      <c r="AC33" s="449">
        <f>((AA33/19.32)*10)</f>
        <v>0.15323635174893754</v>
      </c>
      <c r="AD33" s="450"/>
      <c r="AE33" s="581">
        <v>0.22800000000000001</v>
      </c>
      <c r="AF33" s="582"/>
      <c r="AG33" s="144">
        <f>((AE33/19.32)*10)</f>
        <v>0.11801242236024845</v>
      </c>
      <c r="AH33" s="104"/>
      <c r="AI33" s="42">
        <f t="shared" si="0"/>
        <v>1.0189999999999999</v>
      </c>
      <c r="AJ33" s="42">
        <f t="shared" si="1"/>
        <v>0.67039473684210515</v>
      </c>
      <c r="AK33" s="42">
        <f t="shared" si="2"/>
        <v>0.50279605263157889</v>
      </c>
      <c r="AO33" s="42">
        <v>7.7720000000000002</v>
      </c>
      <c r="AS33" s="42">
        <f t="shared" si="3"/>
        <v>6.3186991869918705</v>
      </c>
    </row>
    <row r="34" spans="1:45" ht="24.95" customHeight="1" thickBot="1" x14ac:dyDescent="0.3">
      <c r="A34" s="103"/>
      <c r="B34" s="602" t="s">
        <v>10</v>
      </c>
      <c r="C34" s="603"/>
      <c r="D34" s="603"/>
      <c r="E34" s="125">
        <f>((E29-E31)/(E31-E32))*100</f>
        <v>13.984080622505623</v>
      </c>
      <c r="F34" s="125">
        <f>((F29-F31)/(F31-F32))*100</f>
        <v>15.737575924903375</v>
      </c>
      <c r="G34" s="125">
        <f>((G29-G31)/(G31-G32))*100</f>
        <v>17.457318539383735</v>
      </c>
      <c r="H34" s="126">
        <f>((H29-H31)/(H31-H32))*100</f>
        <v>19.603520550461781</v>
      </c>
      <c r="I34" s="174"/>
      <c r="J34" s="630" t="s">
        <v>125</v>
      </c>
      <c r="K34" s="630"/>
      <c r="L34" s="184" t="s">
        <v>126</v>
      </c>
      <c r="M34" s="245">
        <v>2.69</v>
      </c>
      <c r="N34" s="128"/>
      <c r="O34" s="631" t="s">
        <v>9</v>
      </c>
      <c r="P34" s="632"/>
      <c r="Q34" s="156">
        <v>311</v>
      </c>
      <c r="R34" s="156">
        <v>211</v>
      </c>
      <c r="S34" s="157">
        <v>723</v>
      </c>
      <c r="T34" s="174"/>
      <c r="U34" s="120">
        <v>0.3</v>
      </c>
      <c r="V34" s="113">
        <f>U34*25.4</f>
        <v>7.6199999999999992</v>
      </c>
      <c r="W34" s="581">
        <f>AI31</f>
        <v>0.65300000000000002</v>
      </c>
      <c r="X34" s="582"/>
      <c r="Y34" s="449">
        <f>((W34/19.32)*10)</f>
        <v>0.33799171842650105</v>
      </c>
      <c r="Z34" s="450"/>
      <c r="AA34" s="449">
        <v>0.43</v>
      </c>
      <c r="AB34" s="450"/>
      <c r="AC34" s="449">
        <f>((AA34/19.32)*10)</f>
        <v>0.22256728778467907</v>
      </c>
      <c r="AD34" s="450"/>
      <c r="AE34" s="581">
        <f>AK31</f>
        <v>0.32220394736842106</v>
      </c>
      <c r="AF34" s="582"/>
      <c r="AG34" s="114">
        <f>((AE34/19.32)*10)</f>
        <v>0.1667722294867604</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826.07</v>
      </c>
      <c r="R35" s="618">
        <v>504.54500000000002</v>
      </c>
      <c r="S35" s="610">
        <v>713.13</v>
      </c>
      <c r="T35" s="174"/>
      <c r="U35" s="627">
        <v>0.4</v>
      </c>
      <c r="V35" s="624">
        <f>U35*25.4</f>
        <v>10.16</v>
      </c>
      <c r="W35" s="593">
        <f>AI32</f>
        <v>0.83699999999999997</v>
      </c>
      <c r="X35" s="594"/>
      <c r="Y35" s="439">
        <f>((W35/19.32)*10)</f>
        <v>0.43322981366459623</v>
      </c>
      <c r="Z35" s="440"/>
      <c r="AA35" s="593">
        <f>AJ32</f>
        <v>0.55065789473684212</v>
      </c>
      <c r="AB35" s="594"/>
      <c r="AC35" s="439">
        <f>(AA35/19.32)*10</f>
        <v>0.28501961425302386</v>
      </c>
      <c r="AD35" s="440"/>
      <c r="AE35" s="593">
        <v>0.39600000000000002</v>
      </c>
      <c r="AF35" s="594"/>
      <c r="AG35" s="443">
        <f>((AE35/19.32)*10)</f>
        <v>0.20496894409937888</v>
      </c>
      <c r="AH35" s="104"/>
      <c r="AS35" s="42">
        <f t="shared" si="3"/>
        <v>0</v>
      </c>
    </row>
    <row r="36" spans="1:45" ht="20.100000000000001" customHeight="1" thickBot="1" x14ac:dyDescent="0.3">
      <c r="A36" s="103"/>
      <c r="B36" s="639" t="s">
        <v>71</v>
      </c>
      <c r="C36" s="640"/>
      <c r="D36" s="640"/>
      <c r="E36" s="130">
        <f>E25/E24</f>
        <v>1.7751396648044693</v>
      </c>
      <c r="F36" s="130">
        <f>F25/F24</f>
        <v>1.9492551210428306</v>
      </c>
      <c r="G36" s="130">
        <f>G25/G24</f>
        <v>1.9664804469273742</v>
      </c>
      <c r="H36" s="131">
        <f>H25/H24</f>
        <v>1.8072625698324023</v>
      </c>
      <c r="I36" s="174"/>
      <c r="J36" s="634" t="s">
        <v>102</v>
      </c>
      <c r="K36" s="635"/>
      <c r="L36" s="635"/>
      <c r="M36" s="636"/>
      <c r="N36" s="101"/>
      <c r="O36" s="615"/>
      <c r="P36" s="617"/>
      <c r="Q36" s="609"/>
      <c r="R36" s="61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1.5573575319551916</v>
      </c>
      <c r="F37" s="230">
        <f>F36/(1+F34/100)</f>
        <v>1.6842024774284281</v>
      </c>
      <c r="G37" s="230">
        <f>G36/(1+G34/100)</f>
        <v>1.6742085307081214</v>
      </c>
      <c r="H37" s="123">
        <f>H36/(1+H34/100)</f>
        <v>1.5110446260400021</v>
      </c>
      <c r="I37" s="174"/>
      <c r="J37" s="641" t="s">
        <v>139</v>
      </c>
      <c r="K37" s="641"/>
      <c r="L37" s="643" t="s">
        <v>121</v>
      </c>
      <c r="M37" s="433">
        <f>IF(F74="","",(M42^2*F74+M42*F75+F76))</f>
        <v>1.6884966417910445</v>
      </c>
      <c r="N37" s="101"/>
      <c r="O37" s="576" t="s">
        <v>28</v>
      </c>
      <c r="P37" s="577"/>
      <c r="Q37" s="150">
        <v>721.65</v>
      </c>
      <c r="R37" s="152">
        <v>439.89</v>
      </c>
      <c r="S37" s="153">
        <v>618.34</v>
      </c>
      <c r="T37" s="174"/>
      <c r="U37" s="132">
        <v>0.5</v>
      </c>
      <c r="V37" s="133">
        <f>U37*25.4</f>
        <v>12.7</v>
      </c>
      <c r="W37" s="637">
        <v>0.98499999999999999</v>
      </c>
      <c r="X37" s="638"/>
      <c r="Y37" s="431">
        <f>((W37/19.32)*10)</f>
        <v>0.50983436853002073</v>
      </c>
      <c r="Z37" s="432"/>
      <c r="AA37" s="637">
        <f>AJ33</f>
        <v>0.67039473684210515</v>
      </c>
      <c r="AB37" s="638"/>
      <c r="AC37" s="431">
        <f>((AA37/19.32)*10)</f>
        <v>0.34699520540481638</v>
      </c>
      <c r="AD37" s="432"/>
      <c r="AE37" s="637">
        <v>0.435</v>
      </c>
      <c r="AF37" s="638"/>
      <c r="AG37" s="134">
        <f>((AE37/19.32)*10)</f>
        <v>0.2251552795031056</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101.04</v>
      </c>
      <c r="R38" s="647">
        <v>52.96</v>
      </c>
      <c r="S38" s="648">
        <v>46.32</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1.6884966417910441</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16.564152055970148</v>
      </c>
      <c r="N40" s="103"/>
      <c r="O40" s="628" t="s">
        <v>10</v>
      </c>
      <c r="P40" s="629"/>
      <c r="Q40" s="125">
        <f>((Q35-Q37)/(Q37-Q38))*100</f>
        <v>16.825381479512107</v>
      </c>
      <c r="R40" s="125">
        <f>((R35-R37)/(R37-R38))*100</f>
        <v>16.709740779986053</v>
      </c>
      <c r="S40" s="126">
        <f>((S35-S37)/(S37-S38))*100</f>
        <v>16.571098912625427</v>
      </c>
      <c r="T40" s="174"/>
      <c r="U40" s="645" t="s">
        <v>151</v>
      </c>
      <c r="V40" s="646"/>
      <c r="W40" s="423">
        <f>(AM79/6.9)*100</f>
        <v>1.9953791220331862</v>
      </c>
      <c r="X40" s="423"/>
      <c r="Y40" s="423"/>
      <c r="Z40" s="424"/>
      <c r="AA40" s="425">
        <f>(AO79/6.9)*100</f>
        <v>1.051186567553098</v>
      </c>
      <c r="AB40" s="426"/>
      <c r="AC40" s="427"/>
      <c r="AD40" s="425">
        <f>(AQ79/6.9)*100</f>
        <v>0.78838992566482358</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16.564152055970144</v>
      </c>
      <c r="N41" s="138"/>
      <c r="O41" s="565" t="s">
        <v>36</v>
      </c>
      <c r="P41" s="566"/>
      <c r="Q41" s="566"/>
      <c r="R41" s="566"/>
      <c r="S41" s="567"/>
      <c r="T41" s="174"/>
      <c r="U41" s="653" t="s">
        <v>152</v>
      </c>
      <c r="V41" s="654"/>
      <c r="W41" s="418">
        <f>(AM83/10.3)*100</f>
        <v>2.2613519869746126</v>
      </c>
      <c r="X41" s="418"/>
      <c r="Y41" s="418"/>
      <c r="Z41" s="419"/>
      <c r="AA41" s="420">
        <f>(AO83/10.3)*100</f>
        <v>1.4877315703780343</v>
      </c>
      <c r="AB41" s="421"/>
      <c r="AC41" s="418"/>
      <c r="AD41" s="420">
        <f>(AQ83/10.3)*100</f>
        <v>1.1457516734004702</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16.559701492537311</v>
      </c>
      <c r="N42" s="103"/>
      <c r="O42" s="639" t="s">
        <v>9</v>
      </c>
      <c r="P42" s="640"/>
      <c r="Q42" s="148">
        <v>116</v>
      </c>
      <c r="R42" s="148">
        <v>733</v>
      </c>
      <c r="S42" s="149">
        <v>741</v>
      </c>
      <c r="T42" s="174"/>
      <c r="U42" s="651" t="s">
        <v>42</v>
      </c>
      <c r="V42" s="652"/>
      <c r="W42" s="413">
        <f>IF(W40&lt;W41,W40,W41)</f>
        <v>1.9953791220331862</v>
      </c>
      <c r="X42" s="414"/>
      <c r="Y42" s="414"/>
      <c r="Z42" s="415"/>
      <c r="AA42" s="416">
        <f>IF(AA40&lt;AA41,AA40,AA41)</f>
        <v>1.051186567553098</v>
      </c>
      <c r="AB42" s="414"/>
      <c r="AC42" s="415"/>
      <c r="AD42" s="416">
        <f>IF(AD40&lt;AD41,AD40,AD41)</f>
        <v>0.78838992566482358</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12.769776119402982</v>
      </c>
      <c r="N43" s="103"/>
      <c r="O43" s="612" t="s">
        <v>49</v>
      </c>
      <c r="P43" s="614"/>
      <c r="Q43" s="618">
        <v>519.16</v>
      </c>
      <c r="R43" s="608">
        <v>811.31</v>
      </c>
      <c r="S43" s="620">
        <v>807.21320000000003</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429.22</v>
      </c>
      <c r="R45" s="150">
        <v>645.98</v>
      </c>
      <c r="S45" s="151">
        <v>631.08000000000004</v>
      </c>
      <c r="T45" s="174"/>
      <c r="U45" s="656" t="s">
        <v>139</v>
      </c>
      <c r="V45" s="656"/>
      <c r="W45" s="179" t="s">
        <v>121</v>
      </c>
      <c r="X45" s="406">
        <f>MAX(M37:M39)</f>
        <v>1.6884966417910445</v>
      </c>
      <c r="Y45" s="406"/>
      <c r="Z45" s="406"/>
      <c r="AA45" s="174"/>
      <c r="AB45" s="657" t="s">
        <v>31</v>
      </c>
      <c r="AC45" s="658"/>
      <c r="AD45" s="658"/>
      <c r="AE45" s="658"/>
      <c r="AF45" s="231">
        <v>5.1999999999999998E-2</v>
      </c>
      <c r="AG45" s="231">
        <v>9.7799999999999998E-2</v>
      </c>
      <c r="AH45" s="233">
        <v>0.12470000000000001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63.73</v>
      </c>
      <c r="R46" s="152">
        <v>46.24</v>
      </c>
      <c r="S46" s="153">
        <v>46.8</v>
      </c>
      <c r="T46" s="174"/>
      <c r="U46" s="555" t="s">
        <v>123</v>
      </c>
      <c r="V46" s="555"/>
      <c r="W46" s="179" t="s">
        <v>41</v>
      </c>
      <c r="X46" s="401">
        <f>MIN(M42:M44)</f>
        <v>12.769776119402982</v>
      </c>
      <c r="Y46" s="401"/>
      <c r="Z46" s="401"/>
      <c r="AA46" s="174"/>
      <c r="AB46" s="660" t="s">
        <v>32</v>
      </c>
      <c r="AC46" s="661"/>
      <c r="AD46" s="661"/>
      <c r="AE46" s="661"/>
      <c r="AF46" s="234">
        <v>0.307</v>
      </c>
      <c r="AG46" s="234">
        <v>0.29780000000000001</v>
      </c>
      <c r="AH46" s="235">
        <v>0.30790000000000001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24.608060412049561</v>
      </c>
      <c r="R47" s="125">
        <f>((R43-R45)/(R45-R46))*100</f>
        <v>27.566945676459788</v>
      </c>
      <c r="S47" s="126">
        <f>((S43-S45)/(S45-S46))*100</f>
        <v>30.145341274731287</v>
      </c>
      <c r="T47" s="174"/>
      <c r="U47" s="555" t="s">
        <v>162</v>
      </c>
      <c r="V47" s="555"/>
      <c r="W47" s="179" t="s">
        <v>41</v>
      </c>
      <c r="X47" s="402">
        <f>IF(L25=D103,"-",IF(L25=D102,"-",IF(L25=D101,M25)))</f>
        <v>6.44</v>
      </c>
      <c r="Y47" s="402"/>
      <c r="Z47" s="402"/>
      <c r="AA47" s="174"/>
      <c r="AB47" s="662" t="s">
        <v>33</v>
      </c>
      <c r="AC47" s="663"/>
      <c r="AD47" s="663"/>
      <c r="AE47" s="663"/>
      <c r="AF47" s="232">
        <f>(AF46-AF45)*2.54</f>
        <v>0.64770000000000005</v>
      </c>
      <c r="AG47" s="232">
        <f>(AG46-AG45)*2.54</f>
        <v>0.50800000000000001</v>
      </c>
      <c r="AH47" s="239">
        <f>(AH46-AH45)*2.54</f>
        <v>0.46532800000000002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5.5836206896551728</v>
      </c>
      <c r="AG48" s="142">
        <f>IF(AG47&lt;&gt;"",IF(R24&lt;&gt;"",AG47/R24*100,""),"")</f>
        <v>4.4366812227074242</v>
      </c>
      <c r="AH48" s="173">
        <f>IF(AH47&lt;&gt;"",IF(S24&lt;&gt;"",AH47/S24*100,""),"")</f>
        <v>4.1106713780918724</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2.5999999999999999E-2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6.7000000000000004E-2</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0.11600000000000001</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0.16500000000000001</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0.21299999999999999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0.27200000000000002</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0.33600000000000002</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0.39700000000000002</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0.45</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0.65300000000000002</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0.83699999999999997</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1.0189999999999999</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-2.01E-2</v>
      </c>
      <c r="G74" s="75">
        <v>-0.12509999999999999</v>
      </c>
      <c r="J74" s="701"/>
      <c r="K74" s="702"/>
      <c r="L74" s="44"/>
      <c r="M74" s="44"/>
      <c r="N74" s="44"/>
    </row>
    <row r="75" spans="1:94" ht="26.25" customHeight="1" thickBot="1" x14ac:dyDescent="0.3">
      <c r="A75" s="11"/>
      <c r="B75" s="377" t="s">
        <v>113</v>
      </c>
      <c r="C75" s="377"/>
      <c r="D75" s="19"/>
      <c r="E75" s="54" t="s">
        <v>12</v>
      </c>
      <c r="F75" s="55">
        <v>0.66569999999999996</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-3.8233999999999999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9.8000000000000004E-2</v>
      </c>
      <c r="AM76" s="3">
        <f t="shared" si="4"/>
        <v>5.0724637681159424E-2</v>
      </c>
      <c r="AN76" s="5">
        <f>AA23</f>
        <v>4.4078947368421058E-2</v>
      </c>
      <c r="AO76" s="3">
        <f t="shared" ref="AO76:AO86" si="7">((AN76/19.32)*10)</f>
        <v>2.2815190149286263E-2</v>
      </c>
      <c r="AP76" s="5">
        <f>AE23</f>
        <v>3.5000000000000003E-2</v>
      </c>
      <c r="AQ76" s="161">
        <f t="shared" si="5"/>
        <v>1.8115942028985511E-2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0.1656</v>
      </c>
      <c r="AM77" s="3">
        <f t="shared" si="4"/>
        <v>8.5714285714285715E-2</v>
      </c>
      <c r="AN77" s="5">
        <f>AA24</f>
        <v>7.6315789473684212E-2</v>
      </c>
      <c r="AO77" s="3">
        <f t="shared" si="7"/>
        <v>3.9500926228615015E-2</v>
      </c>
      <c r="AP77" s="5">
        <f>AE24</f>
        <v>5.1999999999999998E-2</v>
      </c>
      <c r="AQ77" s="161">
        <f t="shared" si="5"/>
        <v>2.6915113871635608E-2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0.216</v>
      </c>
      <c r="AM78" s="3">
        <f t="shared" si="4"/>
        <v>0.11180124223602483</v>
      </c>
      <c r="AN78" s="5">
        <f>AA25</f>
        <v>0.10855263157894737</v>
      </c>
      <c r="AO78" s="3">
        <f t="shared" si="7"/>
        <v>5.6186662307943773E-2</v>
      </c>
      <c r="AP78" s="5">
        <f>AE25</f>
        <v>8.1414473684210537E-2</v>
      </c>
      <c r="AQ78" s="161">
        <f t="shared" si="5"/>
        <v>4.2139996730957835E-2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0.26600000000000001</v>
      </c>
      <c r="AM79" s="4">
        <f t="shared" si="4"/>
        <v>0.13768115942028986</v>
      </c>
      <c r="AN79" s="5">
        <f>AA26</f>
        <v>0.14013157894736841</v>
      </c>
      <c r="AO79" s="4">
        <f t="shared" si="7"/>
        <v>7.2531873161163773E-2</v>
      </c>
      <c r="AP79" s="5">
        <f>AE26</f>
        <v>0.10509868421052632</v>
      </c>
      <c r="AQ79" s="162">
        <f t="shared" si="5"/>
        <v>5.439890487087283E-2</v>
      </c>
      <c r="BB79" s="12">
        <v>17</v>
      </c>
      <c r="BC79" s="12">
        <v>18</v>
      </c>
    </row>
    <row r="80" spans="1:94" ht="42" customHeight="1" thickTop="1" thickBot="1" x14ac:dyDescent="0.3">
      <c r="D80" s="49"/>
      <c r="H80" s="711" t="s">
        <v>105</v>
      </c>
      <c r="I80" s="712"/>
      <c r="J80" s="58"/>
      <c r="AJ80" s="160">
        <f>U28</f>
        <v>0.125</v>
      </c>
      <c r="AK80" s="3">
        <f t="shared" si="6"/>
        <v>3.1749999999999998</v>
      </c>
      <c r="AL80" s="5">
        <f>W28</f>
        <v>0.30499999999999999</v>
      </c>
      <c r="AM80" s="3">
        <f t="shared" si="4"/>
        <v>0.15786749482401657</v>
      </c>
      <c r="AN80" s="5">
        <f>AA28</f>
        <v>0.17894736842105263</v>
      </c>
      <c r="AO80" s="3">
        <f t="shared" si="7"/>
        <v>9.2622861501580042E-2</v>
      </c>
      <c r="AP80" s="5">
        <f>AE28</f>
        <v>0.13421052631578947</v>
      </c>
      <c r="AQ80" s="161">
        <f t="shared" si="5"/>
        <v>6.9467146126185028E-2</v>
      </c>
      <c r="BC80" s="45">
        <v>0.99880400000000003</v>
      </c>
      <c r="BD80" s="45">
        <v>0.99862499999999998</v>
      </c>
    </row>
    <row r="81" spans="2:43" ht="15.75" customHeight="1" x14ac:dyDescent="0.25">
      <c r="AJ81" s="160">
        <f>U30</f>
        <v>0.15</v>
      </c>
      <c r="AK81" s="3">
        <f t="shared" si="6"/>
        <v>3.8099999999999996</v>
      </c>
      <c r="AL81" s="5">
        <f>W30</f>
        <v>0.34599999999999997</v>
      </c>
      <c r="AM81" s="3">
        <f t="shared" si="4"/>
        <v>0.17908902691511386</v>
      </c>
      <c r="AN81" s="5">
        <f>AA30</f>
        <v>0.22105263157894739</v>
      </c>
      <c r="AO81" s="3">
        <f t="shared" si="7"/>
        <v>0.11441647597254007</v>
      </c>
      <c r="AP81" s="5">
        <f>AE30</f>
        <v>0.16578947368421054</v>
      </c>
      <c r="AQ81" s="161">
        <f t="shared" si="5"/>
        <v>8.5812356979405036E-2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0.39700000000000002</v>
      </c>
      <c r="AM82" s="3">
        <f t="shared" si="4"/>
        <v>0.20548654244306419</v>
      </c>
      <c r="AN82" s="5">
        <f>AA31</f>
        <v>0.2611842105263158</v>
      </c>
      <c r="AO82" s="3">
        <f t="shared" si="7"/>
        <v>0.13518851476517382</v>
      </c>
      <c r="AP82" s="5">
        <f>AE31</f>
        <v>0.19588815789473685</v>
      </c>
      <c r="AQ82" s="161">
        <f t="shared" si="5"/>
        <v>0.10139138607388035</v>
      </c>
    </row>
    <row r="83" spans="2:43" ht="15" customHeight="1" x14ac:dyDescent="0.25">
      <c r="B83" s="49"/>
      <c r="C83" s="49"/>
      <c r="D83" s="49">
        <v>0</v>
      </c>
      <c r="E83" s="50">
        <f>M42</f>
        <v>16.559701492537311</v>
      </c>
      <c r="F83" s="49"/>
      <c r="G83" s="43">
        <f>G84/10</f>
        <v>1.9175585925627341</v>
      </c>
      <c r="H83" s="43">
        <f>H84/10</f>
        <v>1.854011361247953</v>
      </c>
      <c r="I83" s="43">
        <f>I84/10</f>
        <v>1.7956495947555002</v>
      </c>
      <c r="J83" s="43">
        <f>J84/10</f>
        <v>1.7277745311158115</v>
      </c>
      <c r="K83" s="43"/>
      <c r="L83" s="42">
        <v>0</v>
      </c>
      <c r="O83" s="706"/>
      <c r="P83" s="706"/>
      <c r="Q83" s="706"/>
      <c r="R83" s="706"/>
      <c r="S83" s="707"/>
      <c r="W83" s="112"/>
      <c r="AJ83" s="160">
        <f>U33</f>
        <v>0.2</v>
      </c>
      <c r="AK83" s="4">
        <f t="shared" si="6"/>
        <v>5.08</v>
      </c>
      <c r="AL83" s="5">
        <f>W33</f>
        <v>0.45</v>
      </c>
      <c r="AM83" s="4">
        <f t="shared" si="4"/>
        <v>0.23291925465838509</v>
      </c>
      <c r="AN83" s="5">
        <f>AA33</f>
        <v>0.29605263157894735</v>
      </c>
      <c r="AO83" s="4">
        <f t="shared" si="7"/>
        <v>0.15323635174893754</v>
      </c>
      <c r="AP83" s="5">
        <f>AE33</f>
        <v>0.22800000000000001</v>
      </c>
      <c r="AQ83" s="162">
        <f t="shared" si="5"/>
        <v>0.11801242236024845</v>
      </c>
    </row>
    <row r="84" spans="2:43" ht="15" customHeight="1" x14ac:dyDescent="0.25">
      <c r="C84" s="94"/>
      <c r="D84" s="94"/>
      <c r="E84" s="94"/>
      <c r="F84" s="49"/>
      <c r="G84" s="43">
        <f>($M$34/(1+(E34*$M$34/100)))*($O$73)</f>
        <v>19.175585925627342</v>
      </c>
      <c r="H84" s="43">
        <f>($M$34/(1+(F34*$M$34/100)))*($O$73)</f>
        <v>18.54011361247953</v>
      </c>
      <c r="I84" s="43">
        <f>($M$34/(1+(G34*$M$34/100)))*($O$73)</f>
        <v>17.956495947555002</v>
      </c>
      <c r="J84" s="43">
        <f>($M$34/(1+(H34*$M$34/100)))*($O$73)</f>
        <v>17.277745311158114</v>
      </c>
      <c r="K84" s="43"/>
      <c r="O84" s="706" t="s">
        <v>146</v>
      </c>
      <c r="P84" s="706"/>
      <c r="Q84" s="706"/>
      <c r="R84" s="706"/>
      <c r="S84" s="707">
        <v>2240</v>
      </c>
      <c r="W84" s="112"/>
      <c r="AJ84" s="160">
        <f>U34</f>
        <v>0.3</v>
      </c>
      <c r="AK84" s="3">
        <f t="shared" si="6"/>
        <v>7.6199999999999992</v>
      </c>
      <c r="AL84" s="5">
        <f>W34</f>
        <v>0.65300000000000002</v>
      </c>
      <c r="AM84" s="3">
        <f t="shared" si="4"/>
        <v>0.33799171842650105</v>
      </c>
      <c r="AN84" s="5">
        <f>AA34</f>
        <v>0.43</v>
      </c>
      <c r="AO84" s="3">
        <f t="shared" si="7"/>
        <v>0.22256728778467907</v>
      </c>
      <c r="AP84" s="5">
        <f>AE34</f>
        <v>0.32220394736842106</v>
      </c>
      <c r="AQ84" s="161">
        <f t="shared" si="5"/>
        <v>0.1667722294867604</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0.83699999999999997</v>
      </c>
      <c r="AM85" s="3">
        <f t="shared" si="4"/>
        <v>0.43322981366459623</v>
      </c>
      <c r="AN85" s="5">
        <f>AA35</f>
        <v>0.55065789473684212</v>
      </c>
      <c r="AO85" s="3">
        <f t="shared" si="7"/>
        <v>0.28501961425302386</v>
      </c>
      <c r="AP85" s="5">
        <f>AE35</f>
        <v>0.39600000000000002</v>
      </c>
      <c r="AQ85" s="161">
        <f>((AP85/19.32)*10)</f>
        <v>0.20496894409937888</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0.98499999999999999</v>
      </c>
      <c r="AM86" s="164">
        <f t="shared" si="4"/>
        <v>0.50983436853002073</v>
      </c>
      <c r="AN86" s="165">
        <f>AA37</f>
        <v>0.67039473684210515</v>
      </c>
      <c r="AO86" s="164">
        <f t="shared" si="7"/>
        <v>0.34699520540481638</v>
      </c>
      <c r="AP86" s="165">
        <f>AE37</f>
        <v>0.435</v>
      </c>
      <c r="AQ86" s="166">
        <f>((AP86/19.32)*10)</f>
        <v>0.2251552795031056</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1.6734580898379425</v>
      </c>
      <c r="AK91" s="9">
        <f>R31</f>
        <v>1.5997982509901874</v>
      </c>
      <c r="AL91" s="10">
        <f>S31</f>
        <v>1.5160940504340459</v>
      </c>
    </row>
    <row r="92" spans="2:43" ht="21" customHeight="1" thickBot="1" x14ac:dyDescent="0.3">
      <c r="B92" s="92"/>
      <c r="C92" s="93"/>
      <c r="D92" s="93"/>
      <c r="E92" s="93"/>
      <c r="F92" s="62"/>
      <c r="G92" s="63"/>
      <c r="H92" s="49"/>
      <c r="I92" s="49"/>
      <c r="O92" s="725" t="s">
        <v>147</v>
      </c>
      <c r="P92" s="726"/>
      <c r="Q92" s="726"/>
      <c r="R92" s="726"/>
      <c r="S92" s="61">
        <f>M42</f>
        <v>16.559701492537311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1.9953791220331862</v>
      </c>
      <c r="AK94" s="158">
        <f>AA42</f>
        <v>1.051186567553098</v>
      </c>
      <c r="AL94" s="158">
        <f>AD42</f>
        <v>0.78838992566482358</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628" priority="47">
      <formula>LEN(TRIM(D6))=0</formula>
    </cfRule>
  </conditionalFormatting>
  <conditionalFormatting sqref="D6:H10">
    <cfRule type="containsBlanks" dxfId="1627" priority="46">
      <formula>LEN(TRIM(D6))=0</formula>
    </cfRule>
  </conditionalFormatting>
  <conditionalFormatting sqref="M19">
    <cfRule type="containsBlanks" dxfId="1626" priority="45">
      <formula>LEN(TRIM(M19))=0</formula>
    </cfRule>
  </conditionalFormatting>
  <conditionalFormatting sqref="CP70">
    <cfRule type="containsBlanks" dxfId="1625" priority="44">
      <formula>LEN(TRIM(CP70))=0</formula>
    </cfRule>
  </conditionalFormatting>
  <conditionalFormatting sqref="M21">
    <cfRule type="containsBlanks" dxfId="1624" priority="43">
      <formula>LEN(TRIM(M21))=0</formula>
    </cfRule>
  </conditionalFormatting>
  <conditionalFormatting sqref="D12:M12">
    <cfRule type="containsBlanks" dxfId="1623" priority="42">
      <formula>LEN(TRIM(D12))=0</formula>
    </cfRule>
  </conditionalFormatting>
  <conditionalFormatting sqref="L9:M9">
    <cfRule type="containsBlanks" dxfId="1622" priority="41">
      <formula>LEN(TRIM(L9))=0</formula>
    </cfRule>
  </conditionalFormatting>
  <conditionalFormatting sqref="L25">
    <cfRule type="containsBlanks" dxfId="1621" priority="40">
      <formula>LEN(TRIM(L25))=0</formula>
    </cfRule>
  </conditionalFormatting>
  <conditionalFormatting sqref="Q20:S21">
    <cfRule type="containsBlanks" dxfId="1620" priority="33">
      <formula>LEN(TRIM(Q20))=0</formula>
    </cfRule>
    <cfRule type="containsBlanks" dxfId="1619" priority="39">
      <formula>LEN(TRIM(Q20))=0</formula>
    </cfRule>
  </conditionalFormatting>
  <conditionalFormatting sqref="U26:V27 AC33 AC26">
    <cfRule type="cellIs" dxfId="1618" priority="38" operator="between">
      <formula>0</formula>
      <formula>500</formula>
    </cfRule>
  </conditionalFormatting>
  <conditionalFormatting sqref="U33:V33">
    <cfRule type="cellIs" dxfId="1617" priority="37" operator="between">
      <formula>0</formula>
      <formula>500</formula>
    </cfRule>
  </conditionalFormatting>
  <conditionalFormatting sqref="AF45:AH46">
    <cfRule type="containsBlanks" dxfId="1616" priority="36">
      <formula>LEN(TRIM(AF45))=0</formula>
    </cfRule>
  </conditionalFormatting>
  <conditionalFormatting sqref="AF51:AG53">
    <cfRule type="containsBlanks" dxfId="1615" priority="35">
      <formula>LEN(TRIM(AF51))=0</formula>
    </cfRule>
  </conditionalFormatting>
  <conditionalFormatting sqref="E20:H24">
    <cfRule type="containsBlanks" dxfId="1614" priority="34">
      <formula>LEN(TRIM(E20))=0</formula>
    </cfRule>
  </conditionalFormatting>
  <conditionalFormatting sqref="M25">
    <cfRule type="containsBlanks" dxfId="1613" priority="32">
      <formula>LEN(TRIM(M25))=0</formula>
    </cfRule>
  </conditionalFormatting>
  <conditionalFormatting sqref="U26:V27 Y26:Z27 AC26:AD27 AG26:AG27">
    <cfRule type="containsBlanks" dxfId="1612" priority="30">
      <formula>LEN(TRIM(U26))=0</formula>
    </cfRule>
    <cfRule type="cellIs" dxfId="1611" priority="31" operator="between">
      <formula>0</formula>
      <formula>1000</formula>
    </cfRule>
  </conditionalFormatting>
  <conditionalFormatting sqref="W87:W88">
    <cfRule type="cellIs" dxfId="1610" priority="29" operator="between">
      <formula>0</formula>
      <formula>500</formula>
    </cfRule>
  </conditionalFormatting>
  <conditionalFormatting sqref="W94">
    <cfRule type="cellIs" dxfId="1609" priority="28" operator="between">
      <formula>0</formula>
      <formula>500</formula>
    </cfRule>
  </conditionalFormatting>
  <conditionalFormatting sqref="W87:W88">
    <cfRule type="containsBlanks" dxfId="1608" priority="26">
      <formula>LEN(TRIM(W87))=0</formula>
    </cfRule>
    <cfRule type="cellIs" dxfId="1607" priority="27" operator="between">
      <formula>0</formula>
      <formula>1000</formula>
    </cfRule>
  </conditionalFormatting>
  <conditionalFormatting sqref="U33:V33 Y33:Z33 AC33:AD33 AG33">
    <cfRule type="cellIs" dxfId="1606" priority="25" operator="between">
      <formula>0</formula>
      <formula>1000</formula>
    </cfRule>
  </conditionalFormatting>
  <conditionalFormatting sqref="Q27:S27">
    <cfRule type="containsBlanks" dxfId="1605" priority="23">
      <formula>LEN(TRIM(Q27))=0</formula>
    </cfRule>
    <cfRule type="containsBlanks" dxfId="1604" priority="24">
      <formula>LEN(TRIM(Q27))=0</formula>
    </cfRule>
  </conditionalFormatting>
  <conditionalFormatting sqref="W30:W31 W33:W35 W37 W28 W22:W26">
    <cfRule type="containsBlanks" dxfId="1603" priority="22">
      <formula>LEN(TRIM(W22))=0</formula>
    </cfRule>
  </conditionalFormatting>
  <conditionalFormatting sqref="W37 W30:W31 W33:W35 W28 W22:W26">
    <cfRule type="containsBlanks" dxfId="1602" priority="21">
      <formula>LEN(TRIM(W22))=0</formula>
    </cfRule>
  </conditionalFormatting>
  <conditionalFormatting sqref="W33:X33">
    <cfRule type="cellIs" dxfId="1601" priority="20" operator="between">
      <formula>0</formula>
      <formula>1000</formula>
    </cfRule>
  </conditionalFormatting>
  <conditionalFormatting sqref="W30:X37 W26 W28 W22:X25">
    <cfRule type="containsBlanks" dxfId="1600" priority="19">
      <formula>LEN(TRIM(W22))=0</formula>
    </cfRule>
  </conditionalFormatting>
  <conditionalFormatting sqref="AA37 AA30:AA31 AA33 AA22:AA26 AA28 AA35">
    <cfRule type="containsBlanks" dxfId="1599" priority="18">
      <formula>LEN(TRIM(AA22))=0</formula>
    </cfRule>
  </conditionalFormatting>
  <conditionalFormatting sqref="AA37 AA30:AA31 AA33 AA22:AA26 AA28 AA35">
    <cfRule type="containsBlanks" dxfId="1598" priority="17">
      <formula>LEN(TRIM(AA22))=0</formula>
    </cfRule>
  </conditionalFormatting>
  <conditionalFormatting sqref="AA33:AB33">
    <cfRule type="cellIs" dxfId="1597" priority="16" operator="between">
      <formula>0</formula>
      <formula>1000</formula>
    </cfRule>
  </conditionalFormatting>
  <conditionalFormatting sqref="AA30:AB30 AA31 AA33:AB33 AA22:AB25 AA26 AA28 AA35:AB37">
    <cfRule type="containsBlanks" dxfId="1596" priority="15">
      <formula>LEN(TRIM(AA22))=0</formula>
    </cfRule>
  </conditionalFormatting>
  <conditionalFormatting sqref="AE37 AE28 AE30:AE31 AE33:AE35 AE22:AE26">
    <cfRule type="containsBlanks" dxfId="1595" priority="14">
      <formula>LEN(TRIM(AE22))=0</formula>
    </cfRule>
  </conditionalFormatting>
  <conditionalFormatting sqref="AE37 AE28 AE30:AE31 AE33:AE35 AE22:AE26">
    <cfRule type="containsBlanks" dxfId="1594" priority="13">
      <formula>LEN(TRIM(AE22))=0</formula>
    </cfRule>
  </conditionalFormatting>
  <conditionalFormatting sqref="AE33:AF33">
    <cfRule type="cellIs" dxfId="1593" priority="12" operator="between">
      <formula>0</formula>
      <formula>1000</formula>
    </cfRule>
  </conditionalFormatting>
  <conditionalFormatting sqref="AE33:AF37 AE26 AE28 AE30:AE31 AE22:AF25">
    <cfRule type="containsBlanks" dxfId="1592" priority="11">
      <formula>LEN(TRIM(AE22))=0</formula>
    </cfRule>
  </conditionalFormatting>
  <conditionalFormatting sqref="K6:M6">
    <cfRule type="containsBlanks" dxfId="1591" priority="10">
      <formula>LEN(TRIM(K6))=0</formula>
    </cfRule>
  </conditionalFormatting>
  <conditionalFormatting sqref="K7:K8">
    <cfRule type="containsBlanks" dxfId="1590" priority="9">
      <formula>LEN(TRIM(K7))=0</formula>
    </cfRule>
  </conditionalFormatting>
  <conditionalFormatting sqref="D13:M13">
    <cfRule type="containsBlanks" dxfId="1589" priority="8">
      <formula>LEN(TRIM(D13))=0</formula>
    </cfRule>
  </conditionalFormatting>
  <conditionalFormatting sqref="B6:B10">
    <cfRule type="containsBlanks" dxfId="1588" priority="7">
      <formula>LEN(TRIM(B6))=0</formula>
    </cfRule>
  </conditionalFormatting>
  <conditionalFormatting sqref="B12:B13">
    <cfRule type="containsBlanks" dxfId="1587" priority="6">
      <formula>LEN(TRIM(B12))=0</formula>
    </cfRule>
  </conditionalFormatting>
  <conditionalFormatting sqref="E28:H33">
    <cfRule type="containsBlanks" dxfId="1586" priority="5">
      <formula>LEN(TRIM(E28))=0</formula>
    </cfRule>
  </conditionalFormatting>
  <conditionalFormatting sqref="Q22:S26">
    <cfRule type="containsBlanks" dxfId="1585" priority="3">
      <formula>LEN(TRIM(Q22))=0</formula>
    </cfRule>
    <cfRule type="containsBlanks" dxfId="1584" priority="4">
      <formula>LEN(TRIM(Q22))=0</formula>
    </cfRule>
  </conditionalFormatting>
  <conditionalFormatting sqref="Q34:S39">
    <cfRule type="containsBlanks" dxfId="1583" priority="2">
      <formula>LEN(TRIM(Q34))=0</formula>
    </cfRule>
  </conditionalFormatting>
  <conditionalFormatting sqref="Q42:S46">
    <cfRule type="containsBlanks" dxfId="1582" priority="1">
      <formula>LEN(TRIM(Q42))=0</formula>
    </cfRule>
  </conditionalFormatting>
  <dataValidations count="5">
    <dataValidation type="list" allowBlank="1" showInputMessage="1" showErrorMessage="1" sqref="D12:E12" xr:uid="{00000000-0002-0000-1900-000000000000}">
      <formula1>$B$87:$B$94</formula1>
    </dataValidation>
    <dataValidation type="list" allowBlank="1" showInputMessage="1" showErrorMessage="1" sqref="CP70" xr:uid="{00000000-0002-0000-1900-000001000000}">
      <formula1>$BA$3:$BA$5</formula1>
    </dataValidation>
    <dataValidation type="list" allowBlank="1" showInputMessage="1" showErrorMessage="1" sqref="M19" xr:uid="{00000000-0002-0000-1900-000002000000}">
      <formula1>$AX$3:$AX$5</formula1>
    </dataValidation>
    <dataValidation type="list" allowBlank="1" showInputMessage="1" showErrorMessage="1" sqref="M21" xr:uid="{00000000-0002-0000-1900-000003000000}">
      <formula1>$AX$3:$AX$4</formula1>
    </dataValidation>
    <dataValidation type="list" allowBlank="1" showInputMessage="1" showErrorMessage="1" sqref="L25" xr:uid="{00000000-0002-0000-1900-000004000000}">
      <formula1>$D$101:$D$104</formula1>
    </dataValidation>
  </dataValidations>
  <hyperlinks>
    <hyperlink ref="D8" r:id="rId1" xr:uid="{00000000-0004-0000-19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41313"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41314"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41315"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4131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4131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41318"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41319"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4132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4132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4132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67">
    <tabColor theme="9" tint="0.79998168889431442"/>
  </sheetPr>
  <dimension ref="A1:CP153"/>
  <sheetViews>
    <sheetView view="pageBreakPreview" topLeftCell="K3" zoomScale="70" zoomScaleNormal="100" zoomScaleSheetLayoutView="7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22"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25-P-CIAT AP1-2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25-P-CIAT AP1-2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245</v>
      </c>
      <c r="G12" s="31" t="s">
        <v>4</v>
      </c>
      <c r="H12" s="146">
        <v>2</v>
      </c>
      <c r="I12" s="546" t="s">
        <v>5</v>
      </c>
      <c r="J12" s="546"/>
      <c r="K12" s="209">
        <v>0.9</v>
      </c>
      <c r="L12" s="32" t="s">
        <v>6</v>
      </c>
      <c r="M12" s="147">
        <v>1.2</v>
      </c>
      <c r="N12" s="78"/>
      <c r="O12" s="501" t="s">
        <v>3</v>
      </c>
      <c r="P12" s="501"/>
      <c r="Q12" s="225" t="s">
        <v>234</v>
      </c>
      <c r="R12" s="224" t="str">
        <f>F12</f>
        <v>P-CIAT AP1</v>
      </c>
      <c r="S12" s="224"/>
      <c r="T12" s="502" t="s">
        <v>4</v>
      </c>
      <c r="U12" s="502"/>
      <c r="V12" s="33">
        <f>+H12</f>
        <v>2</v>
      </c>
      <c r="W12" s="547" t="s">
        <v>5</v>
      </c>
      <c r="X12" s="547"/>
      <c r="Y12" s="547"/>
      <c r="Z12" s="547"/>
      <c r="AA12" s="547"/>
      <c r="AB12" s="547"/>
      <c r="AC12" s="34">
        <f>K12</f>
        <v>0.9</v>
      </c>
      <c r="AD12" s="548" t="s">
        <v>6</v>
      </c>
      <c r="AE12" s="548"/>
      <c r="AF12" s="35">
        <f>+M12</f>
        <v>1.2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260</v>
      </c>
      <c r="E13" s="479"/>
      <c r="F13" s="479"/>
      <c r="G13" s="479"/>
      <c r="H13" s="479"/>
      <c r="I13" s="479"/>
      <c r="J13" s="479"/>
      <c r="K13" s="479"/>
      <c r="L13" s="479"/>
      <c r="M13" s="480"/>
      <c r="N13" s="188"/>
      <c r="O13" s="526" t="s">
        <v>130</v>
      </c>
      <c r="P13" s="526"/>
      <c r="Q13" s="527" t="str">
        <f>D13</f>
        <v>ARCILLA COLOR GRIS DE CONSISTENCIA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503</v>
      </c>
      <c r="R20" s="156">
        <v>410</v>
      </c>
      <c r="S20" s="157">
        <v>414</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11194</v>
      </c>
      <c r="F22" s="150">
        <v>11698</v>
      </c>
      <c r="G22" s="150">
        <v>11774</v>
      </c>
      <c r="H22" s="151">
        <v>11409</v>
      </c>
      <c r="I22" s="174"/>
      <c r="J22" s="578"/>
      <c r="K22" s="578"/>
      <c r="L22" s="578"/>
      <c r="M22" s="104"/>
      <c r="N22" s="103"/>
      <c r="O22" s="579" t="s">
        <v>132</v>
      </c>
      <c r="P22" s="580"/>
      <c r="Q22" s="219">
        <v>8272</v>
      </c>
      <c r="R22" s="219">
        <v>8008</v>
      </c>
      <c r="S22" s="208">
        <v>7814</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0.83399999999999996</v>
      </c>
      <c r="AJ22" s="42">
        <f>AJ50/1.52</f>
        <v>0.54868421052631577</v>
      </c>
      <c r="AK22" s="42">
        <f>AJ22*0.75</f>
        <v>0.41151315789473686</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3852</v>
      </c>
      <c r="R23" s="150">
        <v>3837</v>
      </c>
      <c r="S23" s="151">
        <v>3824</v>
      </c>
      <c r="T23" s="174"/>
      <c r="U23" s="112">
        <v>2.5000000000000001E-2</v>
      </c>
      <c r="V23" s="113">
        <f>U23*25.4</f>
        <v>0.63500000000000001</v>
      </c>
      <c r="W23" s="581">
        <v>0.67800000000000005</v>
      </c>
      <c r="X23" s="582"/>
      <c r="Y23" s="449">
        <f>((W23/19.32)*10)</f>
        <v>0.35093167701863354</v>
      </c>
      <c r="Z23" s="450"/>
      <c r="AA23" s="581">
        <v>0.498</v>
      </c>
      <c r="AB23" s="582"/>
      <c r="AC23" s="449">
        <f>((AA23/19.32)*10)</f>
        <v>0.25776397515527949</v>
      </c>
      <c r="AD23" s="450"/>
      <c r="AE23" s="581">
        <v>0.20349999999999999</v>
      </c>
      <c r="AF23" s="582"/>
      <c r="AG23" s="114">
        <f>((AE23/19.32)*10)</f>
        <v>0.10533126293995859</v>
      </c>
      <c r="AH23" s="104"/>
      <c r="AI23" s="42">
        <f t="shared" ref="AI23:AI33" si="0">AJ51</f>
        <v>0.96699999999999997</v>
      </c>
      <c r="AJ23" s="42">
        <f t="shared" ref="AJ23:AJ33" si="1">AJ51/1.52</f>
        <v>0.6361842105263158</v>
      </c>
      <c r="AK23" s="42">
        <f t="shared" ref="AK23:AK33" si="2">AJ23*0.75</f>
        <v>0.47713815789473685</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11.62</v>
      </c>
      <c r="R24" s="152">
        <v>11.65</v>
      </c>
      <c r="S24" s="153">
        <v>11.5</v>
      </c>
      <c r="T24" s="174"/>
      <c r="U24" s="112">
        <v>0.05</v>
      </c>
      <c r="V24" s="113">
        <f>U24*25.4</f>
        <v>1.27</v>
      </c>
      <c r="W24" s="581">
        <f>AI24</f>
        <v>1.145</v>
      </c>
      <c r="X24" s="582"/>
      <c r="Y24" s="449">
        <f>((W24/19.32)*10)</f>
        <v>0.59265010351966874</v>
      </c>
      <c r="Z24" s="450"/>
      <c r="AA24" s="581">
        <f>AJ24</f>
        <v>0.75328947368421051</v>
      </c>
      <c r="AB24" s="582"/>
      <c r="AC24" s="449">
        <f>((AA24/19.32)*10)</f>
        <v>0.38990138389451889</v>
      </c>
      <c r="AD24" s="450"/>
      <c r="AE24" s="581">
        <v>0.3987</v>
      </c>
      <c r="AF24" s="582"/>
      <c r="AG24" s="114">
        <f>((AE24/19.32)*10)</f>
        <v>0.20636645962732919</v>
      </c>
      <c r="AH24" s="104"/>
      <c r="AI24" s="42">
        <f t="shared" si="0"/>
        <v>1.145</v>
      </c>
      <c r="AJ24" s="42">
        <f t="shared" si="1"/>
        <v>0.75328947368421051</v>
      </c>
      <c r="AK24" s="42">
        <f t="shared" si="2"/>
        <v>0.56496710526315785</v>
      </c>
      <c r="AO24" s="42">
        <v>0.68400000000000005</v>
      </c>
      <c r="AS24" s="42">
        <f t="shared" si="3"/>
        <v>0.55609756097560981</v>
      </c>
    </row>
    <row r="25" spans="1:45" ht="24.95" customHeight="1" thickBot="1" x14ac:dyDescent="0.3">
      <c r="A25" s="103"/>
      <c r="B25" s="602" t="s">
        <v>69</v>
      </c>
      <c r="C25" s="603"/>
      <c r="D25" s="603"/>
      <c r="E25" s="115">
        <f>E22-E23</f>
        <v>3882</v>
      </c>
      <c r="F25" s="115">
        <f>F22-F23</f>
        <v>4386</v>
      </c>
      <c r="G25" s="115">
        <f>G22-G23</f>
        <v>4462</v>
      </c>
      <c r="H25" s="116">
        <f>H22-H23</f>
        <v>4097</v>
      </c>
      <c r="I25" s="174"/>
      <c r="J25" s="174" t="s">
        <v>127</v>
      </c>
      <c r="K25" s="174"/>
      <c r="L25" s="218" t="s">
        <v>128</v>
      </c>
      <c r="M25" s="246">
        <v>0</v>
      </c>
      <c r="N25" s="103"/>
      <c r="O25" s="604" t="s">
        <v>46</v>
      </c>
      <c r="P25" s="605"/>
      <c r="Q25" s="608">
        <v>15.25</v>
      </c>
      <c r="R25" s="608">
        <v>15.25</v>
      </c>
      <c r="S25" s="610">
        <v>15.24</v>
      </c>
      <c r="T25" s="174"/>
      <c r="U25" s="112">
        <v>7.4999999999999997E-2</v>
      </c>
      <c r="V25" s="113">
        <f>U25*25.4</f>
        <v>1.9049999999999998</v>
      </c>
      <c r="W25" s="581">
        <f>AI25</f>
        <v>1.3089999999999999</v>
      </c>
      <c r="X25" s="582"/>
      <c r="Y25" s="449">
        <f>((W25/19.32)*10)</f>
        <v>0.67753623188405787</v>
      </c>
      <c r="Z25" s="450"/>
      <c r="AA25" s="581">
        <f>AJ25</f>
        <v>0.86118421052631577</v>
      </c>
      <c r="AB25" s="582"/>
      <c r="AC25" s="449">
        <f>((AA25/19.32)*10)</f>
        <v>0.44574752097635389</v>
      </c>
      <c r="AD25" s="450"/>
      <c r="AE25" s="581">
        <v>0.51400000000000001</v>
      </c>
      <c r="AF25" s="582"/>
      <c r="AG25" s="114">
        <f>((AE25/19.32)*10)</f>
        <v>0.26604554865424435</v>
      </c>
      <c r="AH25" s="104"/>
      <c r="AI25" s="42">
        <f t="shared" si="0"/>
        <v>1.3089999999999999</v>
      </c>
      <c r="AJ25" s="42">
        <f t="shared" si="1"/>
        <v>0.86118421052631577</v>
      </c>
      <c r="AK25" s="42">
        <f t="shared" si="2"/>
        <v>0.64588815789473686</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1.4370000000000001</v>
      </c>
      <c r="X26" s="779"/>
      <c r="Y26" s="461">
        <f>((W26/19.32)*10)</f>
        <v>0.74378881987577639</v>
      </c>
      <c r="Z26" s="462"/>
      <c r="AA26" s="746">
        <f>AJ26</f>
        <v>0.94539473684210529</v>
      </c>
      <c r="AB26" s="747"/>
      <c r="AC26" s="461">
        <f>((AA26/19.32)*10)</f>
        <v>0.48933474991827397</v>
      </c>
      <c r="AD26" s="462"/>
      <c r="AE26" s="746">
        <v>0.62446999999999997</v>
      </c>
      <c r="AF26" s="747"/>
      <c r="AG26" s="469">
        <f>((AE26/19.32)*10)</f>
        <v>0.32322463768115939</v>
      </c>
      <c r="AH26" s="104"/>
      <c r="AI26" s="42">
        <f t="shared" si="0"/>
        <v>1.4370000000000001</v>
      </c>
      <c r="AJ26" s="42">
        <f t="shared" si="1"/>
        <v>0.94539473684210529</v>
      </c>
      <c r="AK26" s="42">
        <f t="shared" si="2"/>
        <v>0.70904605263157894</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2122.4413435588835</v>
      </c>
      <c r="R27" s="152">
        <f>(PI()*((R25^2)/4)*R24)</f>
        <v>2127.920968370137</v>
      </c>
      <c r="S27" s="153">
        <f>(PI()*((S25^2)/4)*S24)</f>
        <v>2097.7689634636404</v>
      </c>
      <c r="T27" s="174"/>
      <c r="U27" s="600"/>
      <c r="V27" s="601"/>
      <c r="W27" s="780"/>
      <c r="X27" s="781"/>
      <c r="Y27" s="463"/>
      <c r="Z27" s="464"/>
      <c r="AA27" s="748"/>
      <c r="AB27" s="749"/>
      <c r="AC27" s="463"/>
      <c r="AD27" s="464"/>
      <c r="AE27" s="748"/>
      <c r="AF27" s="749"/>
      <c r="AG27" s="470"/>
      <c r="AH27" s="193"/>
      <c r="AI27" s="42">
        <f t="shared" si="0"/>
        <v>1.5580000000000001</v>
      </c>
      <c r="AJ27" s="42">
        <f t="shared" si="1"/>
        <v>1.0249999999999999</v>
      </c>
      <c r="AK27" s="42">
        <f t="shared" si="2"/>
        <v>0.76874999999999993</v>
      </c>
      <c r="AO27" s="42">
        <v>2.387</v>
      </c>
      <c r="AS27" s="42">
        <f t="shared" si="3"/>
        <v>1.9406504065040651</v>
      </c>
    </row>
    <row r="28" spans="1:45" ht="24.95" customHeight="1" thickBot="1" x14ac:dyDescent="0.3">
      <c r="A28" s="103"/>
      <c r="B28" s="560" t="s">
        <v>9</v>
      </c>
      <c r="C28" s="561"/>
      <c r="D28" s="561"/>
      <c r="E28" s="148">
        <v>618</v>
      </c>
      <c r="F28" s="148">
        <v>619</v>
      </c>
      <c r="G28" s="148">
        <v>682</v>
      </c>
      <c r="H28" s="149">
        <v>623</v>
      </c>
      <c r="I28" s="174"/>
      <c r="J28" s="597" t="s">
        <v>107</v>
      </c>
      <c r="K28" s="597"/>
      <c r="L28" s="562" t="s">
        <v>119</v>
      </c>
      <c r="M28" s="459">
        <f>IF(M26="","",(100-M26))</f>
        <v>100</v>
      </c>
      <c r="N28" s="103"/>
      <c r="O28" s="625" t="s">
        <v>136</v>
      </c>
      <c r="P28" s="626"/>
      <c r="Q28" s="220">
        <f>Q22-Q23</f>
        <v>4420</v>
      </c>
      <c r="R28" s="220">
        <f>R22-R23</f>
        <v>4171</v>
      </c>
      <c r="S28" s="220">
        <f>S22-S23</f>
        <v>3990</v>
      </c>
      <c r="T28" s="174"/>
      <c r="U28" s="627">
        <v>0.125</v>
      </c>
      <c r="V28" s="624">
        <f>U28*25.4</f>
        <v>3.1749999999999998</v>
      </c>
      <c r="W28" s="593">
        <v>1.589</v>
      </c>
      <c r="X28" s="594"/>
      <c r="Y28" s="439">
        <f>((W28/19.32)*10)</f>
        <v>0.82246376811594202</v>
      </c>
      <c r="Z28" s="440"/>
      <c r="AA28" s="593">
        <f>AJ27</f>
        <v>1.0249999999999999</v>
      </c>
      <c r="AB28" s="594"/>
      <c r="AC28" s="439">
        <f>((AA28/19.32)*10)</f>
        <v>0.53053830227743259</v>
      </c>
      <c r="AD28" s="440"/>
      <c r="AE28" s="593">
        <f>AK27</f>
        <v>0.76874999999999993</v>
      </c>
      <c r="AF28" s="594"/>
      <c r="AG28" s="443">
        <f>((AE28/19.32)*10)</f>
        <v>0.3979037267080745</v>
      </c>
      <c r="AH28" s="104"/>
      <c r="AI28" s="42">
        <f t="shared" si="0"/>
        <v>1.72</v>
      </c>
      <c r="AJ28" s="42">
        <f t="shared" si="1"/>
        <v>1.131578947368421</v>
      </c>
      <c r="AK28" s="42">
        <f t="shared" si="2"/>
        <v>0.84868421052631571</v>
      </c>
      <c r="AO28" s="42">
        <v>2.8959999999999999</v>
      </c>
      <c r="AS28" s="42">
        <f t="shared" si="3"/>
        <v>2.3544715447154472</v>
      </c>
    </row>
    <row r="29" spans="1:45" ht="5.0999999999999996" customHeight="1" thickBot="1" x14ac:dyDescent="0.3">
      <c r="A29" s="103"/>
      <c r="B29" s="612" t="s">
        <v>73</v>
      </c>
      <c r="C29" s="613"/>
      <c r="D29" s="614"/>
      <c r="E29" s="618">
        <v>479.56</v>
      </c>
      <c r="F29" s="618">
        <v>679.69</v>
      </c>
      <c r="G29" s="618">
        <v>498.56</v>
      </c>
      <c r="H29" s="620">
        <v>856.16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1.907</v>
      </c>
      <c r="AJ29" s="42">
        <f t="shared" si="1"/>
        <v>1.2546052631578948</v>
      </c>
      <c r="AK29" s="42">
        <f t="shared" si="2"/>
        <v>0.94095394736842108</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18.808681126353793</v>
      </c>
      <c r="N30" s="103"/>
      <c r="O30" s="622" t="s">
        <v>134</v>
      </c>
      <c r="P30" s="623"/>
      <c r="Q30" s="229">
        <f>Q28/Q27</f>
        <v>2.0825074923336153</v>
      </c>
      <c r="R30" s="229">
        <f>R28/R27</f>
        <v>1.9601291880660128</v>
      </c>
      <c r="S30" s="131">
        <f>S28/S27</f>
        <v>1.902020703658464</v>
      </c>
      <c r="T30" s="174"/>
      <c r="U30" s="120">
        <v>0.15</v>
      </c>
      <c r="V30" s="113">
        <f>U30*25.4</f>
        <v>3.8099999999999996</v>
      </c>
      <c r="W30" s="581">
        <v>1.7548999999999999</v>
      </c>
      <c r="X30" s="582"/>
      <c r="Y30" s="449">
        <f>((W30/19.32)*10)</f>
        <v>0.90833333333333321</v>
      </c>
      <c r="Z30" s="450"/>
      <c r="AA30" s="581">
        <f>AJ28</f>
        <v>1.131578947368421</v>
      </c>
      <c r="AB30" s="582"/>
      <c r="AC30" s="449">
        <f>((AA30/19.32)*10)</f>
        <v>0.5857033889070502</v>
      </c>
      <c r="AD30" s="450"/>
      <c r="AE30" s="581">
        <f>AK28</f>
        <v>0.84868421052631571</v>
      </c>
      <c r="AF30" s="582"/>
      <c r="AG30" s="114">
        <f>((AE30/19.32)*10)</f>
        <v>0.43927754168028765</v>
      </c>
      <c r="AH30" s="104"/>
      <c r="AI30" s="42">
        <f t="shared" si="0"/>
        <v>2.097</v>
      </c>
      <c r="AJ30" s="42">
        <f t="shared" si="1"/>
        <v>1.3796052631578948</v>
      </c>
      <c r="AK30" s="42">
        <f t="shared" si="2"/>
        <v>1.034703947368421</v>
      </c>
      <c r="AO30" s="42">
        <v>3.8439999999999999</v>
      </c>
      <c r="AS30" s="42">
        <f t="shared" si="3"/>
        <v>3.1252032520325201</v>
      </c>
    </row>
    <row r="31" spans="1:45" ht="24.95" customHeight="1" thickBot="1" x14ac:dyDescent="0.3">
      <c r="A31" s="103"/>
      <c r="B31" s="576" t="s">
        <v>74</v>
      </c>
      <c r="C31" s="577"/>
      <c r="D31" s="577"/>
      <c r="E31" s="152">
        <v>452.33</v>
      </c>
      <c r="F31" s="152">
        <v>630.07000000000005</v>
      </c>
      <c r="G31" s="152">
        <v>454.12</v>
      </c>
      <c r="H31" s="153">
        <v>767.32</v>
      </c>
      <c r="I31" s="174"/>
      <c r="J31" s="597" t="s">
        <v>138</v>
      </c>
      <c r="K31" s="597"/>
      <c r="L31" s="562" t="s">
        <v>116</v>
      </c>
      <c r="M31" s="457">
        <f>IF(M25="","",S82)</f>
        <v>2.7120000000000002</v>
      </c>
      <c r="N31" s="121"/>
      <c r="O31" s="628" t="s">
        <v>135</v>
      </c>
      <c r="P31" s="629"/>
      <c r="Q31" s="122">
        <f>Q30/(1+Q40/100)</f>
        <v>1.8946783060218513</v>
      </c>
      <c r="R31" s="122">
        <f>R30/(1+R40/100)</f>
        <v>1.7830619655737445</v>
      </c>
      <c r="S31" s="123">
        <f>S30/(1+S40/100)</f>
        <v>1.7314730686415336</v>
      </c>
      <c r="T31" s="174"/>
      <c r="U31" s="627">
        <v>0.17499999999999999</v>
      </c>
      <c r="V31" s="624">
        <f>U31*25.4</f>
        <v>4.4449999999999994</v>
      </c>
      <c r="W31" s="593">
        <f>AI29</f>
        <v>1.907</v>
      </c>
      <c r="X31" s="594"/>
      <c r="Y31" s="439">
        <f>((W31/19.32)*10)</f>
        <v>0.98706004140786741</v>
      </c>
      <c r="Z31" s="440"/>
      <c r="AA31" s="593">
        <f>AJ29</f>
        <v>1.2546052631578948</v>
      </c>
      <c r="AB31" s="594"/>
      <c r="AC31" s="439">
        <f>((AA31/19.32)*10)</f>
        <v>0.64938160618938656</v>
      </c>
      <c r="AD31" s="440"/>
      <c r="AE31" s="593">
        <f>AK29</f>
        <v>0.94095394736842108</v>
      </c>
      <c r="AF31" s="594"/>
      <c r="AG31" s="443">
        <f>((AE31/19.32)*10)</f>
        <v>0.48703620464203989</v>
      </c>
      <c r="AH31" s="104"/>
      <c r="AI31" s="42">
        <f t="shared" si="0"/>
        <v>2.63</v>
      </c>
      <c r="AJ31" s="42">
        <f t="shared" si="1"/>
        <v>1.7302631578947367</v>
      </c>
      <c r="AK31" s="42">
        <f t="shared" si="2"/>
        <v>1.2976973684210527</v>
      </c>
      <c r="AO31" s="42">
        <v>5.516</v>
      </c>
      <c r="AS31" s="42">
        <f t="shared" si="3"/>
        <v>4.4845528455284551</v>
      </c>
    </row>
    <row r="32" spans="1:45" ht="5.0999999999999996" customHeight="1" thickBot="1" x14ac:dyDescent="0.3">
      <c r="A32" s="103"/>
      <c r="B32" s="612" t="s">
        <v>75</v>
      </c>
      <c r="C32" s="613"/>
      <c r="D32" s="614"/>
      <c r="E32" s="618">
        <v>34</v>
      </c>
      <c r="F32" s="618">
        <v>37.29</v>
      </c>
      <c r="G32" s="618">
        <v>38.840000000000003</v>
      </c>
      <c r="H32" s="620">
        <v>34.909999999999997</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3.0529999999999999</v>
      </c>
      <c r="AJ32" s="42">
        <f t="shared" si="1"/>
        <v>2.0085526315789473</v>
      </c>
      <c r="AK32" s="42">
        <f t="shared" si="2"/>
        <v>1.5064144736842104</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2.097</v>
      </c>
      <c r="X33" s="582"/>
      <c r="Y33" s="449">
        <f>((W33/19.32)*10)</f>
        <v>1.0854037267080745</v>
      </c>
      <c r="Z33" s="450"/>
      <c r="AA33" s="581">
        <f>AJ30</f>
        <v>1.3796052631578948</v>
      </c>
      <c r="AB33" s="582"/>
      <c r="AC33" s="449">
        <f>((AA33/19.32)*10)</f>
        <v>0.71408139915004898</v>
      </c>
      <c r="AD33" s="450"/>
      <c r="AE33" s="581">
        <f>AK30</f>
        <v>1.034703947368421</v>
      </c>
      <c r="AF33" s="582"/>
      <c r="AG33" s="144">
        <f>((AE33/19.32)*10)</f>
        <v>0.53556104936253668</v>
      </c>
      <c r="AH33" s="104"/>
      <c r="AI33" s="42">
        <f t="shared" si="0"/>
        <v>3.4860000000000002</v>
      </c>
      <c r="AJ33" s="42">
        <f t="shared" si="1"/>
        <v>2.293421052631579</v>
      </c>
      <c r="AK33" s="42">
        <f t="shared" si="2"/>
        <v>1.7200657894736842</v>
      </c>
      <c r="AO33" s="42">
        <v>7.7720000000000002</v>
      </c>
      <c r="AS33" s="42">
        <f t="shared" si="3"/>
        <v>6.3186991869918705</v>
      </c>
    </row>
    <row r="34" spans="1:45" ht="24.95" customHeight="1" thickBot="1" x14ac:dyDescent="0.3">
      <c r="A34" s="103"/>
      <c r="B34" s="602" t="s">
        <v>10</v>
      </c>
      <c r="C34" s="603"/>
      <c r="D34" s="603"/>
      <c r="E34" s="125">
        <f>((E29-E31)/(E31-E32))*100</f>
        <v>6.5092152128702274</v>
      </c>
      <c r="F34" s="125">
        <f>((F29-F31)/(F31-F32))*100</f>
        <v>8.3707277573467387</v>
      </c>
      <c r="G34" s="125">
        <f>((G29-G31)/(G31-G32))*100</f>
        <v>10.701213638990561</v>
      </c>
      <c r="H34" s="126">
        <f>((H29-H31)/(H31-H32))*100</f>
        <v>12.129817998115797</v>
      </c>
      <c r="I34" s="174"/>
      <c r="J34" s="630" t="s">
        <v>125</v>
      </c>
      <c r="K34" s="630"/>
      <c r="L34" s="184" t="s">
        <v>126</v>
      </c>
      <c r="M34" s="245">
        <v>2.7</v>
      </c>
      <c r="N34" s="128"/>
      <c r="O34" s="631" t="s">
        <v>9</v>
      </c>
      <c r="P34" s="632"/>
      <c r="Q34" s="156">
        <v>374</v>
      </c>
      <c r="R34" s="156">
        <v>676</v>
      </c>
      <c r="S34" s="157">
        <v>666</v>
      </c>
      <c r="T34" s="174"/>
      <c r="U34" s="120">
        <v>0.3</v>
      </c>
      <c r="V34" s="113">
        <f>U34*25.4</f>
        <v>7.6199999999999992</v>
      </c>
      <c r="W34" s="581">
        <f>AI31</f>
        <v>2.63</v>
      </c>
      <c r="X34" s="582"/>
      <c r="Y34" s="449">
        <f>((W34/19.32)*10)</f>
        <v>1.3612836438923395</v>
      </c>
      <c r="Z34" s="450"/>
      <c r="AA34" s="449">
        <v>1.73</v>
      </c>
      <c r="AB34" s="450"/>
      <c r="AC34" s="449">
        <f>((AA34/19.32)*10)</f>
        <v>0.89544513457556929</v>
      </c>
      <c r="AD34" s="450"/>
      <c r="AE34" s="581">
        <f>AK31</f>
        <v>1.2976973684210527</v>
      </c>
      <c r="AF34" s="582"/>
      <c r="AG34" s="114">
        <f>((AE34/19.32)*10)</f>
        <v>0.67168600849950966</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727.18</v>
      </c>
      <c r="R35" s="608">
        <v>908.46</v>
      </c>
      <c r="S35" s="610">
        <v>865.78</v>
      </c>
      <c r="T35" s="174"/>
      <c r="U35" s="627">
        <v>0.4</v>
      </c>
      <c r="V35" s="624">
        <f>U35*25.4</f>
        <v>10.16</v>
      </c>
      <c r="W35" s="593">
        <f>AI32</f>
        <v>3.0529999999999999</v>
      </c>
      <c r="X35" s="594"/>
      <c r="Y35" s="439">
        <f>((W35/19.32)*10)</f>
        <v>1.5802277432712213</v>
      </c>
      <c r="Z35" s="440"/>
      <c r="AA35" s="593">
        <f>AJ32</f>
        <v>2.0085526315789473</v>
      </c>
      <c r="AB35" s="594"/>
      <c r="AC35" s="439">
        <f>(AA35/19.32)*10</f>
        <v>1.039623515310014</v>
      </c>
      <c r="AD35" s="440"/>
      <c r="AE35" s="593">
        <v>1.4984999999999999</v>
      </c>
      <c r="AF35" s="594"/>
      <c r="AG35" s="443">
        <f>((AE35/19.32)*10)</f>
        <v>0.77562111801242228</v>
      </c>
      <c r="AH35" s="104"/>
      <c r="AS35" s="42">
        <f t="shared" si="3"/>
        <v>0</v>
      </c>
    </row>
    <row r="36" spans="1:45" ht="20.100000000000001" customHeight="1" thickBot="1" x14ac:dyDescent="0.3">
      <c r="A36" s="103"/>
      <c r="B36" s="639" t="s">
        <v>71</v>
      </c>
      <c r="C36" s="640"/>
      <c r="D36" s="640"/>
      <c r="E36" s="130">
        <f>E25/E24</f>
        <v>1.8072625698324023</v>
      </c>
      <c r="F36" s="130">
        <f>F25/F24</f>
        <v>2.0418994413407821</v>
      </c>
      <c r="G36" s="130">
        <f>G25/G24</f>
        <v>2.0772811918063314</v>
      </c>
      <c r="H36" s="131">
        <f>H25/H24</f>
        <v>1.9073556797020483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1.6968133379073276</v>
      </c>
      <c r="F37" s="230">
        <f>F36/(1+F34/100)</f>
        <v>1.8841798736581397</v>
      </c>
      <c r="G37" s="230">
        <f>G36/(1+G34/100)</f>
        <v>1.8764755358334055</v>
      </c>
      <c r="H37" s="123">
        <f>H36/(1+H34/100)</f>
        <v>1.701024503343169</v>
      </c>
      <c r="I37" s="174"/>
      <c r="J37" s="641" t="s">
        <v>139</v>
      </c>
      <c r="K37" s="641"/>
      <c r="L37" s="643" t="s">
        <v>121</v>
      </c>
      <c r="M37" s="433">
        <f>IF(F74="","",(M42^2*F74+M42*F75+F76))</f>
        <v>1.9172967509025272</v>
      </c>
      <c r="N37" s="101"/>
      <c r="O37" s="576" t="s">
        <v>28</v>
      </c>
      <c r="P37" s="577"/>
      <c r="Q37" s="150">
        <v>670.67</v>
      </c>
      <c r="R37" s="152">
        <v>830</v>
      </c>
      <c r="S37" s="153">
        <v>791.32</v>
      </c>
      <c r="T37" s="174"/>
      <c r="U37" s="132">
        <v>0.5</v>
      </c>
      <c r="V37" s="133">
        <f>U37*25.4</f>
        <v>12.7</v>
      </c>
      <c r="W37" s="637">
        <f>AI33</f>
        <v>3.4860000000000002</v>
      </c>
      <c r="X37" s="638"/>
      <c r="Y37" s="431">
        <f>((W37/19.32)*10)</f>
        <v>1.8043478260869565</v>
      </c>
      <c r="Z37" s="432"/>
      <c r="AA37" s="637">
        <f>AJ33</f>
        <v>2.293421052631579</v>
      </c>
      <c r="AB37" s="638"/>
      <c r="AC37" s="431">
        <f>((AA37/19.32)*10)</f>
        <v>1.187070938215103</v>
      </c>
      <c r="AD37" s="432"/>
      <c r="AE37" s="637">
        <v>1.6789000000000001</v>
      </c>
      <c r="AF37" s="638"/>
      <c r="AG37" s="134">
        <f>((AE37/19.32)*10)</f>
        <v>0.86899585921325062</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100.64</v>
      </c>
      <c r="R38" s="647">
        <v>39.909999999999997</v>
      </c>
      <c r="S38" s="648">
        <v>35.369999999999997</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18.808681126353793</v>
      </c>
      <c r="N40" s="103"/>
      <c r="O40" s="628" t="s">
        <v>10</v>
      </c>
      <c r="P40" s="629"/>
      <c r="Q40" s="125">
        <f>((Q35-Q37)/(Q37-Q38))*100</f>
        <v>9.9135133238601476</v>
      </c>
      <c r="R40" s="125">
        <f>((R35-R37)/(R37-R38))*100</f>
        <v>9.9305142452125761</v>
      </c>
      <c r="S40" s="126">
        <f>((S35-S37)/(S37-S38))*100</f>
        <v>9.84985779482769</v>
      </c>
      <c r="T40" s="174"/>
      <c r="U40" s="645" t="s">
        <v>151</v>
      </c>
      <c r="V40" s="646"/>
      <c r="W40" s="423">
        <f>(AM79/6.9)*100</f>
        <v>10.779548114141686</v>
      </c>
      <c r="X40" s="423"/>
      <c r="Y40" s="423"/>
      <c r="Z40" s="424"/>
      <c r="AA40" s="425">
        <f>(AO79/6.9)*100</f>
        <v>7.0918079698300565</v>
      </c>
      <c r="AB40" s="426"/>
      <c r="AC40" s="427"/>
      <c r="AD40" s="425">
        <f>(AQ79/6.9)*100</f>
        <v>4.6844150388573818</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10.537900259301693</v>
      </c>
      <c r="X41" s="418"/>
      <c r="Y41" s="418"/>
      <c r="Z41" s="419"/>
      <c r="AA41" s="420">
        <f>(AO83/10.3)*100</f>
        <v>6.9328291179616404</v>
      </c>
      <c r="AB41" s="421"/>
      <c r="AC41" s="418"/>
      <c r="AD41" s="420">
        <f>(AQ83/10.3)*100</f>
        <v>5.1996218384712289</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9.3501805054151639</v>
      </c>
      <c r="N42" s="103"/>
      <c r="O42" s="639" t="s">
        <v>9</v>
      </c>
      <c r="P42" s="640"/>
      <c r="Q42" s="148">
        <v>331</v>
      </c>
      <c r="R42" s="148">
        <v>650</v>
      </c>
      <c r="S42" s="149">
        <v>665</v>
      </c>
      <c r="T42" s="174"/>
      <c r="U42" s="651" t="s">
        <v>42</v>
      </c>
      <c r="V42" s="652"/>
      <c r="W42" s="413">
        <f>IF(W40&lt;W41,W40,W41)</f>
        <v>10.537900259301693</v>
      </c>
      <c r="X42" s="414"/>
      <c r="Y42" s="414"/>
      <c r="Z42" s="415"/>
      <c r="AA42" s="416">
        <f>IF(AA40&lt;AA41,AA40,AA41)</f>
        <v>6.9328291179616404</v>
      </c>
      <c r="AB42" s="414"/>
      <c r="AC42" s="415"/>
      <c r="AD42" s="416">
        <f>IF(AD40&lt;AD41,AD40,AD41)</f>
        <v>4.6844150388573818</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18">
        <v>1086.9000000000001</v>
      </c>
      <c r="R43" s="608">
        <v>978.66</v>
      </c>
      <c r="S43" s="610">
        <v>807.24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979.28</v>
      </c>
      <c r="R45" s="150">
        <v>835.62</v>
      </c>
      <c r="S45" s="151">
        <v>675.38</v>
      </c>
      <c r="T45" s="174"/>
      <c r="U45" s="656" t="s">
        <v>139</v>
      </c>
      <c r="V45" s="656"/>
      <c r="W45" s="179" t="s">
        <v>121</v>
      </c>
      <c r="X45" s="406">
        <f>MAX(M37:M39)</f>
        <v>1.9172967509025272</v>
      </c>
      <c r="Y45" s="406"/>
      <c r="Z45" s="406"/>
      <c r="AA45" s="174"/>
      <c r="AB45" s="657" t="s">
        <v>31</v>
      </c>
      <c r="AC45" s="658"/>
      <c r="AD45" s="658"/>
      <c r="AE45" s="658"/>
      <c r="AF45" s="231">
        <v>8.8499999999999995E-2</v>
      </c>
      <c r="AG45" s="231">
        <v>6.7890000000000006E-2</v>
      </c>
      <c r="AH45" s="233">
        <v>0.1198</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83.95</v>
      </c>
      <c r="R46" s="152">
        <v>36.549999999999997</v>
      </c>
      <c r="S46" s="153">
        <v>36.31</v>
      </c>
      <c r="T46" s="174"/>
      <c r="U46" s="555" t="s">
        <v>123</v>
      </c>
      <c r="V46" s="555"/>
      <c r="W46" s="179" t="s">
        <v>41</v>
      </c>
      <c r="X46" s="401">
        <f>MIN(M42:M44)</f>
        <v>9.3501805054151639</v>
      </c>
      <c r="Y46" s="401"/>
      <c r="Z46" s="401"/>
      <c r="AA46" s="174"/>
      <c r="AB46" s="660" t="s">
        <v>32</v>
      </c>
      <c r="AC46" s="661"/>
      <c r="AD46" s="661"/>
      <c r="AE46" s="661"/>
      <c r="AF46" s="234">
        <v>0.17849999999999999</v>
      </c>
      <c r="AG46" s="234">
        <v>0.1245</v>
      </c>
      <c r="AH46" s="235">
        <v>0.16980000000000001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12.020148995342513</v>
      </c>
      <c r="R47" s="125">
        <f>((R43-R45)/(R45-R46))*100</f>
        <v>17.900809691266094</v>
      </c>
      <c r="S47" s="126">
        <f>((S43-S45)/(S45-S46))*100</f>
        <v>20.633107484313147</v>
      </c>
      <c r="T47" s="174"/>
      <c r="U47" s="555" t="s">
        <v>162</v>
      </c>
      <c r="V47" s="555"/>
      <c r="W47" s="179" t="s">
        <v>41</v>
      </c>
      <c r="X47" s="402">
        <f>IF(L25=D103,"-",IF(L25=D102,"-",IF(L25=D101,M25)))</f>
        <v>0</v>
      </c>
      <c r="Y47" s="402"/>
      <c r="Z47" s="402"/>
      <c r="AA47" s="174"/>
      <c r="AB47" s="662" t="s">
        <v>33</v>
      </c>
      <c r="AC47" s="663"/>
      <c r="AD47" s="663"/>
      <c r="AE47" s="663"/>
      <c r="AF47" s="232">
        <f>(AF46-AF45)*2.54</f>
        <v>0.2286</v>
      </c>
      <c r="AG47" s="232">
        <f>(AG46-AG45)*2.54</f>
        <v>0.14378939999999998</v>
      </c>
      <c r="AH47" s="239">
        <f>(AH46-AH45)*2.54</f>
        <v>0.127</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1.9672977624784853</v>
      </c>
      <c r="AG48" s="142">
        <f>IF(AG47&lt;&gt;"",IF(R24&lt;&gt;"",AG47/R24*100,""),"")</f>
        <v>1.2342437768240342</v>
      </c>
      <c r="AH48" s="173">
        <f>IF(AH47&lt;&gt;"",IF(S24&lt;&gt;"",AH47/S24*100,""),"")</f>
        <v>1.1043478260869566</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0.83399999999999996</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0.96699999999999997</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1.145</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1.3089999999999999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1.4370000000000001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1.5580000000000001</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1.72</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1.907</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2.097</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2.63</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3.0529999999999999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3.4860000000000002</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-2.7699999999999999E-2</v>
      </c>
      <c r="G74" s="75">
        <v>-0.12509999999999999</v>
      </c>
      <c r="J74" s="701"/>
      <c r="K74" s="702"/>
      <c r="L74" s="44"/>
      <c r="M74" s="44"/>
      <c r="N74" s="44"/>
    </row>
    <row r="75" spans="1:94" ht="26.25" customHeight="1" thickBot="1" x14ac:dyDescent="0.3">
      <c r="A75" s="11"/>
      <c r="B75" s="377" t="s">
        <v>113</v>
      </c>
      <c r="C75" s="377"/>
      <c r="D75" s="19"/>
      <c r="E75" s="54" t="s">
        <v>12</v>
      </c>
      <c r="F75" s="55">
        <v>0.51800000000000002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-0.50439999999999996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0.67800000000000005</v>
      </c>
      <c r="AM76" s="3">
        <f t="shared" si="4"/>
        <v>0.35093167701863354</v>
      </c>
      <c r="AN76" s="5">
        <f>AA23</f>
        <v>0.498</v>
      </c>
      <c r="AO76" s="3">
        <f t="shared" ref="AO76:AO86" si="7">((AN76/19.32)*10)</f>
        <v>0.25776397515527949</v>
      </c>
      <c r="AP76" s="5">
        <f>AE23</f>
        <v>0.20349999999999999</v>
      </c>
      <c r="AQ76" s="161">
        <f t="shared" si="5"/>
        <v>0.10533126293995859</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1.145</v>
      </c>
      <c r="AM77" s="3">
        <f t="shared" si="4"/>
        <v>0.59265010351966874</v>
      </c>
      <c r="AN77" s="5">
        <f>AA24</f>
        <v>0.75328947368421051</v>
      </c>
      <c r="AO77" s="3">
        <f t="shared" si="7"/>
        <v>0.38990138389451889</v>
      </c>
      <c r="AP77" s="5">
        <f>AE24</f>
        <v>0.3987</v>
      </c>
      <c r="AQ77" s="161">
        <f t="shared" si="5"/>
        <v>0.20636645962732919</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1.3089999999999999</v>
      </c>
      <c r="AM78" s="3">
        <f t="shared" si="4"/>
        <v>0.67753623188405787</v>
      </c>
      <c r="AN78" s="5">
        <f>AA25</f>
        <v>0.86118421052631577</v>
      </c>
      <c r="AO78" s="3">
        <f t="shared" si="7"/>
        <v>0.44574752097635389</v>
      </c>
      <c r="AP78" s="5">
        <f>AE25</f>
        <v>0.51400000000000001</v>
      </c>
      <c r="AQ78" s="161">
        <f t="shared" si="5"/>
        <v>0.26604554865424435</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1.4370000000000001</v>
      </c>
      <c r="AM79" s="4">
        <f t="shared" si="4"/>
        <v>0.74378881987577639</v>
      </c>
      <c r="AN79" s="5">
        <f>AA26</f>
        <v>0.94539473684210529</v>
      </c>
      <c r="AO79" s="4">
        <f t="shared" si="7"/>
        <v>0.48933474991827397</v>
      </c>
      <c r="AP79" s="5">
        <f>AE26</f>
        <v>0.62446999999999997</v>
      </c>
      <c r="AQ79" s="162">
        <f t="shared" si="5"/>
        <v>0.32322463768115939</v>
      </c>
      <c r="BB79" s="12">
        <v>17</v>
      </c>
      <c r="BC79" s="12">
        <v>18</v>
      </c>
    </row>
    <row r="80" spans="1:94" ht="42" customHeight="1" thickTop="1" thickBot="1" x14ac:dyDescent="0.3">
      <c r="D80" s="49"/>
      <c r="H80" s="711" t="s">
        <v>105</v>
      </c>
      <c r="I80" s="712"/>
      <c r="J80" s="58"/>
      <c r="AJ80" s="160">
        <f>U28</f>
        <v>0.125</v>
      </c>
      <c r="AK80" s="3">
        <f t="shared" si="6"/>
        <v>3.1749999999999998</v>
      </c>
      <c r="AL80" s="5">
        <f>W28</f>
        <v>1.589</v>
      </c>
      <c r="AM80" s="3">
        <f t="shared" si="4"/>
        <v>0.82246376811594202</v>
      </c>
      <c r="AN80" s="5">
        <f>AA28</f>
        <v>1.0249999999999999</v>
      </c>
      <c r="AO80" s="3">
        <f t="shared" si="7"/>
        <v>0.53053830227743259</v>
      </c>
      <c r="AP80" s="5">
        <f>AE28</f>
        <v>0.76874999999999993</v>
      </c>
      <c r="AQ80" s="161">
        <f t="shared" si="5"/>
        <v>0.3979037267080745</v>
      </c>
      <c r="BC80" s="45">
        <v>0.99880400000000003</v>
      </c>
      <c r="BD80" s="45">
        <v>0.99862499999999998</v>
      </c>
    </row>
    <row r="81" spans="2:43" ht="15.75" customHeight="1" x14ac:dyDescent="0.25">
      <c r="AJ81" s="160">
        <f>U30</f>
        <v>0.15</v>
      </c>
      <c r="AK81" s="3">
        <f t="shared" si="6"/>
        <v>3.8099999999999996</v>
      </c>
      <c r="AL81" s="5">
        <f>W30</f>
        <v>1.7548999999999999</v>
      </c>
      <c r="AM81" s="3">
        <f t="shared" si="4"/>
        <v>0.90833333333333321</v>
      </c>
      <c r="AN81" s="5">
        <f>AA30</f>
        <v>1.131578947368421</v>
      </c>
      <c r="AO81" s="3">
        <f t="shared" si="7"/>
        <v>0.5857033889070502</v>
      </c>
      <c r="AP81" s="5">
        <f>AE30</f>
        <v>0.84868421052631571</v>
      </c>
      <c r="AQ81" s="161">
        <f t="shared" si="5"/>
        <v>0.43927754168028765</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1.907</v>
      </c>
      <c r="AM82" s="3">
        <f t="shared" si="4"/>
        <v>0.98706004140786741</v>
      </c>
      <c r="AN82" s="5">
        <f>AA31</f>
        <v>1.2546052631578948</v>
      </c>
      <c r="AO82" s="3">
        <f t="shared" si="7"/>
        <v>0.64938160618938656</v>
      </c>
      <c r="AP82" s="5">
        <f>AE31</f>
        <v>0.94095394736842108</v>
      </c>
      <c r="AQ82" s="161">
        <f t="shared" si="5"/>
        <v>0.48703620464203989</v>
      </c>
    </row>
    <row r="83" spans="2:43" ht="15" customHeight="1" x14ac:dyDescent="0.25">
      <c r="B83" s="49"/>
      <c r="C83" s="49"/>
      <c r="D83" s="49">
        <v>0</v>
      </c>
      <c r="E83" s="50">
        <f>M42</f>
        <v>9.3501805054151639</v>
      </c>
      <c r="F83" s="49"/>
      <c r="G83" s="43">
        <f>G84/10</f>
        <v>2.2527771032284165</v>
      </c>
      <c r="H83" s="43">
        <f>H84/10</f>
        <v>2.1604234527776942</v>
      </c>
      <c r="I83" s="43">
        <f>I84/10</f>
        <v>2.0549559024638127</v>
      </c>
      <c r="J83" s="43">
        <f>J84/10</f>
        <v>1.9952465930526049</v>
      </c>
      <c r="K83" s="43"/>
      <c r="L83" s="42">
        <v>0</v>
      </c>
      <c r="O83" s="706"/>
      <c r="P83" s="706"/>
      <c r="Q83" s="706"/>
      <c r="R83" s="706"/>
      <c r="S83" s="707"/>
      <c r="W83" s="112"/>
      <c r="AJ83" s="160">
        <f>U33</f>
        <v>0.2</v>
      </c>
      <c r="AK83" s="4">
        <f t="shared" si="6"/>
        <v>5.08</v>
      </c>
      <c r="AL83" s="5">
        <f>W33</f>
        <v>2.097</v>
      </c>
      <c r="AM83" s="4">
        <f t="shared" si="4"/>
        <v>1.0854037267080745</v>
      </c>
      <c r="AN83" s="5">
        <f>AA33</f>
        <v>1.3796052631578948</v>
      </c>
      <c r="AO83" s="4">
        <f t="shared" si="7"/>
        <v>0.71408139915004898</v>
      </c>
      <c r="AP83" s="5">
        <f>AE33</f>
        <v>1.034703947368421</v>
      </c>
      <c r="AQ83" s="162">
        <f t="shared" si="5"/>
        <v>0.53556104936253668</v>
      </c>
    </row>
    <row r="84" spans="2:43" ht="15" customHeight="1" x14ac:dyDescent="0.25">
      <c r="C84" s="94"/>
      <c r="D84" s="94"/>
      <c r="E84" s="94"/>
      <c r="F84" s="49"/>
      <c r="G84" s="43">
        <f>($M$34/(1+(E34*$M$34/100)))*($O$73)</f>
        <v>22.527771032284164</v>
      </c>
      <c r="H84" s="43">
        <f>($M$34/(1+(F34*$M$34/100)))*($O$73)</f>
        <v>21.604234527776942</v>
      </c>
      <c r="I84" s="43">
        <f>($M$34/(1+(G34*$M$34/100)))*($O$73)</f>
        <v>20.549559024638128</v>
      </c>
      <c r="J84" s="43">
        <f>($M$34/(1+(H34*$M$34/100)))*($O$73)</f>
        <v>19.952465930526049</v>
      </c>
      <c r="K84" s="43"/>
      <c r="O84" s="706" t="s">
        <v>146</v>
      </c>
      <c r="P84" s="706"/>
      <c r="Q84" s="706"/>
      <c r="R84" s="706"/>
      <c r="S84" s="707">
        <v>2240</v>
      </c>
      <c r="W84" s="112"/>
      <c r="AJ84" s="160">
        <f>U34</f>
        <v>0.3</v>
      </c>
      <c r="AK84" s="3">
        <f t="shared" si="6"/>
        <v>7.6199999999999992</v>
      </c>
      <c r="AL84" s="5">
        <f>W34</f>
        <v>2.63</v>
      </c>
      <c r="AM84" s="3">
        <f t="shared" si="4"/>
        <v>1.3612836438923395</v>
      </c>
      <c r="AN84" s="5">
        <f>AA34</f>
        <v>1.73</v>
      </c>
      <c r="AO84" s="3">
        <f t="shared" si="7"/>
        <v>0.89544513457556929</v>
      </c>
      <c r="AP84" s="5">
        <f>AE34</f>
        <v>1.2976973684210527</v>
      </c>
      <c r="AQ84" s="161">
        <f t="shared" si="5"/>
        <v>0.67168600849950966</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3.0529999999999999</v>
      </c>
      <c r="AM85" s="3">
        <f t="shared" si="4"/>
        <v>1.5802277432712213</v>
      </c>
      <c r="AN85" s="5">
        <f>AA35</f>
        <v>2.0085526315789473</v>
      </c>
      <c r="AO85" s="3">
        <f t="shared" si="7"/>
        <v>1.039623515310014</v>
      </c>
      <c r="AP85" s="5">
        <f>AE35</f>
        <v>1.4984999999999999</v>
      </c>
      <c r="AQ85" s="161">
        <f>((AP85/19.32)*10)</f>
        <v>0.77562111801242228</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3.4860000000000002</v>
      </c>
      <c r="AM86" s="164">
        <f t="shared" si="4"/>
        <v>1.8043478260869565</v>
      </c>
      <c r="AN86" s="165">
        <f>AA37</f>
        <v>2.293421052631579</v>
      </c>
      <c r="AO86" s="164">
        <f t="shared" si="7"/>
        <v>1.187070938215103</v>
      </c>
      <c r="AP86" s="165">
        <f>AE37</f>
        <v>1.6789000000000001</v>
      </c>
      <c r="AQ86" s="166">
        <f>((AP86/19.32)*10)</f>
        <v>0.86899585921325062</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1.8946783060218513</v>
      </c>
      <c r="AK91" s="9">
        <f>R31</f>
        <v>1.7830619655737445</v>
      </c>
      <c r="AL91" s="10">
        <f>S31</f>
        <v>1.7314730686415336</v>
      </c>
    </row>
    <row r="92" spans="2:43" ht="21" customHeight="1" thickBot="1" x14ac:dyDescent="0.3">
      <c r="B92" s="92"/>
      <c r="C92" s="93"/>
      <c r="D92" s="93"/>
      <c r="E92" s="93"/>
      <c r="F92" s="62"/>
      <c r="G92" s="63"/>
      <c r="H92" s="49"/>
      <c r="I92" s="49"/>
      <c r="O92" s="725" t="s">
        <v>147</v>
      </c>
      <c r="P92" s="726"/>
      <c r="Q92" s="726"/>
      <c r="R92" s="726"/>
      <c r="S92" s="61">
        <f>M42</f>
        <v>9.3501805054151639</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10.537900259301693</v>
      </c>
      <c r="AK94" s="158">
        <f>AA42</f>
        <v>6.9328291179616404</v>
      </c>
      <c r="AL94" s="158">
        <f>AD42</f>
        <v>4.6844150388573818</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581" priority="47">
      <formula>LEN(TRIM(D6))=0</formula>
    </cfRule>
  </conditionalFormatting>
  <conditionalFormatting sqref="D6:H10">
    <cfRule type="containsBlanks" dxfId="1580" priority="46">
      <formula>LEN(TRIM(D6))=0</formula>
    </cfRule>
  </conditionalFormatting>
  <conditionalFormatting sqref="M19">
    <cfRule type="containsBlanks" dxfId="1579" priority="45">
      <formula>LEN(TRIM(M19))=0</formula>
    </cfRule>
  </conditionalFormatting>
  <conditionalFormatting sqref="CP70">
    <cfRule type="containsBlanks" dxfId="1578" priority="44">
      <formula>LEN(TRIM(CP70))=0</formula>
    </cfRule>
  </conditionalFormatting>
  <conditionalFormatting sqref="M21">
    <cfRule type="containsBlanks" dxfId="1577" priority="43">
      <formula>LEN(TRIM(M21))=0</formula>
    </cfRule>
  </conditionalFormatting>
  <conditionalFormatting sqref="D12:M12">
    <cfRule type="containsBlanks" dxfId="1576" priority="42">
      <formula>LEN(TRIM(D12))=0</formula>
    </cfRule>
  </conditionalFormatting>
  <conditionalFormatting sqref="L9:M9">
    <cfRule type="containsBlanks" dxfId="1575" priority="41">
      <formula>LEN(TRIM(L9))=0</formula>
    </cfRule>
  </conditionalFormatting>
  <conditionalFormatting sqref="L25">
    <cfRule type="containsBlanks" dxfId="1574" priority="40">
      <formula>LEN(TRIM(L25))=0</formula>
    </cfRule>
  </conditionalFormatting>
  <conditionalFormatting sqref="Q20:S21">
    <cfRule type="containsBlanks" dxfId="1573" priority="33">
      <formula>LEN(TRIM(Q20))=0</formula>
    </cfRule>
    <cfRule type="containsBlanks" dxfId="1572" priority="39">
      <formula>LEN(TRIM(Q20))=0</formula>
    </cfRule>
  </conditionalFormatting>
  <conditionalFormatting sqref="U26:V27 AC33 AC26">
    <cfRule type="cellIs" dxfId="1571" priority="38" operator="between">
      <formula>0</formula>
      <formula>500</formula>
    </cfRule>
  </conditionalFormatting>
  <conditionalFormatting sqref="U33:V33">
    <cfRule type="cellIs" dxfId="1570" priority="37" operator="between">
      <formula>0</formula>
      <formula>500</formula>
    </cfRule>
  </conditionalFormatting>
  <conditionalFormatting sqref="AF45:AH46">
    <cfRule type="containsBlanks" dxfId="1569" priority="36">
      <formula>LEN(TRIM(AF45))=0</formula>
    </cfRule>
  </conditionalFormatting>
  <conditionalFormatting sqref="AF51:AG53">
    <cfRule type="containsBlanks" dxfId="1568" priority="35">
      <formula>LEN(TRIM(AF51))=0</formula>
    </cfRule>
  </conditionalFormatting>
  <conditionalFormatting sqref="E20:H24">
    <cfRule type="containsBlanks" dxfId="1567" priority="34">
      <formula>LEN(TRIM(E20))=0</formula>
    </cfRule>
  </conditionalFormatting>
  <conditionalFormatting sqref="M25">
    <cfRule type="containsBlanks" dxfId="1566" priority="32">
      <formula>LEN(TRIM(M25))=0</formula>
    </cfRule>
  </conditionalFormatting>
  <conditionalFormatting sqref="U26:V27 Y26:Z27 AC26:AD27 AG26:AG27">
    <cfRule type="containsBlanks" dxfId="1565" priority="30">
      <formula>LEN(TRIM(U26))=0</formula>
    </cfRule>
    <cfRule type="cellIs" dxfId="1564" priority="31" operator="between">
      <formula>0</formula>
      <formula>1000</formula>
    </cfRule>
  </conditionalFormatting>
  <conditionalFormatting sqref="W87:W88">
    <cfRule type="cellIs" dxfId="1563" priority="29" operator="between">
      <formula>0</formula>
      <formula>500</formula>
    </cfRule>
  </conditionalFormatting>
  <conditionalFormatting sqref="W94">
    <cfRule type="cellIs" dxfId="1562" priority="28" operator="between">
      <formula>0</formula>
      <formula>500</formula>
    </cfRule>
  </conditionalFormatting>
  <conditionalFormatting sqref="W87:W88">
    <cfRule type="containsBlanks" dxfId="1561" priority="26">
      <formula>LEN(TRIM(W87))=0</formula>
    </cfRule>
    <cfRule type="cellIs" dxfId="1560" priority="27" operator="between">
      <formula>0</formula>
      <formula>1000</formula>
    </cfRule>
  </conditionalFormatting>
  <conditionalFormatting sqref="U33:V33 Y33:Z33 AC33:AD33 AG33">
    <cfRule type="cellIs" dxfId="1559" priority="25" operator="between">
      <formula>0</formula>
      <formula>1000</formula>
    </cfRule>
  </conditionalFormatting>
  <conditionalFormatting sqref="Q27:S27">
    <cfRule type="containsBlanks" dxfId="1558" priority="23">
      <formula>LEN(TRIM(Q27))=0</formula>
    </cfRule>
    <cfRule type="containsBlanks" dxfId="1557" priority="24">
      <formula>LEN(TRIM(Q27))=0</formula>
    </cfRule>
  </conditionalFormatting>
  <conditionalFormatting sqref="W30:W31 W33:W35 W37 W28 W22:W26">
    <cfRule type="containsBlanks" dxfId="1556" priority="22">
      <formula>LEN(TRIM(W22))=0</formula>
    </cfRule>
  </conditionalFormatting>
  <conditionalFormatting sqref="W37 W30:W31 W33:W35 W28 W22:W26">
    <cfRule type="containsBlanks" dxfId="1555" priority="21">
      <formula>LEN(TRIM(W22))=0</formula>
    </cfRule>
  </conditionalFormatting>
  <conditionalFormatting sqref="W33:X33">
    <cfRule type="cellIs" dxfId="1554" priority="20" operator="between">
      <formula>0</formula>
      <formula>1000</formula>
    </cfRule>
  </conditionalFormatting>
  <conditionalFormatting sqref="W30:X37 W26 W28 W22:X25">
    <cfRule type="containsBlanks" dxfId="1553" priority="19">
      <formula>LEN(TRIM(W22))=0</formula>
    </cfRule>
  </conditionalFormatting>
  <conditionalFormatting sqref="AA37 AA30:AA31 AA33 AA22:AA26 AA28 AA35">
    <cfRule type="containsBlanks" dxfId="1552" priority="18">
      <formula>LEN(TRIM(AA22))=0</formula>
    </cfRule>
  </conditionalFormatting>
  <conditionalFormatting sqref="AA37 AA30:AA31 AA33 AA22:AA26 AA28 AA35">
    <cfRule type="containsBlanks" dxfId="1551" priority="17">
      <formula>LEN(TRIM(AA22))=0</formula>
    </cfRule>
  </conditionalFormatting>
  <conditionalFormatting sqref="AA33:AB33">
    <cfRule type="cellIs" dxfId="1550" priority="16" operator="between">
      <formula>0</formula>
      <formula>1000</formula>
    </cfRule>
  </conditionalFormatting>
  <conditionalFormatting sqref="AA30:AB30 AA31 AA33:AB33 AA22:AB25 AA26 AA28 AA35:AB37">
    <cfRule type="containsBlanks" dxfId="1549" priority="15">
      <formula>LEN(TRIM(AA22))=0</formula>
    </cfRule>
  </conditionalFormatting>
  <conditionalFormatting sqref="AE37 AE28 AE30:AE31 AE33:AE35 AE22:AE26">
    <cfRule type="containsBlanks" dxfId="1548" priority="14">
      <formula>LEN(TRIM(AE22))=0</formula>
    </cfRule>
  </conditionalFormatting>
  <conditionalFormatting sqref="AE37 AE28 AE30:AE31 AE33:AE35 AE22:AE26">
    <cfRule type="containsBlanks" dxfId="1547" priority="13">
      <formula>LEN(TRIM(AE22))=0</formula>
    </cfRule>
  </conditionalFormatting>
  <conditionalFormatting sqref="AE33:AF33">
    <cfRule type="cellIs" dxfId="1546" priority="12" operator="between">
      <formula>0</formula>
      <formula>1000</formula>
    </cfRule>
  </conditionalFormatting>
  <conditionalFormatting sqref="AE33:AF37 AE26 AE28 AE30:AE31 AE22:AF25">
    <cfRule type="containsBlanks" dxfId="1545" priority="11">
      <formula>LEN(TRIM(AE22))=0</formula>
    </cfRule>
  </conditionalFormatting>
  <conditionalFormatting sqref="K6:M6">
    <cfRule type="containsBlanks" dxfId="1544" priority="10">
      <formula>LEN(TRIM(K6))=0</formula>
    </cfRule>
  </conditionalFormatting>
  <conditionalFormatting sqref="K7:K8">
    <cfRule type="containsBlanks" dxfId="1543" priority="9">
      <formula>LEN(TRIM(K7))=0</formula>
    </cfRule>
  </conditionalFormatting>
  <conditionalFormatting sqref="D13:M13">
    <cfRule type="containsBlanks" dxfId="1542" priority="8">
      <formula>LEN(TRIM(D13))=0</formula>
    </cfRule>
  </conditionalFormatting>
  <conditionalFormatting sqref="B6:B10">
    <cfRule type="containsBlanks" dxfId="1541" priority="7">
      <formula>LEN(TRIM(B6))=0</formula>
    </cfRule>
  </conditionalFormatting>
  <conditionalFormatting sqref="B12:B13">
    <cfRule type="containsBlanks" dxfId="1540" priority="6">
      <formula>LEN(TRIM(B12))=0</formula>
    </cfRule>
  </conditionalFormatting>
  <conditionalFormatting sqref="E28:H33">
    <cfRule type="containsBlanks" dxfId="1539" priority="5">
      <formula>LEN(TRIM(E28))=0</formula>
    </cfRule>
  </conditionalFormatting>
  <conditionalFormatting sqref="Q22:S26">
    <cfRule type="containsBlanks" dxfId="1538" priority="3">
      <formula>LEN(TRIM(Q22))=0</formula>
    </cfRule>
    <cfRule type="containsBlanks" dxfId="1537" priority="4">
      <formula>LEN(TRIM(Q22))=0</formula>
    </cfRule>
  </conditionalFormatting>
  <conditionalFormatting sqref="Q34:S39">
    <cfRule type="containsBlanks" dxfId="1536" priority="2">
      <formula>LEN(TRIM(Q34))=0</formula>
    </cfRule>
  </conditionalFormatting>
  <conditionalFormatting sqref="Q42:S46">
    <cfRule type="containsBlanks" dxfId="1535" priority="1">
      <formula>LEN(TRIM(Q42))=0</formula>
    </cfRule>
  </conditionalFormatting>
  <dataValidations count="5">
    <dataValidation type="list" allowBlank="1" showInputMessage="1" showErrorMessage="1" sqref="D12:E12" xr:uid="{00000000-0002-0000-1A00-000000000000}">
      <formula1>$B$87:$B$94</formula1>
    </dataValidation>
    <dataValidation type="list" allowBlank="1" showInputMessage="1" showErrorMessage="1" sqref="CP70" xr:uid="{00000000-0002-0000-1A00-000001000000}">
      <formula1>$BA$3:$BA$5</formula1>
    </dataValidation>
    <dataValidation type="list" allowBlank="1" showInputMessage="1" showErrorMessage="1" sqref="M19" xr:uid="{00000000-0002-0000-1A00-000002000000}">
      <formula1>$AX$3:$AX$5</formula1>
    </dataValidation>
    <dataValidation type="list" allowBlank="1" showInputMessage="1" showErrorMessage="1" sqref="M21" xr:uid="{00000000-0002-0000-1A00-000003000000}">
      <formula1>$AX$3:$AX$4</formula1>
    </dataValidation>
    <dataValidation type="list" allowBlank="1" showInputMessage="1" showErrorMessage="1" sqref="L25" xr:uid="{00000000-0002-0000-1A00-000004000000}">
      <formula1>$D$101:$D$104</formula1>
    </dataValidation>
  </dataValidations>
  <hyperlinks>
    <hyperlink ref="D8" r:id="rId1" xr:uid="{00000000-0004-0000-1A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42337"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42338"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42339"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4234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4234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42342"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42343"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4234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4234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4234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68">
    <tabColor theme="9" tint="0.79998168889431442"/>
  </sheetPr>
  <dimension ref="A1:CP153"/>
  <sheetViews>
    <sheetView view="pageBreakPreview" topLeftCell="P8" zoomScale="84" zoomScaleNormal="100" zoomScaleSheetLayoutView="7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22"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25-P-CIAT AP2-1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25-P-CIAT AP2-1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262</v>
      </c>
      <c r="G12" s="31" t="s">
        <v>4</v>
      </c>
      <c r="H12" s="146">
        <v>1</v>
      </c>
      <c r="I12" s="546" t="s">
        <v>5</v>
      </c>
      <c r="J12" s="546"/>
      <c r="K12" s="209">
        <v>0.2</v>
      </c>
      <c r="L12" s="32" t="s">
        <v>6</v>
      </c>
      <c r="M12" s="147">
        <v>1.3</v>
      </c>
      <c r="N12" s="78"/>
      <c r="O12" s="501" t="s">
        <v>3</v>
      </c>
      <c r="P12" s="501"/>
      <c r="Q12" s="225" t="s">
        <v>234</v>
      </c>
      <c r="R12" s="224" t="str">
        <f>F12</f>
        <v>P-CIAT AP2</v>
      </c>
      <c r="S12" s="224"/>
      <c r="T12" s="502" t="s">
        <v>4</v>
      </c>
      <c r="U12" s="502"/>
      <c r="V12" s="33">
        <f>+H12</f>
        <v>1</v>
      </c>
      <c r="W12" s="547" t="s">
        <v>5</v>
      </c>
      <c r="X12" s="547"/>
      <c r="Y12" s="547"/>
      <c r="Z12" s="547"/>
      <c r="AA12" s="547"/>
      <c r="AB12" s="547"/>
      <c r="AC12" s="34">
        <f>K12</f>
        <v>0.2</v>
      </c>
      <c r="AD12" s="548" t="s">
        <v>6</v>
      </c>
      <c r="AE12" s="548"/>
      <c r="AF12" s="35">
        <f>+M12</f>
        <v>1.3</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261</v>
      </c>
      <c r="E13" s="479"/>
      <c r="F13" s="479"/>
      <c r="G13" s="479"/>
      <c r="H13" s="479"/>
      <c r="I13" s="479"/>
      <c r="J13" s="479"/>
      <c r="K13" s="479"/>
      <c r="L13" s="479"/>
      <c r="M13" s="480"/>
      <c r="N13" s="188"/>
      <c r="O13" s="526" t="s">
        <v>130</v>
      </c>
      <c r="P13" s="526"/>
      <c r="Q13" s="527" t="str">
        <f>D13</f>
        <v>GRAVAS CON ARENA Y ALGO DE LIMO,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609</v>
      </c>
      <c r="R20" s="156">
        <v>412</v>
      </c>
      <c r="S20" s="157">
        <v>601</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11828</v>
      </c>
      <c r="F22" s="150">
        <v>12490</v>
      </c>
      <c r="G22" s="150">
        <v>12285</v>
      </c>
      <c r="H22" s="151">
        <v>11829</v>
      </c>
      <c r="I22" s="174"/>
      <c r="J22" s="578"/>
      <c r="K22" s="578"/>
      <c r="L22" s="578"/>
      <c r="M22" s="104"/>
      <c r="N22" s="103"/>
      <c r="O22" s="579" t="s">
        <v>132</v>
      </c>
      <c r="P22" s="580"/>
      <c r="Q22" s="219">
        <v>8880</v>
      </c>
      <c r="R22" s="219">
        <v>8638</v>
      </c>
      <c r="S22" s="208">
        <v>8056</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0.17299999999999999</v>
      </c>
      <c r="AJ22" s="42">
        <f>AJ50/1.52</f>
        <v>0.1138157894736842</v>
      </c>
      <c r="AK22" s="42">
        <f>AJ22*0.75</f>
        <v>8.5361842105263153E-2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3848</v>
      </c>
      <c r="R23" s="150">
        <v>3869</v>
      </c>
      <c r="S23" s="151">
        <v>3844</v>
      </c>
      <c r="T23" s="174"/>
      <c r="U23" s="112">
        <v>2.5000000000000001E-2</v>
      </c>
      <c r="V23" s="113">
        <f>U23*25.4</f>
        <v>0.63500000000000001</v>
      </c>
      <c r="W23" s="581">
        <v>2.9590000000000001</v>
      </c>
      <c r="X23" s="582"/>
      <c r="Y23" s="449">
        <f>((W23/19.32)*10)</f>
        <v>1.5315734989648033</v>
      </c>
      <c r="Z23" s="450"/>
      <c r="AA23" s="581">
        <v>1.5289999999999999</v>
      </c>
      <c r="AB23" s="582"/>
      <c r="AC23" s="449">
        <f>((AA23/19.32)*10)</f>
        <v>0.79140786749482395</v>
      </c>
      <c r="AD23" s="450"/>
      <c r="AE23" s="581">
        <f>AK23</f>
        <v>1.2271381578947369</v>
      </c>
      <c r="AF23" s="582"/>
      <c r="AG23" s="114">
        <f>((AE23/19.32)*10)</f>
        <v>0.63516467799934628</v>
      </c>
      <c r="AH23" s="104"/>
      <c r="AI23" s="42">
        <f t="shared" ref="AI23:AI33" si="0">AJ51</f>
        <v>2.4870000000000001</v>
      </c>
      <c r="AJ23" s="42">
        <f t="shared" ref="AJ23:AJ33" si="1">AJ51/1.52</f>
        <v>1.6361842105263158</v>
      </c>
      <c r="AK23" s="42">
        <f t="shared" ref="AK23:AK33" si="2">AJ23*0.75</f>
        <v>1.2271381578947369</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11.5</v>
      </c>
      <c r="R24" s="152">
        <v>11.48</v>
      </c>
      <c r="S24" s="153">
        <v>11.25</v>
      </c>
      <c r="T24" s="174"/>
      <c r="U24" s="112">
        <v>0.05</v>
      </c>
      <c r="V24" s="113">
        <f>U24*25.4</f>
        <v>1.27</v>
      </c>
      <c r="W24" s="581">
        <v>4.9779999999999998</v>
      </c>
      <c r="X24" s="582"/>
      <c r="Y24" s="449">
        <f>((W24/19.32)*10)</f>
        <v>2.5766045548654244</v>
      </c>
      <c r="Z24" s="450"/>
      <c r="AA24" s="581">
        <v>2.8889999999999998</v>
      </c>
      <c r="AB24" s="582"/>
      <c r="AC24" s="449">
        <f>((AA24/19.32)*10)</f>
        <v>1.4953416149068322</v>
      </c>
      <c r="AD24" s="450"/>
      <c r="AE24" s="581">
        <f>AK24</f>
        <v>2.0896381578947372</v>
      </c>
      <c r="AF24" s="582"/>
      <c r="AG24" s="114">
        <f>((AE24/19.32)*10)</f>
        <v>1.0815932494279177</v>
      </c>
      <c r="AH24" s="104"/>
      <c r="AI24" s="42">
        <f t="shared" si="0"/>
        <v>4.2350000000000003</v>
      </c>
      <c r="AJ24" s="42">
        <f t="shared" si="1"/>
        <v>2.7861842105263159</v>
      </c>
      <c r="AK24" s="42">
        <f t="shared" si="2"/>
        <v>2.0896381578947372</v>
      </c>
      <c r="AO24" s="42">
        <v>0.68400000000000005</v>
      </c>
      <c r="AS24" s="42">
        <f t="shared" si="3"/>
        <v>0.55609756097560981</v>
      </c>
    </row>
    <row r="25" spans="1:45" ht="24.95" customHeight="1" thickBot="1" x14ac:dyDescent="0.3">
      <c r="A25" s="103"/>
      <c r="B25" s="602" t="s">
        <v>69</v>
      </c>
      <c r="C25" s="603"/>
      <c r="D25" s="603"/>
      <c r="E25" s="115">
        <f>E22-E23</f>
        <v>4516</v>
      </c>
      <c r="F25" s="115">
        <f>F22-F23</f>
        <v>5178</v>
      </c>
      <c r="G25" s="115">
        <f>G22-G23</f>
        <v>4973</v>
      </c>
      <c r="H25" s="116">
        <f>H22-H23</f>
        <v>4517</v>
      </c>
      <c r="I25" s="174"/>
      <c r="J25" s="174" t="s">
        <v>127</v>
      </c>
      <c r="K25" s="174"/>
      <c r="L25" s="218" t="s">
        <v>128</v>
      </c>
      <c r="M25" s="246">
        <v>22.77</v>
      </c>
      <c r="N25" s="103"/>
      <c r="O25" s="604" t="s">
        <v>46</v>
      </c>
      <c r="P25" s="605"/>
      <c r="Q25" s="608">
        <v>15.23</v>
      </c>
      <c r="R25" s="608">
        <v>15.23</v>
      </c>
      <c r="S25" s="610">
        <v>15.2</v>
      </c>
      <c r="T25" s="174"/>
      <c r="U25" s="112">
        <v>7.4999999999999997E-2</v>
      </c>
      <c r="V25" s="113">
        <f>U25*25.4</f>
        <v>1.9049999999999998</v>
      </c>
      <c r="W25" s="581">
        <v>6.8941999999999997</v>
      </c>
      <c r="X25" s="582"/>
      <c r="Y25" s="449">
        <f>((W25/19.32)*10)</f>
        <v>3.5684265010351961</v>
      </c>
      <c r="Z25" s="450"/>
      <c r="AA25" s="581">
        <v>4.3663999999999996</v>
      </c>
      <c r="AB25" s="582"/>
      <c r="AC25" s="449">
        <f>((AA25/19.32)*10)</f>
        <v>2.2600414078674946</v>
      </c>
      <c r="AD25" s="450"/>
      <c r="AE25" s="581">
        <f>AK25</f>
        <v>2.5495065789473683</v>
      </c>
      <c r="AF25" s="582"/>
      <c r="AG25" s="114">
        <f>((AE25/19.32)*10)</f>
        <v>1.319620382477934</v>
      </c>
      <c r="AH25" s="104"/>
      <c r="AI25" s="42">
        <f t="shared" si="0"/>
        <v>5.1669999999999998</v>
      </c>
      <c r="AJ25" s="42">
        <f t="shared" si="1"/>
        <v>3.3993421052631576</v>
      </c>
      <c r="AK25" s="42">
        <f t="shared" si="2"/>
        <v>2.5495065789473683</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459">
        <v>22.77</v>
      </c>
      <c r="N26" s="103"/>
      <c r="O26" s="606"/>
      <c r="P26" s="607"/>
      <c r="Q26" s="609"/>
      <c r="R26" s="609"/>
      <c r="S26" s="611"/>
      <c r="T26" s="174"/>
      <c r="U26" s="600">
        <v>0.1</v>
      </c>
      <c r="V26" s="601">
        <f>U26*25.4</f>
        <v>2.54</v>
      </c>
      <c r="W26" s="778">
        <v>8.1460000000000008</v>
      </c>
      <c r="X26" s="779"/>
      <c r="Y26" s="461">
        <f>((W26/19.32)*10)</f>
        <v>4.2163561076604559</v>
      </c>
      <c r="Z26" s="462"/>
      <c r="AA26" s="746">
        <v>5.2640000000000002</v>
      </c>
      <c r="AB26" s="747"/>
      <c r="AC26" s="461">
        <f>((AA26/19.32)*10)</f>
        <v>2.7246376811594204</v>
      </c>
      <c r="AD26" s="462"/>
      <c r="AE26" s="746">
        <f>AK26</f>
        <v>3.2412828947368419</v>
      </c>
      <c r="AF26" s="747"/>
      <c r="AG26" s="469">
        <f>((AE26/19.32)*10)</f>
        <v>1.6776826577312844</v>
      </c>
      <c r="AH26" s="104"/>
      <c r="AI26" s="42">
        <f t="shared" si="0"/>
        <v>6.569</v>
      </c>
      <c r="AJ26" s="42">
        <f t="shared" si="1"/>
        <v>4.3217105263157896</v>
      </c>
      <c r="AK26" s="42">
        <f t="shared" si="2"/>
        <v>3.2412828947368419</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2095.0168890291875</v>
      </c>
      <c r="R27" s="152">
        <f>(PI()*((R25^2)/4)*R24)</f>
        <v>2091.3733813960935</v>
      </c>
      <c r="S27" s="153">
        <f>(PI()*((S25^2)/4)*S24)</f>
        <v>2041.4069063026475</v>
      </c>
      <c r="T27" s="174"/>
      <c r="U27" s="600"/>
      <c r="V27" s="601"/>
      <c r="W27" s="780"/>
      <c r="X27" s="781"/>
      <c r="Y27" s="463"/>
      <c r="Z27" s="464"/>
      <c r="AA27" s="748"/>
      <c r="AB27" s="749"/>
      <c r="AC27" s="463"/>
      <c r="AD27" s="464"/>
      <c r="AE27" s="748"/>
      <c r="AF27" s="749"/>
      <c r="AG27" s="470"/>
      <c r="AH27" s="193"/>
      <c r="AI27" s="42">
        <f t="shared" si="0"/>
        <v>9.1880000000000006</v>
      </c>
      <c r="AJ27" s="42">
        <f t="shared" si="1"/>
        <v>6.0447368421052632</v>
      </c>
      <c r="AK27" s="42">
        <f t="shared" si="2"/>
        <v>4.5335526315789476</v>
      </c>
      <c r="AO27" s="42">
        <v>2.387</v>
      </c>
      <c r="AS27" s="42">
        <f t="shared" si="3"/>
        <v>1.9406504065040651</v>
      </c>
    </row>
    <row r="28" spans="1:45" ht="24.95" customHeight="1" thickBot="1" x14ac:dyDescent="0.3">
      <c r="A28" s="103"/>
      <c r="B28" s="560" t="s">
        <v>9</v>
      </c>
      <c r="C28" s="561"/>
      <c r="D28" s="561"/>
      <c r="E28" s="148">
        <v>364</v>
      </c>
      <c r="F28" s="148">
        <v>347</v>
      </c>
      <c r="G28" s="148">
        <v>381</v>
      </c>
      <c r="H28" s="149">
        <v>325</v>
      </c>
      <c r="I28" s="174"/>
      <c r="J28" s="597" t="s">
        <v>107</v>
      </c>
      <c r="K28" s="597"/>
      <c r="L28" s="562" t="s">
        <v>119</v>
      </c>
      <c r="M28" s="459">
        <f>IF(M26="","",(100-M26))</f>
        <v>77.23</v>
      </c>
      <c r="N28" s="103"/>
      <c r="O28" s="625" t="s">
        <v>136</v>
      </c>
      <c r="P28" s="626"/>
      <c r="Q28" s="220">
        <f>Q22-Q23</f>
        <v>5032</v>
      </c>
      <c r="R28" s="220">
        <f>R22-R23</f>
        <v>4769</v>
      </c>
      <c r="S28" s="220">
        <f>S22-S23</f>
        <v>4212</v>
      </c>
      <c r="T28" s="174"/>
      <c r="U28" s="627">
        <v>0.125</v>
      </c>
      <c r="V28" s="624">
        <f>U28*25.4</f>
        <v>3.1749999999999998</v>
      </c>
      <c r="W28" s="593">
        <v>10.102</v>
      </c>
      <c r="X28" s="594"/>
      <c r="Y28" s="439">
        <f>((W28/19.32)*10)</f>
        <v>5.2287784679089029</v>
      </c>
      <c r="Z28" s="440"/>
      <c r="AA28" s="593">
        <v>6.6942529999999998</v>
      </c>
      <c r="AB28" s="594"/>
      <c r="AC28" s="439">
        <f>((AA28/19.32)*10)</f>
        <v>3.4649342650103518</v>
      </c>
      <c r="AD28" s="440"/>
      <c r="AE28" s="593">
        <f>AK27</f>
        <v>4.5335526315789476</v>
      </c>
      <c r="AF28" s="594"/>
      <c r="AG28" s="443">
        <f>((AE28/19.32)*10)</f>
        <v>2.3465593331153971</v>
      </c>
      <c r="AH28" s="104"/>
      <c r="AI28" s="42">
        <f t="shared" si="0"/>
        <v>12.207000000000001</v>
      </c>
      <c r="AJ28" s="42">
        <f t="shared" si="1"/>
        <v>8.0309210526315802</v>
      </c>
      <c r="AK28" s="42">
        <f t="shared" si="2"/>
        <v>6.0231907894736851</v>
      </c>
      <c r="AO28" s="42">
        <v>2.8959999999999999</v>
      </c>
      <c r="AS28" s="42">
        <f t="shared" si="3"/>
        <v>2.3544715447154472</v>
      </c>
    </row>
    <row r="29" spans="1:45" ht="5.0999999999999996" customHeight="1" thickBot="1" x14ac:dyDescent="0.3">
      <c r="A29" s="103"/>
      <c r="B29" s="612" t="s">
        <v>73</v>
      </c>
      <c r="C29" s="613"/>
      <c r="D29" s="614"/>
      <c r="E29" s="618">
        <v>498.48</v>
      </c>
      <c r="F29" s="618">
        <v>645.55999999999995</v>
      </c>
      <c r="G29" s="618">
        <v>715.56</v>
      </c>
      <c r="H29" s="620">
        <v>805.25</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15.134</v>
      </c>
      <c r="AJ29" s="42">
        <f t="shared" si="1"/>
        <v>9.9565789473684205</v>
      </c>
      <c r="AK29" s="42">
        <f t="shared" si="2"/>
        <v>7.4674342105263154</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22.242174741000003</v>
      </c>
      <c r="N30" s="103"/>
      <c r="O30" s="622" t="s">
        <v>134</v>
      </c>
      <c r="P30" s="623"/>
      <c r="Q30" s="229">
        <f>Q28/Q27</f>
        <v>2.40188994482607</v>
      </c>
      <c r="R30" s="229">
        <f>R28/R27</f>
        <v>2.2803197374619257</v>
      </c>
      <c r="S30" s="131">
        <f>S28/S27</f>
        <v>2.0632829187536572</v>
      </c>
      <c r="T30" s="174"/>
      <c r="U30" s="120">
        <v>0.15</v>
      </c>
      <c r="V30" s="113">
        <f>U30*25.4</f>
        <v>3.8099999999999996</v>
      </c>
      <c r="W30" s="581">
        <f>AI28</f>
        <v>12.207000000000001</v>
      </c>
      <c r="X30" s="582"/>
      <c r="Y30" s="449">
        <f>((W30/19.32)*10)</f>
        <v>6.3183229813664603</v>
      </c>
      <c r="Z30" s="450"/>
      <c r="AA30" s="581">
        <f>AJ28</f>
        <v>8.0309210526315802</v>
      </c>
      <c r="AB30" s="582"/>
      <c r="AC30" s="449">
        <f>((AA30/19.32)*10)</f>
        <v>4.1567914351095139</v>
      </c>
      <c r="AD30" s="450"/>
      <c r="AE30" s="581">
        <f>AK28</f>
        <v>6.0231907894736851</v>
      </c>
      <c r="AF30" s="582"/>
      <c r="AG30" s="114">
        <f>((AE30/19.32)*10)</f>
        <v>3.1175935763321352</v>
      </c>
      <c r="AH30" s="104"/>
      <c r="AI30" s="42">
        <f t="shared" si="0"/>
        <v>17.643000000000001</v>
      </c>
      <c r="AJ30" s="42">
        <f t="shared" si="1"/>
        <v>11.607236842105264</v>
      </c>
      <c r="AK30" s="42">
        <f t="shared" si="2"/>
        <v>8.7054276315789476</v>
      </c>
      <c r="AO30" s="42">
        <v>3.8439999999999999</v>
      </c>
      <c r="AS30" s="42">
        <f t="shared" si="3"/>
        <v>3.1252032520325201</v>
      </c>
    </row>
    <row r="31" spans="1:45" ht="24.95" customHeight="1" thickBot="1" x14ac:dyDescent="0.3">
      <c r="A31" s="103"/>
      <c r="B31" s="576" t="s">
        <v>74</v>
      </c>
      <c r="C31" s="577"/>
      <c r="D31" s="577"/>
      <c r="E31" s="152">
        <v>490.16</v>
      </c>
      <c r="F31" s="152">
        <v>622.89</v>
      </c>
      <c r="G31" s="152">
        <v>679.78</v>
      </c>
      <c r="H31" s="153">
        <v>749.32</v>
      </c>
      <c r="I31" s="174"/>
      <c r="J31" s="597" t="s">
        <v>138</v>
      </c>
      <c r="K31" s="597"/>
      <c r="L31" s="562" t="s">
        <v>116</v>
      </c>
      <c r="M31" s="457">
        <f>IF(M25="","",S82)</f>
        <v>2.7120000000000002</v>
      </c>
      <c r="N31" s="121"/>
      <c r="O31" s="628" t="s">
        <v>135</v>
      </c>
      <c r="P31" s="629"/>
      <c r="Q31" s="122">
        <f>Q30/(1+Q40/100)</f>
        <v>2.3051835348366581</v>
      </c>
      <c r="R31" s="122">
        <f>R30/(1+R40/100)</f>
        <v>2.1842015558324976</v>
      </c>
      <c r="S31" s="123">
        <f>S30/(1+S40/100)</f>
        <v>1.9776187823131772</v>
      </c>
      <c r="T31" s="174"/>
      <c r="U31" s="627">
        <v>0.17499999999999999</v>
      </c>
      <c r="V31" s="624">
        <f>U31*25.4</f>
        <v>4.4449999999999994</v>
      </c>
      <c r="W31" s="593">
        <f>AI29</f>
        <v>15.134</v>
      </c>
      <c r="X31" s="594"/>
      <c r="Y31" s="439">
        <f>((W31/19.32)*10)</f>
        <v>7.833333333333333</v>
      </c>
      <c r="Z31" s="440"/>
      <c r="AA31" s="593">
        <f>AJ29</f>
        <v>9.9565789473684205</v>
      </c>
      <c r="AB31" s="594"/>
      <c r="AC31" s="439">
        <f>((AA31/19.32)*10)</f>
        <v>5.1535087719298245</v>
      </c>
      <c r="AD31" s="440"/>
      <c r="AE31" s="593">
        <v>6.9779999999999998</v>
      </c>
      <c r="AF31" s="594"/>
      <c r="AG31" s="443">
        <f>((AE31/19.32)*10)</f>
        <v>3.6118012422360248</v>
      </c>
      <c r="AH31" s="104"/>
      <c r="AI31" s="42">
        <f t="shared" si="0"/>
        <v>28.071999999999999</v>
      </c>
      <c r="AJ31" s="42">
        <f t="shared" si="1"/>
        <v>18.468421052631577</v>
      </c>
      <c r="AK31" s="42">
        <f t="shared" si="2"/>
        <v>13.851315789473682</v>
      </c>
      <c r="AO31" s="42">
        <v>5.516</v>
      </c>
      <c r="AS31" s="42">
        <f t="shared" si="3"/>
        <v>4.4845528455284551</v>
      </c>
    </row>
    <row r="32" spans="1:45" ht="5.0999999999999996" customHeight="1" thickBot="1" x14ac:dyDescent="0.3">
      <c r="A32" s="103"/>
      <c r="B32" s="612" t="s">
        <v>75</v>
      </c>
      <c r="C32" s="613"/>
      <c r="D32" s="614"/>
      <c r="E32" s="618">
        <v>103.94</v>
      </c>
      <c r="F32" s="618">
        <v>101.17</v>
      </c>
      <c r="G32" s="618">
        <v>100.67</v>
      </c>
      <c r="H32" s="620">
        <v>103.12</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35.436999999999998</v>
      </c>
      <c r="AJ32" s="42">
        <f t="shared" si="1"/>
        <v>23.313815789473683</v>
      </c>
      <c r="AK32" s="42">
        <f t="shared" si="2"/>
        <v>17.485361842105263</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17.643000000000001</v>
      </c>
      <c r="X33" s="582"/>
      <c r="Y33" s="449">
        <f>((W33/19.32)*10)</f>
        <v>9.1319875776397517</v>
      </c>
      <c r="Z33" s="450"/>
      <c r="AA33" s="581">
        <f>AJ30</f>
        <v>11.607236842105264</v>
      </c>
      <c r="AB33" s="582"/>
      <c r="AC33" s="449">
        <f>((AA33/19.32)*10)</f>
        <v>6.0078865642366788</v>
      </c>
      <c r="AD33" s="450"/>
      <c r="AE33" s="581">
        <v>8.0559999999999992</v>
      </c>
      <c r="AF33" s="582"/>
      <c r="AG33" s="144">
        <f>((AE33/19.32)*10)</f>
        <v>4.1697722567287778</v>
      </c>
      <c r="AH33" s="104"/>
      <c r="AI33" s="42">
        <f t="shared" si="0"/>
        <v>41.048000000000002</v>
      </c>
      <c r="AJ33" s="42">
        <f t="shared" si="1"/>
        <v>27.005263157894738</v>
      </c>
      <c r="AK33" s="42">
        <f t="shared" si="2"/>
        <v>20.253947368421052</v>
      </c>
      <c r="AO33" s="42">
        <v>7.7720000000000002</v>
      </c>
      <c r="AS33" s="42">
        <f t="shared" si="3"/>
        <v>6.3186991869918705</v>
      </c>
    </row>
    <row r="34" spans="1:45" ht="24.95" customHeight="1" thickBot="1" x14ac:dyDescent="0.3">
      <c r="A34" s="103"/>
      <c r="B34" s="602" t="s">
        <v>10</v>
      </c>
      <c r="C34" s="603"/>
      <c r="D34" s="603"/>
      <c r="E34" s="125">
        <f>((E29-E31)/(E31-E32))*100</f>
        <v>2.1542126249287952</v>
      </c>
      <c r="F34" s="125">
        <f>((F29-F31)/(F31-F32))*100</f>
        <v>4.3452426588974848</v>
      </c>
      <c r="G34" s="125">
        <f>((G29-G31)/(G31-G32))*100</f>
        <v>6.1784462364662973</v>
      </c>
      <c r="H34" s="126">
        <f>((H29-H31)/(H31-H32))*100</f>
        <v>8.6552151036830622</v>
      </c>
      <c r="I34" s="174"/>
      <c r="J34" s="630" t="s">
        <v>125</v>
      </c>
      <c r="K34" s="630"/>
      <c r="L34" s="184" t="s">
        <v>126</v>
      </c>
      <c r="M34" s="245">
        <v>2.67</v>
      </c>
      <c r="N34" s="128"/>
      <c r="O34" s="631" t="s">
        <v>9</v>
      </c>
      <c r="P34" s="632"/>
      <c r="Q34" s="156">
        <v>325</v>
      </c>
      <c r="R34" s="156">
        <v>310</v>
      </c>
      <c r="S34" s="157">
        <v>380</v>
      </c>
      <c r="T34" s="174"/>
      <c r="U34" s="120">
        <v>0.3</v>
      </c>
      <c r="V34" s="113">
        <f>U34*25.4</f>
        <v>7.6199999999999992</v>
      </c>
      <c r="W34" s="581">
        <f>AI31</f>
        <v>28.071999999999999</v>
      </c>
      <c r="X34" s="582"/>
      <c r="Y34" s="449">
        <f>((W34/19.32)*10)</f>
        <v>14.530020703933745</v>
      </c>
      <c r="Z34" s="450"/>
      <c r="AA34" s="449">
        <v>18.468</v>
      </c>
      <c r="AB34" s="450"/>
      <c r="AC34" s="449">
        <f>((AA34/19.32)*10)</f>
        <v>9.5590062111801242</v>
      </c>
      <c r="AD34" s="450"/>
      <c r="AE34" s="581">
        <v>11.789</v>
      </c>
      <c r="AF34" s="582"/>
      <c r="AG34" s="114">
        <f>((AE34/19.32)*10)</f>
        <v>6.1019668737060044</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898.18</v>
      </c>
      <c r="R35" s="608">
        <v>725.64</v>
      </c>
      <c r="S35" s="610">
        <v>689.76</v>
      </c>
      <c r="T35" s="174"/>
      <c r="U35" s="627">
        <v>0.4</v>
      </c>
      <c r="V35" s="624">
        <f>U35*25.4</f>
        <v>10.16</v>
      </c>
      <c r="W35" s="593">
        <f>AI32</f>
        <v>35.436999999999998</v>
      </c>
      <c r="X35" s="594"/>
      <c r="Y35" s="439">
        <f>((W35/19.32)*10)</f>
        <v>18.342132505175982</v>
      </c>
      <c r="Z35" s="440"/>
      <c r="AA35" s="593">
        <f>AJ32</f>
        <v>23.313815789473683</v>
      </c>
      <c r="AB35" s="594"/>
      <c r="AC35" s="439">
        <f>(AA35/19.32)*10</f>
        <v>12.067192437615777</v>
      </c>
      <c r="AD35" s="440"/>
      <c r="AE35" s="593">
        <v>15.798</v>
      </c>
      <c r="AF35" s="594"/>
      <c r="AG35" s="443">
        <f>((AE35/19.32)*10)</f>
        <v>8.1770186335403725</v>
      </c>
      <c r="AH35" s="104"/>
      <c r="AS35" s="42">
        <f t="shared" si="3"/>
        <v>0</v>
      </c>
    </row>
    <row r="36" spans="1:45" ht="20.100000000000001" customHeight="1" thickBot="1" x14ac:dyDescent="0.3">
      <c r="A36" s="103"/>
      <c r="B36" s="639" t="s">
        <v>71</v>
      </c>
      <c r="C36" s="640"/>
      <c r="D36" s="640"/>
      <c r="E36" s="130">
        <f>E25/E24</f>
        <v>2.1024208566108009</v>
      </c>
      <c r="F36" s="130">
        <f>F25/F24</f>
        <v>2.4106145251396649</v>
      </c>
      <c r="G36" s="130">
        <f>G25/G24</f>
        <v>2.3151769087523277</v>
      </c>
      <c r="H36" s="131">
        <f>H25/H24</f>
        <v>2.1028864059590315</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2.0580853227561811</v>
      </c>
      <c r="F37" s="230">
        <f>F36/(1+F34/100)</f>
        <v>2.310229449578181</v>
      </c>
      <c r="G37" s="230">
        <f>G36/(1+G34/100)</f>
        <v>2.1804584553782962</v>
      </c>
      <c r="H37" s="123">
        <f>H36/(1+H34/100)</f>
        <v>1.935375493898176</v>
      </c>
      <c r="I37" s="174"/>
      <c r="J37" s="641" t="s">
        <v>139</v>
      </c>
      <c r="K37" s="641"/>
      <c r="L37" s="643" t="s">
        <v>121</v>
      </c>
      <c r="M37" s="433">
        <f>IF(F74="","",(M42^2*F74+M42*F75+F76))</f>
        <v>2.2672960999999998</v>
      </c>
      <c r="N37" s="101"/>
      <c r="O37" s="576" t="s">
        <v>28</v>
      </c>
      <c r="P37" s="577"/>
      <c r="Q37" s="150">
        <v>866.17</v>
      </c>
      <c r="R37" s="152">
        <v>699.36</v>
      </c>
      <c r="S37" s="153">
        <v>665.38</v>
      </c>
      <c r="T37" s="174"/>
      <c r="U37" s="132">
        <v>0.5</v>
      </c>
      <c r="V37" s="133">
        <f>U37*25.4</f>
        <v>12.7</v>
      </c>
      <c r="W37" s="637">
        <f>AI33</f>
        <v>41.048000000000002</v>
      </c>
      <c r="X37" s="638"/>
      <c r="Y37" s="431">
        <f>((W37/19.32)*10)</f>
        <v>21.246376811594203</v>
      </c>
      <c r="Z37" s="432"/>
      <c r="AA37" s="637">
        <v>26.024999999999999</v>
      </c>
      <c r="AB37" s="638"/>
      <c r="AC37" s="431">
        <f>((AA37/19.32)*10)</f>
        <v>13.470496894409937</v>
      </c>
      <c r="AD37" s="432"/>
      <c r="AE37" s="637">
        <v>17.088999999999999</v>
      </c>
      <c r="AF37" s="638"/>
      <c r="AG37" s="134">
        <f>((AE37/19.32)*10)</f>
        <v>8.8452380952380949</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103.15</v>
      </c>
      <c r="R38" s="647">
        <v>102.17</v>
      </c>
      <c r="S38" s="648">
        <v>102.55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2.355234474418928</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22.242174741000003</v>
      </c>
      <c r="N40" s="103"/>
      <c r="O40" s="628" t="s">
        <v>10</v>
      </c>
      <c r="P40" s="629"/>
      <c r="Q40" s="125">
        <f>((Q35-Q37)/(Q37-Q38))*100</f>
        <v>4.1951718172524961</v>
      </c>
      <c r="R40" s="125">
        <f>((R35-R37)/(R37-R38))*100</f>
        <v>4.400609521257886</v>
      </c>
      <c r="S40" s="126">
        <f>((S35-S37)/(S37-S38))*100</f>
        <v>4.3316809693868477</v>
      </c>
      <c r="T40" s="174"/>
      <c r="U40" s="645" t="s">
        <v>151</v>
      </c>
      <c r="V40" s="646"/>
      <c r="W40" s="423">
        <f>(AM79/6.9)*100</f>
        <v>61.106610255948638</v>
      </c>
      <c r="X40" s="423"/>
      <c r="Y40" s="423"/>
      <c r="Z40" s="424"/>
      <c r="AA40" s="425">
        <f>(AO79/6.9)*100</f>
        <v>39.487502625498841</v>
      </c>
      <c r="AB40" s="426"/>
      <c r="AC40" s="427"/>
      <c r="AD40" s="425">
        <f>(AQ79/6.9)*100</f>
        <v>24.314241416395426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23.104850194049689</v>
      </c>
      <c r="N41" s="138"/>
      <c r="O41" s="565" t="s">
        <v>36</v>
      </c>
      <c r="P41" s="566"/>
      <c r="Q41" s="566"/>
      <c r="R41" s="566"/>
      <c r="S41" s="567"/>
      <c r="T41" s="174"/>
      <c r="U41" s="653" t="s">
        <v>152</v>
      </c>
      <c r="V41" s="654"/>
      <c r="W41" s="418">
        <f>(AM83/10.3)*100</f>
        <v>88.660073569317973</v>
      </c>
      <c r="X41" s="418"/>
      <c r="Y41" s="418"/>
      <c r="Z41" s="419"/>
      <c r="AA41" s="420">
        <f>(AO83/10.3)*100</f>
        <v>58.328995769288142</v>
      </c>
      <c r="AB41" s="421"/>
      <c r="AC41" s="418"/>
      <c r="AD41" s="420">
        <f>(AQ83/10.3)*100</f>
        <v>40.483225793483278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4.9379999999999997</v>
      </c>
      <c r="N42" s="103"/>
      <c r="O42" s="639" t="s">
        <v>9</v>
      </c>
      <c r="P42" s="640"/>
      <c r="Q42" s="148">
        <v>645</v>
      </c>
      <c r="R42" s="148">
        <v>308</v>
      </c>
      <c r="S42" s="149">
        <v>616</v>
      </c>
      <c r="T42" s="174"/>
      <c r="U42" s="651" t="s">
        <v>42</v>
      </c>
      <c r="V42" s="652"/>
      <c r="W42" s="413">
        <f>IF(W40&lt;W41,W40,W41)</f>
        <v>61.106610255948638</v>
      </c>
      <c r="X42" s="414"/>
      <c r="Y42" s="414"/>
      <c r="Z42" s="415"/>
      <c r="AA42" s="416">
        <f>IF(AA40&lt;AA41,AA40,AA41)</f>
        <v>39.487502625498841</v>
      </c>
      <c r="AB42" s="414"/>
      <c r="AC42" s="415"/>
      <c r="AD42" s="416">
        <f>IF(AD40&lt;AD41,AD40,AD41)</f>
        <v>24.314241416395426</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4.0534999999999997</v>
      </c>
      <c r="N43" s="103"/>
      <c r="O43" s="612" t="s">
        <v>49</v>
      </c>
      <c r="P43" s="614"/>
      <c r="Q43" s="618">
        <v>685.8</v>
      </c>
      <c r="R43" s="608">
        <v>798.64</v>
      </c>
      <c r="S43" s="610">
        <v>480.35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646.4</v>
      </c>
      <c r="R45" s="150">
        <v>748.33</v>
      </c>
      <c r="S45" s="151">
        <v>441.02</v>
      </c>
      <c r="T45" s="174"/>
      <c r="U45" s="656" t="s">
        <v>139</v>
      </c>
      <c r="V45" s="656"/>
      <c r="W45" s="179" t="s">
        <v>121</v>
      </c>
      <c r="X45" s="406">
        <f>MAX(M37:M39)</f>
        <v>2.355234474418928</v>
      </c>
      <c r="Y45" s="406"/>
      <c r="Z45" s="406"/>
      <c r="AA45" s="174"/>
      <c r="AB45" s="657" t="s">
        <v>31</v>
      </c>
      <c r="AC45" s="658"/>
      <c r="AD45" s="658"/>
      <c r="AE45" s="658"/>
      <c r="AF45" s="231">
        <v>0.16950000000000001</v>
      </c>
      <c r="AG45" s="231">
        <v>8.7499999999999994E-2</v>
      </c>
      <c r="AH45" s="233">
        <v>0.1138</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36.71</v>
      </c>
      <c r="R46" s="152">
        <v>101.29</v>
      </c>
      <c r="S46" s="153">
        <v>44.87</v>
      </c>
      <c r="T46" s="174"/>
      <c r="U46" s="555" t="s">
        <v>123</v>
      </c>
      <c r="V46" s="555"/>
      <c r="W46" s="179" t="s">
        <v>41</v>
      </c>
      <c r="X46" s="401">
        <f>MIN(M42:M44)</f>
        <v>4.0534999999999997</v>
      </c>
      <c r="Y46" s="401"/>
      <c r="Z46" s="401"/>
      <c r="AA46" s="174"/>
      <c r="AB46" s="660" t="s">
        <v>32</v>
      </c>
      <c r="AC46" s="661"/>
      <c r="AD46" s="661"/>
      <c r="AE46" s="661"/>
      <c r="AF46" s="234">
        <v>0.17449999999999999</v>
      </c>
      <c r="AG46" s="234">
        <v>8.7599999999999997E-2</v>
      </c>
      <c r="AH46" s="235">
        <v>0.1132</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6.4623005133756459</v>
      </c>
      <c r="R47" s="125">
        <f>((R43-R45)/(R45-R46))*100</f>
        <v>7.7754080118694269</v>
      </c>
      <c r="S47" s="126">
        <f>((S43-S45)/(S45-S46))*100</f>
        <v>9.9280575539568456</v>
      </c>
      <c r="T47" s="174"/>
      <c r="U47" s="555" t="s">
        <v>162</v>
      </c>
      <c r="V47" s="555"/>
      <c r="W47" s="179" t="s">
        <v>41</v>
      </c>
      <c r="X47" s="402">
        <f>IF(L25=D103,"-",IF(L25=D102,"-",IF(L25=D101,M25)))</f>
        <v>22.77</v>
      </c>
      <c r="Y47" s="402"/>
      <c r="Z47" s="402"/>
      <c r="AA47" s="174"/>
      <c r="AB47" s="662" t="s">
        <v>33</v>
      </c>
      <c r="AC47" s="663"/>
      <c r="AD47" s="663"/>
      <c r="AE47" s="663"/>
      <c r="AF47" s="232">
        <f>(AF46-AF45)*2.54</f>
        <v>1.2699999999999941E-2</v>
      </c>
      <c r="AG47" s="232">
        <f>(AG46-AG45)*2.54</f>
        <v>2.5400000000000726E-4</v>
      </c>
      <c r="AH47" s="239">
        <f>(AH46-AH45)*2.54</f>
        <v>-1.5240000000000084E-3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0.11043478260869513</v>
      </c>
      <c r="AG48" s="142">
        <f>IF(AG47&lt;&gt;"",IF(R24&lt;&gt;"",AG47/R24*100,""),"")</f>
        <v>2.2125435540070316E-3</v>
      </c>
      <c r="AH48" s="173">
        <f>IF(AH47&lt;&gt;"",IF(S24&lt;&gt;"",AH47/S24*100,""),"")</f>
        <v>-1.3546666666666742E-2</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0.17299999999999999</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2.4870000000000001</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4.2350000000000003</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5.1669999999999998</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6.569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9.1880000000000006</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12.207000000000001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15.134</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17.643000000000001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28.071999999999999</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35.436999999999998</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41.048000000000002</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-2.5000000000000001E-2</v>
      </c>
      <c r="G74" s="75">
        <v>-0.12509999999999999</v>
      </c>
      <c r="J74" s="701"/>
      <c r="K74" s="702"/>
      <c r="L74" s="44"/>
      <c r="M74" s="44"/>
      <c r="N74" s="44"/>
    </row>
    <row r="75" spans="1:94" ht="26.25" customHeight="1" thickBot="1" x14ac:dyDescent="0.3">
      <c r="A75" s="11"/>
      <c r="B75" s="377" t="s">
        <v>113</v>
      </c>
      <c r="C75" s="377"/>
      <c r="D75" s="19"/>
      <c r="E75" s="54" t="s">
        <v>12</v>
      </c>
      <c r="F75" s="55">
        <v>0.24690000000000001</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1.6577</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2.9590000000000001</v>
      </c>
      <c r="AM76" s="3">
        <f t="shared" si="4"/>
        <v>1.5315734989648033</v>
      </c>
      <c r="AN76" s="5">
        <f>AA23</f>
        <v>1.5289999999999999</v>
      </c>
      <c r="AO76" s="3">
        <f t="shared" ref="AO76:AO86" si="7">((AN76/19.32)*10)</f>
        <v>0.79140786749482395</v>
      </c>
      <c r="AP76" s="5">
        <f>AE23</f>
        <v>1.2271381578947369</v>
      </c>
      <c r="AQ76" s="161">
        <f t="shared" si="5"/>
        <v>0.63516467799934628</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4.9779999999999998</v>
      </c>
      <c r="AM77" s="3">
        <f t="shared" si="4"/>
        <v>2.5766045548654244</v>
      </c>
      <c r="AN77" s="5">
        <f>AA24</f>
        <v>2.8889999999999998</v>
      </c>
      <c r="AO77" s="3">
        <f t="shared" si="7"/>
        <v>1.4953416149068322</v>
      </c>
      <c r="AP77" s="5">
        <f>AE24</f>
        <v>2.0896381578947372</v>
      </c>
      <c r="AQ77" s="161">
        <f t="shared" si="5"/>
        <v>1.0815932494279177</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6.8941999999999997</v>
      </c>
      <c r="AM78" s="3">
        <f t="shared" si="4"/>
        <v>3.5684265010351961</v>
      </c>
      <c r="AN78" s="5">
        <f>AA25</f>
        <v>4.3663999999999996</v>
      </c>
      <c r="AO78" s="3">
        <f t="shared" si="7"/>
        <v>2.2600414078674946</v>
      </c>
      <c r="AP78" s="5">
        <f>AE25</f>
        <v>2.5495065789473683</v>
      </c>
      <c r="AQ78" s="161">
        <f t="shared" si="5"/>
        <v>1.319620382477934</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8.1460000000000008</v>
      </c>
      <c r="AM79" s="4">
        <f t="shared" si="4"/>
        <v>4.2163561076604559</v>
      </c>
      <c r="AN79" s="5">
        <f>AA26</f>
        <v>5.2640000000000002</v>
      </c>
      <c r="AO79" s="4">
        <f t="shared" si="7"/>
        <v>2.7246376811594204</v>
      </c>
      <c r="AP79" s="5">
        <f>AE26</f>
        <v>3.2412828947368419</v>
      </c>
      <c r="AQ79" s="162">
        <f t="shared" si="5"/>
        <v>1.6776826577312844</v>
      </c>
      <c r="BB79" s="12">
        <v>17</v>
      </c>
      <c r="BC79" s="12">
        <v>18</v>
      </c>
    </row>
    <row r="80" spans="1:94" ht="42" customHeight="1" thickTop="1" thickBot="1" x14ac:dyDescent="0.3">
      <c r="D80" s="49"/>
      <c r="H80" s="711" t="s">
        <v>105</v>
      </c>
      <c r="I80" s="712"/>
      <c r="J80" s="58"/>
      <c r="AJ80" s="160">
        <f>U28</f>
        <v>0.125</v>
      </c>
      <c r="AK80" s="3">
        <f t="shared" si="6"/>
        <v>3.1749999999999998</v>
      </c>
      <c r="AL80" s="5">
        <f>W28</f>
        <v>10.102</v>
      </c>
      <c r="AM80" s="3">
        <f t="shared" si="4"/>
        <v>5.2287784679089029</v>
      </c>
      <c r="AN80" s="5">
        <f>AA28</f>
        <v>6.6942529999999998</v>
      </c>
      <c r="AO80" s="3">
        <f t="shared" si="7"/>
        <v>3.4649342650103518</v>
      </c>
      <c r="AP80" s="5">
        <f>AE28</f>
        <v>4.5335526315789476</v>
      </c>
      <c r="AQ80" s="161">
        <f t="shared" si="5"/>
        <v>2.3465593331153971</v>
      </c>
      <c r="BC80" s="45">
        <v>0.99880400000000003</v>
      </c>
      <c r="BD80" s="45">
        <v>0.99862499999999998</v>
      </c>
    </row>
    <row r="81" spans="2:43" ht="15.75" customHeight="1" x14ac:dyDescent="0.25">
      <c r="AJ81" s="160">
        <f>U30</f>
        <v>0.15</v>
      </c>
      <c r="AK81" s="3">
        <f t="shared" si="6"/>
        <v>3.8099999999999996</v>
      </c>
      <c r="AL81" s="5">
        <f>W30</f>
        <v>12.207000000000001</v>
      </c>
      <c r="AM81" s="3">
        <f t="shared" si="4"/>
        <v>6.3183229813664603</v>
      </c>
      <c r="AN81" s="5">
        <f>AA30</f>
        <v>8.0309210526315802</v>
      </c>
      <c r="AO81" s="3">
        <f t="shared" si="7"/>
        <v>4.1567914351095139</v>
      </c>
      <c r="AP81" s="5">
        <f>AE30</f>
        <v>6.0231907894736851</v>
      </c>
      <c r="AQ81" s="161">
        <f t="shared" si="5"/>
        <v>3.1175935763321352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15.134</v>
      </c>
      <c r="AM82" s="3">
        <f t="shared" si="4"/>
        <v>7.833333333333333</v>
      </c>
      <c r="AN82" s="5">
        <f>AA31</f>
        <v>9.9565789473684205</v>
      </c>
      <c r="AO82" s="3">
        <f t="shared" si="7"/>
        <v>5.1535087719298245</v>
      </c>
      <c r="AP82" s="5">
        <f>AE31</f>
        <v>6.9779999999999998</v>
      </c>
      <c r="AQ82" s="161">
        <f t="shared" si="5"/>
        <v>3.6118012422360248</v>
      </c>
    </row>
    <row r="83" spans="2:43" ht="15" customHeight="1" x14ac:dyDescent="0.25">
      <c r="B83" s="49"/>
      <c r="C83" s="49"/>
      <c r="D83" s="49">
        <v>0</v>
      </c>
      <c r="E83" s="50">
        <f>M42</f>
        <v>4.9379999999999997</v>
      </c>
      <c r="F83" s="49"/>
      <c r="G83" s="43">
        <f>G84/10</f>
        <v>2.4768101300967791</v>
      </c>
      <c r="H83" s="43">
        <f>H84/10</f>
        <v>2.3469783187224573</v>
      </c>
      <c r="I83" s="43">
        <f>I84/10</f>
        <v>2.2483689137033447</v>
      </c>
      <c r="J83" s="43">
        <f>J84/10</f>
        <v>2.1275950353291404</v>
      </c>
      <c r="K83" s="43"/>
      <c r="L83" s="42">
        <v>0</v>
      </c>
      <c r="O83" s="706"/>
      <c r="P83" s="706"/>
      <c r="Q83" s="706"/>
      <c r="R83" s="706"/>
      <c r="S83" s="707"/>
      <c r="W83" s="112"/>
      <c r="AJ83" s="160">
        <f>U33</f>
        <v>0.2</v>
      </c>
      <c r="AK83" s="4">
        <f t="shared" si="6"/>
        <v>5.08</v>
      </c>
      <c r="AL83" s="5">
        <f>W33</f>
        <v>17.643000000000001</v>
      </c>
      <c r="AM83" s="4">
        <f t="shared" si="4"/>
        <v>9.1319875776397517</v>
      </c>
      <c r="AN83" s="5">
        <f>AA33</f>
        <v>11.607236842105264</v>
      </c>
      <c r="AO83" s="4">
        <f t="shared" si="7"/>
        <v>6.0078865642366788</v>
      </c>
      <c r="AP83" s="5">
        <f>AE33</f>
        <v>8.0559999999999992</v>
      </c>
      <c r="AQ83" s="162">
        <f t="shared" si="5"/>
        <v>4.1697722567287778</v>
      </c>
    </row>
    <row r="84" spans="2:43" ht="15" customHeight="1" x14ac:dyDescent="0.25">
      <c r="C84" s="94"/>
      <c r="D84" s="94"/>
      <c r="E84" s="94"/>
      <c r="F84" s="49"/>
      <c r="G84" s="43">
        <f>($M$34/(1+(E34*$M$34/100)))*($O$73)</f>
        <v>24.768101300967793</v>
      </c>
      <c r="H84" s="43">
        <f>($M$34/(1+(F34*$M$34/100)))*($O$73)</f>
        <v>23.469783187224575</v>
      </c>
      <c r="I84" s="43">
        <f>($M$34/(1+(G34*$M$34/100)))*($O$73)</f>
        <v>22.483689137033448</v>
      </c>
      <c r="J84" s="43">
        <f>($M$34/(1+(H34*$M$34/100)))*($O$73)</f>
        <v>21.275950353291403</v>
      </c>
      <c r="K84" s="43"/>
      <c r="O84" s="706" t="s">
        <v>146</v>
      </c>
      <c r="P84" s="706"/>
      <c r="Q84" s="706"/>
      <c r="R84" s="706"/>
      <c r="S84" s="707">
        <v>2240</v>
      </c>
      <c r="W84" s="112"/>
      <c r="AJ84" s="160">
        <f>U34</f>
        <v>0.3</v>
      </c>
      <c r="AK84" s="3">
        <f t="shared" si="6"/>
        <v>7.6199999999999992</v>
      </c>
      <c r="AL84" s="5">
        <f>W34</f>
        <v>28.071999999999999</v>
      </c>
      <c r="AM84" s="3">
        <f t="shared" si="4"/>
        <v>14.530020703933745</v>
      </c>
      <c r="AN84" s="5">
        <f>AA34</f>
        <v>18.468</v>
      </c>
      <c r="AO84" s="3">
        <f t="shared" si="7"/>
        <v>9.5590062111801242</v>
      </c>
      <c r="AP84" s="5">
        <f>AE34</f>
        <v>11.789</v>
      </c>
      <c r="AQ84" s="161">
        <f t="shared" si="5"/>
        <v>6.1019668737060044</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35.436999999999998</v>
      </c>
      <c r="AM85" s="3">
        <f t="shared" si="4"/>
        <v>18.342132505175982</v>
      </c>
      <c r="AN85" s="5">
        <f>AA35</f>
        <v>23.313815789473683</v>
      </c>
      <c r="AO85" s="3">
        <f t="shared" si="7"/>
        <v>12.067192437615777</v>
      </c>
      <c r="AP85" s="5">
        <f>AE35</f>
        <v>15.798</v>
      </c>
      <c r="AQ85" s="161">
        <f>((AP85/19.32)*10)</f>
        <v>8.1770186335403725</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41.048000000000002</v>
      </c>
      <c r="AM86" s="164">
        <f t="shared" si="4"/>
        <v>21.246376811594203</v>
      </c>
      <c r="AN86" s="165">
        <f>AA37</f>
        <v>26.024999999999999</v>
      </c>
      <c r="AO86" s="164">
        <f t="shared" si="7"/>
        <v>13.470496894409937</v>
      </c>
      <c r="AP86" s="165">
        <f>AE37</f>
        <v>17.088999999999999</v>
      </c>
      <c r="AQ86" s="166">
        <f>((AP86/19.32)*10)</f>
        <v>8.8452380952380949</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2.3051835348366581</v>
      </c>
      <c r="AK91" s="9">
        <f>R31</f>
        <v>2.1842015558324976</v>
      </c>
      <c r="AL91" s="10">
        <f>S31</f>
        <v>1.9776187823131772</v>
      </c>
    </row>
    <row r="92" spans="2:43" ht="21" customHeight="1" thickBot="1" x14ac:dyDescent="0.3">
      <c r="B92" s="92"/>
      <c r="C92" s="93"/>
      <c r="D92" s="93"/>
      <c r="E92" s="93"/>
      <c r="F92" s="62"/>
      <c r="G92" s="63"/>
      <c r="H92" s="49"/>
      <c r="I92" s="49"/>
      <c r="O92" s="725" t="s">
        <v>147</v>
      </c>
      <c r="P92" s="726"/>
      <c r="Q92" s="726"/>
      <c r="R92" s="726"/>
      <c r="S92" s="61">
        <f>M42</f>
        <v>4.9379999999999997</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61.106610255948638</v>
      </c>
      <c r="AK94" s="158">
        <f>AA42</f>
        <v>39.487502625498841</v>
      </c>
      <c r="AL94" s="158">
        <f>AD42</f>
        <v>24.314241416395426</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534" priority="47">
      <formula>LEN(TRIM(D6))=0</formula>
    </cfRule>
  </conditionalFormatting>
  <conditionalFormatting sqref="D6:H10">
    <cfRule type="containsBlanks" dxfId="1533" priority="46">
      <formula>LEN(TRIM(D6))=0</formula>
    </cfRule>
  </conditionalFormatting>
  <conditionalFormatting sqref="M19">
    <cfRule type="containsBlanks" dxfId="1532" priority="45">
      <formula>LEN(TRIM(M19))=0</formula>
    </cfRule>
  </conditionalFormatting>
  <conditionalFormatting sqref="CP70">
    <cfRule type="containsBlanks" dxfId="1531" priority="44">
      <formula>LEN(TRIM(CP70))=0</formula>
    </cfRule>
  </conditionalFormatting>
  <conditionalFormatting sqref="M21">
    <cfRule type="containsBlanks" dxfId="1530" priority="43">
      <formula>LEN(TRIM(M21))=0</formula>
    </cfRule>
  </conditionalFormatting>
  <conditionalFormatting sqref="D12:M12">
    <cfRule type="containsBlanks" dxfId="1529" priority="42">
      <formula>LEN(TRIM(D12))=0</formula>
    </cfRule>
  </conditionalFormatting>
  <conditionalFormatting sqref="L9:M9">
    <cfRule type="containsBlanks" dxfId="1528" priority="41">
      <formula>LEN(TRIM(L9))=0</formula>
    </cfRule>
  </conditionalFormatting>
  <conditionalFormatting sqref="L25">
    <cfRule type="containsBlanks" dxfId="1527" priority="40">
      <formula>LEN(TRIM(L25))=0</formula>
    </cfRule>
  </conditionalFormatting>
  <conditionalFormatting sqref="Q20:S21">
    <cfRule type="containsBlanks" dxfId="1526" priority="33">
      <formula>LEN(TRIM(Q20))=0</formula>
    </cfRule>
    <cfRule type="containsBlanks" dxfId="1525" priority="39">
      <formula>LEN(TRIM(Q20))=0</formula>
    </cfRule>
  </conditionalFormatting>
  <conditionalFormatting sqref="U26:V27 AC33 AC26">
    <cfRule type="cellIs" dxfId="1524" priority="38" operator="between">
      <formula>0</formula>
      <formula>500</formula>
    </cfRule>
  </conditionalFormatting>
  <conditionalFormatting sqref="U33:V33">
    <cfRule type="cellIs" dxfId="1523" priority="37" operator="between">
      <formula>0</formula>
      <formula>500</formula>
    </cfRule>
  </conditionalFormatting>
  <conditionalFormatting sqref="AF45:AH46">
    <cfRule type="containsBlanks" dxfId="1522" priority="36">
      <formula>LEN(TRIM(AF45))=0</formula>
    </cfRule>
  </conditionalFormatting>
  <conditionalFormatting sqref="AF51:AG53">
    <cfRule type="containsBlanks" dxfId="1521" priority="35">
      <formula>LEN(TRIM(AF51))=0</formula>
    </cfRule>
  </conditionalFormatting>
  <conditionalFormatting sqref="E20:H24">
    <cfRule type="containsBlanks" dxfId="1520" priority="34">
      <formula>LEN(TRIM(E20))=0</formula>
    </cfRule>
  </conditionalFormatting>
  <conditionalFormatting sqref="M25">
    <cfRule type="containsBlanks" dxfId="1519" priority="32">
      <formula>LEN(TRIM(M25))=0</formula>
    </cfRule>
  </conditionalFormatting>
  <conditionalFormatting sqref="U26:V27 Y26:Z27 AC26:AD27 AG26:AG27">
    <cfRule type="containsBlanks" dxfId="1518" priority="30">
      <formula>LEN(TRIM(U26))=0</formula>
    </cfRule>
    <cfRule type="cellIs" dxfId="1517" priority="31" operator="between">
      <formula>0</formula>
      <formula>1000</formula>
    </cfRule>
  </conditionalFormatting>
  <conditionalFormatting sqref="W87:W88">
    <cfRule type="cellIs" dxfId="1516" priority="29" operator="between">
      <formula>0</formula>
      <formula>500</formula>
    </cfRule>
  </conditionalFormatting>
  <conditionalFormatting sqref="W94">
    <cfRule type="cellIs" dxfId="1515" priority="28" operator="between">
      <formula>0</formula>
      <formula>500</formula>
    </cfRule>
  </conditionalFormatting>
  <conditionalFormatting sqref="W87:W88">
    <cfRule type="containsBlanks" dxfId="1514" priority="26">
      <formula>LEN(TRIM(W87))=0</formula>
    </cfRule>
    <cfRule type="cellIs" dxfId="1513" priority="27" operator="between">
      <formula>0</formula>
      <formula>1000</formula>
    </cfRule>
  </conditionalFormatting>
  <conditionalFormatting sqref="U33:V33 Y33:Z33 AC33:AD33 AG33">
    <cfRule type="cellIs" dxfId="1512" priority="25" operator="between">
      <formula>0</formula>
      <formula>1000</formula>
    </cfRule>
  </conditionalFormatting>
  <conditionalFormatting sqref="Q27:S27">
    <cfRule type="containsBlanks" dxfId="1511" priority="23">
      <formula>LEN(TRIM(Q27))=0</formula>
    </cfRule>
    <cfRule type="containsBlanks" dxfId="1510" priority="24">
      <formula>LEN(TRIM(Q27))=0</formula>
    </cfRule>
  </conditionalFormatting>
  <conditionalFormatting sqref="W30:W31 W33:W35 W37 W28 W22:W26">
    <cfRule type="containsBlanks" dxfId="1509" priority="22">
      <formula>LEN(TRIM(W22))=0</formula>
    </cfRule>
  </conditionalFormatting>
  <conditionalFormatting sqref="W37 W30:W31 W33:W35 W28 W22:W26">
    <cfRule type="containsBlanks" dxfId="1508" priority="21">
      <formula>LEN(TRIM(W22))=0</formula>
    </cfRule>
  </conditionalFormatting>
  <conditionalFormatting sqref="W33:X33">
    <cfRule type="cellIs" dxfId="1507" priority="20" operator="between">
      <formula>0</formula>
      <formula>1000</formula>
    </cfRule>
  </conditionalFormatting>
  <conditionalFormatting sqref="W30:X37 W26 W28 W22:X25">
    <cfRule type="containsBlanks" dxfId="1506" priority="19">
      <formula>LEN(TRIM(W22))=0</formula>
    </cfRule>
  </conditionalFormatting>
  <conditionalFormatting sqref="AA37 AA30:AA31 AA33 AA22:AA26 AA28 AA35">
    <cfRule type="containsBlanks" dxfId="1505" priority="18">
      <formula>LEN(TRIM(AA22))=0</formula>
    </cfRule>
  </conditionalFormatting>
  <conditionalFormatting sqref="AA37 AA30:AA31 AA33 AA22:AA26 AA28 AA35">
    <cfRule type="containsBlanks" dxfId="1504" priority="17">
      <formula>LEN(TRIM(AA22))=0</formula>
    </cfRule>
  </conditionalFormatting>
  <conditionalFormatting sqref="AA33:AB33">
    <cfRule type="cellIs" dxfId="1503" priority="16" operator="between">
      <formula>0</formula>
      <formula>1000</formula>
    </cfRule>
  </conditionalFormatting>
  <conditionalFormatting sqref="AA30:AB30 AA31 AA33:AB33 AA22:AB25 AA26 AA28 AA35:AB37">
    <cfRule type="containsBlanks" dxfId="1502" priority="15">
      <formula>LEN(TRIM(AA22))=0</formula>
    </cfRule>
  </conditionalFormatting>
  <conditionalFormatting sqref="AE37 AE28 AE30:AE31 AE33:AE35 AE22:AE26">
    <cfRule type="containsBlanks" dxfId="1501" priority="14">
      <formula>LEN(TRIM(AE22))=0</formula>
    </cfRule>
  </conditionalFormatting>
  <conditionalFormatting sqref="AE37 AE28 AE30:AE31 AE33:AE35 AE22:AE26">
    <cfRule type="containsBlanks" dxfId="1500" priority="13">
      <formula>LEN(TRIM(AE22))=0</formula>
    </cfRule>
  </conditionalFormatting>
  <conditionalFormatting sqref="AE33:AF33">
    <cfRule type="cellIs" dxfId="1499" priority="12" operator="between">
      <formula>0</formula>
      <formula>1000</formula>
    </cfRule>
  </conditionalFormatting>
  <conditionalFormatting sqref="AE33:AF37 AE26 AE28 AE30:AE31 AE22:AF25">
    <cfRule type="containsBlanks" dxfId="1498" priority="11">
      <formula>LEN(TRIM(AE22))=0</formula>
    </cfRule>
  </conditionalFormatting>
  <conditionalFormatting sqref="K6:M6">
    <cfRule type="containsBlanks" dxfId="1497" priority="10">
      <formula>LEN(TRIM(K6))=0</formula>
    </cfRule>
  </conditionalFormatting>
  <conditionalFormatting sqref="K7:K8">
    <cfRule type="containsBlanks" dxfId="1496" priority="9">
      <formula>LEN(TRIM(K7))=0</formula>
    </cfRule>
  </conditionalFormatting>
  <conditionalFormatting sqref="D13:M13">
    <cfRule type="containsBlanks" dxfId="1495" priority="8">
      <formula>LEN(TRIM(D13))=0</formula>
    </cfRule>
  </conditionalFormatting>
  <conditionalFormatting sqref="B6:B10">
    <cfRule type="containsBlanks" dxfId="1494" priority="7">
      <formula>LEN(TRIM(B6))=0</formula>
    </cfRule>
  </conditionalFormatting>
  <conditionalFormatting sqref="B12:B13">
    <cfRule type="containsBlanks" dxfId="1493" priority="6">
      <formula>LEN(TRIM(B12))=0</formula>
    </cfRule>
  </conditionalFormatting>
  <conditionalFormatting sqref="E28:H33">
    <cfRule type="containsBlanks" dxfId="1492" priority="5">
      <formula>LEN(TRIM(E28))=0</formula>
    </cfRule>
  </conditionalFormatting>
  <conditionalFormatting sqref="Q22:S26">
    <cfRule type="containsBlanks" dxfId="1491" priority="3">
      <formula>LEN(TRIM(Q22))=0</formula>
    </cfRule>
    <cfRule type="containsBlanks" dxfId="1490" priority="4">
      <formula>LEN(TRIM(Q22))=0</formula>
    </cfRule>
  </conditionalFormatting>
  <conditionalFormatting sqref="Q34:S39">
    <cfRule type="containsBlanks" dxfId="1489" priority="2">
      <formula>LEN(TRIM(Q34))=0</formula>
    </cfRule>
  </conditionalFormatting>
  <conditionalFormatting sqref="Q42:S46">
    <cfRule type="containsBlanks" dxfId="1488" priority="1">
      <formula>LEN(TRIM(Q42))=0</formula>
    </cfRule>
  </conditionalFormatting>
  <dataValidations count="5">
    <dataValidation type="list" allowBlank="1" showInputMessage="1" showErrorMessage="1" sqref="L25" xr:uid="{00000000-0002-0000-1B00-000000000000}">
      <formula1>$D$101:$D$104</formula1>
    </dataValidation>
    <dataValidation type="list" allowBlank="1" showInputMessage="1" showErrorMessage="1" sqref="M21" xr:uid="{00000000-0002-0000-1B00-000001000000}">
      <formula1>$AX$3:$AX$4</formula1>
    </dataValidation>
    <dataValidation type="list" allowBlank="1" showInputMessage="1" showErrorMessage="1" sqref="M19" xr:uid="{00000000-0002-0000-1B00-000002000000}">
      <formula1>$AX$3:$AX$5</formula1>
    </dataValidation>
    <dataValidation type="list" allowBlank="1" showInputMessage="1" showErrorMessage="1" sqref="CP70" xr:uid="{00000000-0002-0000-1B00-000003000000}">
      <formula1>$BA$3:$BA$5</formula1>
    </dataValidation>
    <dataValidation type="list" allowBlank="1" showInputMessage="1" showErrorMessage="1" sqref="D12:E12" xr:uid="{00000000-0002-0000-1B00-000004000000}">
      <formula1>$B$87:$B$94</formula1>
    </dataValidation>
  </dataValidations>
  <hyperlinks>
    <hyperlink ref="D8" r:id="rId1" xr:uid="{00000000-0004-0000-1B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44385" r:id="rId5" name="Check Box 1">
              <controlPr defaultSize="0" autoFill="0" autoLine="0" autoPict="0">
                <anchor moveWithCells="1">
                  <from>
                    <xdr:col>1</xdr:col>
                    <xdr:colOff>1962150</xdr:colOff>
                    <xdr:row>16</xdr:row>
                    <xdr:rowOff>0</xdr:rowOff>
                  </from>
                  <to>
                    <xdr:col>2</xdr:col>
                    <xdr:colOff>161925</xdr:colOff>
                    <xdr:row>16</xdr:row>
                    <xdr:rowOff>295275</xdr:rowOff>
                  </to>
                </anchor>
              </controlPr>
            </control>
          </mc:Choice>
        </mc:AlternateContent>
        <mc:AlternateContent xmlns:mc="http://schemas.openxmlformats.org/markup-compatibility/2006">
          <mc:Choice Requires="x14">
            <control shapeId="144386" r:id="rId6" name="Check Box 2">
              <controlPr defaultSize="0" autoFill="0" autoLine="0" autoPict="0">
                <anchor moveWithCells="1">
                  <from>
                    <xdr:col>2</xdr:col>
                    <xdr:colOff>609600</xdr:colOff>
                    <xdr:row>16</xdr:row>
                    <xdr:rowOff>9525</xdr:rowOff>
                  </from>
                  <to>
                    <xdr:col>2</xdr:col>
                    <xdr:colOff>1104900</xdr:colOff>
                    <xdr:row>16</xdr:row>
                    <xdr:rowOff>295275</xdr:rowOff>
                  </to>
                </anchor>
              </controlPr>
            </control>
          </mc:Choice>
        </mc:AlternateContent>
        <mc:AlternateContent xmlns:mc="http://schemas.openxmlformats.org/markup-compatibility/2006">
          <mc:Choice Requires="x14">
            <control shapeId="144387" r:id="rId7" name="Check Box 3">
              <controlPr defaultSize="0" autoFill="0" autoLine="0" autoPict="0">
                <anchor moveWithCells="1">
                  <from>
                    <xdr:col>1</xdr:col>
                    <xdr:colOff>1038225</xdr:colOff>
                    <xdr:row>16</xdr:row>
                    <xdr:rowOff>9525</xdr:rowOff>
                  </from>
                  <to>
                    <xdr:col>1</xdr:col>
                    <xdr:colOff>1533525</xdr:colOff>
                    <xdr:row>16</xdr:row>
                    <xdr:rowOff>295275</xdr:rowOff>
                  </to>
                </anchor>
              </controlPr>
            </control>
          </mc:Choice>
        </mc:AlternateContent>
        <mc:AlternateContent xmlns:mc="http://schemas.openxmlformats.org/markup-compatibility/2006">
          <mc:Choice Requires="x14">
            <control shapeId="14438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4438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44390" r:id="rId10" name="Check Box 6">
              <controlPr defaultSize="0" autoFill="0" autoLine="0" autoPict="0">
                <anchor moveWithCells="1">
                  <from>
                    <xdr:col>15</xdr:col>
                    <xdr:colOff>466725</xdr:colOff>
                    <xdr:row>15</xdr:row>
                    <xdr:rowOff>228600</xdr:rowOff>
                  </from>
                  <to>
                    <xdr:col>15</xdr:col>
                    <xdr:colOff>962025</xdr:colOff>
                    <xdr:row>16</xdr:row>
                    <xdr:rowOff>295275</xdr:rowOff>
                  </to>
                </anchor>
              </controlPr>
            </control>
          </mc:Choice>
        </mc:AlternateContent>
        <mc:AlternateContent xmlns:mc="http://schemas.openxmlformats.org/markup-compatibility/2006">
          <mc:Choice Requires="x14">
            <control shapeId="144391" r:id="rId11" name="Check Box 7">
              <controlPr defaultSize="0" autoFill="0" autoLine="0" autoPict="0">
                <anchor moveWithCells="1">
                  <from>
                    <xdr:col>14</xdr:col>
                    <xdr:colOff>1552575</xdr:colOff>
                    <xdr:row>15</xdr:row>
                    <xdr:rowOff>238125</xdr:rowOff>
                  </from>
                  <to>
                    <xdr:col>15</xdr:col>
                    <xdr:colOff>0</xdr:colOff>
                    <xdr:row>16</xdr:row>
                    <xdr:rowOff>295275</xdr:rowOff>
                  </to>
                </anchor>
              </controlPr>
            </control>
          </mc:Choice>
        </mc:AlternateContent>
        <mc:AlternateContent xmlns:mc="http://schemas.openxmlformats.org/markup-compatibility/2006">
          <mc:Choice Requires="x14">
            <control shapeId="14439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4439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4439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69">
    <tabColor rgb="FFFF0000"/>
  </sheetPr>
  <dimension ref="A1:CP153"/>
  <sheetViews>
    <sheetView view="pageBreakPreview" topLeftCell="K5" zoomScale="70" zoomScaleNormal="100" zoomScaleSheetLayoutView="7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45903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45903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25-P-CIAT 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250</v>
      </c>
      <c r="G12" s="31" t="s">
        <v>4</v>
      </c>
      <c r="H12" s="146">
        <v>2</v>
      </c>
      <c r="I12" s="546" t="s">
        <v>5</v>
      </c>
      <c r="J12" s="546"/>
      <c r="K12" s="209">
        <v>1.1000000000000001</v>
      </c>
      <c r="L12" s="32" t="s">
        <v>6</v>
      </c>
      <c r="M12" s="147">
        <v>1.5</v>
      </c>
      <c r="N12" s="78"/>
      <c r="O12" s="501" t="s">
        <v>3</v>
      </c>
      <c r="P12" s="501"/>
      <c r="Q12" s="225" t="s">
        <v>234</v>
      </c>
      <c r="R12" s="224" t="str">
        <f>F12</f>
        <v>P-CIAT AP3</v>
      </c>
      <c r="S12" s="224"/>
      <c r="T12" s="502" t="s">
        <v>4</v>
      </c>
      <c r="U12" s="502"/>
      <c r="V12" s="33">
        <f>+H12</f>
        <v>2</v>
      </c>
      <c r="W12" s="547" t="s">
        <v>5</v>
      </c>
      <c r="X12" s="547"/>
      <c r="Y12" s="547"/>
      <c r="Z12" s="547"/>
      <c r="AA12" s="547"/>
      <c r="AB12" s="547"/>
      <c r="AC12" s="34">
        <f>K12</f>
        <v>1.1000000000000001</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249</v>
      </c>
      <c r="E13" s="479"/>
      <c r="F13" s="479"/>
      <c r="G13" s="479"/>
      <c r="H13" s="479"/>
      <c r="I13" s="479"/>
      <c r="J13" s="479"/>
      <c r="K13" s="479"/>
      <c r="L13" s="479"/>
      <c r="M13" s="480"/>
      <c r="N13" s="188"/>
      <c r="O13" s="526" t="s">
        <v>130</v>
      </c>
      <c r="P13" s="526"/>
      <c r="Q13" s="527" t="str">
        <f>D13</f>
        <v>GRAVAS CON ARENA Y ALGO DE LIMO COLOR MARRON EN CONDICION HUMEDA.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c r="R20" s="156"/>
      <c r="S20" s="157"/>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c r="F22" s="150"/>
      <c r="G22" s="150"/>
      <c r="H22" s="151"/>
      <c r="I22" s="174"/>
      <c r="J22" s="578"/>
      <c r="K22" s="578"/>
      <c r="L22" s="578"/>
      <c r="M22" s="104"/>
      <c r="N22" s="103"/>
      <c r="O22" s="579" t="s">
        <v>132</v>
      </c>
      <c r="P22" s="580"/>
      <c r="Q22" s="219"/>
      <c r="R22" s="219"/>
      <c r="S22" s="208"/>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0.14799999999999999</v>
      </c>
      <c r="AJ22" s="42">
        <f>AJ50/1.52</f>
        <v>9.7368421052631576E-2</v>
      </c>
      <c r="AK22" s="42">
        <f>AJ22*0.75</f>
        <v>7.3026315789473689E-2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c r="R23" s="150"/>
      <c r="S23" s="151"/>
      <c r="T23" s="174"/>
      <c r="U23" s="112">
        <v>2.5000000000000001E-2</v>
      </c>
      <c r="V23" s="113">
        <f>U23*25.4</f>
        <v>0.63500000000000001</v>
      </c>
      <c r="W23" s="581">
        <f>AI23</f>
        <v>0.61399999999999999</v>
      </c>
      <c r="X23" s="582"/>
      <c r="Y23" s="449">
        <f>((W23/19.32)*10)</f>
        <v>0.31780538302277428</v>
      </c>
      <c r="Z23" s="450"/>
      <c r="AA23" s="581">
        <f>AJ23</f>
        <v>0.40394736842105261</v>
      </c>
      <c r="AB23" s="582"/>
      <c r="AC23" s="449">
        <f>((AA23/19.32)*10)</f>
        <v>0.20908248883077257</v>
      </c>
      <c r="AD23" s="450"/>
      <c r="AE23" s="581">
        <f>AK23</f>
        <v>0.30296052631578946</v>
      </c>
      <c r="AF23" s="582"/>
      <c r="AG23" s="114">
        <f>((AE23/19.32)*10)</f>
        <v>0.15681186662307944</v>
      </c>
      <c r="AH23" s="104"/>
      <c r="AI23" s="42">
        <f t="shared" ref="AI23:AI33" si="0">AJ51</f>
        <v>0.61399999999999999</v>
      </c>
      <c r="AJ23" s="42">
        <f t="shared" ref="AJ23:AJ33" si="1">AJ51/1.52</f>
        <v>0.40394736842105261</v>
      </c>
      <c r="AK23" s="42">
        <f t="shared" ref="AK23:AK33" si="2">AJ23*0.75</f>
        <v>0.30296052631578946</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c r="R24" s="152"/>
      <c r="S24" s="153"/>
      <c r="T24" s="174"/>
      <c r="U24" s="112">
        <v>0.05</v>
      </c>
      <c r="V24" s="113">
        <f>U24*25.4</f>
        <v>1.27</v>
      </c>
      <c r="W24" s="581">
        <f>AI24</f>
        <v>1.093</v>
      </c>
      <c r="X24" s="582"/>
      <c r="Y24" s="449">
        <f>((W24/19.32)*10)</f>
        <v>0.56573498964803315</v>
      </c>
      <c r="Z24" s="450"/>
      <c r="AA24" s="581">
        <f>AJ24</f>
        <v>0.71907894736842104</v>
      </c>
      <c r="AB24" s="582"/>
      <c r="AC24" s="449">
        <f>((AA24/19.32)*10)</f>
        <v>0.3721940721368639</v>
      </c>
      <c r="AD24" s="450"/>
      <c r="AE24" s="581">
        <f>AK24</f>
        <v>0.53930921052631575</v>
      </c>
      <c r="AF24" s="582"/>
      <c r="AG24" s="114">
        <f>((AE24/19.32)*10)</f>
        <v>0.27914555410264791</v>
      </c>
      <c r="AH24" s="104"/>
      <c r="AI24" s="42">
        <f t="shared" si="0"/>
        <v>1.093</v>
      </c>
      <c r="AJ24" s="42">
        <f t="shared" si="1"/>
        <v>0.71907894736842104</v>
      </c>
      <c r="AK24" s="42">
        <f t="shared" si="2"/>
        <v>0.53930921052631575</v>
      </c>
      <c r="AO24" s="42">
        <v>0.68400000000000005</v>
      </c>
      <c r="AS24" s="42">
        <f t="shared" si="3"/>
        <v>0.55609756097560981</v>
      </c>
    </row>
    <row r="25" spans="1:45" ht="24.95" customHeight="1" thickBot="1" x14ac:dyDescent="0.3">
      <c r="A25" s="103"/>
      <c r="B25" s="602" t="s">
        <v>69</v>
      </c>
      <c r="C25" s="603"/>
      <c r="D25" s="603"/>
      <c r="E25" s="115">
        <f>E22-E23</f>
        <v>-7312</v>
      </c>
      <c r="F25" s="115">
        <f>F22-F23</f>
        <v>-7312</v>
      </c>
      <c r="G25" s="115">
        <f>G22-G23</f>
        <v>-7312</v>
      </c>
      <c r="H25" s="116">
        <f>H22-H23</f>
        <v>-7312</v>
      </c>
      <c r="I25" s="174"/>
      <c r="J25" s="174" t="s">
        <v>127</v>
      </c>
      <c r="K25" s="174"/>
      <c r="L25" s="218" t="s">
        <v>128</v>
      </c>
      <c r="M25" s="155">
        <v>47.6</v>
      </c>
      <c r="N25" s="103"/>
      <c r="O25" s="604" t="s">
        <v>46</v>
      </c>
      <c r="P25" s="605"/>
      <c r="Q25" s="608"/>
      <c r="R25" s="608"/>
      <c r="S25" s="610"/>
      <c r="T25" s="174"/>
      <c r="U25" s="112">
        <v>7.4999999999999997E-2</v>
      </c>
      <c r="V25" s="113">
        <f>U25*25.4</f>
        <v>1.9049999999999998</v>
      </c>
      <c r="W25" s="581">
        <f>AI25</f>
        <v>1.4319999999999999</v>
      </c>
      <c r="X25" s="582"/>
      <c r="Y25" s="449">
        <f>((W25/19.32)*10)</f>
        <v>0.74120082815734989</v>
      </c>
      <c r="Z25" s="450"/>
      <c r="AA25" s="581">
        <f>AJ25</f>
        <v>0.94210526315789467</v>
      </c>
      <c r="AB25" s="582"/>
      <c r="AC25" s="449">
        <f>((AA25/19.32)*10)</f>
        <v>0.48763212378773013</v>
      </c>
      <c r="AD25" s="450"/>
      <c r="AE25" s="581">
        <f>AK25</f>
        <v>0.70657894736842097</v>
      </c>
      <c r="AF25" s="582"/>
      <c r="AG25" s="114">
        <f>((AE25/19.32)*10)</f>
        <v>0.3657240928407976</v>
      </c>
      <c r="AH25" s="104"/>
      <c r="AI25" s="42">
        <f t="shared" si="0"/>
        <v>1.4319999999999999</v>
      </c>
      <c r="AJ25" s="42">
        <f t="shared" si="1"/>
        <v>0.94210526315789467</v>
      </c>
      <c r="AK25" s="42">
        <f t="shared" si="2"/>
        <v>0.70657894736842097</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47.5</v>
      </c>
      <c r="N26" s="103"/>
      <c r="O26" s="606"/>
      <c r="P26" s="607"/>
      <c r="Q26" s="609"/>
      <c r="R26" s="609"/>
      <c r="S26" s="611"/>
      <c r="T26" s="174"/>
      <c r="U26" s="600">
        <v>0.1</v>
      </c>
      <c r="V26" s="601">
        <f>U26*25.4</f>
        <v>2.54</v>
      </c>
      <c r="W26" s="774">
        <f>AI26</f>
        <v>1.6870000000000001</v>
      </c>
      <c r="X26" s="775"/>
      <c r="Y26" s="439">
        <f>((W26/19.32)*10)</f>
        <v>0.87318840579710155</v>
      </c>
      <c r="Z26" s="440"/>
      <c r="AA26" s="593">
        <f>AJ26</f>
        <v>1.1098684210526315</v>
      </c>
      <c r="AB26" s="594"/>
      <c r="AC26" s="439">
        <f>((AA26/19.32)*10)</f>
        <v>0.57446605644546145</v>
      </c>
      <c r="AD26" s="440"/>
      <c r="AE26" s="593">
        <f>AK26</f>
        <v>0.83240131578947363</v>
      </c>
      <c r="AF26" s="594"/>
      <c r="AG26" s="469">
        <f>((AE26/19.32)*10)</f>
        <v>0.43084954233409606</v>
      </c>
      <c r="AH26" s="104"/>
      <c r="AI26" s="42">
        <f t="shared" si="0"/>
        <v>1.6870000000000001</v>
      </c>
      <c r="AJ26" s="42">
        <f t="shared" si="1"/>
        <v>1.1098684210526315</v>
      </c>
      <c r="AK26" s="42">
        <f t="shared" si="2"/>
        <v>0.83240131578947363</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0</v>
      </c>
      <c r="R27" s="152">
        <f>(PI()*((R25^2)/4)*R24)</f>
        <v>0</v>
      </c>
      <c r="S27" s="153">
        <f>(PI()*((S25^2)/4)*S24)</f>
        <v>0</v>
      </c>
      <c r="T27" s="174"/>
      <c r="U27" s="600"/>
      <c r="V27" s="601"/>
      <c r="W27" s="776"/>
      <c r="X27" s="777"/>
      <c r="Y27" s="441"/>
      <c r="Z27" s="442"/>
      <c r="AA27" s="595"/>
      <c r="AB27" s="596"/>
      <c r="AC27" s="441"/>
      <c r="AD27" s="442"/>
      <c r="AE27" s="595"/>
      <c r="AF27" s="596"/>
      <c r="AG27" s="470"/>
      <c r="AH27" s="193"/>
      <c r="AI27" s="42">
        <f t="shared" si="0"/>
        <v>1.996</v>
      </c>
      <c r="AJ27" s="42">
        <f t="shared" si="1"/>
        <v>1.3131578947368421</v>
      </c>
      <c r="AK27" s="42">
        <f t="shared" si="2"/>
        <v>0.9848684210526315</v>
      </c>
      <c r="AO27" s="42">
        <v>2.387</v>
      </c>
      <c r="AS27" s="42">
        <f t="shared" si="3"/>
        <v>1.9406504065040651</v>
      </c>
    </row>
    <row r="28" spans="1:45" ht="24.95" customHeight="1" thickBot="1" x14ac:dyDescent="0.3">
      <c r="A28" s="103"/>
      <c r="B28" s="560" t="s">
        <v>9</v>
      </c>
      <c r="C28" s="561"/>
      <c r="D28" s="561"/>
      <c r="E28" s="148"/>
      <c r="F28" s="148"/>
      <c r="G28" s="148"/>
      <c r="H28" s="149"/>
      <c r="I28" s="174"/>
      <c r="J28" s="597" t="s">
        <v>107</v>
      </c>
      <c r="K28" s="597"/>
      <c r="L28" s="562" t="s">
        <v>119</v>
      </c>
      <c r="M28" s="459">
        <f>IF(M26="","",(100-M26))</f>
        <v>52.5</v>
      </c>
      <c r="N28" s="103"/>
      <c r="O28" s="625" t="s">
        <v>136</v>
      </c>
      <c r="P28" s="626"/>
      <c r="Q28" s="220">
        <f>Q22-Q23</f>
        <v>0</v>
      </c>
      <c r="R28" s="220">
        <f>R22-R23</f>
        <v>0</v>
      </c>
      <c r="S28" s="220">
        <f>S22-S23</f>
        <v>0</v>
      </c>
      <c r="T28" s="174"/>
      <c r="U28" s="627">
        <v>0.125</v>
      </c>
      <c r="V28" s="624">
        <f>U28*25.4</f>
        <v>3.1749999999999998</v>
      </c>
      <c r="W28" s="593">
        <f>AI27</f>
        <v>1.996</v>
      </c>
      <c r="X28" s="594"/>
      <c r="Y28" s="439">
        <f>((W28/19.32)*10)</f>
        <v>1.0331262939958592</v>
      </c>
      <c r="Z28" s="440"/>
      <c r="AA28" s="593">
        <f>AJ27</f>
        <v>1.3131578947368421</v>
      </c>
      <c r="AB28" s="594"/>
      <c r="AC28" s="439">
        <f>((AA28/19.32)*10)</f>
        <v>0.67968835131306526</v>
      </c>
      <c r="AD28" s="440"/>
      <c r="AE28" s="593">
        <f>AK27</f>
        <v>0.9848684210526315</v>
      </c>
      <c r="AF28" s="594"/>
      <c r="AG28" s="443">
        <f>((AE28/19.32)*10)</f>
        <v>0.50976626348479892</v>
      </c>
      <c r="AH28" s="104"/>
      <c r="AI28" s="42">
        <f t="shared" si="0"/>
        <v>2.2679999999999998</v>
      </c>
      <c r="AJ28" s="42">
        <f t="shared" si="1"/>
        <v>1.4921052631578946</v>
      </c>
      <c r="AK28" s="42">
        <f t="shared" si="2"/>
        <v>1.1190789473684211</v>
      </c>
      <c r="AO28" s="42">
        <v>2.8959999999999999</v>
      </c>
      <c r="AS28" s="42">
        <f t="shared" si="3"/>
        <v>2.3544715447154472</v>
      </c>
    </row>
    <row r="29" spans="1:45" ht="5.0999999999999996" customHeight="1" thickBot="1" x14ac:dyDescent="0.3">
      <c r="A29" s="103"/>
      <c r="B29" s="612" t="s">
        <v>73</v>
      </c>
      <c r="C29" s="613"/>
      <c r="D29" s="614"/>
      <c r="E29" s="618"/>
      <c r="F29" s="618"/>
      <c r="G29" s="618"/>
      <c r="H29" s="620"/>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2.5230000000000001</v>
      </c>
      <c r="AJ29" s="42">
        <f t="shared" si="1"/>
        <v>1.6598684210526315</v>
      </c>
      <c r="AK29" s="42">
        <f t="shared" si="2"/>
        <v>1.2449013157894737</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15.442474384615386</v>
      </c>
      <c r="N30" s="103"/>
      <c r="O30" s="622" t="s">
        <v>134</v>
      </c>
      <c r="P30" s="623"/>
      <c r="Q30" s="229" t="e">
        <f>Q28/Q27</f>
        <v>#DIV/0!</v>
      </c>
      <c r="R30" s="229" t="e">
        <f>R28/R27</f>
        <v>#DIV/0!</v>
      </c>
      <c r="S30" s="131" t="e">
        <f>S28/S27</f>
        <v>#DIV/0!</v>
      </c>
      <c r="T30" s="174"/>
      <c r="U30" s="120">
        <v>0.15</v>
      </c>
      <c r="V30" s="113">
        <f>U30*25.4</f>
        <v>3.8099999999999996</v>
      </c>
      <c r="W30" s="581">
        <f>AI28</f>
        <v>2.2679999999999998</v>
      </c>
      <c r="X30" s="582"/>
      <c r="Y30" s="449">
        <f>((W30/19.32)*10)</f>
        <v>1.1739130434782608</v>
      </c>
      <c r="Z30" s="450"/>
      <c r="AA30" s="581">
        <f>AJ28</f>
        <v>1.4921052631578946</v>
      </c>
      <c r="AB30" s="582"/>
      <c r="AC30" s="449">
        <f>((AA30/19.32)*10)</f>
        <v>0.77231121281464521</v>
      </c>
      <c r="AD30" s="450"/>
      <c r="AE30" s="581">
        <f>AK28</f>
        <v>1.1190789473684211</v>
      </c>
      <c r="AF30" s="582"/>
      <c r="AG30" s="114">
        <f>((AE30/19.32)*10)</f>
        <v>0.57923340961098402</v>
      </c>
      <c r="AH30" s="104"/>
      <c r="AI30" s="42">
        <f t="shared" si="0"/>
        <v>2.6970000000000001</v>
      </c>
      <c r="AJ30" s="42">
        <f t="shared" si="1"/>
        <v>1.7743421052631578</v>
      </c>
      <c r="AK30" s="42">
        <f t="shared" si="2"/>
        <v>1.3307565789473683</v>
      </c>
      <c r="AO30" s="42">
        <v>3.8439999999999999</v>
      </c>
      <c r="AS30" s="42">
        <f t="shared" si="3"/>
        <v>3.1252032520325201</v>
      </c>
    </row>
    <row r="31" spans="1:45" ht="24.95" customHeight="1" thickBot="1" x14ac:dyDescent="0.3">
      <c r="A31" s="103"/>
      <c r="B31" s="576" t="s">
        <v>74</v>
      </c>
      <c r="C31" s="577"/>
      <c r="D31" s="577"/>
      <c r="E31" s="152"/>
      <c r="F31" s="152"/>
      <c r="G31" s="152"/>
      <c r="H31" s="153"/>
      <c r="I31" s="174"/>
      <c r="J31" s="597" t="s">
        <v>138</v>
      </c>
      <c r="K31" s="597"/>
      <c r="L31" s="562" t="s">
        <v>116</v>
      </c>
      <c r="M31" s="457">
        <f>IF(M25="","",S82)</f>
        <v>2.7120000000000002</v>
      </c>
      <c r="N31" s="121"/>
      <c r="O31" s="628" t="s">
        <v>135</v>
      </c>
      <c r="P31" s="629"/>
      <c r="Q31" s="122" t="e">
        <f>Q30/(1+Q40/100)</f>
        <v>#DIV/0!</v>
      </c>
      <c r="R31" s="122" t="e">
        <f>R30/(1+R40/100)</f>
        <v>#DIV/0!</v>
      </c>
      <c r="S31" s="123" t="e">
        <f>S30/(1+S40/100)</f>
        <v>#DIV/0!</v>
      </c>
      <c r="T31" s="174"/>
      <c r="U31" s="627">
        <v>0.17499999999999999</v>
      </c>
      <c r="V31" s="624">
        <f>U31*25.4</f>
        <v>4.4449999999999994</v>
      </c>
      <c r="W31" s="593">
        <f>AI29</f>
        <v>2.5230000000000001</v>
      </c>
      <c r="X31" s="594"/>
      <c r="Y31" s="439">
        <f>((W31/19.32)*10)</f>
        <v>1.3059006211180124</v>
      </c>
      <c r="Z31" s="440"/>
      <c r="AA31" s="593">
        <f>AJ29</f>
        <v>1.6598684210526315</v>
      </c>
      <c r="AB31" s="594"/>
      <c r="AC31" s="439">
        <f>((AA31/19.32)*10)</f>
        <v>0.85914514547237653</v>
      </c>
      <c r="AD31" s="440"/>
      <c r="AE31" s="593">
        <f>AK29</f>
        <v>1.2449013157894737</v>
      </c>
      <c r="AF31" s="594"/>
      <c r="AG31" s="443">
        <f>((AE31/19.32)*10)</f>
        <v>0.64435885910428248</v>
      </c>
      <c r="AH31" s="104"/>
      <c r="AI31" s="42">
        <f t="shared" si="0"/>
        <v>3.4860000000000002</v>
      </c>
      <c r="AJ31" s="42">
        <f t="shared" si="1"/>
        <v>2.293421052631579</v>
      </c>
      <c r="AK31" s="42">
        <f t="shared" si="2"/>
        <v>1.7200657894736842</v>
      </c>
      <c r="AO31" s="42">
        <v>5.516</v>
      </c>
      <c r="AS31" s="42">
        <f t="shared" si="3"/>
        <v>4.4845528455284551</v>
      </c>
    </row>
    <row r="32" spans="1:45" ht="5.0999999999999996" customHeight="1" thickBot="1" x14ac:dyDescent="0.3">
      <c r="A32" s="103"/>
      <c r="B32" s="612" t="s">
        <v>75</v>
      </c>
      <c r="C32" s="613"/>
      <c r="D32" s="614"/>
      <c r="E32" s="618"/>
      <c r="F32" s="618"/>
      <c r="G32" s="618"/>
      <c r="H32" s="620"/>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4.07</v>
      </c>
      <c r="AJ32" s="42">
        <f t="shared" si="1"/>
        <v>2.6776315789473686</v>
      </c>
      <c r="AK32" s="42">
        <f t="shared" si="2"/>
        <v>2.0082236842105265</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2.6970000000000001</v>
      </c>
      <c r="X33" s="582"/>
      <c r="Y33" s="449">
        <f>((W33/19.32)*10)</f>
        <v>1.3959627329192548</v>
      </c>
      <c r="Z33" s="450"/>
      <c r="AA33" s="581">
        <f>AJ30</f>
        <v>1.7743421052631578</v>
      </c>
      <c r="AB33" s="582"/>
      <c r="AC33" s="449">
        <f>((AA33/19.32)*10)</f>
        <v>0.91839653481529904</v>
      </c>
      <c r="AD33" s="450"/>
      <c r="AE33" s="581">
        <f>AK30</f>
        <v>1.3307565789473683</v>
      </c>
      <c r="AF33" s="582"/>
      <c r="AG33" s="144">
        <f>((AE33/19.32)*10)</f>
        <v>0.68879740111147436</v>
      </c>
      <c r="AH33" s="104"/>
      <c r="AI33" s="42">
        <f t="shared" si="0"/>
        <v>4.4119999999999999</v>
      </c>
      <c r="AJ33" s="42">
        <f t="shared" si="1"/>
        <v>2.9026315789473682</v>
      </c>
      <c r="AK33" s="42">
        <f t="shared" si="2"/>
        <v>2.1769736842105263</v>
      </c>
      <c r="AO33" s="42">
        <v>7.7720000000000002</v>
      </c>
      <c r="AS33" s="42">
        <f t="shared" si="3"/>
        <v>6.3186991869918705</v>
      </c>
    </row>
    <row r="34" spans="1:45" ht="24.95" customHeight="1" thickBot="1" x14ac:dyDescent="0.3">
      <c r="A34" s="103"/>
      <c r="B34" s="602" t="s">
        <v>10</v>
      </c>
      <c r="C34" s="603"/>
      <c r="D34" s="603"/>
      <c r="E34" s="125" t="e">
        <f>((E29-E31)/(E31-E32))*100</f>
        <v>#DIV/0!</v>
      </c>
      <c r="F34" s="125" t="e">
        <f>((F29-F31)/(F31-F32))*100</f>
        <v>#DIV/0!</v>
      </c>
      <c r="G34" s="125" t="e">
        <f>((G29-G31)/(G31-G32))*100</f>
        <v>#DIV/0!</v>
      </c>
      <c r="H34" s="126" t="e">
        <f>((H29-H31)/(H31-H32))*100</f>
        <v>#DIV/0!</v>
      </c>
      <c r="I34" s="174"/>
      <c r="J34" s="630" t="s">
        <v>125</v>
      </c>
      <c r="K34" s="630"/>
      <c r="L34" s="184" t="s">
        <v>126</v>
      </c>
      <c r="M34" s="127">
        <v>2.64</v>
      </c>
      <c r="N34" s="128"/>
      <c r="O34" s="631" t="s">
        <v>9</v>
      </c>
      <c r="P34" s="632"/>
      <c r="Q34" s="156"/>
      <c r="R34" s="156"/>
      <c r="S34" s="157"/>
      <c r="T34" s="174"/>
      <c r="U34" s="120">
        <v>0.3</v>
      </c>
      <c r="V34" s="113">
        <f>U34*25.4</f>
        <v>7.6199999999999992</v>
      </c>
      <c r="W34" s="581">
        <f>AI31</f>
        <v>3.4860000000000002</v>
      </c>
      <c r="X34" s="582"/>
      <c r="Y34" s="449">
        <f>((W34/19.32)*10)</f>
        <v>1.8043478260869565</v>
      </c>
      <c r="Z34" s="450"/>
      <c r="AA34" s="581">
        <f>AJ31</f>
        <v>2.293421052631579</v>
      </c>
      <c r="AB34" s="582"/>
      <c r="AC34" s="449">
        <f>((AA34/19.32)*10)</f>
        <v>1.187070938215103</v>
      </c>
      <c r="AD34" s="450"/>
      <c r="AE34" s="581">
        <f>AK31</f>
        <v>1.7200657894736842</v>
      </c>
      <c r="AF34" s="582"/>
      <c r="AG34" s="114">
        <f>((AE34/19.32)*10)</f>
        <v>0.8903032036613272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c r="R35" s="608"/>
      <c r="S35" s="610"/>
      <c r="T35" s="174"/>
      <c r="U35" s="627">
        <v>0.4</v>
      </c>
      <c r="V35" s="624">
        <f>U35*25.4</f>
        <v>10.16</v>
      </c>
      <c r="W35" s="593">
        <f>AI32</f>
        <v>4.07</v>
      </c>
      <c r="X35" s="594"/>
      <c r="Y35" s="439">
        <f>((W35/19.32)*10)</f>
        <v>2.1066252587991716</v>
      </c>
      <c r="Z35" s="440"/>
      <c r="AA35" s="593">
        <f>AJ32</f>
        <v>2.6776315789473686</v>
      </c>
      <c r="AB35" s="594"/>
      <c r="AC35" s="439">
        <f>(AA35/19.32)*10</f>
        <v>1.3859376702626132</v>
      </c>
      <c r="AD35" s="440"/>
      <c r="AE35" s="593">
        <f>AK32</f>
        <v>2.0082236842105265</v>
      </c>
      <c r="AF35" s="594"/>
      <c r="AG35" s="443">
        <f>((AE35/19.32)*10)</f>
        <v>1.03945325269696</v>
      </c>
      <c r="AH35" s="104"/>
      <c r="AS35" s="42">
        <f t="shared" si="3"/>
        <v>0</v>
      </c>
    </row>
    <row r="36" spans="1:45" ht="20.100000000000001" customHeight="1" thickBot="1" x14ac:dyDescent="0.3">
      <c r="A36" s="103"/>
      <c r="B36" s="639" t="s">
        <v>71</v>
      </c>
      <c r="C36" s="640"/>
      <c r="D36" s="640"/>
      <c r="E36" s="130">
        <f>E25/E24</f>
        <v>-3.4040968342644322</v>
      </c>
      <c r="F36" s="130">
        <f>F25/F24</f>
        <v>-3.4040968342644322</v>
      </c>
      <c r="G36" s="130">
        <f>G25/G24</f>
        <v>-3.4040968342644322</v>
      </c>
      <c r="H36" s="131">
        <f>H25/H24</f>
        <v>-3.4040968342644322</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t="e">
        <f>E36/(1+E34/100)</f>
        <v>#DIV/0!</v>
      </c>
      <c r="F37" s="230" t="e">
        <f>F36/(1+F34/100)</f>
        <v>#DIV/0!</v>
      </c>
      <c r="G37" s="230" t="e">
        <f>G36/(1+G34/100)</f>
        <v>#DIV/0!</v>
      </c>
      <c r="H37" s="123" t="e">
        <f>H36/(1+H34/100)</f>
        <v>#DIV/0!</v>
      </c>
      <c r="I37" s="174"/>
      <c r="J37" s="641" t="s">
        <v>139</v>
      </c>
      <c r="K37" s="641"/>
      <c r="L37" s="643" t="s">
        <v>121</v>
      </c>
      <c r="M37" s="433">
        <f>IF(F74="","",(M42^2*F74+M42*F75+F76))</f>
        <v>1.5741564102564103</v>
      </c>
      <c r="N37" s="101"/>
      <c r="O37" s="576" t="s">
        <v>28</v>
      </c>
      <c r="P37" s="577"/>
      <c r="Q37" s="150"/>
      <c r="R37" s="152"/>
      <c r="S37" s="153"/>
      <c r="T37" s="174"/>
      <c r="U37" s="132">
        <v>0.5</v>
      </c>
      <c r="V37" s="133">
        <f>U37*25.4</f>
        <v>12.7</v>
      </c>
      <c r="W37" s="637">
        <f>AI33</f>
        <v>4.4119999999999999</v>
      </c>
      <c r="X37" s="638"/>
      <c r="Y37" s="431">
        <f>((W37/19.32)*10)</f>
        <v>2.2836438923395446</v>
      </c>
      <c r="Z37" s="432"/>
      <c r="AA37" s="637">
        <f>AJ33</f>
        <v>2.9026315789473682</v>
      </c>
      <c r="AB37" s="638"/>
      <c r="AC37" s="431">
        <f>((AA37/19.32)*10)</f>
        <v>1.5023972975918054</v>
      </c>
      <c r="AD37" s="432"/>
      <c r="AE37" s="637">
        <f>AK33</f>
        <v>2.1769736842105263</v>
      </c>
      <c r="AF37" s="638"/>
      <c r="AG37" s="134">
        <f>((AE37/19.32)*10)</f>
        <v>1.1267979731938542</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c r="R38" s="647"/>
      <c r="S38" s="648"/>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1.9659518406942023</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15.442474384615386</v>
      </c>
      <c r="N40" s="103"/>
      <c r="O40" s="628" t="s">
        <v>10</v>
      </c>
      <c r="P40" s="629"/>
      <c r="Q40" s="125" t="e">
        <f>((Q35-Q37)/(Q37-Q38))*100</f>
        <v>#DIV/0!</v>
      </c>
      <c r="R40" s="125" t="e">
        <f>((R35-R37)/(R37-R38))*100</f>
        <v>#DIV/0!</v>
      </c>
      <c r="S40" s="126" t="e">
        <f>((S35-S37)/(S37-S38))*100</f>
        <v>#DIV/0!</v>
      </c>
      <c r="T40" s="174"/>
      <c r="U40" s="645" t="s">
        <v>151</v>
      </c>
      <c r="V40" s="646"/>
      <c r="W40" s="423">
        <f>(AM79/6.9)*100</f>
        <v>12.654904431842052</v>
      </c>
      <c r="X40" s="423"/>
      <c r="Y40" s="423"/>
      <c r="Z40" s="424"/>
      <c r="AA40" s="425">
        <f>(AO79/6.9)*100</f>
        <v>8.3255950209487164</v>
      </c>
      <c r="AB40" s="426"/>
      <c r="AC40" s="427"/>
      <c r="AD40" s="425">
        <f>(AQ79/6.9)*100</f>
        <v>6.2441962657115369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19.285987557210124</v>
      </c>
      <c r="N41" s="138"/>
      <c r="O41" s="565" t="s">
        <v>36</v>
      </c>
      <c r="P41" s="566"/>
      <c r="Q41" s="566"/>
      <c r="R41" s="566"/>
      <c r="S41" s="567"/>
      <c r="T41" s="174"/>
      <c r="U41" s="653" t="s">
        <v>152</v>
      </c>
      <c r="V41" s="654"/>
      <c r="W41" s="418">
        <f>(AM83/10.3)*100</f>
        <v>13.55303624193451</v>
      </c>
      <c r="X41" s="418"/>
      <c r="Y41" s="418"/>
      <c r="Z41" s="419"/>
      <c r="AA41" s="420">
        <f>(AO83/10.3)*100</f>
        <v>8.9164712117990188</v>
      </c>
      <c r="AB41" s="421"/>
      <c r="AC41" s="418"/>
      <c r="AD41" s="420">
        <f>(AQ83/10.3)*100</f>
        <v>6.6873534088492654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24.589743589743591</v>
      </c>
      <c r="N42" s="103"/>
      <c r="O42" s="639" t="s">
        <v>9</v>
      </c>
      <c r="P42" s="640"/>
      <c r="Q42" s="148"/>
      <c r="R42" s="148"/>
      <c r="S42" s="149"/>
      <c r="T42" s="174"/>
      <c r="U42" s="651" t="s">
        <v>42</v>
      </c>
      <c r="V42" s="652"/>
      <c r="W42" s="413">
        <f>IF(W40&lt;W41,W40,W41)</f>
        <v>12.654904431842052</v>
      </c>
      <c r="X42" s="414"/>
      <c r="Y42" s="414"/>
      <c r="Z42" s="415"/>
      <c r="AA42" s="416">
        <f>IF(AA40&lt;AA41,AA40,AA41)</f>
        <v>8.3255950209487164</v>
      </c>
      <c r="AB42" s="414"/>
      <c r="AC42" s="415"/>
      <c r="AD42" s="416">
        <f>IF(AD40&lt;AD41,AD40,AD41)</f>
        <v>6.2441962657115369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18.792307692307695</v>
      </c>
      <c r="N43" s="103"/>
      <c r="O43" s="612" t="s">
        <v>49</v>
      </c>
      <c r="P43" s="614"/>
      <c r="Q43" s="618"/>
      <c r="R43" s="608"/>
      <c r="S43" s="610"/>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c r="R45" s="150"/>
      <c r="S45" s="151"/>
      <c r="T45" s="174"/>
      <c r="U45" s="656" t="s">
        <v>139</v>
      </c>
      <c r="V45" s="656"/>
      <c r="W45" s="179" t="s">
        <v>121</v>
      </c>
      <c r="X45" s="406">
        <f>MAX(M37:M39)</f>
        <v>1.9659518406942023</v>
      </c>
      <c r="Y45" s="406"/>
      <c r="Z45" s="406"/>
      <c r="AA45" s="174"/>
      <c r="AB45" s="657" t="s">
        <v>31</v>
      </c>
      <c r="AC45" s="658"/>
      <c r="AD45" s="658"/>
      <c r="AE45" s="658"/>
      <c r="AF45" s="231"/>
      <c r="AG45" s="231"/>
      <c r="AH45" s="233"/>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c r="R46" s="152"/>
      <c r="S46" s="153"/>
      <c r="T46" s="174"/>
      <c r="U46" s="555" t="s">
        <v>123</v>
      </c>
      <c r="V46" s="555"/>
      <c r="W46" s="179" t="s">
        <v>41</v>
      </c>
      <c r="X46" s="401">
        <f>MIN(M42:M44)</f>
        <v>18.792307692307695</v>
      </c>
      <c r="Y46" s="401"/>
      <c r="Z46" s="401"/>
      <c r="AA46" s="174"/>
      <c r="AB46" s="660" t="s">
        <v>32</v>
      </c>
      <c r="AC46" s="661"/>
      <c r="AD46" s="661"/>
      <c r="AE46" s="661"/>
      <c r="AF46" s="234"/>
      <c r="AG46" s="234"/>
      <c r="AH46" s="235"/>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t="e">
        <f>((Q43-Q45)/(Q45-Q46))*100</f>
        <v>#DIV/0!</v>
      </c>
      <c r="R47" s="125" t="e">
        <f>((R43-R45)/(R45-R46))*100</f>
        <v>#DIV/0!</v>
      </c>
      <c r="S47" s="126" t="e">
        <f>((S43-S45)/(S45-S46))*100</f>
        <v>#DIV/0!</v>
      </c>
      <c r="T47" s="174"/>
      <c r="U47" s="555" t="s">
        <v>162</v>
      </c>
      <c r="V47" s="555"/>
      <c r="W47" s="179" t="s">
        <v>41</v>
      </c>
      <c r="X47" s="402">
        <f>IF(L25=D103,"-",IF(L25=D102,"-",IF(L25=D101,M25)))</f>
        <v>47.6</v>
      </c>
      <c r="Y47" s="402"/>
      <c r="Z47" s="402"/>
      <c r="AA47" s="174"/>
      <c r="AB47" s="662" t="s">
        <v>33</v>
      </c>
      <c r="AC47" s="663"/>
      <c r="AD47" s="663"/>
      <c r="AE47" s="663"/>
      <c r="AF47" s="232">
        <f>(AF46-AF45)*2.54</f>
        <v>0</v>
      </c>
      <c r="AG47" s="232">
        <f>(AG46-AG45)*2.54</f>
        <v>0</v>
      </c>
      <c r="AH47" s="239">
        <f>(AH46-AH45)*2.54</f>
        <v>0</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t="str">
        <f>IF(AF47&lt;&gt;"",IF(Q24&lt;&gt;"",AF47/Q24*100,""),"")</f>
        <v/>
      </c>
      <c r="AG48" s="142" t="str">
        <f>IF(AG47&lt;&gt;"",IF(R24&lt;&gt;"",AG47/R24*100,""),"")</f>
        <v/>
      </c>
      <c r="AH48" s="173" t="str">
        <f>IF(AH47&lt;&gt;"",IF(S24&lt;&gt;"",AH47/S24*100,""),"")</f>
        <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0.14799999999999999</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0.61399999999999999</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1.093</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1.4319999999999999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1.6870000000000001</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1.996</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2.2679999999999998</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2.5230000000000001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2.6970000000000001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3.4860000000000002</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4.07</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4.4119999999999999</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-3.8999999999999998E-3</v>
      </c>
      <c r="G74" s="75">
        <v>-0.12509999999999999</v>
      </c>
      <c r="J74" s="701"/>
      <c r="K74" s="702"/>
      <c r="L74" s="44"/>
      <c r="M74" s="44"/>
      <c r="N74" s="44"/>
    </row>
    <row r="75" spans="1:94" ht="26.25" customHeight="1" thickBot="1" x14ac:dyDescent="0.3">
      <c r="A75" s="11"/>
      <c r="B75" s="377" t="s">
        <v>113</v>
      </c>
      <c r="C75" s="377"/>
      <c r="D75" s="19"/>
      <c r="E75" s="54" t="s">
        <v>12</v>
      </c>
      <c r="F75" s="55">
        <v>0.1918</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-0.78400000000000003</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0.61399999999999999</v>
      </c>
      <c r="AM76" s="3">
        <f t="shared" si="4"/>
        <v>0.31780538302277428</v>
      </c>
      <c r="AN76" s="5">
        <f>AA23</f>
        <v>0.40394736842105261</v>
      </c>
      <c r="AO76" s="3">
        <f t="shared" ref="AO76:AO86" si="7">((AN76/19.32)*10)</f>
        <v>0.20908248883077257</v>
      </c>
      <c r="AP76" s="5">
        <f>AE23</f>
        <v>0.30296052631578946</v>
      </c>
      <c r="AQ76" s="161">
        <f t="shared" si="5"/>
        <v>0.15681186662307944</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1.093</v>
      </c>
      <c r="AM77" s="3">
        <f t="shared" si="4"/>
        <v>0.56573498964803315</v>
      </c>
      <c r="AN77" s="5">
        <f>AA24</f>
        <v>0.71907894736842104</v>
      </c>
      <c r="AO77" s="3">
        <f t="shared" si="7"/>
        <v>0.3721940721368639</v>
      </c>
      <c r="AP77" s="5">
        <f>AE24</f>
        <v>0.53930921052631575</v>
      </c>
      <c r="AQ77" s="161">
        <f t="shared" si="5"/>
        <v>0.27914555410264791</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1.4319999999999999</v>
      </c>
      <c r="AM78" s="3">
        <f t="shared" si="4"/>
        <v>0.74120082815734989</v>
      </c>
      <c r="AN78" s="5">
        <f>AA25</f>
        <v>0.94210526315789467</v>
      </c>
      <c r="AO78" s="3">
        <f t="shared" si="7"/>
        <v>0.48763212378773013</v>
      </c>
      <c r="AP78" s="5">
        <f>AE25</f>
        <v>0.70657894736842097</v>
      </c>
      <c r="AQ78" s="161">
        <f t="shared" si="5"/>
        <v>0.3657240928407976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1.6870000000000001</v>
      </c>
      <c r="AM79" s="4">
        <f t="shared" si="4"/>
        <v>0.87318840579710155</v>
      </c>
      <c r="AN79" s="5">
        <f>AA26</f>
        <v>1.1098684210526315</v>
      </c>
      <c r="AO79" s="4">
        <f t="shared" si="7"/>
        <v>0.57446605644546145</v>
      </c>
      <c r="AP79" s="5">
        <f>AE26</f>
        <v>0.83240131578947363</v>
      </c>
      <c r="AQ79" s="162">
        <f t="shared" si="5"/>
        <v>0.43084954233409606</v>
      </c>
      <c r="BB79" s="12">
        <v>17</v>
      </c>
      <c r="BC79" s="12">
        <v>18</v>
      </c>
    </row>
    <row r="80" spans="1:94" ht="42" customHeight="1" thickTop="1" thickBot="1" x14ac:dyDescent="0.3">
      <c r="D80" s="49"/>
      <c r="H80" s="711" t="s">
        <v>105</v>
      </c>
      <c r="I80" s="712"/>
      <c r="J80" s="58"/>
      <c r="AJ80" s="160">
        <f>U28</f>
        <v>0.125</v>
      </c>
      <c r="AK80" s="3">
        <f t="shared" si="6"/>
        <v>3.1749999999999998</v>
      </c>
      <c r="AL80" s="5">
        <f>W28</f>
        <v>1.996</v>
      </c>
      <c r="AM80" s="3">
        <f t="shared" si="4"/>
        <v>1.0331262939958592</v>
      </c>
      <c r="AN80" s="5">
        <f>AA28</f>
        <v>1.3131578947368421</v>
      </c>
      <c r="AO80" s="3">
        <f t="shared" si="7"/>
        <v>0.67968835131306526</v>
      </c>
      <c r="AP80" s="5">
        <f>AE28</f>
        <v>0.9848684210526315</v>
      </c>
      <c r="AQ80" s="161">
        <f t="shared" si="5"/>
        <v>0.50976626348479892</v>
      </c>
      <c r="BC80" s="45">
        <v>0.99880400000000003</v>
      </c>
      <c r="BD80" s="45">
        <v>0.99862499999999998</v>
      </c>
    </row>
    <row r="81" spans="2:43" ht="15.75" customHeight="1" x14ac:dyDescent="0.25">
      <c r="AJ81" s="160">
        <f>U30</f>
        <v>0.15</v>
      </c>
      <c r="AK81" s="3">
        <f t="shared" si="6"/>
        <v>3.8099999999999996</v>
      </c>
      <c r="AL81" s="5">
        <f>W30</f>
        <v>2.2679999999999998</v>
      </c>
      <c r="AM81" s="3">
        <f t="shared" si="4"/>
        <v>1.1739130434782608</v>
      </c>
      <c r="AN81" s="5">
        <f>AA30</f>
        <v>1.4921052631578946</v>
      </c>
      <c r="AO81" s="3">
        <f t="shared" si="7"/>
        <v>0.77231121281464521</v>
      </c>
      <c r="AP81" s="5">
        <f>AE30</f>
        <v>1.1190789473684211</v>
      </c>
      <c r="AQ81" s="161">
        <f t="shared" si="5"/>
        <v>0.57923340961098402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2.5230000000000001</v>
      </c>
      <c r="AM82" s="3">
        <f t="shared" si="4"/>
        <v>1.3059006211180124</v>
      </c>
      <c r="AN82" s="5">
        <f>AA31</f>
        <v>1.6598684210526315</v>
      </c>
      <c r="AO82" s="3">
        <f t="shared" si="7"/>
        <v>0.85914514547237653</v>
      </c>
      <c r="AP82" s="5">
        <f>AE31</f>
        <v>1.2449013157894737</v>
      </c>
      <c r="AQ82" s="161">
        <f t="shared" si="5"/>
        <v>0.64435885910428248</v>
      </c>
    </row>
    <row r="83" spans="2:43" ht="15" customHeight="1" x14ac:dyDescent="0.25">
      <c r="B83" s="49"/>
      <c r="C83" s="49"/>
      <c r="D83" s="49">
        <v>0</v>
      </c>
      <c r="E83" s="50">
        <f>M42</f>
        <v>24.589743589743591</v>
      </c>
      <c r="F83" s="49"/>
      <c r="G83" s="43" t="e">
        <f>G84/10</f>
        <v>#DIV/0!</v>
      </c>
      <c r="H83" s="43" t="e">
        <f>H84/10</f>
        <v>#DIV/0!</v>
      </c>
      <c r="I83" s="43" t="e">
        <f>I84/10</f>
        <v>#DIV/0!</v>
      </c>
      <c r="J83" s="43" t="e">
        <f>J84/10</f>
        <v>#DIV/0!</v>
      </c>
      <c r="K83" s="43"/>
      <c r="L83" s="42">
        <v>0</v>
      </c>
      <c r="O83" s="706"/>
      <c r="P83" s="706"/>
      <c r="Q83" s="706"/>
      <c r="R83" s="706"/>
      <c r="S83" s="707"/>
      <c r="W83" s="112"/>
      <c r="AJ83" s="160">
        <f>U33</f>
        <v>0.2</v>
      </c>
      <c r="AK83" s="4">
        <f t="shared" si="6"/>
        <v>5.08</v>
      </c>
      <c r="AL83" s="5">
        <f>W33</f>
        <v>2.6970000000000001</v>
      </c>
      <c r="AM83" s="4">
        <f t="shared" si="4"/>
        <v>1.3959627329192548</v>
      </c>
      <c r="AN83" s="5">
        <f>AA33</f>
        <v>1.7743421052631578</v>
      </c>
      <c r="AO83" s="4">
        <f t="shared" si="7"/>
        <v>0.91839653481529904</v>
      </c>
      <c r="AP83" s="5">
        <f>AE33</f>
        <v>1.3307565789473683</v>
      </c>
      <c r="AQ83" s="162">
        <f t="shared" si="5"/>
        <v>0.68879740111147436</v>
      </c>
    </row>
    <row r="84" spans="2:43" ht="15" customHeight="1" x14ac:dyDescent="0.25">
      <c r="C84" s="94"/>
      <c r="D84" s="94"/>
      <c r="E84" s="94"/>
      <c r="F84" s="49"/>
      <c r="G84" s="43" t="e">
        <f>($M$34/(1+(E34*$M$34/100)))*($O$73)</f>
        <v>#DIV/0!</v>
      </c>
      <c r="H84" s="43" t="e">
        <f>($M$34/(1+(F34*$M$34/100)))*($O$73)</f>
        <v>#DIV/0!</v>
      </c>
      <c r="I84" s="43" t="e">
        <f>($M$34/(1+(G34*$M$34/100)))*($O$73)</f>
        <v>#DIV/0!</v>
      </c>
      <c r="J84" s="43" t="e">
        <f>($M$34/(1+(H34*$M$34/100)))*($O$73)</f>
        <v>#DIV/0!</v>
      </c>
      <c r="K84" s="43"/>
      <c r="O84" s="706" t="s">
        <v>146</v>
      </c>
      <c r="P84" s="706"/>
      <c r="Q84" s="706"/>
      <c r="R84" s="706"/>
      <c r="S84" s="707">
        <v>2240</v>
      </c>
      <c r="W84" s="112"/>
      <c r="AJ84" s="160">
        <f>U34</f>
        <v>0.3</v>
      </c>
      <c r="AK84" s="3">
        <f t="shared" si="6"/>
        <v>7.6199999999999992</v>
      </c>
      <c r="AL84" s="5">
        <f>W34</f>
        <v>3.4860000000000002</v>
      </c>
      <c r="AM84" s="3">
        <f t="shared" si="4"/>
        <v>1.8043478260869565</v>
      </c>
      <c r="AN84" s="5">
        <f>AA34</f>
        <v>2.293421052631579</v>
      </c>
      <c r="AO84" s="3">
        <f t="shared" si="7"/>
        <v>1.187070938215103</v>
      </c>
      <c r="AP84" s="5">
        <f>AE34</f>
        <v>1.7200657894736842</v>
      </c>
      <c r="AQ84" s="161">
        <f t="shared" si="5"/>
        <v>0.8903032036613272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4.07</v>
      </c>
      <c r="AM85" s="3">
        <f t="shared" si="4"/>
        <v>2.1066252587991716</v>
      </c>
      <c r="AN85" s="5">
        <f>AA35</f>
        <v>2.6776315789473686</v>
      </c>
      <c r="AO85" s="3">
        <f t="shared" si="7"/>
        <v>1.3859376702626132</v>
      </c>
      <c r="AP85" s="5">
        <f>AE35</f>
        <v>2.0082236842105265</v>
      </c>
      <c r="AQ85" s="161">
        <f>((AP85/19.32)*10)</f>
        <v>1.03945325269696</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4.4119999999999999</v>
      </c>
      <c r="AM86" s="164">
        <f t="shared" si="4"/>
        <v>2.2836438923395446</v>
      </c>
      <c r="AN86" s="165">
        <f>AA37</f>
        <v>2.9026315789473682</v>
      </c>
      <c r="AO86" s="164">
        <f t="shared" si="7"/>
        <v>1.5023972975918054</v>
      </c>
      <c r="AP86" s="165">
        <f>AE37</f>
        <v>2.1769736842105263</v>
      </c>
      <c r="AQ86" s="166">
        <f>((AP86/19.32)*10)</f>
        <v>1.1267979731938542</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t="e">
        <f>Q31</f>
        <v>#DIV/0!</v>
      </c>
      <c r="AK91" s="9" t="e">
        <f>R31</f>
        <v>#DIV/0!</v>
      </c>
      <c r="AL91" s="10" t="e">
        <f>S31</f>
        <v>#DIV/0!</v>
      </c>
    </row>
    <row r="92" spans="2:43" ht="21" customHeight="1" thickBot="1" x14ac:dyDescent="0.3">
      <c r="B92" s="92"/>
      <c r="C92" s="93"/>
      <c r="D92" s="93"/>
      <c r="E92" s="93"/>
      <c r="F92" s="62"/>
      <c r="G92" s="63"/>
      <c r="H92" s="49"/>
      <c r="I92" s="49"/>
      <c r="O92" s="725" t="s">
        <v>147</v>
      </c>
      <c r="P92" s="726"/>
      <c r="Q92" s="726"/>
      <c r="R92" s="726"/>
      <c r="S92" s="61">
        <f>M42</f>
        <v>24.589743589743591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12.654904431842052</v>
      </c>
      <c r="AK94" s="158">
        <f>AA42</f>
        <v>8.3255950209487164</v>
      </c>
      <c r="AL94" s="158">
        <f>AD42</f>
        <v>6.2441962657115369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487" priority="47">
      <formula>LEN(TRIM(D6))=0</formula>
    </cfRule>
  </conditionalFormatting>
  <conditionalFormatting sqref="D6:H10">
    <cfRule type="containsBlanks" dxfId="1486" priority="46">
      <formula>LEN(TRIM(D6))=0</formula>
    </cfRule>
  </conditionalFormatting>
  <conditionalFormatting sqref="M19">
    <cfRule type="containsBlanks" dxfId="1485" priority="45">
      <formula>LEN(TRIM(M19))=0</formula>
    </cfRule>
  </conditionalFormatting>
  <conditionalFormatting sqref="CP70">
    <cfRule type="containsBlanks" dxfId="1484" priority="44">
      <formula>LEN(TRIM(CP70))=0</formula>
    </cfRule>
  </conditionalFormatting>
  <conditionalFormatting sqref="M21">
    <cfRule type="containsBlanks" dxfId="1483" priority="43">
      <formula>LEN(TRIM(M21))=0</formula>
    </cfRule>
  </conditionalFormatting>
  <conditionalFormatting sqref="D12:M12">
    <cfRule type="containsBlanks" dxfId="1482" priority="42">
      <formula>LEN(TRIM(D12))=0</formula>
    </cfRule>
  </conditionalFormatting>
  <conditionalFormatting sqref="L9:M9">
    <cfRule type="containsBlanks" dxfId="1481" priority="41">
      <formula>LEN(TRIM(L9))=0</formula>
    </cfRule>
  </conditionalFormatting>
  <conditionalFormatting sqref="L25">
    <cfRule type="containsBlanks" dxfId="1480" priority="40">
      <formula>LEN(TRIM(L25))=0</formula>
    </cfRule>
  </conditionalFormatting>
  <conditionalFormatting sqref="Q20:S21">
    <cfRule type="containsBlanks" dxfId="1479" priority="33">
      <formula>LEN(TRIM(Q20))=0</formula>
    </cfRule>
    <cfRule type="containsBlanks" dxfId="1478" priority="39">
      <formula>LEN(TRIM(Q20))=0</formula>
    </cfRule>
  </conditionalFormatting>
  <conditionalFormatting sqref="U26:V27 AC33 AC26">
    <cfRule type="cellIs" dxfId="1477" priority="38" operator="between">
      <formula>0</formula>
      <formula>500</formula>
    </cfRule>
  </conditionalFormatting>
  <conditionalFormatting sqref="U33:V33">
    <cfRule type="cellIs" dxfId="1476" priority="37" operator="between">
      <formula>0</formula>
      <formula>500</formula>
    </cfRule>
  </conditionalFormatting>
  <conditionalFormatting sqref="AF45:AH46">
    <cfRule type="containsBlanks" dxfId="1475" priority="36">
      <formula>LEN(TRIM(AF45))=0</formula>
    </cfRule>
  </conditionalFormatting>
  <conditionalFormatting sqref="AF51:AG53">
    <cfRule type="containsBlanks" dxfId="1474" priority="35">
      <formula>LEN(TRIM(AF51))=0</formula>
    </cfRule>
  </conditionalFormatting>
  <conditionalFormatting sqref="E20:H24">
    <cfRule type="containsBlanks" dxfId="1473" priority="34">
      <formula>LEN(TRIM(E20))=0</formula>
    </cfRule>
  </conditionalFormatting>
  <conditionalFormatting sqref="M25">
    <cfRule type="containsBlanks" dxfId="1472" priority="32">
      <formula>LEN(TRIM(M25))=0</formula>
    </cfRule>
  </conditionalFormatting>
  <conditionalFormatting sqref="U26:V27 Y26:Z27 AC26:AD27 AG26:AG27">
    <cfRule type="containsBlanks" dxfId="1471" priority="30">
      <formula>LEN(TRIM(U26))=0</formula>
    </cfRule>
    <cfRule type="cellIs" dxfId="1470" priority="31" operator="between">
      <formula>0</formula>
      <formula>1000</formula>
    </cfRule>
  </conditionalFormatting>
  <conditionalFormatting sqref="W87:W88">
    <cfRule type="cellIs" dxfId="1469" priority="29" operator="between">
      <formula>0</formula>
      <formula>500</formula>
    </cfRule>
  </conditionalFormatting>
  <conditionalFormatting sqref="W94">
    <cfRule type="cellIs" dxfId="1468" priority="28" operator="between">
      <formula>0</formula>
      <formula>500</formula>
    </cfRule>
  </conditionalFormatting>
  <conditionalFormatting sqref="W87:W88">
    <cfRule type="containsBlanks" dxfId="1467" priority="26">
      <formula>LEN(TRIM(W87))=0</formula>
    </cfRule>
    <cfRule type="cellIs" dxfId="1466" priority="27" operator="between">
      <formula>0</formula>
      <formula>1000</formula>
    </cfRule>
  </conditionalFormatting>
  <conditionalFormatting sqref="U33:V33 Y33:Z33 AC33:AD33 AG33">
    <cfRule type="cellIs" dxfId="1465" priority="25" operator="between">
      <formula>0</formula>
      <formula>1000</formula>
    </cfRule>
  </conditionalFormatting>
  <conditionalFormatting sqref="Q27:S27">
    <cfRule type="containsBlanks" dxfId="1464" priority="23">
      <formula>LEN(TRIM(Q27))=0</formula>
    </cfRule>
    <cfRule type="containsBlanks" dxfId="1463" priority="24">
      <formula>LEN(TRIM(Q27))=0</formula>
    </cfRule>
  </conditionalFormatting>
  <conditionalFormatting sqref="W30:W31 W33:W35 W37 W28 W22:W26">
    <cfRule type="containsBlanks" dxfId="1462" priority="22">
      <formula>LEN(TRIM(W22))=0</formula>
    </cfRule>
  </conditionalFormatting>
  <conditionalFormatting sqref="W37 W30:W31 W33:W35 W28 W22:W26">
    <cfRule type="containsBlanks" dxfId="1461" priority="21">
      <formula>LEN(TRIM(W22))=0</formula>
    </cfRule>
  </conditionalFormatting>
  <conditionalFormatting sqref="W33:X33">
    <cfRule type="cellIs" dxfId="1460" priority="20" operator="between">
      <formula>0</formula>
      <formula>1000</formula>
    </cfRule>
  </conditionalFormatting>
  <conditionalFormatting sqref="W30:X37 W26 W28 W22:X25">
    <cfRule type="containsBlanks" dxfId="1459" priority="19">
      <formula>LEN(TRIM(W22))=0</formula>
    </cfRule>
  </conditionalFormatting>
  <conditionalFormatting sqref="AA37 AA30:AA31 AA33:AA35 AA22:AA26 AA28">
    <cfRule type="containsBlanks" dxfId="1458" priority="18">
      <formula>LEN(TRIM(AA22))=0</formula>
    </cfRule>
  </conditionalFormatting>
  <conditionalFormatting sqref="AA37 AA30:AA31 AA33:AA35 AA22:AA26 AA28">
    <cfRule type="containsBlanks" dxfId="1457" priority="17">
      <formula>LEN(TRIM(AA22))=0</formula>
    </cfRule>
  </conditionalFormatting>
  <conditionalFormatting sqref="AA33:AB34">
    <cfRule type="cellIs" dxfId="1456" priority="16" operator="between">
      <formula>0</formula>
      <formula>1000</formula>
    </cfRule>
  </conditionalFormatting>
  <conditionalFormatting sqref="AA30:AB30 AA31 AA33:AB37 AA22:AB25 AA26 AA28">
    <cfRule type="containsBlanks" dxfId="1455" priority="15">
      <formula>LEN(TRIM(AA22))=0</formula>
    </cfRule>
  </conditionalFormatting>
  <conditionalFormatting sqref="AE37 AE28 AE30:AE31 AE33:AE35 AE22:AE26">
    <cfRule type="containsBlanks" dxfId="1454" priority="14">
      <formula>LEN(TRIM(AE22))=0</formula>
    </cfRule>
  </conditionalFormatting>
  <conditionalFormatting sqref="AE37 AE28 AE30:AE31 AE33:AE35 AE22:AE26">
    <cfRule type="containsBlanks" dxfId="1453" priority="13">
      <formula>LEN(TRIM(AE22))=0</formula>
    </cfRule>
  </conditionalFormatting>
  <conditionalFormatting sqref="AE33:AF33">
    <cfRule type="cellIs" dxfId="1452" priority="12" operator="between">
      <formula>0</formula>
      <formula>1000</formula>
    </cfRule>
  </conditionalFormatting>
  <conditionalFormatting sqref="AE33:AF37 AE26 AE28 AE30:AE31 AE22:AF25">
    <cfRule type="containsBlanks" dxfId="1451" priority="11">
      <formula>LEN(TRIM(AE22))=0</formula>
    </cfRule>
  </conditionalFormatting>
  <conditionalFormatting sqref="K6:M6">
    <cfRule type="containsBlanks" dxfId="1450" priority="10">
      <formula>LEN(TRIM(K6))=0</formula>
    </cfRule>
  </conditionalFormatting>
  <conditionalFormatting sqref="K7:K8">
    <cfRule type="containsBlanks" dxfId="1449" priority="9">
      <formula>LEN(TRIM(K7))=0</formula>
    </cfRule>
  </conditionalFormatting>
  <conditionalFormatting sqref="D13:M13">
    <cfRule type="containsBlanks" dxfId="1448" priority="8">
      <formula>LEN(TRIM(D13))=0</formula>
    </cfRule>
  </conditionalFormatting>
  <conditionalFormatting sqref="B6:B10">
    <cfRule type="containsBlanks" dxfId="1447" priority="7">
      <formula>LEN(TRIM(B6))=0</formula>
    </cfRule>
  </conditionalFormatting>
  <conditionalFormatting sqref="B12:B13">
    <cfRule type="containsBlanks" dxfId="1446" priority="6">
      <formula>LEN(TRIM(B12))=0</formula>
    </cfRule>
  </conditionalFormatting>
  <conditionalFormatting sqref="E28:H33">
    <cfRule type="containsBlanks" dxfId="1445" priority="5">
      <formula>LEN(TRIM(E28))=0</formula>
    </cfRule>
  </conditionalFormatting>
  <conditionalFormatting sqref="Q22:S26">
    <cfRule type="containsBlanks" dxfId="1444" priority="3">
      <formula>LEN(TRIM(Q22))=0</formula>
    </cfRule>
    <cfRule type="containsBlanks" dxfId="1443" priority="4">
      <formula>LEN(TRIM(Q22))=0</formula>
    </cfRule>
  </conditionalFormatting>
  <conditionalFormatting sqref="Q34:S39">
    <cfRule type="containsBlanks" dxfId="1442" priority="2">
      <formula>LEN(TRIM(Q34))=0</formula>
    </cfRule>
  </conditionalFormatting>
  <conditionalFormatting sqref="Q42:S46">
    <cfRule type="containsBlanks" dxfId="1441" priority="1">
      <formula>LEN(TRIM(Q42))=0</formula>
    </cfRule>
  </conditionalFormatting>
  <dataValidations count="5">
    <dataValidation type="list" allowBlank="1" showInputMessage="1" showErrorMessage="1" sqref="D12:E12" xr:uid="{00000000-0002-0000-1C00-000000000000}">
      <formula1>$B$87:$B$94</formula1>
    </dataValidation>
    <dataValidation type="list" allowBlank="1" showInputMessage="1" showErrorMessage="1" sqref="CP70" xr:uid="{00000000-0002-0000-1C00-000001000000}">
      <formula1>$BA$3:$BA$5</formula1>
    </dataValidation>
    <dataValidation type="list" allowBlank="1" showInputMessage="1" showErrorMessage="1" sqref="M19" xr:uid="{00000000-0002-0000-1C00-000002000000}">
      <formula1>$AX$3:$AX$5</formula1>
    </dataValidation>
    <dataValidation type="list" allowBlank="1" showInputMessage="1" showErrorMessage="1" sqref="M21" xr:uid="{00000000-0002-0000-1C00-000003000000}">
      <formula1>$AX$3:$AX$4</formula1>
    </dataValidation>
    <dataValidation type="list" allowBlank="1" showInputMessage="1" showErrorMessage="1" sqref="L25" xr:uid="{00000000-0002-0000-1C00-000004000000}">
      <formula1>$D$101:$D$104</formula1>
    </dataValidation>
  </dataValidations>
  <hyperlinks>
    <hyperlink ref="D8" r:id="rId1" xr:uid="{00000000-0004-0000-1C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48481"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48482"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48483"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4848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4848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48486"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48487"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4848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4848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4849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0">
    <tabColor theme="7" tint="0.79998168889431442"/>
  </sheetPr>
  <dimension ref="A1:CP153"/>
  <sheetViews>
    <sheetView view="pageBreakPreview" topLeftCell="S36" zoomScale="80" zoomScaleNormal="100" zoomScaleSheetLayoutView="8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25-P-ESTAMBUL AP1-2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25-P-ESTAMBUL AP1-2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246</v>
      </c>
      <c r="G12" s="31" t="s">
        <v>4</v>
      </c>
      <c r="H12" s="146">
        <v>2</v>
      </c>
      <c r="I12" s="546" t="s">
        <v>5</v>
      </c>
      <c r="J12" s="546"/>
      <c r="K12" s="209">
        <v>0.4</v>
      </c>
      <c r="L12" s="32" t="s">
        <v>6</v>
      </c>
      <c r="M12" s="147">
        <v>1.2</v>
      </c>
      <c r="N12" s="78"/>
      <c r="O12" s="501" t="s">
        <v>3</v>
      </c>
      <c r="P12" s="501"/>
      <c r="Q12" s="225" t="s">
        <v>234</v>
      </c>
      <c r="R12" s="224" t="str">
        <f>F12</f>
        <v>P-ESTAMBUL AP1</v>
      </c>
      <c r="S12" s="224"/>
      <c r="T12" s="502" t="s">
        <v>4</v>
      </c>
      <c r="U12" s="502"/>
      <c r="V12" s="33">
        <f>+H12</f>
        <v>2</v>
      </c>
      <c r="W12" s="547" t="s">
        <v>5</v>
      </c>
      <c r="X12" s="547"/>
      <c r="Y12" s="547"/>
      <c r="Z12" s="547"/>
      <c r="AA12" s="547"/>
      <c r="AB12" s="547"/>
      <c r="AC12" s="34">
        <f>K12</f>
        <v>0.4</v>
      </c>
      <c r="AD12" s="548" t="s">
        <v>6</v>
      </c>
      <c r="AE12" s="548"/>
      <c r="AF12" s="35">
        <f>+M12</f>
        <v>1.2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251</v>
      </c>
      <c r="E13" s="479"/>
      <c r="F13" s="479"/>
      <c r="G13" s="479"/>
      <c r="H13" s="479"/>
      <c r="I13" s="479"/>
      <c r="J13" s="479"/>
      <c r="K13" s="479"/>
      <c r="L13" s="479"/>
      <c r="M13" s="480"/>
      <c r="N13" s="188"/>
      <c r="O13" s="526" t="s">
        <v>130</v>
      </c>
      <c r="P13" s="526"/>
      <c r="Q13" s="527" t="str">
        <f>D13</f>
        <v>GRAVAS CON ARCILLA Y ALGO DE ARENA DE COLOR MARRÓN CLARO,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541</v>
      </c>
      <c r="R20" s="156">
        <v>403</v>
      </c>
      <c r="S20" s="157">
        <v>412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11312</v>
      </c>
      <c r="F22" s="150">
        <v>11693</v>
      </c>
      <c r="G22" s="150">
        <v>11904</v>
      </c>
      <c r="H22" s="151">
        <v>11378</v>
      </c>
      <c r="I22" s="174"/>
      <c r="J22" s="578"/>
      <c r="K22" s="578"/>
      <c r="L22" s="578"/>
      <c r="M22" s="104"/>
      <c r="N22" s="103"/>
      <c r="O22" s="579" t="s">
        <v>132</v>
      </c>
      <c r="P22" s="580"/>
      <c r="Q22" s="219">
        <v>8284</v>
      </c>
      <c r="R22" s="219">
        <v>7993</v>
      </c>
      <c r="S22" s="208">
        <v>7955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5.8999999999999997E-2</v>
      </c>
      <c r="AJ22" s="42">
        <f>AJ50/1.52</f>
        <v>3.8815789473684206E-2</v>
      </c>
      <c r="AK22" s="42">
        <f>AJ22*0.75</f>
        <v>2.9111842105263155E-2</v>
      </c>
      <c r="AO22" s="42">
        <v>0.06</v>
      </c>
      <c r="AS22" s="42">
        <f>AO22/1.23</f>
        <v>4.878048780487805E-2</v>
      </c>
    </row>
    <row r="23" spans="1:45" ht="24.95" customHeight="1" x14ac:dyDescent="0.25">
      <c r="A23" s="103"/>
      <c r="B23" s="583" t="s">
        <v>68</v>
      </c>
      <c r="C23" s="584"/>
      <c r="D23" s="584"/>
      <c r="E23" s="150">
        <v>7312</v>
      </c>
      <c r="F23" s="150">
        <v>7312</v>
      </c>
      <c r="G23" s="150">
        <v>7312</v>
      </c>
      <c r="H23" s="151">
        <v>7392</v>
      </c>
      <c r="I23" s="174"/>
      <c r="J23" s="587" t="s">
        <v>165</v>
      </c>
      <c r="K23" s="588"/>
      <c r="L23" s="588"/>
      <c r="M23" s="589"/>
      <c r="N23" s="103"/>
      <c r="O23" s="579" t="s">
        <v>27</v>
      </c>
      <c r="P23" s="580"/>
      <c r="Q23" s="150">
        <v>3858</v>
      </c>
      <c r="R23" s="150">
        <v>3834</v>
      </c>
      <c r="S23" s="151">
        <v>3869</v>
      </c>
      <c r="T23" s="174"/>
      <c r="U23" s="112">
        <v>2.5000000000000001E-2</v>
      </c>
      <c r="V23" s="113">
        <f>U23*25.4</f>
        <v>0.63500000000000001</v>
      </c>
      <c r="W23" s="581">
        <f>AI23</f>
        <v>0.16200000000000001</v>
      </c>
      <c r="X23" s="582"/>
      <c r="Y23" s="449">
        <f>((W23/19.32)*10)</f>
        <v>8.3850931677018639E-2</v>
      </c>
      <c r="Z23" s="450"/>
      <c r="AA23" s="581">
        <f>AJ23</f>
        <v>0.10657894736842105</v>
      </c>
      <c r="AB23" s="582"/>
      <c r="AC23" s="449">
        <f>((AA23/19.32)*10)</f>
        <v>5.516508662961752E-2</v>
      </c>
      <c r="AD23" s="450"/>
      <c r="AE23" s="581">
        <v>7.1999999999999995E-2</v>
      </c>
      <c r="AF23" s="582"/>
      <c r="AG23" s="114">
        <f>((AE23/19.32)*10)</f>
        <v>3.7267080745341609E-2</v>
      </c>
      <c r="AH23" s="104"/>
      <c r="AI23" s="42">
        <f t="shared" ref="AI23:AI33" si="0">AJ51</f>
        <v>0.16200000000000001</v>
      </c>
      <c r="AJ23" s="42">
        <f t="shared" ref="AJ23:AJ33" si="1">AJ51/1.52</f>
        <v>0.10657894736842105</v>
      </c>
      <c r="AK23" s="42">
        <f t="shared" ref="AK23:AK33" si="2">AJ23*0.75</f>
        <v>7.9934210526315788E-2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11.38</v>
      </c>
      <c r="S24" s="153">
        <v>11.42</v>
      </c>
      <c r="T24" s="174"/>
      <c r="U24" s="112">
        <v>0.05</v>
      </c>
      <c r="V24" s="113">
        <f>U24*25.4</f>
        <v>1.27</v>
      </c>
      <c r="W24" s="581">
        <f>AI24</f>
        <v>0.27900000000000003</v>
      </c>
      <c r="X24" s="582"/>
      <c r="Y24" s="449">
        <f>((W24/19.32)*10)</f>
        <v>0.14440993788819878</v>
      </c>
      <c r="Z24" s="450"/>
      <c r="AA24" s="581">
        <f>AJ24</f>
        <v>0.18355263157894738</v>
      </c>
      <c r="AB24" s="582"/>
      <c r="AC24" s="449">
        <f>((AA24/19.32)*10)</f>
        <v>9.5006538084341299E-2</v>
      </c>
      <c r="AD24" s="450"/>
      <c r="AE24" s="581">
        <v>0.128</v>
      </c>
      <c r="AF24" s="582"/>
      <c r="AG24" s="114">
        <f>((AE24/19.32)*10)</f>
        <v>6.6252587991718431E-2</v>
      </c>
      <c r="AH24" s="104"/>
      <c r="AI24" s="42">
        <f t="shared" si="0"/>
        <v>0.27900000000000003</v>
      </c>
      <c r="AJ24" s="42">
        <f t="shared" si="1"/>
        <v>0.18355263157894738</v>
      </c>
      <c r="AK24" s="42">
        <f t="shared" si="2"/>
        <v>0.13766447368421053</v>
      </c>
      <c r="AO24" s="42">
        <v>0.68400000000000005</v>
      </c>
      <c r="AS24" s="42">
        <f t="shared" si="3"/>
        <v>0.55609756097560981</v>
      </c>
    </row>
    <row r="25" spans="1:45" ht="24.95" customHeight="1" thickBot="1" x14ac:dyDescent="0.3">
      <c r="A25" s="103"/>
      <c r="B25" s="602" t="s">
        <v>69</v>
      </c>
      <c r="C25" s="603"/>
      <c r="D25" s="603"/>
      <c r="E25" s="115">
        <f>E22-E23</f>
        <v>4000</v>
      </c>
      <c r="F25" s="115">
        <f>F22-F23</f>
        <v>4381</v>
      </c>
      <c r="G25" s="115">
        <f>G22-G23</f>
        <v>4592</v>
      </c>
      <c r="H25" s="116">
        <f>H22-H23</f>
        <v>3986</v>
      </c>
      <c r="I25" s="174"/>
      <c r="J25" s="174" t="s">
        <v>127</v>
      </c>
      <c r="K25" s="174"/>
      <c r="L25" s="218" t="s">
        <v>128</v>
      </c>
      <c r="M25" s="246">
        <v>18.25</v>
      </c>
      <c r="N25" s="103"/>
      <c r="O25" s="604" t="s">
        <v>46</v>
      </c>
      <c r="P25" s="605"/>
      <c r="Q25" s="608">
        <v>15.25</v>
      </c>
      <c r="R25" s="608">
        <v>15.26</v>
      </c>
      <c r="S25" s="610">
        <v>15.23</v>
      </c>
      <c r="T25" s="174"/>
      <c r="U25" s="112">
        <v>7.4999999999999997E-2</v>
      </c>
      <c r="V25" s="113">
        <f>U25*25.4</f>
        <v>1.9049999999999998</v>
      </c>
      <c r="W25" s="581">
        <f>AI25</f>
        <v>0.39600000000000002</v>
      </c>
      <c r="X25" s="582"/>
      <c r="Y25" s="449">
        <f>((W25/19.32)*10)</f>
        <v>0.20496894409937888</v>
      </c>
      <c r="Z25" s="450"/>
      <c r="AA25" s="581">
        <f>AJ25</f>
        <v>0.26052631578947372</v>
      </c>
      <c r="AB25" s="582"/>
      <c r="AC25" s="449">
        <f>((AA25/19.32)*10)</f>
        <v>0.13484798953906507</v>
      </c>
      <c r="AD25" s="450"/>
      <c r="AE25" s="581">
        <v>0.185</v>
      </c>
      <c r="AF25" s="582"/>
      <c r="AG25" s="114">
        <f>((AE25/19.32)*10)</f>
        <v>9.5755693581780543E-2</v>
      </c>
      <c r="AH25" s="104"/>
      <c r="AI25" s="42">
        <f t="shared" si="0"/>
        <v>0.39600000000000002</v>
      </c>
      <c r="AJ25" s="42">
        <f t="shared" si="1"/>
        <v>0.26052631578947372</v>
      </c>
      <c r="AK25" s="42">
        <f t="shared" si="2"/>
        <v>0.19539473684210529</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18.25</v>
      </c>
      <c r="N26" s="103"/>
      <c r="O26" s="606"/>
      <c r="P26" s="607"/>
      <c r="Q26" s="609"/>
      <c r="R26" s="609"/>
      <c r="S26" s="611"/>
      <c r="T26" s="174"/>
      <c r="U26" s="600">
        <v>0.1</v>
      </c>
      <c r="V26" s="601">
        <f>U26*25.4</f>
        <v>2.54</v>
      </c>
      <c r="W26" s="778">
        <f>AI26</f>
        <v>0.48299999999999998</v>
      </c>
      <c r="X26" s="779"/>
      <c r="Y26" s="461">
        <f>((W26/19.32)*10)</f>
        <v>0.24999999999999997</v>
      </c>
      <c r="Z26" s="462"/>
      <c r="AA26" s="746">
        <f>AJ26</f>
        <v>0.3177631578947368</v>
      </c>
      <c r="AB26" s="747"/>
      <c r="AC26" s="461">
        <f>((AA26/19.32)*10)</f>
        <v>0.1644736842105263</v>
      </c>
      <c r="AD26" s="462"/>
      <c r="AE26" s="746">
        <f>AK26</f>
        <v>0.23832236842105259</v>
      </c>
      <c r="AF26" s="747"/>
      <c r="AG26" s="469">
        <f>((AE26/19.32)*10)</f>
        <v>0.1233552631578947</v>
      </c>
      <c r="AH26" s="104"/>
      <c r="AI26" s="42">
        <f t="shared" si="0"/>
        <v>0.48299999999999998</v>
      </c>
      <c r="AJ26" s="42">
        <f t="shared" si="1"/>
        <v>0.3177631578947368</v>
      </c>
      <c r="AK26" s="42">
        <f t="shared" si="2"/>
        <v>0.23832236842105259</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2081.3312773373009</v>
      </c>
      <c r="S27" s="153">
        <f>(PI()*((S25^2)/4)*S24)</f>
        <v>2080.4428584968105</v>
      </c>
      <c r="T27" s="174"/>
      <c r="U27" s="600"/>
      <c r="V27" s="601"/>
      <c r="W27" s="780"/>
      <c r="X27" s="781"/>
      <c r="Y27" s="463"/>
      <c r="Z27" s="464"/>
      <c r="AA27" s="748"/>
      <c r="AB27" s="749"/>
      <c r="AC27" s="463"/>
      <c r="AD27" s="464"/>
      <c r="AE27" s="748"/>
      <c r="AF27" s="749"/>
      <c r="AG27" s="470"/>
      <c r="AH27" s="193"/>
      <c r="AI27" s="42">
        <f t="shared" si="0"/>
        <v>0.58399999999999996</v>
      </c>
      <c r="AJ27" s="42">
        <f t="shared" si="1"/>
        <v>0.38421052631578945</v>
      </c>
      <c r="AK27" s="42">
        <f t="shared" si="2"/>
        <v>0.28815789473684206</v>
      </c>
      <c r="AO27" s="42">
        <v>2.387</v>
      </c>
      <c r="AS27" s="42">
        <f t="shared" si="3"/>
        <v>1.9406504065040651</v>
      </c>
    </row>
    <row r="28" spans="1:45" ht="24.95" customHeight="1" thickBot="1" x14ac:dyDescent="0.3">
      <c r="A28" s="103"/>
      <c r="B28" s="560" t="s">
        <v>9</v>
      </c>
      <c r="C28" s="561"/>
      <c r="D28" s="561"/>
      <c r="E28" s="148">
        <v>333</v>
      </c>
      <c r="F28" s="148">
        <v>374</v>
      </c>
      <c r="G28" s="148">
        <v>359</v>
      </c>
      <c r="H28" s="149">
        <v>363</v>
      </c>
      <c r="I28" s="174"/>
      <c r="J28" s="597" t="s">
        <v>107</v>
      </c>
      <c r="K28" s="597"/>
      <c r="L28" s="562" t="s">
        <v>119</v>
      </c>
      <c r="M28" s="459">
        <f>IF(M26="","",(100-M26))</f>
        <v>81.75</v>
      </c>
      <c r="N28" s="103"/>
      <c r="O28" s="625" t="s">
        <v>136</v>
      </c>
      <c r="P28" s="626"/>
      <c r="Q28" s="220">
        <f>Q22-Q23</f>
        <v>4426</v>
      </c>
      <c r="R28" s="220">
        <f>R22-R23</f>
        <v>4159</v>
      </c>
      <c r="S28" s="220">
        <f>S22-S23</f>
        <v>4086</v>
      </c>
      <c r="T28" s="174"/>
      <c r="U28" s="627">
        <v>0.125</v>
      </c>
      <c r="V28" s="624">
        <f>U28*25.4</f>
        <v>3.1749999999999998</v>
      </c>
      <c r="W28" s="593">
        <f>AI27</f>
        <v>0.58399999999999996</v>
      </c>
      <c r="X28" s="594"/>
      <c r="Y28" s="439">
        <f>((W28/19.32)*10)</f>
        <v>0.3022774327122153</v>
      </c>
      <c r="Z28" s="440"/>
      <c r="AA28" s="593">
        <f>AJ27</f>
        <v>0.38421052631578945</v>
      </c>
      <c r="AB28" s="594"/>
      <c r="AC28" s="439">
        <f>((AA28/19.32)*10)</f>
        <v>0.19886673204751004</v>
      </c>
      <c r="AD28" s="440"/>
      <c r="AE28" s="593">
        <f>AK27</f>
        <v>0.28815789473684206</v>
      </c>
      <c r="AF28" s="594"/>
      <c r="AG28" s="443">
        <f>((AE28/19.32)*10)</f>
        <v>0.14915004903563253</v>
      </c>
      <c r="AH28" s="104"/>
      <c r="AI28" s="42">
        <f t="shared" si="0"/>
        <v>0.67400000000000004</v>
      </c>
      <c r="AJ28" s="42">
        <f t="shared" si="1"/>
        <v>0.44342105263157899</v>
      </c>
      <c r="AK28" s="42">
        <f t="shared" si="2"/>
        <v>0.33256578947368426</v>
      </c>
      <c r="AO28" s="42">
        <v>2.8959999999999999</v>
      </c>
      <c r="AS28" s="42">
        <f t="shared" si="3"/>
        <v>2.3544715447154472</v>
      </c>
    </row>
    <row r="29" spans="1:45" ht="5.0999999999999996" customHeight="1" thickBot="1" x14ac:dyDescent="0.3">
      <c r="A29" s="103"/>
      <c r="B29" s="612" t="s">
        <v>73</v>
      </c>
      <c r="C29" s="613"/>
      <c r="D29" s="614"/>
      <c r="E29" s="618">
        <v>506.72500000000002</v>
      </c>
      <c r="F29" s="618">
        <v>467.16</v>
      </c>
      <c r="G29" s="618">
        <v>501.25599999999997</v>
      </c>
      <c r="H29" s="620">
        <v>398.94</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0.75700000000000001</v>
      </c>
      <c r="AJ29" s="42">
        <f t="shared" si="1"/>
        <v>0.49802631578947371</v>
      </c>
      <c r="AK29" s="42">
        <f t="shared" si="2"/>
        <v>0.37351973684210527</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17.977080821120691</v>
      </c>
      <c r="N30" s="103"/>
      <c r="O30" s="622" t="s">
        <v>134</v>
      </c>
      <c r="P30" s="623"/>
      <c r="Q30" s="229">
        <f>Q28/Q27</f>
        <v>2.0889298297631633</v>
      </c>
      <c r="R30" s="229">
        <f>R28/R27</f>
        <v>1.998240282690948</v>
      </c>
      <c r="S30" s="131">
        <f>S28/S27</f>
        <v>1.9640049152574524</v>
      </c>
      <c r="T30" s="174"/>
      <c r="U30" s="120">
        <v>0.15</v>
      </c>
      <c r="V30" s="113">
        <f>U30*25.4</f>
        <v>3.8099999999999996</v>
      </c>
      <c r="W30" s="581">
        <f>AI28</f>
        <v>0.67400000000000004</v>
      </c>
      <c r="X30" s="582"/>
      <c r="Y30" s="449">
        <f>((W30/19.32)*10)</f>
        <v>0.34886128364389235</v>
      </c>
      <c r="Z30" s="450"/>
      <c r="AA30" s="581">
        <f>AJ28</f>
        <v>0.44342105263157899</v>
      </c>
      <c r="AB30" s="582"/>
      <c r="AC30" s="449">
        <f>((AA30/19.32)*10)</f>
        <v>0.22951400239729761</v>
      </c>
      <c r="AD30" s="450"/>
      <c r="AE30" s="581">
        <f>AK28</f>
        <v>0.33256578947368426</v>
      </c>
      <c r="AF30" s="582"/>
      <c r="AG30" s="114">
        <f>((AE30/19.32)*10)</f>
        <v>0.17213550179797321</v>
      </c>
      <c r="AH30" s="104"/>
      <c r="AI30" s="42">
        <f t="shared" si="0"/>
        <v>0.82199999999999995</v>
      </c>
      <c r="AJ30" s="42">
        <f t="shared" si="1"/>
        <v>0.54078947368421049</v>
      </c>
      <c r="AK30" s="42">
        <f t="shared" si="2"/>
        <v>0.40559210526315786</v>
      </c>
      <c r="AO30" s="42">
        <v>3.8439999999999999</v>
      </c>
      <c r="AS30" s="42">
        <f t="shared" si="3"/>
        <v>3.1252032520325201</v>
      </c>
    </row>
    <row r="31" spans="1:45" ht="24.95" customHeight="1" thickBot="1" x14ac:dyDescent="0.3">
      <c r="A31" s="103"/>
      <c r="B31" s="576" t="s">
        <v>74</v>
      </c>
      <c r="C31" s="577"/>
      <c r="D31" s="577"/>
      <c r="E31" s="152">
        <v>468.1</v>
      </c>
      <c r="F31" s="152">
        <v>423.32</v>
      </c>
      <c r="G31" s="152">
        <v>445.07</v>
      </c>
      <c r="H31" s="153">
        <v>351.03</v>
      </c>
      <c r="I31" s="174"/>
      <c r="J31" s="597" t="s">
        <v>138</v>
      </c>
      <c r="K31" s="597"/>
      <c r="L31" s="562" t="s">
        <v>116</v>
      </c>
      <c r="M31" s="457">
        <f>IF(M25="","",S82)</f>
        <v>2.7120000000000002</v>
      </c>
      <c r="N31" s="121"/>
      <c r="O31" s="628" t="s">
        <v>135</v>
      </c>
      <c r="P31" s="629"/>
      <c r="Q31" s="122">
        <f>Q30/(1+Q40/100)</f>
        <v>1.8256742919914009</v>
      </c>
      <c r="R31" s="122">
        <f>R30/(1+R40/100)</f>
        <v>1.7407930566382519</v>
      </c>
      <c r="S31" s="123">
        <f>S30/(1+S40/100)</f>
        <v>1.7095528035433778</v>
      </c>
      <c r="T31" s="174"/>
      <c r="U31" s="627">
        <v>0.17499999999999999</v>
      </c>
      <c r="V31" s="624">
        <f>U31*25.4</f>
        <v>4.4449999999999994</v>
      </c>
      <c r="W31" s="593">
        <v>0.77</v>
      </c>
      <c r="X31" s="594"/>
      <c r="Y31" s="439">
        <f>((W31/19.32)*10)</f>
        <v>0.39855072463768121</v>
      </c>
      <c r="Z31" s="440"/>
      <c r="AA31" s="593">
        <f>AJ29</f>
        <v>0.49802631578947371</v>
      </c>
      <c r="AB31" s="594"/>
      <c r="AC31" s="439">
        <f>((AA31/19.32)*10)</f>
        <v>0.25777759616432383</v>
      </c>
      <c r="AD31" s="440"/>
      <c r="AE31" s="593">
        <f>AK29</f>
        <v>0.37351973684210527</v>
      </c>
      <c r="AF31" s="594"/>
      <c r="AG31" s="443">
        <f>((AE31/19.32)*10)</f>
        <v>0.19333319712324287</v>
      </c>
      <c r="AH31" s="104"/>
      <c r="AI31" s="42">
        <f t="shared" si="0"/>
        <v>1.1060000000000001</v>
      </c>
      <c r="AJ31" s="42">
        <f t="shared" si="1"/>
        <v>0.72763157894736852</v>
      </c>
      <c r="AK31" s="42">
        <f t="shared" si="2"/>
        <v>0.54572368421052642</v>
      </c>
      <c r="AO31" s="42">
        <v>5.516</v>
      </c>
      <c r="AS31" s="42">
        <f t="shared" si="3"/>
        <v>4.4845528455284551</v>
      </c>
    </row>
    <row r="32" spans="1:45" ht="5.0999999999999996" customHeight="1" thickBot="1" x14ac:dyDescent="0.3">
      <c r="A32" s="103"/>
      <c r="B32" s="612" t="s">
        <v>75</v>
      </c>
      <c r="C32" s="613"/>
      <c r="D32" s="614"/>
      <c r="E32" s="618">
        <v>101.13</v>
      </c>
      <c r="F32" s="618">
        <v>100.53</v>
      </c>
      <c r="G32" s="618">
        <v>101.05</v>
      </c>
      <c r="H32" s="620">
        <v>101.6</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1.4370000000000001</v>
      </c>
      <c r="AJ32" s="42">
        <f t="shared" si="1"/>
        <v>0.94539473684210529</v>
      </c>
      <c r="AK32" s="42">
        <f t="shared" si="2"/>
        <v>0.70904605263157894</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v>0.85299999999999998</v>
      </c>
      <c r="X33" s="582"/>
      <c r="Y33" s="449">
        <f>((W33/19.32)*10)</f>
        <v>0.44151138716356109</v>
      </c>
      <c r="Z33" s="450"/>
      <c r="AA33" s="581">
        <f>AJ30</f>
        <v>0.54078947368421049</v>
      </c>
      <c r="AB33" s="582"/>
      <c r="AC33" s="449">
        <f>((AA33/19.32)*10)</f>
        <v>0.27991173586139262</v>
      </c>
      <c r="AD33" s="450"/>
      <c r="AE33" s="581">
        <f>AK30</f>
        <v>0.40559210526315786</v>
      </c>
      <c r="AF33" s="582"/>
      <c r="AG33" s="144">
        <f>((AE33/19.32)*10)</f>
        <v>0.20993380189604446</v>
      </c>
      <c r="AH33" s="104"/>
      <c r="AI33" s="42">
        <f t="shared" si="0"/>
        <v>1.8260000000000001</v>
      </c>
      <c r="AJ33" s="42">
        <f t="shared" si="1"/>
        <v>1.2013157894736843</v>
      </c>
      <c r="AK33" s="42">
        <f t="shared" si="2"/>
        <v>0.90098684210526325</v>
      </c>
      <c r="AO33" s="42">
        <v>7.7720000000000002</v>
      </c>
      <c r="AS33" s="42">
        <f t="shared" si="3"/>
        <v>6.3186991869918705</v>
      </c>
    </row>
    <row r="34" spans="1:45" ht="24.95" customHeight="1" thickBot="1" x14ac:dyDescent="0.3">
      <c r="A34" s="103"/>
      <c r="B34" s="602" t="s">
        <v>10</v>
      </c>
      <c r="C34" s="603"/>
      <c r="D34" s="603"/>
      <c r="E34" s="125">
        <f>((E29-E31)/(E31-E32))*100</f>
        <v>10.525383546338936</v>
      </c>
      <c r="F34" s="125">
        <f>((F29-F31)/(F31-F32))*100</f>
        <v>13.581585550977426</v>
      </c>
      <c r="G34" s="125">
        <f>((G29-G31)/(G31-G32))*100</f>
        <v>16.332189988954124</v>
      </c>
      <c r="H34" s="126">
        <f>((H29-H31)/(H31-H32))*100</f>
        <v>19.207793769795146</v>
      </c>
      <c r="I34" s="174"/>
      <c r="J34" s="630" t="s">
        <v>125</v>
      </c>
      <c r="K34" s="630"/>
      <c r="L34" s="184" t="s">
        <v>126</v>
      </c>
      <c r="M34" s="245">
        <v>2.64</v>
      </c>
      <c r="N34" s="128"/>
      <c r="O34" s="631" t="s">
        <v>9</v>
      </c>
      <c r="P34" s="632"/>
      <c r="Q34" s="156">
        <v>369</v>
      </c>
      <c r="R34" s="156">
        <v>349</v>
      </c>
      <c r="S34" s="157">
        <v>325</v>
      </c>
      <c r="T34" s="174"/>
      <c r="U34" s="120">
        <v>0.3</v>
      </c>
      <c r="V34" s="113">
        <f>U34*25.4</f>
        <v>7.6199999999999992</v>
      </c>
      <c r="W34" s="581">
        <v>1.232</v>
      </c>
      <c r="X34" s="582"/>
      <c r="Y34" s="449">
        <f>((W34/19.32)*10)</f>
        <v>0.6376811594202898</v>
      </c>
      <c r="Z34" s="450"/>
      <c r="AA34" s="449">
        <v>0.72799999999999998</v>
      </c>
      <c r="AB34" s="450"/>
      <c r="AC34" s="449">
        <f>((AA34/19.32)*10)</f>
        <v>0.3768115942028985</v>
      </c>
      <c r="AD34" s="450"/>
      <c r="AE34" s="581">
        <v>0.53600000000000003</v>
      </c>
      <c r="AF34" s="582"/>
      <c r="AG34" s="114">
        <f>((AE34/19.32)*10)</f>
        <v>0.2774327122153209</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794.1</v>
      </c>
      <c r="R35" s="608">
        <v>807.04</v>
      </c>
      <c r="S35" s="610">
        <v>907.21</v>
      </c>
      <c r="T35" s="174"/>
      <c r="U35" s="627">
        <v>0.4</v>
      </c>
      <c r="V35" s="624">
        <f>U35*25.4</f>
        <v>10.16</v>
      </c>
      <c r="W35" s="593">
        <v>1.4890000000000001</v>
      </c>
      <c r="X35" s="594"/>
      <c r="Y35" s="439">
        <f>((W35/19.32)*10)</f>
        <v>0.77070393374741208</v>
      </c>
      <c r="Z35" s="440"/>
      <c r="AA35" s="593">
        <f>AJ32</f>
        <v>0.94539473684210529</v>
      </c>
      <c r="AB35" s="594"/>
      <c r="AC35" s="439">
        <f>(AA35/19.32)*10</f>
        <v>0.48933474991827397</v>
      </c>
      <c r="AD35" s="440"/>
      <c r="AE35" s="593">
        <v>0.71199999999999997</v>
      </c>
      <c r="AF35" s="594"/>
      <c r="AG35" s="443">
        <f>((AE35/19.32)*10)</f>
        <v>0.36853002070393376</v>
      </c>
      <c r="AH35" s="104"/>
      <c r="AS35" s="42">
        <f t="shared" si="3"/>
        <v>0</v>
      </c>
    </row>
    <row r="36" spans="1:45" ht="20.100000000000001" customHeight="1" thickBot="1" x14ac:dyDescent="0.3">
      <c r="A36" s="103"/>
      <c r="B36" s="639" t="s">
        <v>71</v>
      </c>
      <c r="C36" s="640"/>
      <c r="D36" s="640"/>
      <c r="E36" s="130">
        <f>E25/E24</f>
        <v>1.8621973929236499</v>
      </c>
      <c r="F36" s="130">
        <f>F25/F24</f>
        <v>2.0395716945996276</v>
      </c>
      <c r="G36" s="130">
        <f>G25/G24</f>
        <v>2.1378026070763503</v>
      </c>
      <c r="H36" s="131">
        <f>H25/H24</f>
        <v>1.855679702048417</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1.6848594713475062</v>
      </c>
      <c r="F37" s="230">
        <f>F36/(1+F34/100)</f>
        <v>1.7956886978692792</v>
      </c>
      <c r="G37" s="230">
        <f>G36/(1+G34/100)</f>
        <v>1.8376707317891439</v>
      </c>
      <c r="H37" s="123">
        <f>H36/(1+H34/100)</f>
        <v>1.5566764918340505</v>
      </c>
      <c r="I37" s="174"/>
      <c r="J37" s="641" t="s">
        <v>139</v>
      </c>
      <c r="K37" s="641"/>
      <c r="L37" s="643" t="s">
        <v>121</v>
      </c>
      <c r="M37" s="433">
        <f>IF(F74="","",(M42^2*F74+M42*F75+F76))</f>
        <v>1.8325260775862069</v>
      </c>
      <c r="N37" s="101"/>
      <c r="O37" s="576" t="s">
        <v>28</v>
      </c>
      <c r="P37" s="577"/>
      <c r="Q37" s="150">
        <v>706.73</v>
      </c>
      <c r="R37" s="152">
        <v>716.38</v>
      </c>
      <c r="S37" s="153">
        <v>803.03</v>
      </c>
      <c r="T37" s="174"/>
      <c r="U37" s="132">
        <v>0.5</v>
      </c>
      <c r="V37" s="133">
        <f>U37*25.4</f>
        <v>12.7</v>
      </c>
      <c r="W37" s="637">
        <v>1.7649999999999999</v>
      </c>
      <c r="X37" s="638"/>
      <c r="Y37" s="431">
        <f>((W37/19.32)*10)</f>
        <v>0.91356107660455477</v>
      </c>
      <c r="Z37" s="432"/>
      <c r="AA37" s="637">
        <f>AJ33</f>
        <v>1.2013157894736843</v>
      </c>
      <c r="AB37" s="638"/>
      <c r="AC37" s="431">
        <f>((AA37/19.32)*10)</f>
        <v>0.62179906287457776</v>
      </c>
      <c r="AD37" s="432"/>
      <c r="AE37" s="637">
        <v>0.83499999999999996</v>
      </c>
      <c r="AF37" s="638"/>
      <c r="AG37" s="134">
        <f>((AE37/19.32)*10)</f>
        <v>0.43219461697722567</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100.82</v>
      </c>
      <c r="R38" s="647">
        <v>103.36</v>
      </c>
      <c r="S38" s="648">
        <v>103.09</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1.9478026634464356</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17.977080821120691</v>
      </c>
      <c r="N40" s="103"/>
      <c r="O40" s="628" t="s">
        <v>10</v>
      </c>
      <c r="P40" s="629"/>
      <c r="Q40" s="125">
        <f>((Q35-Q37)/(Q37-Q38))*100</f>
        <v>14.419633278869798</v>
      </c>
      <c r="R40" s="125">
        <f>((R35-R37)/(R37-R38))*100</f>
        <v>14.789077028481938</v>
      </c>
      <c r="S40" s="126">
        <f>((S35-S37)/(S37-S38))*100</f>
        <v>14.884132925679355</v>
      </c>
      <c r="T40" s="174"/>
      <c r="U40" s="645" t="s">
        <v>151</v>
      </c>
      <c r="V40" s="646"/>
      <c r="W40" s="423">
        <f>(AM79/6.9)*100</f>
        <v>3.6231884057971007</v>
      </c>
      <c r="X40" s="423"/>
      <c r="Y40" s="423"/>
      <c r="Z40" s="424"/>
      <c r="AA40" s="425">
        <f>(AO79/6.9)*100</f>
        <v>2.3836765827612507</v>
      </c>
      <c r="AB40" s="426"/>
      <c r="AC40" s="427"/>
      <c r="AD40" s="425">
        <f>(AQ79/6.9)*100</f>
        <v>1.7877574370709377</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19.107944128409535</v>
      </c>
      <c r="N41" s="138"/>
      <c r="O41" s="565" t="s">
        <v>36</v>
      </c>
      <c r="P41" s="566"/>
      <c r="Q41" s="566"/>
      <c r="R41" s="566"/>
      <c r="S41" s="567"/>
      <c r="T41" s="174"/>
      <c r="U41" s="653" t="s">
        <v>152</v>
      </c>
      <c r="V41" s="654"/>
      <c r="W41" s="418">
        <f>(AM83/10.3)*100</f>
        <v>4.2865183219763212</v>
      </c>
      <c r="X41" s="418"/>
      <c r="Y41" s="418"/>
      <c r="Z41" s="419"/>
      <c r="AA41" s="420">
        <f>(AO83/10.3)*100</f>
        <v>2.7175896685572098</v>
      </c>
      <c r="AB41" s="421"/>
      <c r="AC41" s="418"/>
      <c r="AD41" s="420">
        <f>(AQ83/10.3)*100</f>
        <v>2.0381922514179069</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14.297413793103448</v>
      </c>
      <c r="N42" s="103"/>
      <c r="O42" s="639" t="s">
        <v>9</v>
      </c>
      <c r="P42" s="640"/>
      <c r="Q42" s="148">
        <v>630</v>
      </c>
      <c r="R42" s="148">
        <v>307</v>
      </c>
      <c r="S42" s="149">
        <v>342</v>
      </c>
      <c r="T42" s="174"/>
      <c r="U42" s="651" t="s">
        <v>42</v>
      </c>
      <c r="V42" s="652"/>
      <c r="W42" s="413">
        <f>IF(W40&lt;W41,W40,W41)</f>
        <v>3.6231884057971007</v>
      </c>
      <c r="X42" s="414"/>
      <c r="Y42" s="414"/>
      <c r="Z42" s="415"/>
      <c r="AA42" s="416">
        <f>IF(AA40&lt;AA41,AA40,AA41)</f>
        <v>2.3836765827612507</v>
      </c>
      <c r="AB42" s="414"/>
      <c r="AC42" s="415"/>
      <c r="AD42" s="416">
        <f>IF(AD40&lt;AD41,AD40,AD41)</f>
        <v>1.7877574370709377</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11.073060344827587</v>
      </c>
      <c r="N43" s="103"/>
      <c r="O43" s="612" t="s">
        <v>49</v>
      </c>
      <c r="P43" s="614"/>
      <c r="Q43" s="618">
        <v>447.7</v>
      </c>
      <c r="R43" s="608">
        <v>451.58</v>
      </c>
      <c r="S43" s="610">
        <v>707.65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368.37</v>
      </c>
      <c r="R45" s="150">
        <v>381.87</v>
      </c>
      <c r="S45" s="151">
        <v>579.92999999999995</v>
      </c>
      <c r="T45" s="174"/>
      <c r="U45" s="656" t="s">
        <v>139</v>
      </c>
      <c r="V45" s="656"/>
      <c r="W45" s="179" t="s">
        <v>121</v>
      </c>
      <c r="X45" s="406">
        <f>MAX(M37:M39)</f>
        <v>1.9478026634464356</v>
      </c>
      <c r="Y45" s="406"/>
      <c r="Z45" s="406"/>
      <c r="AA45" s="174"/>
      <c r="AB45" s="657" t="s">
        <v>31</v>
      </c>
      <c r="AC45" s="658"/>
      <c r="AD45" s="658"/>
      <c r="AE45" s="658"/>
      <c r="AF45" s="231">
        <v>3.5999999999999997E-2</v>
      </c>
      <c r="AG45" s="231">
        <v>8.3500000000000005E-2</v>
      </c>
      <c r="AH45" s="233">
        <v>0.127</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37.14</v>
      </c>
      <c r="R46" s="152">
        <v>100.46</v>
      </c>
      <c r="S46" s="153">
        <v>101.12</v>
      </c>
      <c r="T46" s="174"/>
      <c r="U46" s="555" t="s">
        <v>123</v>
      </c>
      <c r="V46" s="555"/>
      <c r="W46" s="179" t="s">
        <v>41</v>
      </c>
      <c r="X46" s="401">
        <f>MIN(M42:M44)</f>
        <v>11.073060344827587</v>
      </c>
      <c r="Y46" s="401"/>
      <c r="Z46" s="401"/>
      <c r="AA46" s="174"/>
      <c r="AB46" s="660" t="s">
        <v>32</v>
      </c>
      <c r="AC46" s="661"/>
      <c r="AD46" s="661"/>
      <c r="AE46" s="661"/>
      <c r="AF46" s="234">
        <v>0.2165</v>
      </c>
      <c r="AG46" s="234">
        <v>0.191</v>
      </c>
      <c r="AH46" s="235">
        <v>0.22950000000000001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23.950125290583575</v>
      </c>
      <c r="R47" s="125">
        <f>((R43-R45)/(R45-R46))*100</f>
        <v>24.771685441171236</v>
      </c>
      <c r="S47" s="126">
        <f>((S43-S45)/(S45-S46))*100</f>
        <v>26.674463774774971</v>
      </c>
      <c r="T47" s="174"/>
      <c r="U47" s="555" t="s">
        <v>162</v>
      </c>
      <c r="V47" s="555"/>
      <c r="W47" s="179" t="s">
        <v>41</v>
      </c>
      <c r="X47" s="402">
        <f>IF(L25=D103,"-",IF(L25=D102,"-",IF(L25=D101,M25)))</f>
        <v>18.25</v>
      </c>
      <c r="Y47" s="402"/>
      <c r="Z47" s="402"/>
      <c r="AA47" s="174"/>
      <c r="AB47" s="662" t="s">
        <v>33</v>
      </c>
      <c r="AC47" s="663"/>
      <c r="AD47" s="663"/>
      <c r="AE47" s="663"/>
      <c r="AF47" s="232">
        <f>(AF46-AF45)*2.54</f>
        <v>0.45846999999999999</v>
      </c>
      <c r="AG47" s="232">
        <f>(AG46-AG45)*2.54</f>
        <v>0.27305000000000001</v>
      </c>
      <c r="AH47" s="239">
        <f>(AH46-AH45)*2.54</f>
        <v>0.26035000000000003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3.9523275862068967</v>
      </c>
      <c r="AG48" s="142">
        <f>IF(AG47&lt;&gt;"",IF(R24&lt;&gt;"",AG47/R24*100,""),"")</f>
        <v>2.399384885764499</v>
      </c>
      <c r="AH48" s="173">
        <f>IF(AH47&lt;&gt;"",IF(S24&lt;&gt;"",AH47/S24*100,""),"")</f>
        <v>2.2797723292469354</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5.8999999999999997E-2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0.16200000000000001</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0.27900000000000003</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0.39600000000000002</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0.48299999999999998</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0.58399999999999996</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0.67400000000000004</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0.75700000000000001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0.82199999999999995</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1.1060000000000001</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1.4370000000000001</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1.8260000000000001</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-1.1599999999999999E-2</v>
      </c>
      <c r="G74" s="75">
        <v>-0.12509999999999999</v>
      </c>
      <c r="J74" s="701"/>
      <c r="K74" s="702"/>
      <c r="L74" s="44"/>
      <c r="M74" s="44"/>
      <c r="N74" s="44"/>
    </row>
    <row r="75" spans="1:94" ht="26.25" customHeight="1" thickBot="1" x14ac:dyDescent="0.3">
      <c r="A75" s="11"/>
      <c r="B75" s="377" t="s">
        <v>113</v>
      </c>
      <c r="C75" s="377"/>
      <c r="D75" s="19"/>
      <c r="E75" s="54" t="s">
        <v>12</v>
      </c>
      <c r="F75" s="55">
        <v>0.33169999999999999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-0.53869999999999996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0.16200000000000001</v>
      </c>
      <c r="AM76" s="3">
        <f t="shared" si="4"/>
        <v>8.3850931677018639E-2</v>
      </c>
      <c r="AN76" s="5">
        <f>AA23</f>
        <v>0.10657894736842105</v>
      </c>
      <c r="AO76" s="3">
        <f t="shared" ref="AO76:AO86" si="7">((AN76/19.32)*10)</f>
        <v>5.516508662961752E-2</v>
      </c>
      <c r="AP76" s="5">
        <f>AE23</f>
        <v>7.1999999999999995E-2</v>
      </c>
      <c r="AQ76" s="161">
        <f t="shared" si="5"/>
        <v>3.7267080745341609E-2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0.27900000000000003</v>
      </c>
      <c r="AM77" s="3">
        <f t="shared" si="4"/>
        <v>0.14440993788819878</v>
      </c>
      <c r="AN77" s="5">
        <f>AA24</f>
        <v>0.18355263157894738</v>
      </c>
      <c r="AO77" s="3">
        <f t="shared" si="7"/>
        <v>9.5006538084341299E-2</v>
      </c>
      <c r="AP77" s="5">
        <f>AE24</f>
        <v>0.128</v>
      </c>
      <c r="AQ77" s="161">
        <f t="shared" si="5"/>
        <v>6.6252587991718431E-2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0.39600000000000002</v>
      </c>
      <c r="AM78" s="3">
        <f t="shared" si="4"/>
        <v>0.20496894409937888</v>
      </c>
      <c r="AN78" s="5">
        <f>AA25</f>
        <v>0.26052631578947372</v>
      </c>
      <c r="AO78" s="3">
        <f t="shared" si="7"/>
        <v>0.13484798953906507</v>
      </c>
      <c r="AP78" s="5">
        <f>AE25</f>
        <v>0.185</v>
      </c>
      <c r="AQ78" s="161">
        <f t="shared" si="5"/>
        <v>9.5755693581780543E-2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0.48299999999999998</v>
      </c>
      <c r="AM79" s="4">
        <f t="shared" si="4"/>
        <v>0.24999999999999997</v>
      </c>
      <c r="AN79" s="5">
        <f>AA26</f>
        <v>0.3177631578947368</v>
      </c>
      <c r="AO79" s="4">
        <f t="shared" si="7"/>
        <v>0.1644736842105263</v>
      </c>
      <c r="AP79" s="5">
        <f>AE26</f>
        <v>0.23832236842105259</v>
      </c>
      <c r="AQ79" s="162">
        <f t="shared" si="5"/>
        <v>0.1233552631578947</v>
      </c>
      <c r="BB79" s="12">
        <v>17</v>
      </c>
      <c r="BC79" s="12">
        <v>18</v>
      </c>
    </row>
    <row r="80" spans="1:94" ht="42" customHeight="1" thickTop="1" thickBot="1" x14ac:dyDescent="0.3">
      <c r="D80" s="49"/>
      <c r="H80" s="711" t="s">
        <v>105</v>
      </c>
      <c r="I80" s="712"/>
      <c r="J80" s="58"/>
      <c r="AJ80" s="160">
        <f>U28</f>
        <v>0.125</v>
      </c>
      <c r="AK80" s="3">
        <f t="shared" si="6"/>
        <v>3.1749999999999998</v>
      </c>
      <c r="AL80" s="5">
        <f>W28</f>
        <v>0.58399999999999996</v>
      </c>
      <c r="AM80" s="3">
        <f t="shared" si="4"/>
        <v>0.3022774327122153</v>
      </c>
      <c r="AN80" s="5">
        <f>AA28</f>
        <v>0.38421052631578945</v>
      </c>
      <c r="AO80" s="3">
        <f t="shared" si="7"/>
        <v>0.19886673204751004</v>
      </c>
      <c r="AP80" s="5">
        <f>AE28</f>
        <v>0.28815789473684206</v>
      </c>
      <c r="AQ80" s="161">
        <f t="shared" si="5"/>
        <v>0.14915004903563253</v>
      </c>
      <c r="BC80" s="45">
        <v>0.99880400000000003</v>
      </c>
      <c r="BD80" s="45">
        <v>0.99862499999999998</v>
      </c>
    </row>
    <row r="81" spans="2:43" ht="15.75" customHeight="1" x14ac:dyDescent="0.25">
      <c r="AJ81" s="160">
        <f>U30</f>
        <v>0.15</v>
      </c>
      <c r="AK81" s="3">
        <f t="shared" si="6"/>
        <v>3.8099999999999996</v>
      </c>
      <c r="AL81" s="5">
        <f>W30</f>
        <v>0.67400000000000004</v>
      </c>
      <c r="AM81" s="3">
        <f t="shared" si="4"/>
        <v>0.34886128364389235</v>
      </c>
      <c r="AN81" s="5">
        <f>AA30</f>
        <v>0.44342105263157899</v>
      </c>
      <c r="AO81" s="3">
        <f t="shared" si="7"/>
        <v>0.22951400239729761</v>
      </c>
      <c r="AP81" s="5">
        <f>AE30</f>
        <v>0.33256578947368426</v>
      </c>
      <c r="AQ81" s="161">
        <f t="shared" si="5"/>
        <v>0.17213550179797321</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0.77</v>
      </c>
      <c r="AM82" s="3">
        <f t="shared" si="4"/>
        <v>0.39855072463768121</v>
      </c>
      <c r="AN82" s="5">
        <f>AA31</f>
        <v>0.49802631578947371</v>
      </c>
      <c r="AO82" s="3">
        <f t="shared" si="7"/>
        <v>0.25777759616432383</v>
      </c>
      <c r="AP82" s="5">
        <f>AE31</f>
        <v>0.37351973684210527</v>
      </c>
      <c r="AQ82" s="161">
        <f t="shared" si="5"/>
        <v>0.19333319712324287</v>
      </c>
    </row>
    <row r="83" spans="2:43" ht="15" customHeight="1" x14ac:dyDescent="0.25">
      <c r="B83" s="49"/>
      <c r="C83" s="49"/>
      <c r="D83" s="49">
        <v>0</v>
      </c>
      <c r="E83" s="50">
        <f>M42</f>
        <v>14.297413793103448</v>
      </c>
      <c r="F83" s="49"/>
      <c r="G83" s="43">
        <f>G84/10</f>
        <v>2.0266848313217043</v>
      </c>
      <c r="H83" s="43">
        <f>H84/10</f>
        <v>1.9063211838889955</v>
      </c>
      <c r="I83" s="43">
        <f>I84/10</f>
        <v>1.8095965772713716</v>
      </c>
      <c r="J83" s="43">
        <f>J84/10</f>
        <v>1.7184423583792392</v>
      </c>
      <c r="K83" s="43"/>
      <c r="L83" s="42">
        <v>0</v>
      </c>
      <c r="O83" s="706"/>
      <c r="P83" s="706"/>
      <c r="Q83" s="706"/>
      <c r="R83" s="706"/>
      <c r="S83" s="707"/>
      <c r="W83" s="112"/>
      <c r="AJ83" s="160">
        <f>U33</f>
        <v>0.2</v>
      </c>
      <c r="AK83" s="4">
        <f t="shared" si="6"/>
        <v>5.08</v>
      </c>
      <c r="AL83" s="5">
        <f>W33</f>
        <v>0.85299999999999998</v>
      </c>
      <c r="AM83" s="4">
        <f t="shared" si="4"/>
        <v>0.44151138716356109</v>
      </c>
      <c r="AN83" s="5">
        <f>AA33</f>
        <v>0.54078947368421049</v>
      </c>
      <c r="AO83" s="4">
        <f t="shared" si="7"/>
        <v>0.27991173586139262</v>
      </c>
      <c r="AP83" s="5">
        <f>AE33</f>
        <v>0.40559210526315786</v>
      </c>
      <c r="AQ83" s="162">
        <f t="shared" si="5"/>
        <v>0.20993380189604446</v>
      </c>
    </row>
    <row r="84" spans="2:43" ht="15" customHeight="1" x14ac:dyDescent="0.25">
      <c r="C84" s="94"/>
      <c r="D84" s="94"/>
      <c r="E84" s="94"/>
      <c r="F84" s="49"/>
      <c r="G84" s="43">
        <f>($M$34/(1+(E34*$M$34/100)))*($O$73)</f>
        <v>20.266848313217043</v>
      </c>
      <c r="H84" s="43">
        <f>($M$34/(1+(F34*$M$34/100)))*($O$73)</f>
        <v>19.063211838889956</v>
      </c>
      <c r="I84" s="43">
        <f>($M$34/(1+(G34*$M$34/100)))*($O$73)</f>
        <v>18.095965772713715</v>
      </c>
      <c r="J84" s="43">
        <f>($M$34/(1+(H34*$M$34/100)))*($O$73)</f>
        <v>17.184423583792391</v>
      </c>
      <c r="K84" s="43"/>
      <c r="O84" s="706" t="s">
        <v>146</v>
      </c>
      <c r="P84" s="706"/>
      <c r="Q84" s="706"/>
      <c r="R84" s="706"/>
      <c r="S84" s="707">
        <v>2240</v>
      </c>
      <c r="W84" s="112"/>
      <c r="AJ84" s="160">
        <f>U34</f>
        <v>0.3</v>
      </c>
      <c r="AK84" s="3">
        <f t="shared" si="6"/>
        <v>7.6199999999999992</v>
      </c>
      <c r="AL84" s="5">
        <f>W34</f>
        <v>1.232</v>
      </c>
      <c r="AM84" s="3">
        <f t="shared" si="4"/>
        <v>0.6376811594202898</v>
      </c>
      <c r="AN84" s="5">
        <f>AA34</f>
        <v>0.72799999999999998</v>
      </c>
      <c r="AO84" s="3">
        <f t="shared" si="7"/>
        <v>0.3768115942028985</v>
      </c>
      <c r="AP84" s="5">
        <f>AE34</f>
        <v>0.53600000000000003</v>
      </c>
      <c r="AQ84" s="161">
        <f t="shared" si="5"/>
        <v>0.2774327122153209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1.4890000000000001</v>
      </c>
      <c r="AM85" s="3">
        <f t="shared" si="4"/>
        <v>0.77070393374741208</v>
      </c>
      <c r="AN85" s="5">
        <f>AA35</f>
        <v>0.94539473684210529</v>
      </c>
      <c r="AO85" s="3">
        <f t="shared" si="7"/>
        <v>0.48933474991827397</v>
      </c>
      <c r="AP85" s="5">
        <f>AE35</f>
        <v>0.71199999999999997</v>
      </c>
      <c r="AQ85" s="161">
        <f>((AP85/19.32)*10)</f>
        <v>0.36853002070393376</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1.7649999999999999</v>
      </c>
      <c r="AM86" s="164">
        <f t="shared" si="4"/>
        <v>0.91356107660455477</v>
      </c>
      <c r="AN86" s="165">
        <f>AA37</f>
        <v>1.2013157894736843</v>
      </c>
      <c r="AO86" s="164">
        <f t="shared" si="7"/>
        <v>0.62179906287457776</v>
      </c>
      <c r="AP86" s="165">
        <f>AE37</f>
        <v>0.83499999999999996</v>
      </c>
      <c r="AQ86" s="166">
        <f>((AP86/19.32)*10)</f>
        <v>0.43219461697722567</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1.8256742919914009</v>
      </c>
      <c r="AK91" s="9">
        <f>R31</f>
        <v>1.7407930566382519</v>
      </c>
      <c r="AL91" s="10">
        <f>S31</f>
        <v>1.7095528035433778</v>
      </c>
    </row>
    <row r="92" spans="2:43" ht="21" customHeight="1" thickBot="1" x14ac:dyDescent="0.3">
      <c r="B92" s="92"/>
      <c r="C92" s="93"/>
      <c r="D92" s="93"/>
      <c r="E92" s="93"/>
      <c r="F92" s="62"/>
      <c r="G92" s="63"/>
      <c r="H92" s="49"/>
      <c r="I92" s="49"/>
      <c r="O92" s="725" t="s">
        <v>147</v>
      </c>
      <c r="P92" s="726"/>
      <c r="Q92" s="726"/>
      <c r="R92" s="726"/>
      <c r="S92" s="61">
        <f>M42</f>
        <v>14.297413793103448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3.6231884057971007</v>
      </c>
      <c r="AK94" s="158">
        <f>AA42</f>
        <v>2.3836765827612507</v>
      </c>
      <c r="AL94" s="158">
        <f>AD42</f>
        <v>1.7877574370709377</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440" priority="47">
      <formula>LEN(TRIM(D6))=0</formula>
    </cfRule>
  </conditionalFormatting>
  <conditionalFormatting sqref="D6:H10">
    <cfRule type="containsBlanks" dxfId="1439" priority="46">
      <formula>LEN(TRIM(D6))=0</formula>
    </cfRule>
  </conditionalFormatting>
  <conditionalFormatting sqref="M19">
    <cfRule type="containsBlanks" dxfId="1438" priority="45">
      <formula>LEN(TRIM(M19))=0</formula>
    </cfRule>
  </conditionalFormatting>
  <conditionalFormatting sqref="CP70">
    <cfRule type="containsBlanks" dxfId="1437" priority="44">
      <formula>LEN(TRIM(CP70))=0</formula>
    </cfRule>
  </conditionalFormatting>
  <conditionalFormatting sqref="M21">
    <cfRule type="containsBlanks" dxfId="1436" priority="43">
      <formula>LEN(TRIM(M21))=0</formula>
    </cfRule>
  </conditionalFormatting>
  <conditionalFormatting sqref="D12:M12">
    <cfRule type="containsBlanks" dxfId="1435" priority="42">
      <formula>LEN(TRIM(D12))=0</formula>
    </cfRule>
  </conditionalFormatting>
  <conditionalFormatting sqref="L9:M9">
    <cfRule type="containsBlanks" dxfId="1434" priority="41">
      <formula>LEN(TRIM(L9))=0</formula>
    </cfRule>
  </conditionalFormatting>
  <conditionalFormatting sqref="L25">
    <cfRule type="containsBlanks" dxfId="1433" priority="40">
      <formula>LEN(TRIM(L25))=0</formula>
    </cfRule>
  </conditionalFormatting>
  <conditionalFormatting sqref="Q20:S21">
    <cfRule type="containsBlanks" dxfId="1432" priority="33">
      <formula>LEN(TRIM(Q20))=0</formula>
    </cfRule>
    <cfRule type="containsBlanks" dxfId="1431" priority="39">
      <formula>LEN(TRIM(Q20))=0</formula>
    </cfRule>
  </conditionalFormatting>
  <conditionalFormatting sqref="U26:V27 AC33 AC26">
    <cfRule type="cellIs" dxfId="1430" priority="38" operator="between">
      <formula>0</formula>
      <formula>500</formula>
    </cfRule>
  </conditionalFormatting>
  <conditionalFormatting sqref="U33:V33">
    <cfRule type="cellIs" dxfId="1429" priority="37" operator="between">
      <formula>0</formula>
      <formula>500</formula>
    </cfRule>
  </conditionalFormatting>
  <conditionalFormatting sqref="AF45:AH46">
    <cfRule type="containsBlanks" dxfId="1428" priority="36">
      <formula>LEN(TRIM(AF45))=0</formula>
    </cfRule>
  </conditionalFormatting>
  <conditionalFormatting sqref="AF51:AG53">
    <cfRule type="containsBlanks" dxfId="1427" priority="35">
      <formula>LEN(TRIM(AF51))=0</formula>
    </cfRule>
  </conditionalFormatting>
  <conditionalFormatting sqref="E20:H24">
    <cfRule type="containsBlanks" dxfId="1426" priority="34">
      <formula>LEN(TRIM(E20))=0</formula>
    </cfRule>
  </conditionalFormatting>
  <conditionalFormatting sqref="M25">
    <cfRule type="containsBlanks" dxfId="1425" priority="32">
      <formula>LEN(TRIM(M25))=0</formula>
    </cfRule>
  </conditionalFormatting>
  <conditionalFormatting sqref="U26:V27 Y26:Z27 AC26:AD27 AG26:AG27">
    <cfRule type="containsBlanks" dxfId="1424" priority="30">
      <formula>LEN(TRIM(U26))=0</formula>
    </cfRule>
    <cfRule type="cellIs" dxfId="1423" priority="31" operator="between">
      <formula>0</formula>
      <formula>1000</formula>
    </cfRule>
  </conditionalFormatting>
  <conditionalFormatting sqref="W87:W88">
    <cfRule type="cellIs" dxfId="1422" priority="29" operator="between">
      <formula>0</formula>
      <formula>500</formula>
    </cfRule>
  </conditionalFormatting>
  <conditionalFormatting sqref="W94">
    <cfRule type="cellIs" dxfId="1421" priority="28" operator="between">
      <formula>0</formula>
      <formula>500</formula>
    </cfRule>
  </conditionalFormatting>
  <conditionalFormatting sqref="W87:W88">
    <cfRule type="containsBlanks" dxfId="1420" priority="26">
      <formula>LEN(TRIM(W87))=0</formula>
    </cfRule>
    <cfRule type="cellIs" dxfId="1419" priority="27" operator="between">
      <formula>0</formula>
      <formula>1000</formula>
    </cfRule>
  </conditionalFormatting>
  <conditionalFormatting sqref="U33:V33 Y33:Z33 AC33:AD33 AG33">
    <cfRule type="cellIs" dxfId="1418" priority="25" operator="between">
      <formula>0</formula>
      <formula>1000</formula>
    </cfRule>
  </conditionalFormatting>
  <conditionalFormatting sqref="Q27:S27">
    <cfRule type="containsBlanks" dxfId="1417" priority="23">
      <formula>LEN(TRIM(Q27))=0</formula>
    </cfRule>
    <cfRule type="containsBlanks" dxfId="1416" priority="24">
      <formula>LEN(TRIM(Q27))=0</formula>
    </cfRule>
  </conditionalFormatting>
  <conditionalFormatting sqref="W30:W31 W33:W35 W37 W28 W22:W26">
    <cfRule type="containsBlanks" dxfId="1415" priority="22">
      <formula>LEN(TRIM(W22))=0</formula>
    </cfRule>
  </conditionalFormatting>
  <conditionalFormatting sqref="W37 W30:W31 W33:W35 W28 W22:W26">
    <cfRule type="containsBlanks" dxfId="1414" priority="21">
      <formula>LEN(TRIM(W22))=0</formula>
    </cfRule>
  </conditionalFormatting>
  <conditionalFormatting sqref="W33:X33">
    <cfRule type="cellIs" dxfId="1413" priority="20" operator="between">
      <formula>0</formula>
      <formula>1000</formula>
    </cfRule>
  </conditionalFormatting>
  <conditionalFormatting sqref="W30:X37 W26 W28 W22:X25">
    <cfRule type="containsBlanks" dxfId="1412" priority="19">
      <formula>LEN(TRIM(W22))=0</formula>
    </cfRule>
  </conditionalFormatting>
  <conditionalFormatting sqref="AA37 AA30:AA31 AA33 AA22:AA26 AA28 AA35">
    <cfRule type="containsBlanks" dxfId="1411" priority="18">
      <formula>LEN(TRIM(AA22))=0</formula>
    </cfRule>
  </conditionalFormatting>
  <conditionalFormatting sqref="AA37 AA30:AA31 AA33 AA22:AA26 AA28 AA35">
    <cfRule type="containsBlanks" dxfId="1410" priority="17">
      <formula>LEN(TRIM(AA22))=0</formula>
    </cfRule>
  </conditionalFormatting>
  <conditionalFormatting sqref="AA33:AB33">
    <cfRule type="cellIs" dxfId="1409" priority="16" operator="between">
      <formula>0</formula>
      <formula>1000</formula>
    </cfRule>
  </conditionalFormatting>
  <conditionalFormatting sqref="AA30:AB30 AA31 AA33:AB33 AA22:AB25 AA26 AA28 AA35:AB37">
    <cfRule type="containsBlanks" dxfId="1408" priority="15">
      <formula>LEN(TRIM(AA22))=0</formula>
    </cfRule>
  </conditionalFormatting>
  <conditionalFormatting sqref="AE37 AE28 AE30:AE31 AE33:AE35 AE22:AE26">
    <cfRule type="containsBlanks" dxfId="1407" priority="14">
      <formula>LEN(TRIM(AE22))=0</formula>
    </cfRule>
  </conditionalFormatting>
  <conditionalFormatting sqref="AE37 AE28 AE30:AE31 AE33:AE35 AE22:AE26">
    <cfRule type="containsBlanks" dxfId="1406" priority="13">
      <formula>LEN(TRIM(AE22))=0</formula>
    </cfRule>
  </conditionalFormatting>
  <conditionalFormatting sqref="AE33:AF33">
    <cfRule type="cellIs" dxfId="1405" priority="12" operator="between">
      <formula>0</formula>
      <formula>1000</formula>
    </cfRule>
  </conditionalFormatting>
  <conditionalFormatting sqref="AE33:AF37 AE26 AE28 AE30:AE31 AE22:AF25">
    <cfRule type="containsBlanks" dxfId="1404" priority="11">
      <formula>LEN(TRIM(AE22))=0</formula>
    </cfRule>
  </conditionalFormatting>
  <conditionalFormatting sqref="K6:M6">
    <cfRule type="containsBlanks" dxfId="1403" priority="10">
      <formula>LEN(TRIM(K6))=0</formula>
    </cfRule>
  </conditionalFormatting>
  <conditionalFormatting sqref="K7:K8">
    <cfRule type="containsBlanks" dxfId="1402" priority="9">
      <formula>LEN(TRIM(K7))=0</formula>
    </cfRule>
  </conditionalFormatting>
  <conditionalFormatting sqref="D13:M13">
    <cfRule type="containsBlanks" dxfId="1401" priority="8">
      <formula>LEN(TRIM(D13))=0</formula>
    </cfRule>
  </conditionalFormatting>
  <conditionalFormatting sqref="B6:B10">
    <cfRule type="containsBlanks" dxfId="1400" priority="7">
      <formula>LEN(TRIM(B6))=0</formula>
    </cfRule>
  </conditionalFormatting>
  <conditionalFormatting sqref="B12:B13">
    <cfRule type="containsBlanks" dxfId="1399" priority="6">
      <formula>LEN(TRIM(B12))=0</formula>
    </cfRule>
  </conditionalFormatting>
  <conditionalFormatting sqref="E28:H33">
    <cfRule type="containsBlanks" dxfId="1398" priority="5">
      <formula>LEN(TRIM(E28))=0</formula>
    </cfRule>
  </conditionalFormatting>
  <conditionalFormatting sqref="Q22:S26">
    <cfRule type="containsBlanks" dxfId="1397" priority="3">
      <formula>LEN(TRIM(Q22))=0</formula>
    </cfRule>
    <cfRule type="containsBlanks" dxfId="1396" priority="4">
      <formula>LEN(TRIM(Q22))=0</formula>
    </cfRule>
  </conditionalFormatting>
  <conditionalFormatting sqref="Q34:S39">
    <cfRule type="containsBlanks" dxfId="1395" priority="2">
      <formula>LEN(TRIM(Q34))=0</formula>
    </cfRule>
  </conditionalFormatting>
  <conditionalFormatting sqref="Q42:S46">
    <cfRule type="containsBlanks" dxfId="1394" priority="1">
      <formula>LEN(TRIM(Q42))=0</formula>
    </cfRule>
  </conditionalFormatting>
  <dataValidations count="5">
    <dataValidation type="list" allowBlank="1" showInputMessage="1" showErrorMessage="1" sqref="D12:E12" xr:uid="{00000000-0002-0000-1D00-000000000000}">
      <formula1>$B$87:$B$94</formula1>
    </dataValidation>
    <dataValidation type="list" allowBlank="1" showInputMessage="1" showErrorMessage="1" sqref="CP70" xr:uid="{00000000-0002-0000-1D00-000001000000}">
      <formula1>$BA$3:$BA$5</formula1>
    </dataValidation>
    <dataValidation type="list" allowBlank="1" showInputMessage="1" showErrorMessage="1" sqref="M19" xr:uid="{00000000-0002-0000-1D00-000002000000}">
      <formula1>$AX$3:$AX$5</formula1>
    </dataValidation>
    <dataValidation type="list" allowBlank="1" showInputMessage="1" showErrorMessage="1" sqref="M21" xr:uid="{00000000-0002-0000-1D00-000003000000}">
      <formula1>$AX$3:$AX$4</formula1>
    </dataValidation>
    <dataValidation type="list" allowBlank="1" showInputMessage="1" showErrorMessage="1" sqref="L25" xr:uid="{00000000-0002-0000-1D00-000004000000}">
      <formula1>$D$101:$D$104</formula1>
    </dataValidation>
  </dataValidations>
  <hyperlinks>
    <hyperlink ref="D8" r:id="rId1" xr:uid="{00000000-0004-0000-1D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49505"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49506"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49507"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4950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4950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49510"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49511"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4951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4951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4951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71">
    <tabColor theme="7" tint="0.79998168889431442"/>
  </sheetPr>
  <dimension ref="A1:CP153"/>
  <sheetViews>
    <sheetView view="pageBreakPreview" topLeftCell="A20" zoomScale="80" zoomScaleNormal="100" zoomScaleSheetLayoutView="8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25-P-ESTAMBUL AP2-2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25-P-ESTAMBUL AP2-2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247</v>
      </c>
      <c r="G12" s="31" t="s">
        <v>4</v>
      </c>
      <c r="H12" s="146">
        <v>2</v>
      </c>
      <c r="I12" s="546" t="s">
        <v>5</v>
      </c>
      <c r="J12" s="546"/>
      <c r="K12" s="209">
        <v>0.4</v>
      </c>
      <c r="L12" s="32" t="s">
        <v>6</v>
      </c>
      <c r="M12" s="147">
        <v>1.1000000000000001</v>
      </c>
      <c r="N12" s="78"/>
      <c r="O12" s="501" t="s">
        <v>3</v>
      </c>
      <c r="P12" s="501"/>
      <c r="Q12" s="225" t="s">
        <v>234</v>
      </c>
      <c r="R12" s="224" t="str">
        <f>F12</f>
        <v>P-ESTAMBUL AP2</v>
      </c>
      <c r="S12" s="224"/>
      <c r="T12" s="502" t="s">
        <v>4</v>
      </c>
      <c r="U12" s="502"/>
      <c r="V12" s="33">
        <f>+H12</f>
        <v>2</v>
      </c>
      <c r="W12" s="547" t="s">
        <v>5</v>
      </c>
      <c r="X12" s="547"/>
      <c r="Y12" s="547"/>
      <c r="Z12" s="547"/>
      <c r="AA12" s="547"/>
      <c r="AB12" s="547"/>
      <c r="AC12" s="34">
        <f>K12</f>
        <v>0.4</v>
      </c>
      <c r="AD12" s="548" t="s">
        <v>6</v>
      </c>
      <c r="AE12" s="548"/>
      <c r="AF12" s="35">
        <f>+M12</f>
        <v>1.1000000000000001</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252</v>
      </c>
      <c r="E13" s="479"/>
      <c r="F13" s="479"/>
      <c r="G13" s="479"/>
      <c r="H13" s="479"/>
      <c r="I13" s="479"/>
      <c r="J13" s="479"/>
      <c r="K13" s="479"/>
      <c r="L13" s="479"/>
      <c r="M13" s="480"/>
      <c r="N13" s="188"/>
      <c r="O13" s="526" t="s">
        <v>130</v>
      </c>
      <c r="P13" s="526"/>
      <c r="Q13" s="527" t="str">
        <f>D13</f>
        <v>ARENA ARCILLOSA Y ALGUNAS GRAVAS, DE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540</v>
      </c>
      <c r="R20" s="156">
        <v>403</v>
      </c>
      <c r="S20" s="157">
        <v>412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11565</v>
      </c>
      <c r="F22" s="150">
        <v>11965</v>
      </c>
      <c r="G22" s="150">
        <v>11897</v>
      </c>
      <c r="H22" s="151">
        <v>11589</v>
      </c>
      <c r="I22" s="174"/>
      <c r="J22" s="578"/>
      <c r="K22" s="578"/>
      <c r="L22" s="578"/>
      <c r="M22" s="104"/>
      <c r="N22" s="103"/>
      <c r="O22" s="579" t="s">
        <v>132</v>
      </c>
      <c r="P22" s="580"/>
      <c r="Q22" s="219">
        <v>8326</v>
      </c>
      <c r="R22" s="219">
        <v>7983</v>
      </c>
      <c r="S22" s="208">
        <v>7945</v>
      </c>
      <c r="T22" s="174"/>
      <c r="U22" s="112">
        <v>5.0000000000000001E-3</v>
      </c>
      <c r="V22" s="113">
        <f>U22*25.4</f>
        <v>0.127</v>
      </c>
      <c r="W22" s="581">
        <v>0</v>
      </c>
      <c r="X22" s="582"/>
      <c r="Y22" s="449">
        <f>((W22/19.32)*10)</f>
        <v>0</v>
      </c>
      <c r="Z22" s="450"/>
      <c r="AA22" s="581">
        <v>0</v>
      </c>
      <c r="AB22" s="582"/>
      <c r="AC22" s="449">
        <f>((AA22/19.32)*10)</f>
        <v>0</v>
      </c>
      <c r="AD22" s="450"/>
      <c r="AE22" s="581">
        <v>0</v>
      </c>
      <c r="AF22" s="582"/>
      <c r="AG22" s="114">
        <f>((AE22/19.32)*10)</f>
        <v>0</v>
      </c>
      <c r="AH22" s="104"/>
      <c r="AI22" s="42">
        <f>AJ50</f>
        <v>6.4000000000000001E-2</v>
      </c>
      <c r="AJ22" s="42">
        <f>AJ50/1.52</f>
        <v>4.2105263157894736E-2</v>
      </c>
      <c r="AK22" s="42">
        <f>AJ22*0.75</f>
        <v>3.1578947368421054E-2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3794</v>
      </c>
      <c r="R23" s="150">
        <v>3834</v>
      </c>
      <c r="S23" s="151">
        <v>3869</v>
      </c>
      <c r="T23" s="174"/>
      <c r="U23" s="112">
        <v>2.5000000000000001E-2</v>
      </c>
      <c r="V23" s="113">
        <f>U23*25.4</f>
        <v>0.63500000000000001</v>
      </c>
      <c r="W23" s="581">
        <v>0.20399999999999999</v>
      </c>
      <c r="X23" s="582"/>
      <c r="Y23" s="449">
        <f>((W23/19.32)*10)</f>
        <v>0.10559006211180123</v>
      </c>
      <c r="Z23" s="450"/>
      <c r="AA23" s="581">
        <f>AJ23</f>
        <v>0.11052631578947369</v>
      </c>
      <c r="AB23" s="582"/>
      <c r="AC23" s="449">
        <f>((AA23/19.32)*10)</f>
        <v>5.7208237986270033E-2</v>
      </c>
      <c r="AD23" s="450"/>
      <c r="AE23" s="581">
        <v>7.8E-2</v>
      </c>
      <c r="AF23" s="582"/>
      <c r="AG23" s="114">
        <f>((AE23/19.32)*10)</f>
        <v>4.0372670807453416E-2</v>
      </c>
      <c r="AH23" s="104"/>
      <c r="AI23" s="42">
        <f t="shared" ref="AI23:AI33" si="0">AJ51</f>
        <v>0.16800000000000001</v>
      </c>
      <c r="AJ23" s="42">
        <f t="shared" ref="AJ23:AJ33" si="1">AJ51/1.52</f>
        <v>0.11052631578947369</v>
      </c>
      <c r="AK23" s="42">
        <f t="shared" ref="AK23:AK33" si="2">AJ23*0.75</f>
        <v>8.2894736842105271E-2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11.5</v>
      </c>
      <c r="R24" s="152">
        <v>11.38</v>
      </c>
      <c r="S24" s="153">
        <v>11.42</v>
      </c>
      <c r="T24" s="174"/>
      <c r="U24" s="112">
        <v>0.05</v>
      </c>
      <c r="V24" s="113">
        <f>U24*25.4</f>
        <v>1.27</v>
      </c>
      <c r="W24" s="581">
        <v>0.376</v>
      </c>
      <c r="X24" s="582"/>
      <c r="Y24" s="449">
        <f>((W24/19.32)*10)</f>
        <v>0.19461697722567287</v>
      </c>
      <c r="Z24" s="450"/>
      <c r="AA24" s="581">
        <f>AJ24</f>
        <v>0.19934210526315788</v>
      </c>
      <c r="AB24" s="582"/>
      <c r="AC24" s="449">
        <f>((AA24/19.32)*10)</f>
        <v>0.10317914351095128</v>
      </c>
      <c r="AD24" s="450"/>
      <c r="AE24" s="581">
        <v>0.14499999999999999</v>
      </c>
      <c r="AF24" s="582"/>
      <c r="AG24" s="114">
        <f>((AE24/19.32)*10)</f>
        <v>7.5051759834368514E-2</v>
      </c>
      <c r="AH24" s="104"/>
      <c r="AI24" s="42">
        <f t="shared" si="0"/>
        <v>0.30299999999999999</v>
      </c>
      <c r="AJ24" s="42">
        <f t="shared" si="1"/>
        <v>0.19934210526315788</v>
      </c>
      <c r="AK24" s="42">
        <f t="shared" si="2"/>
        <v>0.14950657894736841</v>
      </c>
      <c r="AO24" s="42">
        <v>0.68400000000000005</v>
      </c>
      <c r="AS24" s="42">
        <f t="shared" si="3"/>
        <v>0.55609756097560981</v>
      </c>
    </row>
    <row r="25" spans="1:45" ht="24.95" customHeight="1" thickBot="1" x14ac:dyDescent="0.3">
      <c r="A25" s="103"/>
      <c r="B25" s="602" t="s">
        <v>69</v>
      </c>
      <c r="C25" s="603"/>
      <c r="D25" s="603"/>
      <c r="E25" s="115">
        <f>E22-E23</f>
        <v>4253</v>
      </c>
      <c r="F25" s="115">
        <f>F22-F23</f>
        <v>4653</v>
      </c>
      <c r="G25" s="115">
        <f>G22-G23</f>
        <v>4585</v>
      </c>
      <c r="H25" s="116">
        <f>H22-H23</f>
        <v>4277</v>
      </c>
      <c r="I25" s="174"/>
      <c r="J25" s="174" t="s">
        <v>127</v>
      </c>
      <c r="K25" s="174"/>
      <c r="L25" s="218" t="s">
        <v>128</v>
      </c>
      <c r="M25" s="246">
        <v>8.94</v>
      </c>
      <c r="N25" s="103"/>
      <c r="O25" s="604" t="s">
        <v>46</v>
      </c>
      <c r="P25" s="605"/>
      <c r="Q25" s="608">
        <v>15.2</v>
      </c>
      <c r="R25" s="608">
        <v>15.26</v>
      </c>
      <c r="S25" s="610">
        <v>15.23</v>
      </c>
      <c r="T25" s="174"/>
      <c r="U25" s="112">
        <v>7.4999999999999997E-2</v>
      </c>
      <c r="V25" s="113">
        <f>U25*25.4</f>
        <v>1.9049999999999998</v>
      </c>
      <c r="W25" s="581">
        <v>0.497</v>
      </c>
      <c r="X25" s="582"/>
      <c r="Y25" s="449">
        <f>((W25/19.32)*10)</f>
        <v>0.25724637681159418</v>
      </c>
      <c r="Z25" s="450"/>
      <c r="AA25" s="581">
        <f>AJ25</f>
        <v>0.29013157894736841</v>
      </c>
      <c r="AB25" s="582"/>
      <c r="AC25" s="449">
        <f>((AA25/19.32)*10)</f>
        <v>0.15017162471395878</v>
      </c>
      <c r="AD25" s="450"/>
      <c r="AE25" s="581">
        <f>AK25</f>
        <v>0.21759868421052631</v>
      </c>
      <c r="AF25" s="582"/>
      <c r="AG25" s="114">
        <f>((AE25/19.32)*10)</f>
        <v>0.11262871853546909</v>
      </c>
      <c r="AH25" s="104"/>
      <c r="AI25" s="42">
        <f t="shared" si="0"/>
        <v>0.441</v>
      </c>
      <c r="AJ25" s="42">
        <f t="shared" si="1"/>
        <v>0.29013157894736841</v>
      </c>
      <c r="AK25" s="42">
        <f t="shared" si="2"/>
        <v>0.21759868421052631</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8.94</v>
      </c>
      <c r="N26" s="103"/>
      <c r="O26" s="606"/>
      <c r="P26" s="607"/>
      <c r="Q26" s="609"/>
      <c r="R26" s="609"/>
      <c r="S26" s="611"/>
      <c r="T26" s="174"/>
      <c r="U26" s="600">
        <v>0.1</v>
      </c>
      <c r="V26" s="601">
        <f>U26*25.4</f>
        <v>2.54</v>
      </c>
      <c r="W26" s="778">
        <v>0.68899999999999995</v>
      </c>
      <c r="X26" s="779"/>
      <c r="Y26" s="461">
        <f>((W26/19.32)*10)</f>
        <v>0.35662525879917184</v>
      </c>
      <c r="Z26" s="462"/>
      <c r="AA26" s="746">
        <f>AJ26</f>
        <v>0.38092105263157894</v>
      </c>
      <c r="AB26" s="747"/>
      <c r="AC26" s="461">
        <f>((AA26/19.32)*10)</f>
        <v>0.19716410591696631</v>
      </c>
      <c r="AD26" s="462"/>
      <c r="AE26" s="746">
        <f>AK26</f>
        <v>0.2856907894736842</v>
      </c>
      <c r="AF26" s="747"/>
      <c r="AG26" s="469">
        <f>((AE26/19.32)*10)</f>
        <v>0.14787307943772474</v>
      </c>
      <c r="AH26" s="104"/>
      <c r="AI26" s="42">
        <f t="shared" si="0"/>
        <v>0.57899999999999996</v>
      </c>
      <c r="AJ26" s="42">
        <f t="shared" si="1"/>
        <v>0.38092105263157894</v>
      </c>
      <c r="AK26" s="42">
        <f t="shared" si="2"/>
        <v>0.2856907894736842</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2086.7715042204841</v>
      </c>
      <c r="R27" s="152">
        <f>(PI()*((R25^2)/4)*R24)</f>
        <v>2081.3312773373009</v>
      </c>
      <c r="S27" s="153">
        <f>(PI()*((S25^2)/4)*S24)</f>
        <v>2080.4428584968105</v>
      </c>
      <c r="T27" s="174"/>
      <c r="U27" s="600"/>
      <c r="V27" s="601"/>
      <c r="W27" s="780"/>
      <c r="X27" s="781"/>
      <c r="Y27" s="463"/>
      <c r="Z27" s="464"/>
      <c r="AA27" s="748"/>
      <c r="AB27" s="749"/>
      <c r="AC27" s="463"/>
      <c r="AD27" s="464"/>
      <c r="AE27" s="748"/>
      <c r="AF27" s="749"/>
      <c r="AG27" s="470"/>
      <c r="AH27" s="193"/>
      <c r="AI27" s="42">
        <f t="shared" si="0"/>
        <v>0.75</v>
      </c>
      <c r="AJ27" s="42">
        <f t="shared" si="1"/>
        <v>0.49342105263157893</v>
      </c>
      <c r="AK27" s="42">
        <f t="shared" si="2"/>
        <v>0.37006578947368418</v>
      </c>
      <c r="AO27" s="42">
        <v>2.387</v>
      </c>
      <c r="AS27" s="42">
        <f t="shared" si="3"/>
        <v>1.9406504065040651</v>
      </c>
    </row>
    <row r="28" spans="1:45" ht="24.95" customHeight="1" thickBot="1" x14ac:dyDescent="0.3">
      <c r="A28" s="103"/>
      <c r="B28" s="560" t="s">
        <v>9</v>
      </c>
      <c r="C28" s="561"/>
      <c r="D28" s="561"/>
      <c r="E28" s="148">
        <v>605</v>
      </c>
      <c r="F28" s="148">
        <v>610</v>
      </c>
      <c r="G28" s="148">
        <v>729</v>
      </c>
      <c r="H28" s="149">
        <v>704</v>
      </c>
      <c r="I28" s="174"/>
      <c r="J28" s="597" t="s">
        <v>107</v>
      </c>
      <c r="K28" s="597"/>
      <c r="L28" s="562" t="s">
        <v>119</v>
      </c>
      <c r="M28" s="459">
        <f>IF(M26="","",(100-M26))</f>
        <v>91.06</v>
      </c>
      <c r="N28" s="103"/>
      <c r="O28" s="625" t="s">
        <v>136</v>
      </c>
      <c r="P28" s="626"/>
      <c r="Q28" s="220">
        <f>Q22-Q23</f>
        <v>4532</v>
      </c>
      <c r="R28" s="220">
        <f>R22-R23</f>
        <v>4149</v>
      </c>
      <c r="S28" s="220">
        <f>S22-S23</f>
        <v>4076</v>
      </c>
      <c r="T28" s="174"/>
      <c r="U28" s="627">
        <v>0.125</v>
      </c>
      <c r="V28" s="624">
        <f>U28*25.4</f>
        <v>3.1749999999999998</v>
      </c>
      <c r="W28" s="593">
        <v>0.79500000000000004</v>
      </c>
      <c r="X28" s="594"/>
      <c r="Y28" s="439">
        <f>((W28/19.32)*10)</f>
        <v>0.41149068322981369</v>
      </c>
      <c r="Z28" s="440"/>
      <c r="AA28" s="593">
        <f>AJ27</f>
        <v>0.49342105263157893</v>
      </c>
      <c r="AB28" s="594"/>
      <c r="AC28" s="439">
        <f>((AA28/19.32)*10)</f>
        <v>0.25539391958156255</v>
      </c>
      <c r="AD28" s="440"/>
      <c r="AE28" s="593">
        <f>AK27</f>
        <v>0.37006578947368418</v>
      </c>
      <c r="AF28" s="594"/>
      <c r="AG28" s="443">
        <f>((AE28/19.32)*10)</f>
        <v>0.19154543968617194</v>
      </c>
      <c r="AH28" s="104"/>
      <c r="AI28" s="42">
        <f t="shared" si="0"/>
        <v>0.92400000000000004</v>
      </c>
      <c r="AJ28" s="42">
        <f t="shared" si="1"/>
        <v>0.60789473684210527</v>
      </c>
      <c r="AK28" s="42">
        <f t="shared" si="2"/>
        <v>0.45592105263157895</v>
      </c>
      <c r="AO28" s="42">
        <v>2.8959999999999999</v>
      </c>
      <c r="AS28" s="42">
        <f t="shared" si="3"/>
        <v>2.3544715447154472</v>
      </c>
    </row>
    <row r="29" spans="1:45" ht="5.0999999999999996" customHeight="1" thickBot="1" x14ac:dyDescent="0.3">
      <c r="A29" s="103"/>
      <c r="B29" s="612" t="s">
        <v>73</v>
      </c>
      <c r="C29" s="613"/>
      <c r="D29" s="614"/>
      <c r="E29" s="618">
        <v>623.12</v>
      </c>
      <c r="F29" s="618">
        <v>764.32</v>
      </c>
      <c r="G29" s="618">
        <v>891.25</v>
      </c>
      <c r="H29" s="620">
        <v>567.89</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1.101</v>
      </c>
      <c r="AJ29" s="42">
        <f t="shared" si="1"/>
        <v>0.7243421052631579</v>
      </c>
      <c r="AK29" s="42">
        <f t="shared" si="2"/>
        <v>0.54325657894736845</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19.045938923076928</v>
      </c>
      <c r="N30" s="103"/>
      <c r="O30" s="622" t="s">
        <v>134</v>
      </c>
      <c r="P30" s="623"/>
      <c r="Q30" s="229">
        <f>Q28/Q27</f>
        <v>2.1717758704458321</v>
      </c>
      <c r="R30" s="229">
        <f>R28/R27</f>
        <v>1.9934356655168894</v>
      </c>
      <c r="S30" s="131">
        <f>S28/S27</f>
        <v>1.9591982463508015</v>
      </c>
      <c r="T30" s="174"/>
      <c r="U30" s="120">
        <v>0.15</v>
      </c>
      <c r="V30" s="113">
        <f>U30*25.4</f>
        <v>3.8099999999999996</v>
      </c>
      <c r="W30" s="581">
        <v>0.94399999999999995</v>
      </c>
      <c r="X30" s="582"/>
      <c r="Y30" s="449">
        <f>((W30/19.32)*10)</f>
        <v>0.48861283643892334</v>
      </c>
      <c r="Z30" s="450"/>
      <c r="AA30" s="581">
        <f>AJ28</f>
        <v>0.60789473684210527</v>
      </c>
      <c r="AB30" s="582"/>
      <c r="AC30" s="449">
        <f>((AA30/19.32)*10)</f>
        <v>0.31464530892448517</v>
      </c>
      <c r="AD30" s="450"/>
      <c r="AE30" s="581">
        <f>AK28</f>
        <v>0.45592105263157895</v>
      </c>
      <c r="AF30" s="582"/>
      <c r="AG30" s="114">
        <f>((AE30/19.32)*10)</f>
        <v>0.23598398169336385</v>
      </c>
      <c r="AH30" s="104"/>
      <c r="AI30" s="42">
        <f t="shared" si="0"/>
        <v>1.2290000000000001</v>
      </c>
      <c r="AJ30" s="42">
        <f t="shared" si="1"/>
        <v>0.80855263157894741</v>
      </c>
      <c r="AK30" s="42">
        <f t="shared" si="2"/>
        <v>0.60641447368421053</v>
      </c>
      <c r="AO30" s="42">
        <v>3.8439999999999999</v>
      </c>
      <c r="AS30" s="42">
        <f t="shared" si="3"/>
        <v>3.1252032520325201</v>
      </c>
    </row>
    <row r="31" spans="1:45" ht="24.95" customHeight="1" thickBot="1" x14ac:dyDescent="0.3">
      <c r="A31" s="103"/>
      <c r="B31" s="576" t="s">
        <v>74</v>
      </c>
      <c r="C31" s="577"/>
      <c r="D31" s="577"/>
      <c r="E31" s="152">
        <v>579.78</v>
      </c>
      <c r="F31" s="152">
        <v>697.87</v>
      </c>
      <c r="G31" s="152">
        <v>795.02</v>
      </c>
      <c r="H31" s="153">
        <v>492</v>
      </c>
      <c r="I31" s="174"/>
      <c r="J31" s="597" t="s">
        <v>138</v>
      </c>
      <c r="K31" s="597"/>
      <c r="L31" s="562" t="s">
        <v>116</v>
      </c>
      <c r="M31" s="457">
        <f>IF(M25="","",S82)</f>
        <v>2.7120000000000002</v>
      </c>
      <c r="N31" s="121"/>
      <c r="O31" s="628" t="s">
        <v>135</v>
      </c>
      <c r="P31" s="629"/>
      <c r="Q31" s="122">
        <f>Q30/(1+Q40/100)</f>
        <v>1.9462335389457492</v>
      </c>
      <c r="R31" s="122">
        <f>R30/(1+R40/100)</f>
        <v>1.7897386070204311</v>
      </c>
      <c r="S31" s="123">
        <f>S30/(1+S40/100)</f>
        <v>1.7548447203578936</v>
      </c>
      <c r="T31" s="174"/>
      <c r="U31" s="627">
        <v>0.17499999999999999</v>
      </c>
      <c r="V31" s="624">
        <f>U31*25.4</f>
        <v>4.4449999999999994</v>
      </c>
      <c r="W31" s="593">
        <v>1.0980000000000001</v>
      </c>
      <c r="X31" s="594"/>
      <c r="Y31" s="439">
        <f>((W31/19.32)*10)</f>
        <v>0.56832298136645965</v>
      </c>
      <c r="Z31" s="440"/>
      <c r="AA31" s="593">
        <f>AJ29</f>
        <v>0.7243421052631579</v>
      </c>
      <c r="AB31" s="594"/>
      <c r="AC31" s="439">
        <f>((AA31/19.32)*10)</f>
        <v>0.37491827394573385</v>
      </c>
      <c r="AD31" s="440"/>
      <c r="AE31" s="593">
        <f>AK29</f>
        <v>0.54325657894736845</v>
      </c>
      <c r="AF31" s="594"/>
      <c r="AG31" s="443">
        <f>((AE31/19.32)*10)</f>
        <v>0.28118870545930047</v>
      </c>
      <c r="AH31" s="104"/>
      <c r="AI31" s="42">
        <f t="shared" si="0"/>
        <v>1.7470000000000001</v>
      </c>
      <c r="AJ31" s="42">
        <f t="shared" si="1"/>
        <v>1.1493421052631581</v>
      </c>
      <c r="AK31" s="42">
        <f t="shared" si="2"/>
        <v>0.86200657894736854</v>
      </c>
      <c r="AO31" s="42">
        <v>5.516</v>
      </c>
      <c r="AS31" s="42">
        <f t="shared" si="3"/>
        <v>4.4845528455284551</v>
      </c>
    </row>
    <row r="32" spans="1:45" ht="5.0999999999999996" customHeight="1" thickBot="1" x14ac:dyDescent="0.3">
      <c r="A32" s="103"/>
      <c r="B32" s="612" t="s">
        <v>75</v>
      </c>
      <c r="C32" s="613"/>
      <c r="D32" s="614"/>
      <c r="E32" s="618">
        <v>48.81</v>
      </c>
      <c r="F32" s="618">
        <v>48.65</v>
      </c>
      <c r="G32" s="618">
        <v>44.13</v>
      </c>
      <c r="H32" s="620">
        <v>46.51</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2.2549999999999999</v>
      </c>
      <c r="AJ32" s="42">
        <f t="shared" si="1"/>
        <v>1.4835526315789473</v>
      </c>
      <c r="AK32" s="42">
        <f t="shared" si="2"/>
        <v>1.1126644736842106</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1.2290000000000001</v>
      </c>
      <c r="X33" s="582"/>
      <c r="Y33" s="449">
        <f>((W33/19.32)*10)</f>
        <v>0.63612836438923404</v>
      </c>
      <c r="Z33" s="450"/>
      <c r="AA33" s="581">
        <f>AJ30</f>
        <v>0.80855263157894741</v>
      </c>
      <c r="AB33" s="582"/>
      <c r="AC33" s="449">
        <f>((AA33/19.32)*10)</f>
        <v>0.41850550288765392</v>
      </c>
      <c r="AD33" s="450"/>
      <c r="AE33" s="581">
        <f>AK30</f>
        <v>0.60641447368421053</v>
      </c>
      <c r="AF33" s="582"/>
      <c r="AG33" s="144">
        <f>((AE33/19.32)*10)</f>
        <v>0.3138791271657404</v>
      </c>
      <c r="AH33" s="104"/>
      <c r="AI33" s="42">
        <f t="shared" si="0"/>
        <v>2.7130000000000001</v>
      </c>
      <c r="AJ33" s="42">
        <f t="shared" si="1"/>
        <v>1.7848684210526315</v>
      </c>
      <c r="AK33" s="42">
        <f t="shared" si="2"/>
        <v>1.3386513157894737</v>
      </c>
      <c r="AO33" s="42">
        <v>7.7720000000000002</v>
      </c>
      <c r="AS33" s="42">
        <f t="shared" si="3"/>
        <v>6.3186991869918705</v>
      </c>
    </row>
    <row r="34" spans="1:45" ht="24.95" customHeight="1" thickBot="1" x14ac:dyDescent="0.3">
      <c r="A34" s="103"/>
      <c r="B34" s="602" t="s">
        <v>10</v>
      </c>
      <c r="C34" s="603"/>
      <c r="D34" s="603"/>
      <c r="E34" s="125">
        <f>((E29-E31)/(E31-E32))*100</f>
        <v>8.1624197223948673</v>
      </c>
      <c r="F34" s="125">
        <f>((F29-F31)/(F31-F32))*100</f>
        <v>10.235359354302092</v>
      </c>
      <c r="G34" s="125">
        <f>((G29-G31)/(G31-G32))*100</f>
        <v>12.815458988666784</v>
      </c>
      <c r="H34" s="126">
        <f>((H29-H31)/(H31-H32))*100</f>
        <v>17.035174751397335</v>
      </c>
      <c r="I34" s="174"/>
      <c r="J34" s="630" t="s">
        <v>125</v>
      </c>
      <c r="K34" s="630"/>
      <c r="L34" s="184" t="s">
        <v>126</v>
      </c>
      <c r="M34" s="245">
        <v>2.69</v>
      </c>
      <c r="N34" s="128"/>
      <c r="O34" s="631" t="s">
        <v>9</v>
      </c>
      <c r="P34" s="632"/>
      <c r="Q34" s="156">
        <v>358</v>
      </c>
      <c r="R34" s="156">
        <v>618</v>
      </c>
      <c r="S34" s="157">
        <v>698</v>
      </c>
      <c r="T34" s="174"/>
      <c r="U34" s="120">
        <v>0.3</v>
      </c>
      <c r="V34" s="113">
        <f>U34*25.4</f>
        <v>7.6199999999999992</v>
      </c>
      <c r="W34" s="581">
        <f>AI31</f>
        <v>1.7470000000000001</v>
      </c>
      <c r="X34" s="582"/>
      <c r="Y34" s="449">
        <f>((W34/19.32)*10)</f>
        <v>0.90424430641821951</v>
      </c>
      <c r="Z34" s="450"/>
      <c r="AA34" s="449">
        <v>1.149</v>
      </c>
      <c r="AB34" s="450"/>
      <c r="AC34" s="449">
        <f>((AA34/19.32)*10)</f>
        <v>0.59472049689440998</v>
      </c>
      <c r="AD34" s="450"/>
      <c r="AE34" s="581">
        <f>AK31</f>
        <v>0.86200657894736854</v>
      </c>
      <c r="AF34" s="582"/>
      <c r="AG34" s="114">
        <f>((AE34/19.32)*10)</f>
        <v>0.44617317750898994</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819.4</v>
      </c>
      <c r="R35" s="608">
        <v>618.75</v>
      </c>
      <c r="S35" s="610">
        <v>524.09</v>
      </c>
      <c r="T35" s="174"/>
      <c r="U35" s="627">
        <v>0.4</v>
      </c>
      <c r="V35" s="624">
        <f>U35*25.4</f>
        <v>10.16</v>
      </c>
      <c r="W35" s="593">
        <f>AI32</f>
        <v>2.2549999999999999</v>
      </c>
      <c r="X35" s="594"/>
      <c r="Y35" s="439">
        <f>((W35/19.32)*10)</f>
        <v>1.1671842650103519</v>
      </c>
      <c r="Z35" s="440"/>
      <c r="AA35" s="593">
        <f>AJ32</f>
        <v>1.4835526315789473</v>
      </c>
      <c r="AB35" s="594"/>
      <c r="AC35" s="439">
        <f>(AA35/19.32)*10</f>
        <v>0.76788438487523147</v>
      </c>
      <c r="AD35" s="440"/>
      <c r="AE35" s="593">
        <v>0.98899999999999999</v>
      </c>
      <c r="AF35" s="594"/>
      <c r="AG35" s="443">
        <f>((AE35/19.32)*10)</f>
        <v>0.51190476190476186</v>
      </c>
      <c r="AH35" s="104"/>
      <c r="AS35" s="42">
        <f t="shared" si="3"/>
        <v>0</v>
      </c>
    </row>
    <row r="36" spans="1:45" ht="20.100000000000001" customHeight="1" thickBot="1" x14ac:dyDescent="0.3">
      <c r="A36" s="103"/>
      <c r="B36" s="639" t="s">
        <v>71</v>
      </c>
      <c r="C36" s="640"/>
      <c r="D36" s="640"/>
      <c r="E36" s="130">
        <f>E25/E24</f>
        <v>1.9799813780260707</v>
      </c>
      <c r="F36" s="130">
        <f>F25/F24</f>
        <v>2.1662011173184359</v>
      </c>
      <c r="G36" s="130">
        <f>G25/G24</f>
        <v>2.1345437616387337</v>
      </c>
      <c r="H36" s="131">
        <f>H25/H24</f>
        <v>1.9911545623836127</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1.8305631319156948</v>
      </c>
      <c r="F37" s="230">
        <f>F36/(1+F34/100)</f>
        <v>1.9650692209893874</v>
      </c>
      <c r="G37" s="230">
        <f>G36/(1+G34/100)</f>
        <v>1.8920667262925073</v>
      </c>
      <c r="H37" s="123">
        <f>H36/(1+H34/100)</f>
        <v>1.7013300203235178</v>
      </c>
      <c r="I37" s="174"/>
      <c r="J37" s="641" t="s">
        <v>139</v>
      </c>
      <c r="K37" s="641"/>
      <c r="L37" s="643" t="s">
        <v>121</v>
      </c>
      <c r="M37" s="433">
        <f>IF(F74="","",(M42^2*F74+M42*F75+F76))</f>
        <v>1.9414820512820516</v>
      </c>
      <c r="N37" s="101"/>
      <c r="O37" s="576" t="s">
        <v>28</v>
      </c>
      <c r="P37" s="577"/>
      <c r="Q37" s="150">
        <v>744.9</v>
      </c>
      <c r="R37" s="152">
        <v>559</v>
      </c>
      <c r="S37" s="153">
        <v>473.23</v>
      </c>
      <c r="T37" s="174"/>
      <c r="U37" s="132">
        <v>0.5</v>
      </c>
      <c r="V37" s="133">
        <f>U37*25.4</f>
        <v>12.7</v>
      </c>
      <c r="W37" s="637">
        <v>2.6869999999999998</v>
      </c>
      <c r="X37" s="638"/>
      <c r="Y37" s="431">
        <f>((W37/19.32)*10)</f>
        <v>1.3907867494824018</v>
      </c>
      <c r="Z37" s="432"/>
      <c r="AA37" s="637">
        <f>AJ33</f>
        <v>1.7848684210526315</v>
      </c>
      <c r="AB37" s="638"/>
      <c r="AC37" s="431">
        <f>((AA37/19.32)*10)</f>
        <v>0.92384493843303916</v>
      </c>
      <c r="AD37" s="432"/>
      <c r="AE37" s="637">
        <v>1.1060000000000001</v>
      </c>
      <c r="AF37" s="638"/>
      <c r="AG37" s="134">
        <f>((AE37/19.32)*10)</f>
        <v>0.57246376811594213</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102.03</v>
      </c>
      <c r="R38" s="647">
        <v>34.020000000000003</v>
      </c>
      <c r="S38" s="648">
        <v>36.479999999999997</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1.9920805329373747</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19.045938923076928</v>
      </c>
      <c r="N40" s="103"/>
      <c r="O40" s="628" t="s">
        <v>10</v>
      </c>
      <c r="P40" s="629"/>
      <c r="Q40" s="125">
        <f>((Q35-Q37)/(Q37-Q38))*100</f>
        <v>11.588657115746575</v>
      </c>
      <c r="R40" s="125">
        <f>((R35-R37)/(R37-R38))*100</f>
        <v>11.381385957560287</v>
      </c>
      <c r="S40" s="126">
        <f>((S35-S37)/(S37-S38))*100</f>
        <v>11.645105895821411</v>
      </c>
      <c r="T40" s="174"/>
      <c r="U40" s="645" t="s">
        <v>151</v>
      </c>
      <c r="V40" s="646"/>
      <c r="W40" s="423">
        <f>(AM79/6.9)*100</f>
        <v>5.1684820115822001</v>
      </c>
      <c r="X40" s="423"/>
      <c r="Y40" s="423"/>
      <c r="Z40" s="424"/>
      <c r="AA40" s="425">
        <f>(AO79/6.9)*100</f>
        <v>2.8574508103908163</v>
      </c>
      <c r="AB40" s="426"/>
      <c r="AC40" s="427"/>
      <c r="AD40" s="425">
        <f>(AQ79/6.9)*100</f>
        <v>2.1430881077931119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19.542310028115647</v>
      </c>
      <c r="N41" s="138"/>
      <c r="O41" s="565" t="s">
        <v>36</v>
      </c>
      <c r="P41" s="566"/>
      <c r="Q41" s="566"/>
      <c r="R41" s="566"/>
      <c r="S41" s="567"/>
      <c r="T41" s="174"/>
      <c r="U41" s="653" t="s">
        <v>152</v>
      </c>
      <c r="V41" s="654"/>
      <c r="W41" s="418">
        <f>(AM83/10.3)*100</f>
        <v>6.1760035377595539</v>
      </c>
      <c r="X41" s="418"/>
      <c r="Y41" s="418"/>
      <c r="Z41" s="419"/>
      <c r="AA41" s="420">
        <f>(AO83/10.3)*100</f>
        <v>4.0631602222102314</v>
      </c>
      <c r="AB41" s="421"/>
      <c r="AC41" s="418"/>
      <c r="AD41" s="420">
        <f>(AQ83/10.3)*100</f>
        <v>3.0473701666576738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11.564102564102566</v>
      </c>
      <c r="N42" s="103"/>
      <c r="O42" s="639" t="s">
        <v>9</v>
      </c>
      <c r="P42" s="640"/>
      <c r="Q42" s="148">
        <v>625</v>
      </c>
      <c r="R42" s="148">
        <v>709</v>
      </c>
      <c r="S42" s="149">
        <v>605</v>
      </c>
      <c r="T42" s="174"/>
      <c r="U42" s="651" t="s">
        <v>42</v>
      </c>
      <c r="V42" s="652"/>
      <c r="W42" s="413">
        <f>IF(W40&lt;W41,W40,W41)</f>
        <v>5.1684820115822001</v>
      </c>
      <c r="X42" s="414"/>
      <c r="Y42" s="414"/>
      <c r="Z42" s="415"/>
      <c r="AA42" s="416">
        <f>IF(AA40&lt;AA41,AA40,AA41)</f>
        <v>2.8574508103908163</v>
      </c>
      <c r="AB42" s="414"/>
      <c r="AC42" s="415"/>
      <c r="AD42" s="416">
        <f>IF(AD40&lt;AD41,AD40,AD41)</f>
        <v>2.1430881077931119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9.023076923076923</v>
      </c>
      <c r="N43" s="103"/>
      <c r="O43" s="612" t="s">
        <v>49</v>
      </c>
      <c r="P43" s="614"/>
      <c r="Q43" s="618">
        <v>522.62</v>
      </c>
      <c r="R43" s="608">
        <v>428.96</v>
      </c>
      <c r="S43" s="610">
        <v>498.04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444.09</v>
      </c>
      <c r="R45" s="150">
        <v>361.65</v>
      </c>
      <c r="S45" s="151">
        <v>412.65</v>
      </c>
      <c r="T45" s="174"/>
      <c r="U45" s="656" t="s">
        <v>139</v>
      </c>
      <c r="V45" s="656"/>
      <c r="W45" s="179" t="s">
        <v>121</v>
      </c>
      <c r="X45" s="406">
        <f>MAX(M37:M39)</f>
        <v>1.9920805329373747</v>
      </c>
      <c r="Y45" s="406"/>
      <c r="Z45" s="406"/>
      <c r="AA45" s="174"/>
      <c r="AB45" s="657" t="s">
        <v>31</v>
      </c>
      <c r="AC45" s="658"/>
      <c r="AD45" s="658"/>
      <c r="AE45" s="658"/>
      <c r="AF45" s="231">
        <v>0.26100000000000001</v>
      </c>
      <c r="AG45" s="231">
        <v>0.1255</v>
      </c>
      <c r="AH45" s="233">
        <v>8.8700000000000001E-2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36.72</v>
      </c>
      <c r="R46" s="152">
        <v>48.27</v>
      </c>
      <c r="S46" s="153">
        <v>48.81</v>
      </c>
      <c r="T46" s="174"/>
      <c r="U46" s="555" t="s">
        <v>123</v>
      </c>
      <c r="V46" s="555"/>
      <c r="W46" s="179" t="s">
        <v>41</v>
      </c>
      <c r="X46" s="401">
        <f>MIN(M42:M44)</f>
        <v>9.023076923076923</v>
      </c>
      <c r="Y46" s="401"/>
      <c r="Z46" s="401"/>
      <c r="AA46" s="174"/>
      <c r="AB46" s="660" t="s">
        <v>32</v>
      </c>
      <c r="AC46" s="661"/>
      <c r="AD46" s="661"/>
      <c r="AE46" s="661"/>
      <c r="AF46" s="234">
        <v>0.39900000000000002</v>
      </c>
      <c r="AG46" s="234">
        <v>0.253</v>
      </c>
      <c r="AH46" s="235">
        <v>0.19639999999999999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19.277315462601575</v>
      </c>
      <c r="R47" s="125">
        <f>((R43-R45)/(R45-R46))*100</f>
        <v>21.478715935924438</v>
      </c>
      <c r="S47" s="126">
        <f>((S43-S45)/(S45-S46))*100</f>
        <v>23.469107299912061</v>
      </c>
      <c r="T47" s="174"/>
      <c r="U47" s="555" t="s">
        <v>162</v>
      </c>
      <c r="V47" s="555"/>
      <c r="W47" s="179" t="s">
        <v>41</v>
      </c>
      <c r="X47" s="402">
        <f>IF(L25=D103,"-",IF(L25=D102,"-",IF(L25=D101,M25)))</f>
        <v>8.94</v>
      </c>
      <c r="Y47" s="402"/>
      <c r="Z47" s="402"/>
      <c r="AA47" s="174"/>
      <c r="AB47" s="662" t="s">
        <v>33</v>
      </c>
      <c r="AC47" s="663"/>
      <c r="AD47" s="663"/>
      <c r="AE47" s="663"/>
      <c r="AF47" s="232">
        <f>(AF46-AF45)*2.54</f>
        <v>0.35052000000000005</v>
      </c>
      <c r="AG47" s="232">
        <f>(AG46-AG45)*2.54</f>
        <v>0.32385000000000003</v>
      </c>
      <c r="AH47" s="239">
        <f>(AH46-AH45)*2.54</f>
        <v>0.27355799999999997</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3.0480000000000005</v>
      </c>
      <c r="AG48" s="142">
        <f>IF(AG47&lt;&gt;"",IF(R24&lt;&gt;"",AG47/R24*100,""),"")</f>
        <v>2.8457820738137083</v>
      </c>
      <c r="AH48" s="173">
        <f>IF(AH47&lt;&gt;"",IF(S24&lt;&gt;"",AH47/S24*100,""),"")</f>
        <v>2.3954290718038527</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6.4000000000000001E-2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0.16800000000000001</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0.30299999999999999</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0.441</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0.57899999999999996</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0.75</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0.92400000000000004</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1.101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1.2290000000000001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1.7470000000000001</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2.2549999999999999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2.7130000000000001</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-7.7999999999999996E-3</v>
      </c>
      <c r="G74" s="75">
        <v>-0.12509999999999999</v>
      </c>
      <c r="J74" s="701"/>
      <c r="K74" s="702"/>
      <c r="L74" s="44"/>
      <c r="M74" s="44"/>
      <c r="N74" s="44"/>
    </row>
    <row r="75" spans="1:94" ht="26.25" customHeight="1" thickBot="1" x14ac:dyDescent="0.3">
      <c r="A75" s="11"/>
      <c r="B75" s="377" t="s">
        <v>113</v>
      </c>
      <c r="C75" s="377"/>
      <c r="D75" s="19"/>
      <c r="E75" s="54" t="s">
        <v>12</v>
      </c>
      <c r="F75" s="55">
        <v>0.1804</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0.89839999999999998</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0.20399999999999999</v>
      </c>
      <c r="AM76" s="3">
        <f t="shared" si="4"/>
        <v>0.10559006211180123</v>
      </c>
      <c r="AN76" s="5">
        <f>AA23</f>
        <v>0.11052631578947369</v>
      </c>
      <c r="AO76" s="3">
        <f t="shared" ref="AO76:AO86" si="7">((AN76/19.32)*10)</f>
        <v>5.7208237986270033E-2</v>
      </c>
      <c r="AP76" s="5">
        <f>AE23</f>
        <v>7.8E-2</v>
      </c>
      <c r="AQ76" s="161">
        <f t="shared" si="5"/>
        <v>4.0372670807453416E-2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0.376</v>
      </c>
      <c r="AM77" s="3">
        <f t="shared" si="4"/>
        <v>0.19461697722567287</v>
      </c>
      <c r="AN77" s="5">
        <f>AA24</f>
        <v>0.19934210526315788</v>
      </c>
      <c r="AO77" s="3">
        <f t="shared" si="7"/>
        <v>0.10317914351095128</v>
      </c>
      <c r="AP77" s="5">
        <f>AE24</f>
        <v>0.14499999999999999</v>
      </c>
      <c r="AQ77" s="161">
        <f t="shared" si="5"/>
        <v>7.5051759834368514E-2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0.497</v>
      </c>
      <c r="AM78" s="3">
        <f t="shared" si="4"/>
        <v>0.25724637681159418</v>
      </c>
      <c r="AN78" s="5">
        <f>AA25</f>
        <v>0.29013157894736841</v>
      </c>
      <c r="AO78" s="3">
        <f t="shared" si="7"/>
        <v>0.15017162471395878</v>
      </c>
      <c r="AP78" s="5">
        <f>AE25</f>
        <v>0.21759868421052631</v>
      </c>
      <c r="AQ78" s="161">
        <f t="shared" si="5"/>
        <v>0.11262871853546909</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0.68899999999999995</v>
      </c>
      <c r="AM79" s="4">
        <f t="shared" si="4"/>
        <v>0.35662525879917184</v>
      </c>
      <c r="AN79" s="5">
        <f>AA26</f>
        <v>0.38092105263157894</v>
      </c>
      <c r="AO79" s="4">
        <f t="shared" si="7"/>
        <v>0.19716410591696631</v>
      </c>
      <c r="AP79" s="5">
        <f>AE26</f>
        <v>0.2856907894736842</v>
      </c>
      <c r="AQ79" s="162">
        <f t="shared" si="5"/>
        <v>0.14787307943772474</v>
      </c>
      <c r="BB79" s="12">
        <v>17</v>
      </c>
      <c r="BC79" s="12">
        <v>18</v>
      </c>
    </row>
    <row r="80" spans="1:94" ht="42" customHeight="1" thickTop="1" thickBot="1" x14ac:dyDescent="0.3">
      <c r="D80" s="49"/>
      <c r="H80" s="711" t="s">
        <v>105</v>
      </c>
      <c r="I80" s="712"/>
      <c r="J80" s="58"/>
      <c r="AJ80" s="160">
        <f>U28</f>
        <v>0.125</v>
      </c>
      <c r="AK80" s="3">
        <f t="shared" si="6"/>
        <v>3.1749999999999998</v>
      </c>
      <c r="AL80" s="5">
        <f>W28</f>
        <v>0.79500000000000004</v>
      </c>
      <c r="AM80" s="3">
        <f t="shared" si="4"/>
        <v>0.41149068322981369</v>
      </c>
      <c r="AN80" s="5">
        <f>AA28</f>
        <v>0.49342105263157893</v>
      </c>
      <c r="AO80" s="3">
        <f t="shared" si="7"/>
        <v>0.25539391958156255</v>
      </c>
      <c r="AP80" s="5">
        <f>AE28</f>
        <v>0.37006578947368418</v>
      </c>
      <c r="AQ80" s="161">
        <f t="shared" si="5"/>
        <v>0.19154543968617194</v>
      </c>
      <c r="BC80" s="45">
        <v>0.99880400000000003</v>
      </c>
      <c r="BD80" s="45">
        <v>0.99862499999999998</v>
      </c>
    </row>
    <row r="81" spans="2:43" ht="15.75" customHeight="1" x14ac:dyDescent="0.25">
      <c r="AJ81" s="160">
        <f>U30</f>
        <v>0.15</v>
      </c>
      <c r="AK81" s="3">
        <f t="shared" si="6"/>
        <v>3.8099999999999996</v>
      </c>
      <c r="AL81" s="5">
        <f>W30</f>
        <v>0.94399999999999995</v>
      </c>
      <c r="AM81" s="3">
        <f t="shared" si="4"/>
        <v>0.48861283643892334</v>
      </c>
      <c r="AN81" s="5">
        <f>AA30</f>
        <v>0.60789473684210527</v>
      </c>
      <c r="AO81" s="3">
        <f t="shared" si="7"/>
        <v>0.31464530892448517</v>
      </c>
      <c r="AP81" s="5">
        <f>AE30</f>
        <v>0.45592105263157895</v>
      </c>
      <c r="AQ81" s="161">
        <f t="shared" si="5"/>
        <v>0.23598398169336385</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1.0980000000000001</v>
      </c>
      <c r="AM82" s="3">
        <f t="shared" si="4"/>
        <v>0.56832298136645965</v>
      </c>
      <c r="AN82" s="5">
        <f>AA31</f>
        <v>0.7243421052631579</v>
      </c>
      <c r="AO82" s="3">
        <f t="shared" si="7"/>
        <v>0.37491827394573385</v>
      </c>
      <c r="AP82" s="5">
        <f>AE31</f>
        <v>0.54325657894736845</v>
      </c>
      <c r="AQ82" s="161">
        <f t="shared" si="5"/>
        <v>0.28118870545930047</v>
      </c>
    </row>
    <row r="83" spans="2:43" ht="15" customHeight="1" x14ac:dyDescent="0.25">
      <c r="B83" s="49"/>
      <c r="C83" s="49"/>
      <c r="D83" s="49">
        <v>0</v>
      </c>
      <c r="E83" s="50">
        <f>M42</f>
        <v>11.564102564102566</v>
      </c>
      <c r="F83" s="49"/>
      <c r="G83" s="43">
        <f>G84/10</f>
        <v>2.1637888500830664</v>
      </c>
      <c r="H83" s="43">
        <f>H84/10</f>
        <v>2.0691802012269758</v>
      </c>
      <c r="I83" s="43">
        <f>I84/10</f>
        <v>1.962385405497427</v>
      </c>
      <c r="J83" s="43">
        <f>J84/10</f>
        <v>1.8096326933884785</v>
      </c>
      <c r="K83" s="43"/>
      <c r="L83" s="42">
        <v>0</v>
      </c>
      <c r="O83" s="706"/>
      <c r="P83" s="706"/>
      <c r="Q83" s="706"/>
      <c r="R83" s="706"/>
      <c r="S83" s="707"/>
      <c r="W83" s="112"/>
      <c r="AJ83" s="160">
        <f>U33</f>
        <v>0.2</v>
      </c>
      <c r="AK83" s="4">
        <f t="shared" si="6"/>
        <v>5.08</v>
      </c>
      <c r="AL83" s="5">
        <f>W33</f>
        <v>1.2290000000000001</v>
      </c>
      <c r="AM83" s="4">
        <f t="shared" si="4"/>
        <v>0.63612836438923404</v>
      </c>
      <c r="AN83" s="5">
        <f>AA33</f>
        <v>0.80855263157894741</v>
      </c>
      <c r="AO83" s="4">
        <f t="shared" si="7"/>
        <v>0.41850550288765392</v>
      </c>
      <c r="AP83" s="5">
        <f>AE33</f>
        <v>0.60641447368421053</v>
      </c>
      <c r="AQ83" s="162">
        <f t="shared" si="5"/>
        <v>0.3138791271657404</v>
      </c>
    </row>
    <row r="84" spans="2:43" ht="15" customHeight="1" x14ac:dyDescent="0.25">
      <c r="C84" s="94"/>
      <c r="D84" s="94"/>
      <c r="E84" s="94"/>
      <c r="F84" s="49"/>
      <c r="G84" s="43">
        <f>($M$34/(1+(E34*$M$34/100)))*($O$73)</f>
        <v>21.637888500830663</v>
      </c>
      <c r="H84" s="43">
        <f>($M$34/(1+(F34*$M$34/100)))*($O$73)</f>
        <v>20.691802012269758</v>
      </c>
      <c r="I84" s="43">
        <f>($M$34/(1+(G34*$M$34/100)))*($O$73)</f>
        <v>19.62385405497427</v>
      </c>
      <c r="J84" s="43">
        <f>($M$34/(1+(H34*$M$34/100)))*($O$73)</f>
        <v>18.096326933884786</v>
      </c>
      <c r="K84" s="43"/>
      <c r="O84" s="706" t="s">
        <v>146</v>
      </c>
      <c r="P84" s="706"/>
      <c r="Q84" s="706"/>
      <c r="R84" s="706"/>
      <c r="S84" s="707">
        <v>2240</v>
      </c>
      <c r="W84" s="112"/>
      <c r="AJ84" s="160">
        <f>U34</f>
        <v>0.3</v>
      </c>
      <c r="AK84" s="3">
        <f t="shared" si="6"/>
        <v>7.6199999999999992</v>
      </c>
      <c r="AL84" s="5">
        <f>W34</f>
        <v>1.7470000000000001</v>
      </c>
      <c r="AM84" s="3">
        <f t="shared" si="4"/>
        <v>0.90424430641821951</v>
      </c>
      <c r="AN84" s="5">
        <f>AA34</f>
        <v>1.149</v>
      </c>
      <c r="AO84" s="3">
        <f t="shared" si="7"/>
        <v>0.59472049689440998</v>
      </c>
      <c r="AP84" s="5">
        <f>AE34</f>
        <v>0.86200657894736854</v>
      </c>
      <c r="AQ84" s="161">
        <f t="shared" si="5"/>
        <v>0.44617317750898994</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2.2549999999999999</v>
      </c>
      <c r="AM85" s="3">
        <f t="shared" si="4"/>
        <v>1.1671842650103519</v>
      </c>
      <c r="AN85" s="5">
        <f>AA35</f>
        <v>1.4835526315789473</v>
      </c>
      <c r="AO85" s="3">
        <f t="shared" si="7"/>
        <v>0.76788438487523147</v>
      </c>
      <c r="AP85" s="5">
        <f>AE35</f>
        <v>0.98899999999999999</v>
      </c>
      <c r="AQ85" s="161">
        <f>((AP85/19.32)*10)</f>
        <v>0.51190476190476186</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2.6869999999999998</v>
      </c>
      <c r="AM86" s="164">
        <f t="shared" si="4"/>
        <v>1.3907867494824018</v>
      </c>
      <c r="AN86" s="165">
        <f>AA37</f>
        <v>1.7848684210526315</v>
      </c>
      <c r="AO86" s="164">
        <f t="shared" si="7"/>
        <v>0.92384493843303916</v>
      </c>
      <c r="AP86" s="165">
        <f>AE37</f>
        <v>1.1060000000000001</v>
      </c>
      <c r="AQ86" s="166">
        <f>((AP86/19.32)*10)</f>
        <v>0.57246376811594213</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1.9462335389457492</v>
      </c>
      <c r="AK91" s="9">
        <f>R31</f>
        <v>1.7897386070204311</v>
      </c>
      <c r="AL91" s="10">
        <f>S31</f>
        <v>1.7548447203578936</v>
      </c>
    </row>
    <row r="92" spans="2:43" ht="21" customHeight="1" thickBot="1" x14ac:dyDescent="0.3">
      <c r="B92" s="92"/>
      <c r="C92" s="93"/>
      <c r="D92" s="93"/>
      <c r="E92" s="93"/>
      <c r="F92" s="62"/>
      <c r="G92" s="63"/>
      <c r="H92" s="49"/>
      <c r="I92" s="49"/>
      <c r="O92" s="725" t="s">
        <v>147</v>
      </c>
      <c r="P92" s="726"/>
      <c r="Q92" s="726"/>
      <c r="R92" s="726"/>
      <c r="S92" s="61">
        <f>M42</f>
        <v>11.564102564102566</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5.1684820115822001</v>
      </c>
      <c r="AK94" s="158">
        <f>AA42</f>
        <v>2.8574508103908163</v>
      </c>
      <c r="AL94" s="158">
        <f>AD42</f>
        <v>2.1430881077931119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393" priority="47">
      <formula>LEN(TRIM(D6))=0</formula>
    </cfRule>
  </conditionalFormatting>
  <conditionalFormatting sqref="D6:H10">
    <cfRule type="containsBlanks" dxfId="1392" priority="46">
      <formula>LEN(TRIM(D6))=0</formula>
    </cfRule>
  </conditionalFormatting>
  <conditionalFormatting sqref="M19">
    <cfRule type="containsBlanks" dxfId="1391" priority="45">
      <formula>LEN(TRIM(M19))=0</formula>
    </cfRule>
  </conditionalFormatting>
  <conditionalFormatting sqref="CP70">
    <cfRule type="containsBlanks" dxfId="1390" priority="44">
      <formula>LEN(TRIM(CP70))=0</formula>
    </cfRule>
  </conditionalFormatting>
  <conditionalFormatting sqref="M21">
    <cfRule type="containsBlanks" dxfId="1389" priority="43">
      <formula>LEN(TRIM(M21))=0</formula>
    </cfRule>
  </conditionalFormatting>
  <conditionalFormatting sqref="D12:M12">
    <cfRule type="containsBlanks" dxfId="1388" priority="42">
      <formula>LEN(TRIM(D12))=0</formula>
    </cfRule>
  </conditionalFormatting>
  <conditionalFormatting sqref="L9:M9">
    <cfRule type="containsBlanks" dxfId="1387" priority="41">
      <formula>LEN(TRIM(L9))=0</formula>
    </cfRule>
  </conditionalFormatting>
  <conditionalFormatting sqref="L25">
    <cfRule type="containsBlanks" dxfId="1386" priority="40">
      <formula>LEN(TRIM(L25))=0</formula>
    </cfRule>
  </conditionalFormatting>
  <conditionalFormatting sqref="Q20:S21">
    <cfRule type="containsBlanks" dxfId="1385" priority="33">
      <formula>LEN(TRIM(Q20))=0</formula>
    </cfRule>
    <cfRule type="containsBlanks" dxfId="1384" priority="39">
      <formula>LEN(TRIM(Q20))=0</formula>
    </cfRule>
  </conditionalFormatting>
  <conditionalFormatting sqref="U26:V27 AC33 AC26">
    <cfRule type="cellIs" dxfId="1383" priority="38" operator="between">
      <formula>0</formula>
      <formula>500</formula>
    </cfRule>
  </conditionalFormatting>
  <conditionalFormatting sqref="U33:V33">
    <cfRule type="cellIs" dxfId="1382" priority="37" operator="between">
      <formula>0</formula>
      <formula>500</formula>
    </cfRule>
  </conditionalFormatting>
  <conditionalFormatting sqref="AF45:AH46">
    <cfRule type="containsBlanks" dxfId="1381" priority="36">
      <formula>LEN(TRIM(AF45))=0</formula>
    </cfRule>
  </conditionalFormatting>
  <conditionalFormatting sqref="AF51:AG53">
    <cfRule type="containsBlanks" dxfId="1380" priority="35">
      <formula>LEN(TRIM(AF51))=0</formula>
    </cfRule>
  </conditionalFormatting>
  <conditionalFormatting sqref="E20:H24">
    <cfRule type="containsBlanks" dxfId="1379" priority="34">
      <formula>LEN(TRIM(E20))=0</formula>
    </cfRule>
  </conditionalFormatting>
  <conditionalFormatting sqref="M25">
    <cfRule type="containsBlanks" dxfId="1378" priority="32">
      <formula>LEN(TRIM(M25))=0</formula>
    </cfRule>
  </conditionalFormatting>
  <conditionalFormatting sqref="U26:V27 Y26:Z27 AC26:AD27 AG26:AG27">
    <cfRule type="containsBlanks" dxfId="1377" priority="30">
      <formula>LEN(TRIM(U26))=0</formula>
    </cfRule>
    <cfRule type="cellIs" dxfId="1376" priority="31" operator="between">
      <formula>0</formula>
      <formula>1000</formula>
    </cfRule>
  </conditionalFormatting>
  <conditionalFormatting sqref="W87:W88">
    <cfRule type="cellIs" dxfId="1375" priority="29" operator="between">
      <formula>0</formula>
      <formula>500</formula>
    </cfRule>
  </conditionalFormatting>
  <conditionalFormatting sqref="W94">
    <cfRule type="cellIs" dxfId="1374" priority="28" operator="between">
      <formula>0</formula>
      <formula>500</formula>
    </cfRule>
  </conditionalFormatting>
  <conditionalFormatting sqref="W87:W88">
    <cfRule type="containsBlanks" dxfId="1373" priority="26">
      <formula>LEN(TRIM(W87))=0</formula>
    </cfRule>
    <cfRule type="cellIs" dxfId="1372" priority="27" operator="between">
      <formula>0</formula>
      <formula>1000</formula>
    </cfRule>
  </conditionalFormatting>
  <conditionalFormatting sqref="U33:V33 Y33:Z33 AC33:AD33 AG33">
    <cfRule type="cellIs" dxfId="1371" priority="25" operator="between">
      <formula>0</formula>
      <formula>1000</formula>
    </cfRule>
  </conditionalFormatting>
  <conditionalFormatting sqref="Q27:S27">
    <cfRule type="containsBlanks" dxfId="1370" priority="23">
      <formula>LEN(TRIM(Q27))=0</formula>
    </cfRule>
    <cfRule type="containsBlanks" dxfId="1369" priority="24">
      <formula>LEN(TRIM(Q27))=0</formula>
    </cfRule>
  </conditionalFormatting>
  <conditionalFormatting sqref="W30:W31 W33:W35 W37 W28 W22:W26">
    <cfRule type="containsBlanks" dxfId="1368" priority="22">
      <formula>LEN(TRIM(W22))=0</formula>
    </cfRule>
  </conditionalFormatting>
  <conditionalFormatting sqref="W37 W30:W31 W33:W35 W28 W22:W26">
    <cfRule type="containsBlanks" dxfId="1367" priority="21">
      <formula>LEN(TRIM(W22))=0</formula>
    </cfRule>
  </conditionalFormatting>
  <conditionalFormatting sqref="W33:X33">
    <cfRule type="cellIs" dxfId="1366" priority="20" operator="between">
      <formula>0</formula>
      <formula>1000</formula>
    </cfRule>
  </conditionalFormatting>
  <conditionalFormatting sqref="W30:X37 W26 W28 W22:X25">
    <cfRule type="containsBlanks" dxfId="1365" priority="19">
      <formula>LEN(TRIM(W22))=0</formula>
    </cfRule>
  </conditionalFormatting>
  <conditionalFormatting sqref="AA37 AA30:AA31 AA33 AA22:AA26 AA28 AA35">
    <cfRule type="containsBlanks" dxfId="1364" priority="18">
      <formula>LEN(TRIM(AA22))=0</formula>
    </cfRule>
  </conditionalFormatting>
  <conditionalFormatting sqref="AA37 AA30:AA31 AA33 AA22:AA26 AA28 AA35">
    <cfRule type="containsBlanks" dxfId="1363" priority="17">
      <formula>LEN(TRIM(AA22))=0</formula>
    </cfRule>
  </conditionalFormatting>
  <conditionalFormatting sqref="AA33:AB33">
    <cfRule type="cellIs" dxfId="1362" priority="16" operator="between">
      <formula>0</formula>
      <formula>1000</formula>
    </cfRule>
  </conditionalFormatting>
  <conditionalFormatting sqref="AA30:AB30 AA31 AA33:AB33 AA22:AB25 AA26 AA28 AA35:AB37">
    <cfRule type="containsBlanks" dxfId="1361" priority="15">
      <formula>LEN(TRIM(AA22))=0</formula>
    </cfRule>
  </conditionalFormatting>
  <conditionalFormatting sqref="AE37 AE28 AE30:AE31 AE33:AE35 AE22:AE26">
    <cfRule type="containsBlanks" dxfId="1360" priority="14">
      <formula>LEN(TRIM(AE22))=0</formula>
    </cfRule>
  </conditionalFormatting>
  <conditionalFormatting sqref="AE37 AE28 AE30:AE31 AE33:AE35 AE22:AE26">
    <cfRule type="containsBlanks" dxfId="1359" priority="13">
      <formula>LEN(TRIM(AE22))=0</formula>
    </cfRule>
  </conditionalFormatting>
  <conditionalFormatting sqref="AE33:AF33">
    <cfRule type="cellIs" dxfId="1358" priority="12" operator="between">
      <formula>0</formula>
      <formula>1000</formula>
    </cfRule>
  </conditionalFormatting>
  <conditionalFormatting sqref="AE33:AF37 AE26 AE28 AE30:AE31 AE22:AF25">
    <cfRule type="containsBlanks" dxfId="1357" priority="11">
      <formula>LEN(TRIM(AE22))=0</formula>
    </cfRule>
  </conditionalFormatting>
  <conditionalFormatting sqref="K6:M6">
    <cfRule type="containsBlanks" dxfId="1356" priority="10">
      <formula>LEN(TRIM(K6))=0</formula>
    </cfRule>
  </conditionalFormatting>
  <conditionalFormatting sqref="K7:K8">
    <cfRule type="containsBlanks" dxfId="1355" priority="9">
      <formula>LEN(TRIM(K7))=0</formula>
    </cfRule>
  </conditionalFormatting>
  <conditionalFormatting sqref="D13:M13">
    <cfRule type="containsBlanks" dxfId="1354" priority="8">
      <formula>LEN(TRIM(D13))=0</formula>
    </cfRule>
  </conditionalFormatting>
  <conditionalFormatting sqref="B6:B10">
    <cfRule type="containsBlanks" dxfId="1353" priority="7">
      <formula>LEN(TRIM(B6))=0</formula>
    </cfRule>
  </conditionalFormatting>
  <conditionalFormatting sqref="B12:B13">
    <cfRule type="containsBlanks" dxfId="1352" priority="6">
      <formula>LEN(TRIM(B12))=0</formula>
    </cfRule>
  </conditionalFormatting>
  <conditionalFormatting sqref="E28:H33">
    <cfRule type="containsBlanks" dxfId="1351" priority="5">
      <formula>LEN(TRIM(E28))=0</formula>
    </cfRule>
  </conditionalFormatting>
  <conditionalFormatting sqref="Q22:S26">
    <cfRule type="containsBlanks" dxfId="1350" priority="3">
      <formula>LEN(TRIM(Q22))=0</formula>
    </cfRule>
    <cfRule type="containsBlanks" dxfId="1349" priority="4">
      <formula>LEN(TRIM(Q22))=0</formula>
    </cfRule>
  </conditionalFormatting>
  <conditionalFormatting sqref="Q34:S39">
    <cfRule type="containsBlanks" dxfId="1348" priority="2">
      <formula>LEN(TRIM(Q34))=0</formula>
    </cfRule>
  </conditionalFormatting>
  <conditionalFormatting sqref="Q42:S46">
    <cfRule type="containsBlanks" dxfId="1347" priority="1">
      <formula>LEN(TRIM(Q42))=0</formula>
    </cfRule>
  </conditionalFormatting>
  <dataValidations count="5">
    <dataValidation type="list" allowBlank="1" showInputMessage="1" showErrorMessage="1" sqref="L25" xr:uid="{00000000-0002-0000-1E00-000000000000}">
      <formula1>$D$101:$D$104</formula1>
    </dataValidation>
    <dataValidation type="list" allowBlank="1" showInputMessage="1" showErrorMessage="1" sqref="M21" xr:uid="{00000000-0002-0000-1E00-000001000000}">
      <formula1>$AX$3:$AX$4</formula1>
    </dataValidation>
    <dataValidation type="list" allowBlank="1" showInputMessage="1" showErrorMessage="1" sqref="M19" xr:uid="{00000000-0002-0000-1E00-000002000000}">
      <formula1>$AX$3:$AX$5</formula1>
    </dataValidation>
    <dataValidation type="list" allowBlank="1" showInputMessage="1" showErrorMessage="1" sqref="CP70" xr:uid="{00000000-0002-0000-1E00-000003000000}">
      <formula1>$BA$3:$BA$5</formula1>
    </dataValidation>
    <dataValidation type="list" allowBlank="1" showInputMessage="1" showErrorMessage="1" sqref="D12:E12" xr:uid="{00000000-0002-0000-1E00-000004000000}">
      <formula1>$B$87:$B$94</formula1>
    </dataValidation>
  </dataValidations>
  <hyperlinks>
    <hyperlink ref="D8" r:id="rId1" xr:uid="{00000000-0004-0000-1E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50529"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50530"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50531"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5053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5053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50534"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50535"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5053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5053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5053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72">
    <tabColor theme="7" tint="0.79998168889431442"/>
  </sheetPr>
  <dimension ref="A1:CP153"/>
  <sheetViews>
    <sheetView view="pageBreakPreview" topLeftCell="A20" zoomScale="80" zoomScaleNormal="100" zoomScaleSheetLayoutView="8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45924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45924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45933</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45933</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25-P-ESTAMBUL 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25-P-ESTAMBUL 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248</v>
      </c>
      <c r="G12" s="31" t="s">
        <v>4</v>
      </c>
      <c r="H12" s="146">
        <v>2</v>
      </c>
      <c r="I12" s="546" t="s">
        <v>5</v>
      </c>
      <c r="J12" s="546"/>
      <c r="K12" s="209">
        <v>1</v>
      </c>
      <c r="L12" s="32" t="s">
        <v>6</v>
      </c>
      <c r="M12" s="147">
        <v>1.5</v>
      </c>
      <c r="N12" s="78"/>
      <c r="O12" s="501" t="s">
        <v>3</v>
      </c>
      <c r="P12" s="501"/>
      <c r="Q12" s="225" t="s">
        <v>234</v>
      </c>
      <c r="R12" s="224" t="str">
        <f>F12</f>
        <v>P-ESTAMBUL AP3</v>
      </c>
      <c r="S12" s="224"/>
      <c r="T12" s="502" t="s">
        <v>4</v>
      </c>
      <c r="U12" s="502"/>
      <c r="V12" s="33">
        <f>+H12</f>
        <v>2</v>
      </c>
      <c r="W12" s="547" t="s">
        <v>5</v>
      </c>
      <c r="X12" s="547"/>
      <c r="Y12" s="547"/>
      <c r="Z12" s="547"/>
      <c r="AA12" s="547"/>
      <c r="AB12" s="547"/>
      <c r="AC12" s="34">
        <f>K12</f>
        <v>1</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253</v>
      </c>
      <c r="E13" s="479"/>
      <c r="F13" s="479"/>
      <c r="G13" s="479"/>
      <c r="H13" s="479"/>
      <c r="I13" s="479"/>
      <c r="J13" s="479"/>
      <c r="K13" s="479"/>
      <c r="L13" s="479"/>
      <c r="M13" s="480"/>
      <c r="N13" s="188"/>
      <c r="O13" s="526" t="s">
        <v>130</v>
      </c>
      <c r="P13" s="526"/>
      <c r="Q13" s="527" t="str">
        <f>D13</f>
        <v>GRAVAS CON ALGO DE ARCILLA, DE COLOR MARRÓN EN CONDICIÓN SECA.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504</v>
      </c>
      <c r="R20" s="156">
        <v>601</v>
      </c>
      <c r="S20" s="157">
        <v>540</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11897</v>
      </c>
      <c r="F22" s="150">
        <v>12306</v>
      </c>
      <c r="G22" s="150">
        <v>12245</v>
      </c>
      <c r="H22" s="151">
        <v>11907</v>
      </c>
      <c r="I22" s="174"/>
      <c r="J22" s="578"/>
      <c r="K22" s="578"/>
      <c r="L22" s="578"/>
      <c r="M22" s="104"/>
      <c r="N22" s="103"/>
      <c r="O22" s="579" t="s">
        <v>132</v>
      </c>
      <c r="P22" s="580"/>
      <c r="Q22" s="219">
        <v>8606</v>
      </c>
      <c r="R22" s="219">
        <v>8224</v>
      </c>
      <c r="S22" s="208">
        <v>8020</v>
      </c>
      <c r="T22" s="174"/>
      <c r="U22" s="112">
        <v>5.0000000000000001E-3</v>
      </c>
      <c r="V22" s="113">
        <f>U22*25.4</f>
        <v>0.127</v>
      </c>
      <c r="W22" s="581">
        <v>0.125</v>
      </c>
      <c r="X22" s="582"/>
      <c r="Y22" s="449">
        <f>((W22/19.32)*10)</f>
        <v>6.4699792960662528E-2</v>
      </c>
      <c r="Z22" s="450"/>
      <c r="AA22" s="581">
        <v>6.9400000000000003E-2</v>
      </c>
      <c r="AB22" s="582"/>
      <c r="AC22" s="449">
        <f>((AA22/19.32)*10)</f>
        <v>3.5921325051759836E-2</v>
      </c>
      <c r="AD22" s="450"/>
      <c r="AE22" s="581">
        <v>5.1319999999999998E-2</v>
      </c>
      <c r="AF22" s="582"/>
      <c r="AG22" s="114">
        <f>((AE22/19.32)*10)</f>
        <v>2.6563146997929603E-2</v>
      </c>
      <c r="AH22" s="104"/>
      <c r="AI22" s="42">
        <f>AJ50</f>
        <v>0.115</v>
      </c>
      <c r="AJ22" s="42">
        <f>AJ50/1.52</f>
        <v>7.5657894736842105E-2</v>
      </c>
      <c r="AK22" s="42">
        <f>AJ22*0.75</f>
        <v>5.6743421052631582E-2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3788</v>
      </c>
      <c r="R23" s="150">
        <v>3809</v>
      </c>
      <c r="S23" s="151">
        <v>3994</v>
      </c>
      <c r="T23" s="174"/>
      <c r="U23" s="112">
        <v>2.5000000000000001E-2</v>
      </c>
      <c r="V23" s="113">
        <f>U23*25.4</f>
        <v>0.63500000000000001</v>
      </c>
      <c r="W23" s="581">
        <v>0.497</v>
      </c>
      <c r="X23" s="582"/>
      <c r="Y23" s="449">
        <f>((W23/19.32)*10)</f>
        <v>0.25724637681159418</v>
      </c>
      <c r="Z23" s="450"/>
      <c r="AA23" s="581">
        <f>AJ23</f>
        <v>0.31184210526315786</v>
      </c>
      <c r="AB23" s="582"/>
      <c r="AC23" s="449">
        <f>((AA23/19.32)*10)</f>
        <v>0.16140895717554754</v>
      </c>
      <c r="AD23" s="450"/>
      <c r="AE23" s="581">
        <v>0.20699999999999999</v>
      </c>
      <c r="AF23" s="582"/>
      <c r="AG23" s="114">
        <f>((AE23/19.32)*10)</f>
        <v>0.10714285714285715</v>
      </c>
      <c r="AH23" s="104"/>
      <c r="AI23" s="42">
        <f t="shared" ref="AI23:AI33" si="0">AJ51</f>
        <v>0.47399999999999998</v>
      </c>
      <c r="AJ23" s="42">
        <f t="shared" ref="AJ23:AJ33" si="1">AJ51/1.52</f>
        <v>0.31184210526315786</v>
      </c>
      <c r="AK23" s="42">
        <f t="shared" ref="AK23:AK33" si="2">AJ23*0.75</f>
        <v>0.23388157894736838</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11.5</v>
      </c>
      <c r="R24" s="152">
        <v>11.25</v>
      </c>
      <c r="S24" s="153">
        <v>11.42</v>
      </c>
      <c r="T24" s="174"/>
      <c r="U24" s="112">
        <v>0.05</v>
      </c>
      <c r="V24" s="113">
        <f>U24*25.4</f>
        <v>1.27</v>
      </c>
      <c r="W24" s="581">
        <v>1.056</v>
      </c>
      <c r="X24" s="582"/>
      <c r="Y24" s="449">
        <f>((W24/19.32)*10)</f>
        <v>0.54658385093167705</v>
      </c>
      <c r="Z24" s="450"/>
      <c r="AA24" s="581">
        <f>AJ24</f>
        <v>0.64802631578947367</v>
      </c>
      <c r="AB24" s="582"/>
      <c r="AC24" s="449">
        <f>((AA24/19.32)*10)</f>
        <v>0.33541734771711884</v>
      </c>
      <c r="AD24" s="450"/>
      <c r="AE24" s="581">
        <v>0.46899999999999997</v>
      </c>
      <c r="AF24" s="582"/>
      <c r="AG24" s="114">
        <f>((AE24/19.32)*10)</f>
        <v>0.24275362318840576</v>
      </c>
      <c r="AH24" s="104"/>
      <c r="AI24" s="42">
        <f t="shared" si="0"/>
        <v>0.98499999999999999</v>
      </c>
      <c r="AJ24" s="42">
        <f t="shared" si="1"/>
        <v>0.64802631578947367</v>
      </c>
      <c r="AK24" s="42">
        <f t="shared" si="2"/>
        <v>0.48601973684210525</v>
      </c>
      <c r="AO24" s="42">
        <v>0.68400000000000005</v>
      </c>
      <c r="AS24" s="42">
        <f t="shared" si="3"/>
        <v>0.55609756097560981</v>
      </c>
    </row>
    <row r="25" spans="1:45" ht="24.95" customHeight="1" thickBot="1" x14ac:dyDescent="0.3">
      <c r="A25" s="103"/>
      <c r="B25" s="602" t="s">
        <v>69</v>
      </c>
      <c r="C25" s="603"/>
      <c r="D25" s="603"/>
      <c r="E25" s="115">
        <f>E22-E23</f>
        <v>4585</v>
      </c>
      <c r="F25" s="115">
        <f>F22-F23</f>
        <v>4994</v>
      </c>
      <c r="G25" s="115">
        <f>G22-G23</f>
        <v>4933</v>
      </c>
      <c r="H25" s="116">
        <f>H22-H23</f>
        <v>4595</v>
      </c>
      <c r="I25" s="174"/>
      <c r="J25" s="174" t="s">
        <v>127</v>
      </c>
      <c r="K25" s="174"/>
      <c r="L25" s="218" t="s">
        <v>128</v>
      </c>
      <c r="M25" s="246">
        <v>20.68</v>
      </c>
      <c r="N25" s="103"/>
      <c r="O25" s="604" t="s">
        <v>46</v>
      </c>
      <c r="P25" s="605"/>
      <c r="Q25" s="608">
        <v>15.2</v>
      </c>
      <c r="R25" s="608">
        <v>15.2</v>
      </c>
      <c r="S25" s="610">
        <v>15.18</v>
      </c>
      <c r="T25" s="174"/>
      <c r="U25" s="112">
        <v>7.4999999999999997E-2</v>
      </c>
      <c r="V25" s="113">
        <f>U25*25.4</f>
        <v>1.9049999999999998</v>
      </c>
      <c r="W25" s="581">
        <v>1.732</v>
      </c>
      <c r="X25" s="582"/>
      <c r="Y25" s="449">
        <f>((W25/19.32)*10)</f>
        <v>0.89648033126293991</v>
      </c>
      <c r="Z25" s="450"/>
      <c r="AA25" s="581">
        <f>AJ25</f>
        <v>1.0763157894736841</v>
      </c>
      <c r="AB25" s="582"/>
      <c r="AC25" s="449">
        <f>((AA25/19.32)*10)</f>
        <v>0.55709926991391523</v>
      </c>
      <c r="AD25" s="450"/>
      <c r="AE25" s="581">
        <f>AK25</f>
        <v>0.80723684210526314</v>
      </c>
      <c r="AF25" s="582"/>
      <c r="AG25" s="114">
        <f>((AE25/19.32)*10)</f>
        <v>0.41782445243543637</v>
      </c>
      <c r="AH25" s="104"/>
      <c r="AI25" s="42">
        <f t="shared" si="0"/>
        <v>1.6359999999999999</v>
      </c>
      <c r="AJ25" s="42">
        <f t="shared" si="1"/>
        <v>1.0763157894736841</v>
      </c>
      <c r="AK25" s="42">
        <f t="shared" si="2"/>
        <v>0.80723684210526314</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20.68</v>
      </c>
      <c r="N26" s="103"/>
      <c r="O26" s="606"/>
      <c r="P26" s="607"/>
      <c r="Q26" s="609"/>
      <c r="R26" s="609"/>
      <c r="S26" s="611"/>
      <c r="T26" s="174"/>
      <c r="U26" s="600">
        <v>0.1</v>
      </c>
      <c r="V26" s="601">
        <f>U26*25.4</f>
        <v>2.54</v>
      </c>
      <c r="W26" s="778">
        <f>AI26</f>
        <v>2.286</v>
      </c>
      <c r="X26" s="779"/>
      <c r="Y26" s="461">
        <f>((W26/19.32)*10)</f>
        <v>1.1832298136645965</v>
      </c>
      <c r="Z26" s="462"/>
      <c r="AA26" s="746">
        <f>AJ26</f>
        <v>1.5039473684210527</v>
      </c>
      <c r="AB26" s="747"/>
      <c r="AC26" s="461">
        <f>((AA26/19.32)*10)</f>
        <v>0.77844066688460278</v>
      </c>
      <c r="AD26" s="462"/>
      <c r="AE26" s="746">
        <f>AK26</f>
        <v>1.1279605263157895</v>
      </c>
      <c r="AF26" s="747"/>
      <c r="AG26" s="469">
        <f>((AE26/19.32)*10)</f>
        <v>0.58383050016345206</v>
      </c>
      <c r="AH26" s="104"/>
      <c r="AI26" s="42">
        <f t="shared" si="0"/>
        <v>2.286</v>
      </c>
      <c r="AJ26" s="42">
        <f t="shared" si="1"/>
        <v>1.5039473684210527</v>
      </c>
      <c r="AK26" s="42">
        <f t="shared" si="2"/>
        <v>1.1279605263157895</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2086.7715042204841</v>
      </c>
      <c r="R27" s="152">
        <f>(PI()*((R25^2)/4)*R24)</f>
        <v>2041.4069063026475</v>
      </c>
      <c r="S27" s="153">
        <f>(PI()*((S25^2)/4)*S24)</f>
        <v>2066.8051183937796</v>
      </c>
      <c r="T27" s="174"/>
      <c r="U27" s="600"/>
      <c r="V27" s="601"/>
      <c r="W27" s="780"/>
      <c r="X27" s="781"/>
      <c r="Y27" s="463"/>
      <c r="Z27" s="464"/>
      <c r="AA27" s="748"/>
      <c r="AB27" s="749"/>
      <c r="AC27" s="463"/>
      <c r="AD27" s="464"/>
      <c r="AE27" s="748"/>
      <c r="AF27" s="749"/>
      <c r="AG27" s="470"/>
      <c r="AH27" s="193"/>
      <c r="AI27" s="42">
        <f t="shared" si="0"/>
        <v>2.9830000000000001</v>
      </c>
      <c r="AJ27" s="42">
        <f t="shared" si="1"/>
        <v>1.9625000000000001</v>
      </c>
      <c r="AK27" s="42">
        <f t="shared" si="2"/>
        <v>1.471875</v>
      </c>
      <c r="AO27" s="42">
        <v>2.387</v>
      </c>
      <c r="AS27" s="42">
        <f t="shared" si="3"/>
        <v>1.9406504065040651</v>
      </c>
    </row>
    <row r="28" spans="1:45" ht="24.95" customHeight="1" thickBot="1" x14ac:dyDescent="0.3">
      <c r="A28" s="103"/>
      <c r="B28" s="560" t="s">
        <v>9</v>
      </c>
      <c r="C28" s="561"/>
      <c r="D28" s="561"/>
      <c r="E28" s="148">
        <v>736</v>
      </c>
      <c r="F28" s="148">
        <v>616</v>
      </c>
      <c r="G28" s="148">
        <v>721</v>
      </c>
      <c r="H28" s="149">
        <v>612</v>
      </c>
      <c r="I28" s="174"/>
      <c r="J28" s="597" t="s">
        <v>107</v>
      </c>
      <c r="K28" s="597"/>
      <c r="L28" s="562" t="s">
        <v>119</v>
      </c>
      <c r="M28" s="459">
        <f>IF(M26="","",(100-M26))</f>
        <v>79.319999999999993</v>
      </c>
      <c r="N28" s="103"/>
      <c r="O28" s="625" t="s">
        <v>136</v>
      </c>
      <c r="P28" s="626"/>
      <c r="Q28" s="220">
        <f>Q22-Q23</f>
        <v>4818</v>
      </c>
      <c r="R28" s="220">
        <f>R22-R23</f>
        <v>4415</v>
      </c>
      <c r="S28" s="220">
        <f>S22-S23</f>
        <v>4026</v>
      </c>
      <c r="T28" s="174"/>
      <c r="U28" s="627">
        <v>0.125</v>
      </c>
      <c r="V28" s="624">
        <f>U28*25.4</f>
        <v>3.1749999999999998</v>
      </c>
      <c r="W28" s="593">
        <v>3.0979999999999999</v>
      </c>
      <c r="X28" s="594"/>
      <c r="Y28" s="439">
        <f>((W28/19.32)*10)</f>
        <v>1.6035196687370599</v>
      </c>
      <c r="Z28" s="440"/>
      <c r="AA28" s="593">
        <f>AJ27</f>
        <v>1.9625000000000001</v>
      </c>
      <c r="AB28" s="594"/>
      <c r="AC28" s="439">
        <f>((AA28/19.32)*10)</f>
        <v>1.0157867494824018</v>
      </c>
      <c r="AD28" s="440"/>
      <c r="AE28" s="593">
        <f>AK27</f>
        <v>1.471875</v>
      </c>
      <c r="AF28" s="594"/>
      <c r="AG28" s="443">
        <f>((AE28/19.32)*10)</f>
        <v>0.76184006211180133</v>
      </c>
      <c r="AH28" s="104"/>
      <c r="AI28" s="42">
        <f t="shared" si="0"/>
        <v>3.8620000000000001</v>
      </c>
      <c r="AJ28" s="42">
        <f t="shared" si="1"/>
        <v>2.5407894736842107</v>
      </c>
      <c r="AK28" s="42">
        <f t="shared" si="2"/>
        <v>1.9055921052631581</v>
      </c>
      <c r="AO28" s="42">
        <v>2.8959999999999999</v>
      </c>
      <c r="AS28" s="42">
        <f t="shared" si="3"/>
        <v>2.3544715447154472</v>
      </c>
    </row>
    <row r="29" spans="1:45" ht="5.0999999999999996" customHeight="1" thickBot="1" x14ac:dyDescent="0.3">
      <c r="A29" s="103"/>
      <c r="B29" s="612" t="s">
        <v>73</v>
      </c>
      <c r="C29" s="613"/>
      <c r="D29" s="614"/>
      <c r="E29" s="618">
        <v>404.51</v>
      </c>
      <c r="F29" s="618">
        <v>424.32</v>
      </c>
      <c r="G29" s="618">
        <v>578.45000000000005</v>
      </c>
      <c r="H29" s="620">
        <v>714.33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4.798</v>
      </c>
      <c r="AJ29" s="42">
        <f t="shared" si="1"/>
        <v>3.1565789473684212</v>
      </c>
      <c r="AK29" s="42">
        <f t="shared" si="2"/>
        <v>2.3674342105263158</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21.255333018404908</v>
      </c>
      <c r="N30" s="103"/>
      <c r="O30" s="622" t="s">
        <v>134</v>
      </c>
      <c r="P30" s="623"/>
      <c r="Q30" s="229">
        <f>Q28/Q27</f>
        <v>2.308829687512802</v>
      </c>
      <c r="R30" s="229">
        <f>R28/R27</f>
        <v>2.1627241420459153</v>
      </c>
      <c r="S30" s="131">
        <f>S28/S27</f>
        <v>1.9479340186310412</v>
      </c>
      <c r="T30" s="174"/>
      <c r="U30" s="120">
        <v>0.15</v>
      </c>
      <c r="V30" s="113">
        <f>U30*25.4</f>
        <v>3.8099999999999996</v>
      </c>
      <c r="W30" s="581">
        <f>AI28</f>
        <v>3.8620000000000001</v>
      </c>
      <c r="X30" s="582"/>
      <c r="Y30" s="449">
        <f>((W30/19.32)*10)</f>
        <v>1.9989648033126295</v>
      </c>
      <c r="Z30" s="450"/>
      <c r="AA30" s="581">
        <f>AJ28</f>
        <v>2.5407894736842107</v>
      </c>
      <c r="AB30" s="582"/>
      <c r="AC30" s="449">
        <f>((AA30/19.32)*10)</f>
        <v>1.3151084232319932</v>
      </c>
      <c r="AD30" s="450"/>
      <c r="AE30" s="581">
        <f>AK28</f>
        <v>1.9055921052631581</v>
      </c>
      <c r="AF30" s="582"/>
      <c r="AG30" s="114">
        <f>((AE30/19.32)*10)</f>
        <v>0.98633131742399494</v>
      </c>
      <c r="AH30" s="104"/>
      <c r="AI30" s="42">
        <f t="shared" si="0"/>
        <v>5.6139999999999999</v>
      </c>
      <c r="AJ30" s="42">
        <f t="shared" si="1"/>
        <v>3.6934210526315789</v>
      </c>
      <c r="AK30" s="42">
        <f t="shared" si="2"/>
        <v>2.7700657894736844</v>
      </c>
      <c r="AO30" s="42">
        <v>3.8439999999999999</v>
      </c>
      <c r="AS30" s="42">
        <f t="shared" si="3"/>
        <v>3.1252032520325201</v>
      </c>
    </row>
    <row r="31" spans="1:45" ht="24.95" customHeight="1" thickBot="1" x14ac:dyDescent="0.3">
      <c r="A31" s="103"/>
      <c r="B31" s="576" t="s">
        <v>74</v>
      </c>
      <c r="C31" s="577"/>
      <c r="D31" s="577"/>
      <c r="E31" s="152">
        <v>389.47</v>
      </c>
      <c r="F31" s="152">
        <v>401.98</v>
      </c>
      <c r="G31" s="152">
        <v>539</v>
      </c>
      <c r="H31" s="153">
        <v>649</v>
      </c>
      <c r="I31" s="174"/>
      <c r="J31" s="597" t="s">
        <v>138</v>
      </c>
      <c r="K31" s="597"/>
      <c r="L31" s="562" t="s">
        <v>116</v>
      </c>
      <c r="M31" s="457">
        <f>IF(M25="","",S82)</f>
        <v>2.7120000000000002</v>
      </c>
      <c r="N31" s="121"/>
      <c r="O31" s="628" t="s">
        <v>135</v>
      </c>
      <c r="P31" s="629"/>
      <c r="Q31" s="122">
        <f>Q30/(1+Q40/100)</f>
        <v>2.1483628756063595</v>
      </c>
      <c r="R31" s="122">
        <f>R30/(1+R40/100)</f>
        <v>2.0109027911588413</v>
      </c>
      <c r="S31" s="123">
        <f>S30/(1+S40/100)</f>
        <v>1.8109062617301852</v>
      </c>
      <c r="T31" s="174"/>
      <c r="U31" s="627">
        <v>0.17499999999999999</v>
      </c>
      <c r="V31" s="624">
        <f>U31*25.4</f>
        <v>4.4449999999999994</v>
      </c>
      <c r="W31" s="593">
        <f>AI29</f>
        <v>4.798</v>
      </c>
      <c r="X31" s="594"/>
      <c r="Y31" s="439">
        <f>((W31/19.32)*10)</f>
        <v>2.4834368530020705</v>
      </c>
      <c r="Z31" s="440"/>
      <c r="AA31" s="593">
        <f>AJ29</f>
        <v>3.1565789473684212</v>
      </c>
      <c r="AB31" s="594"/>
      <c r="AC31" s="439">
        <f>((AA31/19.32)*10)</f>
        <v>1.6338400348697832</v>
      </c>
      <c r="AD31" s="440"/>
      <c r="AE31" s="593">
        <f>AK29</f>
        <v>2.3674342105263158</v>
      </c>
      <c r="AF31" s="594"/>
      <c r="AG31" s="443">
        <f>((AE31/19.32)*10)</f>
        <v>1.2253800261523373</v>
      </c>
      <c r="AH31" s="104"/>
      <c r="AI31" s="42">
        <f t="shared" si="0"/>
        <v>8.5</v>
      </c>
      <c r="AJ31" s="42">
        <f t="shared" si="1"/>
        <v>5.5921052631578947</v>
      </c>
      <c r="AK31" s="42">
        <f t="shared" si="2"/>
        <v>4.1940789473684212</v>
      </c>
      <c r="AO31" s="42">
        <v>5.516</v>
      </c>
      <c r="AS31" s="42">
        <f t="shared" si="3"/>
        <v>4.4845528455284551</v>
      </c>
    </row>
    <row r="32" spans="1:45" ht="5.0999999999999996" customHeight="1" thickBot="1" x14ac:dyDescent="0.3">
      <c r="A32" s="103"/>
      <c r="B32" s="612" t="s">
        <v>75</v>
      </c>
      <c r="C32" s="613"/>
      <c r="D32" s="614"/>
      <c r="E32" s="618">
        <v>45.64</v>
      </c>
      <c r="F32" s="618">
        <v>44.85</v>
      </c>
      <c r="G32" s="618">
        <v>47.8</v>
      </c>
      <c r="H32" s="620">
        <v>48.01</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11.122</v>
      </c>
      <c r="AJ32" s="42">
        <f t="shared" si="1"/>
        <v>7.3171052631578943</v>
      </c>
      <c r="AK32" s="42">
        <f t="shared" si="2"/>
        <v>5.4878289473684205</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5.6139999999999999</v>
      </c>
      <c r="X33" s="582"/>
      <c r="Y33" s="449">
        <f>((W33/19.32)*10)</f>
        <v>2.9057971014492749</v>
      </c>
      <c r="Z33" s="450"/>
      <c r="AA33" s="581">
        <f>AJ30</f>
        <v>3.6934210526315789</v>
      </c>
      <c r="AB33" s="582"/>
      <c r="AC33" s="449">
        <f>((AA33/19.32)*10)</f>
        <v>1.9117086193745234</v>
      </c>
      <c r="AD33" s="450"/>
      <c r="AE33" s="581">
        <f>AK30</f>
        <v>2.7700657894736844</v>
      </c>
      <c r="AF33" s="582"/>
      <c r="AG33" s="144">
        <f>((AE33/19.32)*10)</f>
        <v>1.4337814645308924</v>
      </c>
      <c r="AH33" s="104"/>
      <c r="AI33" s="42">
        <f t="shared" si="0"/>
        <v>13.05</v>
      </c>
      <c r="AJ33" s="42">
        <f t="shared" si="1"/>
        <v>8.5855263157894743</v>
      </c>
      <c r="AK33" s="42">
        <f t="shared" si="2"/>
        <v>6.4391447368421062</v>
      </c>
      <c r="AO33" s="42">
        <v>7.7720000000000002</v>
      </c>
      <c r="AS33" s="42">
        <f t="shared" si="3"/>
        <v>6.3186991869918705</v>
      </c>
    </row>
    <row r="34" spans="1:45" ht="24.95" customHeight="1" thickBot="1" x14ac:dyDescent="0.3">
      <c r="A34" s="103"/>
      <c r="B34" s="602" t="s">
        <v>10</v>
      </c>
      <c r="C34" s="603"/>
      <c r="D34" s="603"/>
      <c r="E34" s="125">
        <f>((E29-E31)/(E31-E32))*100</f>
        <v>4.3742547189017715</v>
      </c>
      <c r="F34" s="125">
        <f>((F29-F31)/(F31-F32))*100</f>
        <v>6.2554251953070237</v>
      </c>
      <c r="G34" s="125">
        <f>((G29-G31)/(G31-G32))*100</f>
        <v>8.0313517915309536</v>
      </c>
      <c r="H34" s="126">
        <f>((H29-H31)/(H31-H32))*100</f>
        <v>10.870397177989657</v>
      </c>
      <c r="I34" s="174"/>
      <c r="J34" s="630" t="s">
        <v>125</v>
      </c>
      <c r="K34" s="630"/>
      <c r="L34" s="184" t="s">
        <v>126</v>
      </c>
      <c r="M34" s="245">
        <v>2.7</v>
      </c>
      <c r="N34" s="128"/>
      <c r="O34" s="631" t="s">
        <v>9</v>
      </c>
      <c r="P34" s="632"/>
      <c r="Q34" s="156">
        <v>382</v>
      </c>
      <c r="R34" s="156">
        <v>300</v>
      </c>
      <c r="S34" s="157">
        <v>711</v>
      </c>
      <c r="T34" s="174"/>
      <c r="U34" s="120">
        <v>0.3</v>
      </c>
      <c r="V34" s="113">
        <f>U34*25.4</f>
        <v>7.6199999999999992</v>
      </c>
      <c r="W34" s="581">
        <f>AI31</f>
        <v>8.5</v>
      </c>
      <c r="X34" s="582"/>
      <c r="Y34" s="449">
        <f>((W34/19.32)*10)</f>
        <v>4.3995859213250519</v>
      </c>
      <c r="Z34" s="450"/>
      <c r="AA34" s="449">
        <v>5.5919999999999996</v>
      </c>
      <c r="AB34" s="450"/>
      <c r="AC34" s="449">
        <f>((AA34/19.32)*10)</f>
        <v>2.8944099378881987</v>
      </c>
      <c r="AD34" s="450"/>
      <c r="AE34" s="581">
        <f>AK31</f>
        <v>4.1940789473684212</v>
      </c>
      <c r="AF34" s="582"/>
      <c r="AG34" s="114">
        <f>((AE34/19.32)*10)</f>
        <v>2.1708483164432821</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816.37</v>
      </c>
      <c r="R35" s="608">
        <v>567.11</v>
      </c>
      <c r="S35" s="610">
        <v>407.28</v>
      </c>
      <c r="T35" s="174"/>
      <c r="U35" s="627">
        <v>0.4</v>
      </c>
      <c r="V35" s="624">
        <f>U35*25.4</f>
        <v>10.16</v>
      </c>
      <c r="W35" s="593">
        <f>AI32</f>
        <v>11.122</v>
      </c>
      <c r="X35" s="594"/>
      <c r="Y35" s="439">
        <f>((W35/19.32)*10)</f>
        <v>5.7567287784679086</v>
      </c>
      <c r="Z35" s="440"/>
      <c r="AA35" s="593">
        <f>AJ32</f>
        <v>7.3171052631578943</v>
      </c>
      <c r="AB35" s="594"/>
      <c r="AC35" s="439">
        <f>(AA35/19.32)*10</f>
        <v>3.7873215647815188</v>
      </c>
      <c r="AD35" s="440"/>
      <c r="AE35" s="593">
        <v>5.2754000000000003</v>
      </c>
      <c r="AF35" s="594"/>
      <c r="AG35" s="443">
        <f>((AE35/19.32)*10)</f>
        <v>2.7305383022774325</v>
      </c>
      <c r="AH35" s="104"/>
      <c r="AS35" s="42">
        <f t="shared" si="3"/>
        <v>0</v>
      </c>
    </row>
    <row r="36" spans="1:45" ht="20.100000000000001" customHeight="1" thickBot="1" x14ac:dyDescent="0.3">
      <c r="A36" s="103"/>
      <c r="B36" s="639" t="s">
        <v>71</v>
      </c>
      <c r="C36" s="640"/>
      <c r="D36" s="640"/>
      <c r="E36" s="130">
        <f>E25/E24</f>
        <v>2.1345437616387337</v>
      </c>
      <c r="F36" s="130">
        <f>F25/F24</f>
        <v>2.324953445065177</v>
      </c>
      <c r="G36" s="130">
        <f>G25/G24</f>
        <v>2.2965549348230914</v>
      </c>
      <c r="H36" s="131">
        <f>H25/H24</f>
        <v>2.139199255121043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2.0450864702099532</v>
      </c>
      <c r="F37" s="230">
        <f>F36/(1+F34/100)</f>
        <v>2.1880797529083371</v>
      </c>
      <c r="G37" s="230">
        <f>G36/(1+G34/100)</f>
        <v>2.125822640130222</v>
      </c>
      <c r="H37" s="123">
        <f>H36/(1+H34/100)</f>
        <v>1.9294593593696656</v>
      </c>
      <c r="I37" s="174"/>
      <c r="J37" s="641" t="s">
        <v>139</v>
      </c>
      <c r="K37" s="641"/>
      <c r="L37" s="643" t="s">
        <v>121</v>
      </c>
      <c r="M37" s="433">
        <f>IF(F74="","",(M42^2*F74+M42*F75+F76))</f>
        <v>2.1667006134969324</v>
      </c>
      <c r="N37" s="101"/>
      <c r="O37" s="576" t="s">
        <v>28</v>
      </c>
      <c r="P37" s="577"/>
      <c r="Q37" s="150">
        <v>766.68</v>
      </c>
      <c r="R37" s="152">
        <v>530.20000000000005</v>
      </c>
      <c r="S37" s="153">
        <v>382.05</v>
      </c>
      <c r="T37" s="174"/>
      <c r="U37" s="132">
        <v>0.5</v>
      </c>
      <c r="V37" s="133">
        <f>U37*25.4</f>
        <v>12.7</v>
      </c>
      <c r="W37" s="637">
        <v>12.678900000000001</v>
      </c>
      <c r="X37" s="638"/>
      <c r="Y37" s="431">
        <f>((W37/19.32)*10)</f>
        <v>6.5625776397515532</v>
      </c>
      <c r="Z37" s="432"/>
      <c r="AA37" s="637">
        <f>AJ33</f>
        <v>8.5855263157894743</v>
      </c>
      <c r="AB37" s="638"/>
      <c r="AC37" s="431">
        <f>((AA37/19.32)*10)</f>
        <v>4.4438542007191897</v>
      </c>
      <c r="AD37" s="432"/>
      <c r="AE37" s="637">
        <v>5.8795000000000002</v>
      </c>
      <c r="AF37" s="638"/>
      <c r="AG37" s="134">
        <f>((AE37/19.32)*10)</f>
        <v>3.0432194616977224</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101.42</v>
      </c>
      <c r="R38" s="647">
        <v>41.32</v>
      </c>
      <c r="S38" s="648">
        <v>48.62</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2.2607031105394855</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21.255333018404908</v>
      </c>
      <c r="N40" s="103"/>
      <c r="O40" s="628" t="s">
        <v>10</v>
      </c>
      <c r="P40" s="629"/>
      <c r="Q40" s="125">
        <f>((Q35-Q37)/(Q37-Q38))*100</f>
        <v>7.4692601388930733</v>
      </c>
      <c r="R40" s="125">
        <f>((R35-R37)/(R37-R38))*100</f>
        <v>7.5499099983635993</v>
      </c>
      <c r="S40" s="126">
        <f>((S35-S37)/(S37-S38))*100</f>
        <v>7.5668056263683416</v>
      </c>
      <c r="T40" s="174"/>
      <c r="U40" s="645" t="s">
        <v>151</v>
      </c>
      <c r="V40" s="646"/>
      <c r="W40" s="423">
        <f>(AM79/6.9)*100</f>
        <v>17.14825816905212</v>
      </c>
      <c r="X40" s="423"/>
      <c r="Y40" s="423"/>
      <c r="Z40" s="424"/>
      <c r="AA40" s="425">
        <f>(AO79/6.9)*100</f>
        <v>11.281748795429024</v>
      </c>
      <c r="AB40" s="426"/>
      <c r="AC40" s="427"/>
      <c r="AD40" s="425">
        <f>(AQ79/6.9)*100</f>
        <v>8.4613115965717682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22.17749751439235</v>
      </c>
      <c r="N41" s="138"/>
      <c r="O41" s="565" t="s">
        <v>36</v>
      </c>
      <c r="P41" s="566"/>
      <c r="Q41" s="566"/>
      <c r="R41" s="566"/>
      <c r="S41" s="567"/>
      <c r="T41" s="174"/>
      <c r="U41" s="653" t="s">
        <v>152</v>
      </c>
      <c r="V41" s="654"/>
      <c r="W41" s="418">
        <f>(AM83/10.3)*100</f>
        <v>28.211622344167715</v>
      </c>
      <c r="X41" s="418"/>
      <c r="Y41" s="418"/>
      <c r="Z41" s="419"/>
      <c r="AA41" s="420">
        <f>(AO83/10.3)*100</f>
        <v>18.56027785800508</v>
      </c>
      <c r="AB41" s="421"/>
      <c r="AC41" s="418"/>
      <c r="AD41" s="420">
        <f>(AQ83/10.3)*100</f>
        <v>13.920208393503808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6.9938650306748471</v>
      </c>
      <c r="N42" s="103"/>
      <c r="O42" s="639" t="s">
        <v>9</v>
      </c>
      <c r="P42" s="640"/>
      <c r="Q42" s="148">
        <v>672</v>
      </c>
      <c r="R42" s="148">
        <v>730</v>
      </c>
      <c r="S42" s="149">
        <v>616</v>
      </c>
      <c r="T42" s="174"/>
      <c r="U42" s="651" t="s">
        <v>42</v>
      </c>
      <c r="V42" s="652"/>
      <c r="W42" s="413">
        <f>IF(W40&lt;W41,W40,W41)</f>
        <v>17.14825816905212</v>
      </c>
      <c r="X42" s="414"/>
      <c r="Y42" s="414"/>
      <c r="Z42" s="415"/>
      <c r="AA42" s="416">
        <f>IF(AA40&lt;AA41,AA40,AA41)</f>
        <v>11.281748795429024</v>
      </c>
      <c r="AB42" s="414"/>
      <c r="AC42" s="415"/>
      <c r="AD42" s="416">
        <f>IF(AD40&lt;AD41,AD40,AD41)</f>
        <v>8.4613115965717682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5.595398773006135</v>
      </c>
      <c r="N43" s="103"/>
      <c r="O43" s="612" t="s">
        <v>49</v>
      </c>
      <c r="P43" s="614"/>
      <c r="Q43" s="618">
        <v>537.47</v>
      </c>
      <c r="R43" s="608">
        <v>378.45</v>
      </c>
      <c r="S43" s="610">
        <v>612.48</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499.2</v>
      </c>
      <c r="R45" s="150">
        <v>346.43</v>
      </c>
      <c r="S45" s="151">
        <v>549.44000000000005</v>
      </c>
      <c r="T45" s="174"/>
      <c r="U45" s="656" t="s">
        <v>139</v>
      </c>
      <c r="V45" s="656"/>
      <c r="W45" s="179" t="s">
        <v>121</v>
      </c>
      <c r="X45" s="406">
        <f>MAX(M37:M39)</f>
        <v>2.2607031105394855</v>
      </c>
      <c r="Y45" s="406"/>
      <c r="Z45" s="406"/>
      <c r="AA45" s="174"/>
      <c r="AB45" s="657" t="s">
        <v>31</v>
      </c>
      <c r="AC45" s="658"/>
      <c r="AD45" s="658"/>
      <c r="AE45" s="658"/>
      <c r="AF45" s="231">
        <v>0.20699999999999999</v>
      </c>
      <c r="AG45" s="231">
        <v>8.3500000000000005E-2</v>
      </c>
      <c r="AH45" s="233">
        <v>0.1087</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36.72</v>
      </c>
      <c r="R46" s="152">
        <v>45.24</v>
      </c>
      <c r="S46" s="153">
        <v>44.85</v>
      </c>
      <c r="T46" s="174"/>
      <c r="U46" s="555" t="s">
        <v>123</v>
      </c>
      <c r="V46" s="555"/>
      <c r="W46" s="179" t="s">
        <v>41</v>
      </c>
      <c r="X46" s="401">
        <f>MIN(M42:M44)</f>
        <v>5.595398773006135</v>
      </c>
      <c r="Y46" s="401"/>
      <c r="Z46" s="401"/>
      <c r="AA46" s="174"/>
      <c r="AB46" s="660" t="s">
        <v>32</v>
      </c>
      <c r="AC46" s="661"/>
      <c r="AD46" s="661"/>
      <c r="AE46" s="661"/>
      <c r="AF46" s="234">
        <v>0.252</v>
      </c>
      <c r="AG46" s="234">
        <v>0.1056</v>
      </c>
      <c r="AH46" s="235">
        <v>0.1278</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8.2749524303753752</v>
      </c>
      <c r="R47" s="125">
        <f>((R43-R45)/(R45-R46))*100</f>
        <v>10.631163053222213</v>
      </c>
      <c r="S47" s="126">
        <f>((S43-S45)/(S45-S46))*100</f>
        <v>12.493311401335729</v>
      </c>
      <c r="T47" s="174"/>
      <c r="U47" s="555" t="s">
        <v>162</v>
      </c>
      <c r="V47" s="555"/>
      <c r="W47" s="179" t="s">
        <v>41</v>
      </c>
      <c r="X47" s="402">
        <f>IF(L25=D103,"-",IF(L25=D102,"-",IF(L25=D101,M25)))</f>
        <v>20.68</v>
      </c>
      <c r="Y47" s="402"/>
      <c r="Z47" s="402"/>
      <c r="AA47" s="174"/>
      <c r="AB47" s="662" t="s">
        <v>33</v>
      </c>
      <c r="AC47" s="663"/>
      <c r="AD47" s="663"/>
      <c r="AE47" s="663"/>
      <c r="AF47" s="232">
        <f>(AF46-AF45)*2.54</f>
        <v>0.11430000000000003</v>
      </c>
      <c r="AG47" s="232">
        <f>(AG46-AG45)*2.54</f>
        <v>5.6133999999999989E-2</v>
      </c>
      <c r="AH47" s="239">
        <f>(AH46-AH45)*2.54</f>
        <v>4.8513999999999981E-2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0.99391304347826115</v>
      </c>
      <c r="AG48" s="142">
        <f>IF(AG47&lt;&gt;"",IF(R24&lt;&gt;"",AG47/R24*100,""),"")</f>
        <v>0.4989688888888888</v>
      </c>
      <c r="AH48" s="173">
        <f>IF(AH47&lt;&gt;"",IF(S24&lt;&gt;"",AH47/S24*100,""),"")</f>
        <v>0.42481611208406284</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0.115</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0.47399999999999998</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0.98499999999999999</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1.6359999999999999</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2.286</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2.9830000000000001</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3.8620000000000001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4.798</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5.6139999999999999</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8.5</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11.122</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13.05</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-1.6299999999999999E-2</v>
      </c>
      <c r="G74" s="75">
        <v>-0.12509999999999999</v>
      </c>
      <c r="J74" s="701"/>
      <c r="K74" s="702"/>
      <c r="L74" s="44"/>
      <c r="M74" s="44"/>
      <c r="N74" s="44"/>
    </row>
    <row r="75" spans="1:94" ht="26.25" customHeight="1" thickBot="1" x14ac:dyDescent="0.3">
      <c r="A75" s="11"/>
      <c r="B75" s="377" t="s">
        <v>113</v>
      </c>
      <c r="C75" s="377"/>
      <c r="D75" s="19"/>
      <c r="E75" s="54" t="s">
        <v>12</v>
      </c>
      <c r="F75" s="55">
        <v>0.22800000000000001</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0.125</v>
      </c>
      <c r="AM75" s="3">
        <f t="shared" ref="AM75:AM86" si="4">((AL75/19.32)*10)</f>
        <v>6.4699792960662528E-2</v>
      </c>
      <c r="AN75" s="5">
        <f>AA22</f>
        <v>6.9400000000000003E-2</v>
      </c>
      <c r="AO75" s="3">
        <f>((AN75/19.32)*10)</f>
        <v>3.5921325051759836E-2</v>
      </c>
      <c r="AP75" s="5">
        <f>AE22</f>
        <v>5.1319999999999998E-2</v>
      </c>
      <c r="AQ75" s="161">
        <f t="shared" ref="AQ75:AQ84" si="5">((AP75/19.32)*10)</f>
        <v>2.6563146997929603E-2</v>
      </c>
    </row>
    <row r="76" spans="1:94" ht="26.25" customHeight="1" thickBot="1" x14ac:dyDescent="0.3">
      <c r="A76" s="11"/>
      <c r="B76" s="377" t="s">
        <v>114</v>
      </c>
      <c r="C76" s="377"/>
      <c r="D76" s="20"/>
      <c r="E76" s="56" t="s">
        <v>13</v>
      </c>
      <c r="F76" s="57">
        <v>1.3694</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0.497</v>
      </c>
      <c r="AM76" s="3">
        <f t="shared" si="4"/>
        <v>0.25724637681159418</v>
      </c>
      <c r="AN76" s="5">
        <f>AA23</f>
        <v>0.31184210526315786</v>
      </c>
      <c r="AO76" s="3">
        <f t="shared" ref="AO76:AO86" si="7">((AN76/19.32)*10)</f>
        <v>0.16140895717554754</v>
      </c>
      <c r="AP76" s="5">
        <f>AE23</f>
        <v>0.20699999999999999</v>
      </c>
      <c r="AQ76" s="161">
        <f t="shared" si="5"/>
        <v>0.10714285714285715</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1.056</v>
      </c>
      <c r="AM77" s="3">
        <f t="shared" si="4"/>
        <v>0.54658385093167705</v>
      </c>
      <c r="AN77" s="5">
        <f>AA24</f>
        <v>0.64802631578947367</v>
      </c>
      <c r="AO77" s="3">
        <f t="shared" si="7"/>
        <v>0.33541734771711884</v>
      </c>
      <c r="AP77" s="5">
        <f>AE24</f>
        <v>0.46899999999999997</v>
      </c>
      <c r="AQ77" s="161">
        <f t="shared" si="5"/>
        <v>0.24275362318840576</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1.732</v>
      </c>
      <c r="AM78" s="3">
        <f t="shared" si="4"/>
        <v>0.89648033126293991</v>
      </c>
      <c r="AN78" s="5">
        <f>AA25</f>
        <v>1.0763157894736841</v>
      </c>
      <c r="AO78" s="3">
        <f t="shared" si="7"/>
        <v>0.55709926991391523</v>
      </c>
      <c r="AP78" s="5">
        <f>AE25</f>
        <v>0.80723684210526314</v>
      </c>
      <c r="AQ78" s="161">
        <f t="shared" si="5"/>
        <v>0.41782445243543637</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2.286</v>
      </c>
      <c r="AM79" s="4">
        <f t="shared" si="4"/>
        <v>1.1832298136645965</v>
      </c>
      <c r="AN79" s="5">
        <f>AA26</f>
        <v>1.5039473684210527</v>
      </c>
      <c r="AO79" s="4">
        <f t="shared" si="7"/>
        <v>0.77844066688460278</v>
      </c>
      <c r="AP79" s="5">
        <f>AE26</f>
        <v>1.1279605263157895</v>
      </c>
      <c r="AQ79" s="162">
        <f t="shared" si="5"/>
        <v>0.58383050016345206</v>
      </c>
      <c r="BB79" s="12">
        <v>17</v>
      </c>
      <c r="BC79" s="12">
        <v>18</v>
      </c>
    </row>
    <row r="80" spans="1:94" ht="42" customHeight="1" thickTop="1" thickBot="1" x14ac:dyDescent="0.3">
      <c r="D80" s="49"/>
      <c r="H80" s="711" t="s">
        <v>105</v>
      </c>
      <c r="I80" s="712"/>
      <c r="J80" s="58"/>
      <c r="AJ80" s="160">
        <f>U28</f>
        <v>0.125</v>
      </c>
      <c r="AK80" s="3">
        <f t="shared" si="6"/>
        <v>3.1749999999999998</v>
      </c>
      <c r="AL80" s="5">
        <f>W28</f>
        <v>3.0979999999999999</v>
      </c>
      <c r="AM80" s="3">
        <f t="shared" si="4"/>
        <v>1.6035196687370599</v>
      </c>
      <c r="AN80" s="5">
        <f>AA28</f>
        <v>1.9625000000000001</v>
      </c>
      <c r="AO80" s="3">
        <f t="shared" si="7"/>
        <v>1.0157867494824018</v>
      </c>
      <c r="AP80" s="5">
        <f>AE28</f>
        <v>1.471875</v>
      </c>
      <c r="AQ80" s="161">
        <f t="shared" si="5"/>
        <v>0.76184006211180133</v>
      </c>
      <c r="BC80" s="45">
        <v>0.99880400000000003</v>
      </c>
      <c r="BD80" s="45">
        <v>0.99862499999999998</v>
      </c>
    </row>
    <row r="81" spans="2:43" ht="15.75" customHeight="1" x14ac:dyDescent="0.25">
      <c r="AJ81" s="160">
        <f>U30</f>
        <v>0.15</v>
      </c>
      <c r="AK81" s="3">
        <f t="shared" si="6"/>
        <v>3.8099999999999996</v>
      </c>
      <c r="AL81" s="5">
        <f>W30</f>
        <v>3.8620000000000001</v>
      </c>
      <c r="AM81" s="3">
        <f t="shared" si="4"/>
        <v>1.9989648033126295</v>
      </c>
      <c r="AN81" s="5">
        <f>AA30</f>
        <v>2.5407894736842107</v>
      </c>
      <c r="AO81" s="3">
        <f t="shared" si="7"/>
        <v>1.3151084232319932</v>
      </c>
      <c r="AP81" s="5">
        <f>AE30</f>
        <v>1.9055921052631581</v>
      </c>
      <c r="AQ81" s="161">
        <f t="shared" si="5"/>
        <v>0.98633131742399494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4.798</v>
      </c>
      <c r="AM82" s="3">
        <f t="shared" si="4"/>
        <v>2.4834368530020705</v>
      </c>
      <c r="AN82" s="5">
        <f>AA31</f>
        <v>3.1565789473684212</v>
      </c>
      <c r="AO82" s="3">
        <f t="shared" si="7"/>
        <v>1.6338400348697832</v>
      </c>
      <c r="AP82" s="5">
        <f>AE31</f>
        <v>2.3674342105263158</v>
      </c>
      <c r="AQ82" s="161">
        <f t="shared" si="5"/>
        <v>1.2253800261523373</v>
      </c>
    </row>
    <row r="83" spans="2:43" ht="15" customHeight="1" x14ac:dyDescent="0.25">
      <c r="B83" s="49"/>
      <c r="C83" s="49"/>
      <c r="D83" s="49">
        <v>0</v>
      </c>
      <c r="E83" s="50">
        <f>M42</f>
        <v>6.9938650306748471</v>
      </c>
      <c r="F83" s="49"/>
      <c r="G83" s="43">
        <f>G84/10</f>
        <v>2.368919100088962</v>
      </c>
      <c r="H83" s="43">
        <f>H84/10</f>
        <v>2.2659833823613966</v>
      </c>
      <c r="I83" s="43">
        <f>I84/10</f>
        <v>2.176691968580343</v>
      </c>
      <c r="J83" s="43">
        <f>J84/10</f>
        <v>2.0476988928208946</v>
      </c>
      <c r="K83" s="43"/>
      <c r="L83" s="42">
        <v>0</v>
      </c>
      <c r="O83" s="706"/>
      <c r="P83" s="706"/>
      <c r="Q83" s="706"/>
      <c r="R83" s="706"/>
      <c r="S83" s="707"/>
      <c r="W83" s="112"/>
      <c r="AJ83" s="160">
        <f>U33</f>
        <v>0.2</v>
      </c>
      <c r="AK83" s="4">
        <f t="shared" si="6"/>
        <v>5.08</v>
      </c>
      <c r="AL83" s="5">
        <f>W33</f>
        <v>5.6139999999999999</v>
      </c>
      <c r="AM83" s="4">
        <f t="shared" si="4"/>
        <v>2.9057971014492749</v>
      </c>
      <c r="AN83" s="5">
        <f>AA33</f>
        <v>3.6934210526315789</v>
      </c>
      <c r="AO83" s="4">
        <f t="shared" si="7"/>
        <v>1.9117086193745234</v>
      </c>
      <c r="AP83" s="5">
        <f>AE33</f>
        <v>2.7700657894736844</v>
      </c>
      <c r="AQ83" s="162">
        <f t="shared" si="5"/>
        <v>1.4337814645308924</v>
      </c>
    </row>
    <row r="84" spans="2:43" ht="15" customHeight="1" x14ac:dyDescent="0.25">
      <c r="C84" s="94"/>
      <c r="D84" s="94"/>
      <c r="E84" s="94"/>
      <c r="F84" s="49"/>
      <c r="G84" s="43">
        <f>($M$34/(1+(E34*$M$34/100)))*($O$73)</f>
        <v>23.689191000889618</v>
      </c>
      <c r="H84" s="43">
        <f>($M$34/(1+(F34*$M$34/100)))*($O$73)</f>
        <v>22.659833823613965</v>
      </c>
      <c r="I84" s="43">
        <f>($M$34/(1+(G34*$M$34/100)))*($O$73)</f>
        <v>21.76691968580343</v>
      </c>
      <c r="J84" s="43">
        <f>($M$34/(1+(H34*$M$34/100)))*($O$73)</f>
        <v>20.476988928208947</v>
      </c>
      <c r="K84" s="43"/>
      <c r="O84" s="706" t="s">
        <v>146</v>
      </c>
      <c r="P84" s="706"/>
      <c r="Q84" s="706"/>
      <c r="R84" s="706"/>
      <c r="S84" s="707">
        <v>2240</v>
      </c>
      <c r="W84" s="112"/>
      <c r="AJ84" s="160">
        <f>U34</f>
        <v>0.3</v>
      </c>
      <c r="AK84" s="3">
        <f t="shared" si="6"/>
        <v>7.6199999999999992</v>
      </c>
      <c r="AL84" s="5">
        <f>W34</f>
        <v>8.5</v>
      </c>
      <c r="AM84" s="3">
        <f t="shared" si="4"/>
        <v>4.3995859213250519</v>
      </c>
      <c r="AN84" s="5">
        <f>AA34</f>
        <v>5.5919999999999996</v>
      </c>
      <c r="AO84" s="3">
        <f t="shared" si="7"/>
        <v>2.8944099378881987</v>
      </c>
      <c r="AP84" s="5">
        <f>AE34</f>
        <v>4.1940789473684212</v>
      </c>
      <c r="AQ84" s="161">
        <f t="shared" si="5"/>
        <v>2.1708483164432821</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11.122</v>
      </c>
      <c r="AM85" s="3">
        <f t="shared" si="4"/>
        <v>5.7567287784679086</v>
      </c>
      <c r="AN85" s="5">
        <f>AA35</f>
        <v>7.3171052631578943</v>
      </c>
      <c r="AO85" s="3">
        <f t="shared" si="7"/>
        <v>3.7873215647815188</v>
      </c>
      <c r="AP85" s="5">
        <f>AE35</f>
        <v>5.2754000000000003</v>
      </c>
      <c r="AQ85" s="161">
        <f>((AP85/19.32)*10)</f>
        <v>2.7305383022774325</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12.678900000000001</v>
      </c>
      <c r="AM86" s="164">
        <f t="shared" si="4"/>
        <v>6.5625776397515532</v>
      </c>
      <c r="AN86" s="165">
        <f>AA37</f>
        <v>8.5855263157894743</v>
      </c>
      <c r="AO86" s="164">
        <f t="shared" si="7"/>
        <v>4.4438542007191897</v>
      </c>
      <c r="AP86" s="165">
        <f>AE37</f>
        <v>5.8795000000000002</v>
      </c>
      <c r="AQ86" s="166">
        <f>((AP86/19.32)*10)</f>
        <v>3.0432194616977224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2.1483628756063595</v>
      </c>
      <c r="AK91" s="9">
        <f>R31</f>
        <v>2.0109027911588413</v>
      </c>
      <c r="AL91" s="10">
        <f>S31</f>
        <v>1.8109062617301852</v>
      </c>
    </row>
    <row r="92" spans="2:43" ht="21" customHeight="1" thickBot="1" x14ac:dyDescent="0.3">
      <c r="B92" s="92"/>
      <c r="C92" s="93"/>
      <c r="D92" s="93"/>
      <c r="E92" s="93"/>
      <c r="F92" s="62"/>
      <c r="G92" s="63"/>
      <c r="H92" s="49"/>
      <c r="I92" s="49"/>
      <c r="O92" s="725" t="s">
        <v>147</v>
      </c>
      <c r="P92" s="726"/>
      <c r="Q92" s="726"/>
      <c r="R92" s="726"/>
      <c r="S92" s="61">
        <f>M42</f>
        <v>6.9938650306748471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17.14825816905212</v>
      </c>
      <c r="AK94" s="158">
        <f>AA42</f>
        <v>11.281748795429024</v>
      </c>
      <c r="AL94" s="158">
        <f>AD42</f>
        <v>8.4613115965717682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346" priority="47">
      <formula>LEN(TRIM(D6))=0</formula>
    </cfRule>
  </conditionalFormatting>
  <conditionalFormatting sqref="D6:H10">
    <cfRule type="containsBlanks" dxfId="1345" priority="46">
      <formula>LEN(TRIM(D6))=0</formula>
    </cfRule>
  </conditionalFormatting>
  <conditionalFormatting sqref="M19">
    <cfRule type="containsBlanks" dxfId="1344" priority="45">
      <formula>LEN(TRIM(M19))=0</formula>
    </cfRule>
  </conditionalFormatting>
  <conditionalFormatting sqref="CP70">
    <cfRule type="containsBlanks" dxfId="1343" priority="44">
      <formula>LEN(TRIM(CP70))=0</formula>
    </cfRule>
  </conditionalFormatting>
  <conditionalFormatting sqref="M21">
    <cfRule type="containsBlanks" dxfId="1342" priority="43">
      <formula>LEN(TRIM(M21))=0</formula>
    </cfRule>
  </conditionalFormatting>
  <conditionalFormatting sqref="D12:M12">
    <cfRule type="containsBlanks" dxfId="1341" priority="42">
      <formula>LEN(TRIM(D12))=0</formula>
    </cfRule>
  </conditionalFormatting>
  <conditionalFormatting sqref="L9:M9">
    <cfRule type="containsBlanks" dxfId="1340" priority="41">
      <formula>LEN(TRIM(L9))=0</formula>
    </cfRule>
  </conditionalFormatting>
  <conditionalFormatting sqref="L25">
    <cfRule type="containsBlanks" dxfId="1339" priority="40">
      <formula>LEN(TRIM(L25))=0</formula>
    </cfRule>
  </conditionalFormatting>
  <conditionalFormatting sqref="Q20:S21">
    <cfRule type="containsBlanks" dxfId="1338" priority="33">
      <formula>LEN(TRIM(Q20))=0</formula>
    </cfRule>
    <cfRule type="containsBlanks" dxfId="1337" priority="39">
      <formula>LEN(TRIM(Q20))=0</formula>
    </cfRule>
  </conditionalFormatting>
  <conditionalFormatting sqref="U26:V27 AC33 AC26">
    <cfRule type="cellIs" dxfId="1336" priority="38" operator="between">
      <formula>0</formula>
      <formula>500</formula>
    </cfRule>
  </conditionalFormatting>
  <conditionalFormatting sqref="U33:V33">
    <cfRule type="cellIs" dxfId="1335" priority="37" operator="between">
      <formula>0</formula>
      <formula>500</formula>
    </cfRule>
  </conditionalFormatting>
  <conditionalFormatting sqref="AF45:AH46">
    <cfRule type="containsBlanks" dxfId="1334" priority="36">
      <formula>LEN(TRIM(AF45))=0</formula>
    </cfRule>
  </conditionalFormatting>
  <conditionalFormatting sqref="AF51:AG53">
    <cfRule type="containsBlanks" dxfId="1333" priority="35">
      <formula>LEN(TRIM(AF51))=0</formula>
    </cfRule>
  </conditionalFormatting>
  <conditionalFormatting sqref="E20:H24">
    <cfRule type="containsBlanks" dxfId="1332" priority="34">
      <formula>LEN(TRIM(E20))=0</formula>
    </cfRule>
  </conditionalFormatting>
  <conditionalFormatting sqref="M25">
    <cfRule type="containsBlanks" dxfId="1331" priority="32">
      <formula>LEN(TRIM(M25))=0</formula>
    </cfRule>
  </conditionalFormatting>
  <conditionalFormatting sqref="U26:V27 Y26:Z27 AC26:AD27 AG26:AG27">
    <cfRule type="containsBlanks" dxfId="1330" priority="30">
      <formula>LEN(TRIM(U26))=0</formula>
    </cfRule>
    <cfRule type="cellIs" dxfId="1329" priority="31" operator="between">
      <formula>0</formula>
      <formula>1000</formula>
    </cfRule>
  </conditionalFormatting>
  <conditionalFormatting sqref="W87:W88">
    <cfRule type="cellIs" dxfId="1328" priority="29" operator="between">
      <formula>0</formula>
      <formula>500</formula>
    </cfRule>
  </conditionalFormatting>
  <conditionalFormatting sqref="W94">
    <cfRule type="cellIs" dxfId="1327" priority="28" operator="between">
      <formula>0</formula>
      <formula>500</formula>
    </cfRule>
  </conditionalFormatting>
  <conditionalFormatting sqref="W87:W88">
    <cfRule type="containsBlanks" dxfId="1326" priority="26">
      <formula>LEN(TRIM(W87))=0</formula>
    </cfRule>
    <cfRule type="cellIs" dxfId="1325" priority="27" operator="between">
      <formula>0</formula>
      <formula>1000</formula>
    </cfRule>
  </conditionalFormatting>
  <conditionalFormatting sqref="U33:V33 Y33:Z33 AC33:AD33 AG33">
    <cfRule type="cellIs" dxfId="1324" priority="25" operator="between">
      <formula>0</formula>
      <formula>1000</formula>
    </cfRule>
  </conditionalFormatting>
  <conditionalFormatting sqref="Q27:S27">
    <cfRule type="containsBlanks" dxfId="1323" priority="23">
      <formula>LEN(TRIM(Q27))=0</formula>
    </cfRule>
    <cfRule type="containsBlanks" dxfId="1322" priority="24">
      <formula>LEN(TRIM(Q27))=0</formula>
    </cfRule>
  </conditionalFormatting>
  <conditionalFormatting sqref="W30:W31 W33:W35 W37 W28 W22:W26">
    <cfRule type="containsBlanks" dxfId="1321" priority="22">
      <formula>LEN(TRIM(W22))=0</formula>
    </cfRule>
  </conditionalFormatting>
  <conditionalFormatting sqref="W37 W30:W31 W33:W35 W28 W22:W26">
    <cfRule type="containsBlanks" dxfId="1320" priority="21">
      <formula>LEN(TRIM(W22))=0</formula>
    </cfRule>
  </conditionalFormatting>
  <conditionalFormatting sqref="W33:X33">
    <cfRule type="cellIs" dxfId="1319" priority="20" operator="between">
      <formula>0</formula>
      <formula>1000</formula>
    </cfRule>
  </conditionalFormatting>
  <conditionalFormatting sqref="W30:X37 W26 W28 W22:X25">
    <cfRule type="containsBlanks" dxfId="1318" priority="19">
      <formula>LEN(TRIM(W22))=0</formula>
    </cfRule>
  </conditionalFormatting>
  <conditionalFormatting sqref="AA37 AA30:AA31 AA33 AA22:AA26 AA28 AA35">
    <cfRule type="containsBlanks" dxfId="1317" priority="18">
      <formula>LEN(TRIM(AA22))=0</formula>
    </cfRule>
  </conditionalFormatting>
  <conditionalFormatting sqref="AA37 AA30:AA31 AA33 AA22:AA26 AA28 AA35">
    <cfRule type="containsBlanks" dxfId="1316" priority="17">
      <formula>LEN(TRIM(AA22))=0</formula>
    </cfRule>
  </conditionalFormatting>
  <conditionalFormatting sqref="AA33:AB33">
    <cfRule type="cellIs" dxfId="1315" priority="16" operator="between">
      <formula>0</formula>
      <formula>1000</formula>
    </cfRule>
  </conditionalFormatting>
  <conditionalFormatting sqref="AA30:AB30 AA31 AA33:AB33 AA22:AB25 AA26 AA28 AA35:AB37">
    <cfRule type="containsBlanks" dxfId="1314" priority="15">
      <formula>LEN(TRIM(AA22))=0</formula>
    </cfRule>
  </conditionalFormatting>
  <conditionalFormatting sqref="AE37 AE28 AE30:AE31 AE33:AE35 AE22:AE26">
    <cfRule type="containsBlanks" dxfId="1313" priority="14">
      <formula>LEN(TRIM(AE22))=0</formula>
    </cfRule>
  </conditionalFormatting>
  <conditionalFormatting sqref="AE37 AE28 AE30:AE31 AE33:AE35 AE22:AE26">
    <cfRule type="containsBlanks" dxfId="1312" priority="13">
      <formula>LEN(TRIM(AE22))=0</formula>
    </cfRule>
  </conditionalFormatting>
  <conditionalFormatting sqref="AE33:AF33">
    <cfRule type="cellIs" dxfId="1311" priority="12" operator="between">
      <formula>0</formula>
      <formula>1000</formula>
    </cfRule>
  </conditionalFormatting>
  <conditionalFormatting sqref="AE33:AF37 AE26 AE28 AE30:AE31 AE22:AF25">
    <cfRule type="containsBlanks" dxfId="1310" priority="11">
      <formula>LEN(TRIM(AE22))=0</formula>
    </cfRule>
  </conditionalFormatting>
  <conditionalFormatting sqref="K6:M6">
    <cfRule type="containsBlanks" dxfId="1309" priority="10">
      <formula>LEN(TRIM(K6))=0</formula>
    </cfRule>
  </conditionalFormatting>
  <conditionalFormatting sqref="K7:K8">
    <cfRule type="containsBlanks" dxfId="1308" priority="9">
      <formula>LEN(TRIM(K7))=0</formula>
    </cfRule>
  </conditionalFormatting>
  <conditionalFormatting sqref="D13:M13">
    <cfRule type="containsBlanks" dxfId="1307" priority="8">
      <formula>LEN(TRIM(D13))=0</formula>
    </cfRule>
  </conditionalFormatting>
  <conditionalFormatting sqref="B6:B10">
    <cfRule type="containsBlanks" dxfId="1306" priority="7">
      <formula>LEN(TRIM(B6))=0</formula>
    </cfRule>
  </conditionalFormatting>
  <conditionalFormatting sqref="B12:B13">
    <cfRule type="containsBlanks" dxfId="1305" priority="6">
      <formula>LEN(TRIM(B12))=0</formula>
    </cfRule>
  </conditionalFormatting>
  <conditionalFormatting sqref="E28:H33">
    <cfRule type="containsBlanks" dxfId="1304" priority="5">
      <formula>LEN(TRIM(E28))=0</formula>
    </cfRule>
  </conditionalFormatting>
  <conditionalFormatting sqref="Q22:S26">
    <cfRule type="containsBlanks" dxfId="1303" priority="3">
      <formula>LEN(TRIM(Q22))=0</formula>
    </cfRule>
    <cfRule type="containsBlanks" dxfId="1302" priority="4">
      <formula>LEN(TRIM(Q22))=0</formula>
    </cfRule>
  </conditionalFormatting>
  <conditionalFormatting sqref="Q34:S39">
    <cfRule type="containsBlanks" dxfId="1301" priority="2">
      <formula>LEN(TRIM(Q34))=0</formula>
    </cfRule>
  </conditionalFormatting>
  <conditionalFormatting sqref="Q42:S46">
    <cfRule type="containsBlanks" dxfId="1300" priority="1">
      <formula>LEN(TRIM(Q42))=0</formula>
    </cfRule>
  </conditionalFormatting>
  <dataValidations count="5">
    <dataValidation type="list" allowBlank="1" showInputMessage="1" showErrorMessage="1" sqref="D12:E12" xr:uid="{00000000-0002-0000-1F00-000000000000}">
      <formula1>$B$87:$B$94</formula1>
    </dataValidation>
    <dataValidation type="list" allowBlank="1" showInputMessage="1" showErrorMessage="1" sqref="CP70" xr:uid="{00000000-0002-0000-1F00-000001000000}">
      <formula1>$BA$3:$BA$5</formula1>
    </dataValidation>
    <dataValidation type="list" allowBlank="1" showInputMessage="1" showErrorMessage="1" sqref="M19" xr:uid="{00000000-0002-0000-1F00-000002000000}">
      <formula1>$AX$3:$AX$5</formula1>
    </dataValidation>
    <dataValidation type="list" allowBlank="1" showInputMessage="1" showErrorMessage="1" sqref="M21" xr:uid="{00000000-0002-0000-1F00-000003000000}">
      <formula1>$AX$3:$AX$4</formula1>
    </dataValidation>
    <dataValidation type="list" allowBlank="1" showInputMessage="1" showErrorMessage="1" sqref="L25" xr:uid="{00000000-0002-0000-1F00-000004000000}">
      <formula1>$D$101:$D$104</formula1>
    </dataValidation>
  </dataValidations>
  <hyperlinks>
    <hyperlink ref="D8" r:id="rId1" xr:uid="{00000000-0004-0000-1F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51553"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51554"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51555"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5155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5155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51558"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51559"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5156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5156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5156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76">
    <tabColor rgb="FF92D050"/>
  </sheetPr>
  <dimension ref="A1:CP153"/>
  <sheetViews>
    <sheetView view="pageBreakPreview" topLeftCell="A34" zoomScale="98" zoomScaleNormal="100" zoomScaleSheetLayoutView="98"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25-P-MEDIACANOA AP3 -2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25-P-MEDIACANOA AP3 -2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266</v>
      </c>
      <c r="G12" s="31" t="s">
        <v>4</v>
      </c>
      <c r="H12" s="146">
        <v>2</v>
      </c>
      <c r="I12" s="546" t="s">
        <v>5</v>
      </c>
      <c r="J12" s="546"/>
      <c r="K12" s="209">
        <v>0.8</v>
      </c>
      <c r="L12" s="32" t="s">
        <v>6</v>
      </c>
      <c r="M12" s="147">
        <v>1.5</v>
      </c>
      <c r="N12" s="78"/>
      <c r="O12" s="501" t="s">
        <v>3</v>
      </c>
      <c r="P12" s="501"/>
      <c r="Q12" s="225" t="s">
        <v>234</v>
      </c>
      <c r="R12" s="224" t="str">
        <f>F12</f>
        <v xml:space="preserve">P-MEDIACANOA AP3 </v>
      </c>
      <c r="S12" s="224"/>
      <c r="T12" s="502" t="s">
        <v>4</v>
      </c>
      <c r="U12" s="502"/>
      <c r="V12" s="33">
        <f>+H12</f>
        <v>2</v>
      </c>
      <c r="W12" s="547" t="s">
        <v>5</v>
      </c>
      <c r="X12" s="547"/>
      <c r="Y12" s="547"/>
      <c r="Z12" s="547"/>
      <c r="AA12" s="547"/>
      <c r="AB12" s="547"/>
      <c r="AC12" s="34">
        <f>K12</f>
        <v>0.8</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269</v>
      </c>
      <c r="E13" s="479"/>
      <c r="F13" s="479"/>
      <c r="G13" s="479"/>
      <c r="H13" s="479"/>
      <c r="I13" s="479"/>
      <c r="J13" s="479"/>
      <c r="K13" s="479"/>
      <c r="L13" s="479"/>
      <c r="M13" s="480"/>
      <c r="N13" s="188"/>
      <c r="O13" s="526" t="s">
        <v>130</v>
      </c>
      <c r="P13" s="526"/>
      <c r="Q13" s="527" t="str">
        <f>D13</f>
        <v>ARCILLA, CON ALGUNAS GRAVAS ANGULARES, COLOR MARRÓN, CONSISTENCIA BLANDA,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v>56</v>
      </c>
      <c r="G20" s="148">
        <v>56</v>
      </c>
      <c r="H20" s="149">
        <v>56</v>
      </c>
      <c r="I20" s="174"/>
      <c r="J20" s="562" t="s">
        <v>96</v>
      </c>
      <c r="K20" s="562"/>
      <c r="L20" s="562"/>
      <c r="M20" s="39" t="str">
        <f>IF(M19=" ","-",IF(M19=" ","-",IF(M19=AX4,AW4,IF(M19=AX3,AW3))))</f>
        <v>18 ± 0,05 in</v>
      </c>
      <c r="N20" s="103"/>
      <c r="O20" s="560" t="s">
        <v>24</v>
      </c>
      <c r="P20" s="561"/>
      <c r="Q20" s="156">
        <v>503</v>
      </c>
      <c r="R20" s="156">
        <v>428</v>
      </c>
      <c r="S20" s="157">
        <v>506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7115</v>
      </c>
      <c r="F22" s="150">
        <v>7442</v>
      </c>
      <c r="G22" s="150">
        <v>7572</v>
      </c>
      <c r="H22" s="151">
        <v>7323</v>
      </c>
      <c r="I22" s="174"/>
      <c r="J22" s="578"/>
      <c r="K22" s="578"/>
      <c r="L22" s="578"/>
      <c r="M22" s="104"/>
      <c r="N22" s="103"/>
      <c r="O22" s="579" t="s">
        <v>132</v>
      </c>
      <c r="P22" s="580"/>
      <c r="Q22" s="219">
        <v>8418</v>
      </c>
      <c r="R22" s="219">
        <v>8174</v>
      </c>
      <c r="S22" s="208">
        <v>7845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5.8999999999999997E-2</v>
      </c>
      <c r="AJ22" s="42">
        <f>AJ50/1.52</f>
        <v>3.8815789473684206E-2</v>
      </c>
      <c r="AK22" s="42">
        <f>AJ22*0.75</f>
        <v>2.9111842105263155E-2</v>
      </c>
      <c r="AO22" s="42">
        <v>0.06</v>
      </c>
      <c r="AS22" s="42">
        <f>AO22/1.23</f>
        <v>4.878048780487805E-2</v>
      </c>
    </row>
    <row r="23" spans="1:45" ht="24.95" customHeight="1" x14ac:dyDescent="0.25">
      <c r="A23" s="103"/>
      <c r="B23" s="583" t="s">
        <v>68</v>
      </c>
      <c r="C23" s="584"/>
      <c r="D23" s="584"/>
      <c r="E23" s="150">
        <v>2884</v>
      </c>
      <c r="F23" s="150">
        <v>2884</v>
      </c>
      <c r="G23" s="150">
        <v>2884</v>
      </c>
      <c r="H23" s="151">
        <v>2884</v>
      </c>
      <c r="I23" s="174"/>
      <c r="J23" s="587" t="s">
        <v>165</v>
      </c>
      <c r="K23" s="588"/>
      <c r="L23" s="588"/>
      <c r="M23" s="589"/>
      <c r="N23" s="103"/>
      <c r="O23" s="579" t="s">
        <v>27</v>
      </c>
      <c r="P23" s="580"/>
      <c r="Q23" s="150">
        <v>3852</v>
      </c>
      <c r="R23" s="150">
        <v>3848</v>
      </c>
      <c r="S23" s="151">
        <v>3864</v>
      </c>
      <c r="T23" s="174"/>
      <c r="U23" s="112">
        <v>2.5000000000000001E-2</v>
      </c>
      <c r="V23" s="113">
        <f>U23*25.4</f>
        <v>0.63500000000000001</v>
      </c>
      <c r="W23" s="581">
        <f>AI23</f>
        <v>0.17</v>
      </c>
      <c r="X23" s="582"/>
      <c r="Y23" s="449">
        <f>((W23/19.32)*10)</f>
        <v>8.7991718426501039E-2</v>
      </c>
      <c r="Z23" s="450"/>
      <c r="AA23" s="581">
        <v>0.11</v>
      </c>
      <c r="AB23" s="582"/>
      <c r="AC23" s="449">
        <f>((AA23/19.32)*10)</f>
        <v>5.6935817805383024E-2</v>
      </c>
      <c r="AD23" s="450"/>
      <c r="AE23" s="581">
        <v>7.8E-2</v>
      </c>
      <c r="AF23" s="582"/>
      <c r="AG23" s="114">
        <f>((AE23/19.32)*10)</f>
        <v>4.0372670807453416E-2</v>
      </c>
      <c r="AH23" s="104"/>
      <c r="AI23" s="42">
        <f t="shared" ref="AI23:AI33" si="0">AJ51</f>
        <v>0.17</v>
      </c>
      <c r="AJ23" s="42">
        <f t="shared" ref="AJ23:AJ33" si="1">AJ51/1.52</f>
        <v>0.1118421052631579</v>
      </c>
      <c r="AK23" s="42">
        <f t="shared" ref="AK23:AK33" si="2">AJ23*0.75</f>
        <v>8.3881578947368418E-2</v>
      </c>
      <c r="AO23" s="42">
        <v>0.247</v>
      </c>
      <c r="AS23" s="42">
        <f t="shared" ref="AS23:AS37" si="3">AO23/1.23</f>
        <v>0.20081300813008129</v>
      </c>
    </row>
    <row r="24" spans="1:45" ht="24.95" customHeight="1" thickBot="1" x14ac:dyDescent="0.3">
      <c r="A24" s="103"/>
      <c r="B24" s="583" t="s">
        <v>70</v>
      </c>
      <c r="C24" s="584"/>
      <c r="D24" s="584"/>
      <c r="E24" s="150">
        <v>2148</v>
      </c>
      <c r="F24" s="150">
        <v>2148</v>
      </c>
      <c r="G24" s="150">
        <v>2148</v>
      </c>
      <c r="H24" s="151">
        <v>2148</v>
      </c>
      <c r="I24" s="174"/>
      <c r="J24" s="590"/>
      <c r="K24" s="591"/>
      <c r="L24" s="591"/>
      <c r="M24" s="592"/>
      <c r="N24" s="103"/>
      <c r="O24" s="585" t="s">
        <v>35</v>
      </c>
      <c r="P24" s="586"/>
      <c r="Q24" s="152">
        <v>11.6</v>
      </c>
      <c r="R24" s="152">
        <v>11.66</v>
      </c>
      <c r="S24" s="153">
        <v>11.61</v>
      </c>
      <c r="T24" s="174"/>
      <c r="U24" s="112">
        <v>0.05</v>
      </c>
      <c r="V24" s="113">
        <f>U24*25.4</f>
        <v>1.27</v>
      </c>
      <c r="W24" s="581">
        <f>AI24</f>
        <v>0.32900000000000001</v>
      </c>
      <c r="X24" s="582"/>
      <c r="Y24" s="449">
        <f>((W24/19.32)*10)</f>
        <v>0.17028985507246377</v>
      </c>
      <c r="Z24" s="450"/>
      <c r="AA24" s="581">
        <f>AJ24</f>
        <v>0.21644736842105264</v>
      </c>
      <c r="AB24" s="582"/>
      <c r="AC24" s="449">
        <f>((AA24/19.32)*10)</f>
        <v>0.11203279938977879</v>
      </c>
      <c r="AD24" s="450"/>
      <c r="AE24" s="581">
        <f>AK24</f>
        <v>0.16233552631578949</v>
      </c>
      <c r="AF24" s="582"/>
      <c r="AG24" s="114">
        <f>((AE24/19.32)*10)</f>
        <v>8.40245995423341E-2</v>
      </c>
      <c r="AH24" s="104"/>
      <c r="AI24" s="42">
        <f t="shared" si="0"/>
        <v>0.32900000000000001</v>
      </c>
      <c r="AJ24" s="42">
        <f t="shared" si="1"/>
        <v>0.21644736842105264</v>
      </c>
      <c r="AK24" s="42">
        <f t="shared" si="2"/>
        <v>0.16233552631578949</v>
      </c>
      <c r="AO24" s="42">
        <v>0.68400000000000005</v>
      </c>
      <c r="AS24" s="42">
        <f t="shared" si="3"/>
        <v>0.55609756097560981</v>
      </c>
    </row>
    <row r="25" spans="1:45" ht="24.95" customHeight="1" thickBot="1" x14ac:dyDescent="0.3">
      <c r="A25" s="103"/>
      <c r="B25" s="602" t="s">
        <v>69</v>
      </c>
      <c r="C25" s="603"/>
      <c r="D25" s="603"/>
      <c r="E25" s="115">
        <f>E22-E23</f>
        <v>4231</v>
      </c>
      <c r="F25" s="115">
        <f>F22-F23</f>
        <v>4558</v>
      </c>
      <c r="G25" s="115">
        <f>G22-G23</f>
        <v>4688</v>
      </c>
      <c r="H25" s="116">
        <f>H22-H23</f>
        <v>4439</v>
      </c>
      <c r="I25" s="174"/>
      <c r="J25" s="174" t="s">
        <v>127</v>
      </c>
      <c r="K25" s="174"/>
      <c r="L25" s="218" t="s">
        <v>128</v>
      </c>
      <c r="M25" s="155">
        <v>13.25</v>
      </c>
      <c r="N25" s="103"/>
      <c r="O25" s="604" t="s">
        <v>46</v>
      </c>
      <c r="P25" s="605"/>
      <c r="Q25" s="608">
        <v>15.25</v>
      </c>
      <c r="R25" s="608">
        <v>15.24</v>
      </c>
      <c r="S25" s="620">
        <v>15.26</v>
      </c>
      <c r="T25" s="174"/>
      <c r="U25" s="112">
        <v>7.4999999999999997E-2</v>
      </c>
      <c r="V25" s="113">
        <f>U25*25.4</f>
        <v>1.9049999999999998</v>
      </c>
      <c r="W25" s="581">
        <f>AI25</f>
        <v>0.52</v>
      </c>
      <c r="X25" s="582"/>
      <c r="Y25" s="449">
        <f>((W25/19.32)*10)</f>
        <v>0.2691511387163561</v>
      </c>
      <c r="Z25" s="450"/>
      <c r="AA25" s="581">
        <f>AJ25</f>
        <v>0.34210526315789475</v>
      </c>
      <c r="AB25" s="582"/>
      <c r="AC25" s="449">
        <f>((AA25/19.32)*10)</f>
        <v>0.17707311757655009</v>
      </c>
      <c r="AD25" s="450"/>
      <c r="AE25" s="581">
        <f>AK25</f>
        <v>0.25657894736842107</v>
      </c>
      <c r="AF25" s="582"/>
      <c r="AG25" s="114">
        <f>((AE25/19.32)*10)</f>
        <v>0.13280483818241257</v>
      </c>
      <c r="AH25" s="104"/>
      <c r="AI25" s="42">
        <f t="shared" si="0"/>
        <v>0.52</v>
      </c>
      <c r="AJ25" s="42">
        <f t="shared" si="1"/>
        <v>0.34210526315789475</v>
      </c>
      <c r="AK25" s="42">
        <f t="shared" si="2"/>
        <v>0.25657894736842107</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13.25</v>
      </c>
      <c r="N26" s="103"/>
      <c r="O26" s="606"/>
      <c r="P26" s="607"/>
      <c r="Q26" s="609"/>
      <c r="R26" s="609"/>
      <c r="S26" s="621"/>
      <c r="T26" s="174"/>
      <c r="U26" s="600">
        <v>0.1</v>
      </c>
      <c r="V26" s="601">
        <f>U26*25.4</f>
        <v>2.54</v>
      </c>
      <c r="W26" s="778">
        <f>AI26</f>
        <v>0.69</v>
      </c>
      <c r="X26" s="779"/>
      <c r="Y26" s="461">
        <f>((W26/19.32)*10)</f>
        <v>0.3571428571428571</v>
      </c>
      <c r="Z26" s="462"/>
      <c r="AA26" s="746">
        <f>AJ26</f>
        <v>0.4539473684210526</v>
      </c>
      <c r="AB26" s="747"/>
      <c r="AC26" s="461">
        <f>((AA26/19.32)*10)</f>
        <v>0.23496240601503759</v>
      </c>
      <c r="AD26" s="462"/>
      <c r="AE26" s="746">
        <f>AK26</f>
        <v>0.34046052631578944</v>
      </c>
      <c r="AF26" s="747"/>
      <c r="AG26" s="469">
        <f>((AE26/19.32)*10)</f>
        <v>0.17622180451127817</v>
      </c>
      <c r="AH26" s="104"/>
      <c r="AI26" s="42">
        <f t="shared" si="0"/>
        <v>0.69</v>
      </c>
      <c r="AJ26" s="42">
        <f t="shared" si="1"/>
        <v>0.4539473684210526</v>
      </c>
      <c r="AK26" s="42">
        <f t="shared" si="2"/>
        <v>0.34046052631578944</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2126.9553142596565</v>
      </c>
      <c r="S27" s="153">
        <f>(PI()*((S25^2)/4)*S24)</f>
        <v>2123.3968479688983</v>
      </c>
      <c r="T27" s="174"/>
      <c r="U27" s="600"/>
      <c r="V27" s="601"/>
      <c r="W27" s="780"/>
      <c r="X27" s="781"/>
      <c r="Y27" s="463"/>
      <c r="Z27" s="464"/>
      <c r="AA27" s="748"/>
      <c r="AB27" s="749"/>
      <c r="AC27" s="463"/>
      <c r="AD27" s="464"/>
      <c r="AE27" s="748"/>
      <c r="AF27" s="749"/>
      <c r="AG27" s="470"/>
      <c r="AH27" s="193"/>
      <c r="AI27" s="42">
        <f t="shared" si="0"/>
        <v>0.85599999999999998</v>
      </c>
      <c r="AJ27" s="42">
        <f t="shared" si="1"/>
        <v>0.56315789473684208</v>
      </c>
      <c r="AK27" s="42">
        <f t="shared" si="2"/>
        <v>0.42236842105263156</v>
      </c>
      <c r="AO27" s="42">
        <v>2.387</v>
      </c>
      <c r="AS27" s="42">
        <f t="shared" si="3"/>
        <v>1.9406504065040651</v>
      </c>
    </row>
    <row r="28" spans="1:45" ht="24.95" customHeight="1" thickBot="1" x14ac:dyDescent="0.3">
      <c r="A28" s="103"/>
      <c r="B28" s="560" t="s">
        <v>9</v>
      </c>
      <c r="C28" s="561"/>
      <c r="D28" s="561"/>
      <c r="E28" s="148">
        <v>511</v>
      </c>
      <c r="F28" s="148">
        <v>601</v>
      </c>
      <c r="G28" s="148">
        <v>698</v>
      </c>
      <c r="H28" s="149">
        <v>286</v>
      </c>
      <c r="I28" s="174"/>
      <c r="J28" s="597" t="s">
        <v>107</v>
      </c>
      <c r="K28" s="597"/>
      <c r="L28" s="562" t="s">
        <v>119</v>
      </c>
      <c r="M28" s="459">
        <f>IF(M26="","",(100-M26))</f>
        <v>86.75</v>
      </c>
      <c r="N28" s="103"/>
      <c r="O28" s="625" t="s">
        <v>136</v>
      </c>
      <c r="P28" s="626"/>
      <c r="Q28" s="220">
        <f>Q22-Q23</f>
        <v>4566</v>
      </c>
      <c r="R28" s="220">
        <f>R22-R23</f>
        <v>4326</v>
      </c>
      <c r="S28" s="220">
        <f>S22-S23</f>
        <v>3981</v>
      </c>
      <c r="T28" s="174"/>
      <c r="U28" s="627">
        <v>0.125</v>
      </c>
      <c r="V28" s="624">
        <f>U28*25.4</f>
        <v>3.1749999999999998</v>
      </c>
      <c r="W28" s="593">
        <f>AI27</f>
        <v>0.85599999999999998</v>
      </c>
      <c r="X28" s="594"/>
      <c r="Y28" s="439">
        <f>((W28/19.32)*10)</f>
        <v>0.44306418219461696</v>
      </c>
      <c r="Z28" s="440"/>
      <c r="AA28" s="593">
        <f>AJ27</f>
        <v>0.56315789473684208</v>
      </c>
      <c r="AB28" s="594"/>
      <c r="AC28" s="439">
        <f>((AA28/19.32)*10)</f>
        <v>0.2914895935490901</v>
      </c>
      <c r="AD28" s="440"/>
      <c r="AE28" s="593">
        <f>AK27</f>
        <v>0.42236842105263156</v>
      </c>
      <c r="AF28" s="594"/>
      <c r="AG28" s="443">
        <f>((AE28/19.32)*10)</f>
        <v>0.2186171951618176</v>
      </c>
      <c r="AH28" s="104"/>
      <c r="AI28" s="42">
        <f t="shared" si="0"/>
        <v>1.0640000000000001</v>
      </c>
      <c r="AJ28" s="42">
        <f t="shared" si="1"/>
        <v>0.70000000000000007</v>
      </c>
      <c r="AK28" s="42">
        <f t="shared" si="2"/>
        <v>0.52500000000000002</v>
      </c>
      <c r="AO28" s="42">
        <v>2.8959999999999999</v>
      </c>
      <c r="AS28" s="42">
        <f t="shared" si="3"/>
        <v>2.3544715447154472</v>
      </c>
    </row>
    <row r="29" spans="1:45" ht="5.0999999999999996" customHeight="1" thickBot="1" x14ac:dyDescent="0.3">
      <c r="A29" s="103"/>
      <c r="B29" s="612" t="s">
        <v>73</v>
      </c>
      <c r="C29" s="613"/>
      <c r="D29" s="614"/>
      <c r="E29" s="618">
        <v>978.48500000000001</v>
      </c>
      <c r="F29" s="618">
        <v>647.65</v>
      </c>
      <c r="G29" s="618">
        <v>789.16</v>
      </c>
      <c r="H29" s="620">
        <v>698.04</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1.2470000000000001</v>
      </c>
      <c r="AJ29" s="42">
        <f t="shared" si="1"/>
        <v>0.82039473684210529</v>
      </c>
      <c r="AK29" s="42">
        <f t="shared" si="2"/>
        <v>0.61529605263157894</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19.147158000000001</v>
      </c>
      <c r="N30" s="103"/>
      <c r="O30" s="622" t="s">
        <v>134</v>
      </c>
      <c r="P30" s="623"/>
      <c r="Q30" s="229">
        <f>Q28/Q27</f>
        <v>2.1550053327380487</v>
      </c>
      <c r="R30" s="229">
        <f>R28/R27</f>
        <v>2.0338932233307307</v>
      </c>
      <c r="S30" s="131">
        <f>S28/S27</f>
        <v>1.8748261794812227</v>
      </c>
      <c r="T30" s="174"/>
      <c r="U30" s="120">
        <v>0.15</v>
      </c>
      <c r="V30" s="113">
        <f>U30*25.4</f>
        <v>3.8099999999999996</v>
      </c>
      <c r="W30" s="581">
        <f>AI28</f>
        <v>1.0640000000000001</v>
      </c>
      <c r="X30" s="582"/>
      <c r="Y30" s="449">
        <f>((W30/19.32)*10)</f>
        <v>0.55072463768115942</v>
      </c>
      <c r="Z30" s="450"/>
      <c r="AA30" s="581">
        <f>AJ28</f>
        <v>0.70000000000000007</v>
      </c>
      <c r="AB30" s="582"/>
      <c r="AC30" s="449">
        <f>((AA30/19.32)*10)</f>
        <v>0.36231884057971014</v>
      </c>
      <c r="AD30" s="450"/>
      <c r="AE30" s="581">
        <f>AK28</f>
        <v>0.52500000000000002</v>
      </c>
      <c r="AF30" s="582"/>
      <c r="AG30" s="114">
        <f>((AE30/19.32)*10)</f>
        <v>0.27173913043478259</v>
      </c>
      <c r="AH30" s="104"/>
      <c r="AI30" s="42">
        <f t="shared" si="0"/>
        <v>1.3640000000000001</v>
      </c>
      <c r="AJ30" s="42">
        <f t="shared" si="1"/>
        <v>0.89736842105263159</v>
      </c>
      <c r="AK30" s="42">
        <f t="shared" si="2"/>
        <v>0.67302631578947369</v>
      </c>
      <c r="AO30" s="42">
        <v>3.8439999999999999</v>
      </c>
      <c r="AS30" s="42">
        <f t="shared" si="3"/>
        <v>3.1252032520325201</v>
      </c>
    </row>
    <row r="31" spans="1:45" ht="24.95" customHeight="1" thickBot="1" x14ac:dyDescent="0.3">
      <c r="A31" s="103"/>
      <c r="B31" s="576" t="s">
        <v>74</v>
      </c>
      <c r="C31" s="577"/>
      <c r="D31" s="577"/>
      <c r="E31" s="152">
        <v>925.17</v>
      </c>
      <c r="F31" s="152">
        <v>598.47</v>
      </c>
      <c r="G31" s="152">
        <v>714.07</v>
      </c>
      <c r="H31" s="153">
        <v>620.02</v>
      </c>
      <c r="I31" s="174"/>
      <c r="J31" s="597" t="s">
        <v>138</v>
      </c>
      <c r="K31" s="597"/>
      <c r="L31" s="562" t="s">
        <v>116</v>
      </c>
      <c r="M31" s="457">
        <f>IF(M25="","",S82)</f>
        <v>2.7120000000000002</v>
      </c>
      <c r="N31" s="121"/>
      <c r="O31" s="628" t="s">
        <v>135</v>
      </c>
      <c r="P31" s="629"/>
      <c r="Q31" s="122">
        <f>Q30/(1+Q40/100)</f>
        <v>1.9383138189469469</v>
      </c>
      <c r="R31" s="122">
        <f>R30/(1+R40/100)</f>
        <v>1.819286173560652</v>
      </c>
      <c r="S31" s="123">
        <f>S30/(1+S40/100)</f>
        <v>1.6810400907309042</v>
      </c>
      <c r="T31" s="174"/>
      <c r="U31" s="627">
        <v>0.17499999999999999</v>
      </c>
      <c r="V31" s="624">
        <f>U31*25.4</f>
        <v>4.4449999999999994</v>
      </c>
      <c r="W31" s="593">
        <f>AI29</f>
        <v>1.2470000000000001</v>
      </c>
      <c r="X31" s="594"/>
      <c r="Y31" s="439">
        <f>((W31/19.32)*10)</f>
        <v>0.6454451345755694</v>
      </c>
      <c r="Z31" s="440"/>
      <c r="AA31" s="593">
        <v>0.80500000000000005</v>
      </c>
      <c r="AB31" s="594"/>
      <c r="AC31" s="439">
        <f>((AA31/19.32)*10)</f>
        <v>0.41666666666666674</v>
      </c>
      <c r="AD31" s="440"/>
      <c r="AE31" s="593">
        <v>0.59799999999999998</v>
      </c>
      <c r="AF31" s="594"/>
      <c r="AG31" s="443">
        <f>((AE31/19.32)*10)</f>
        <v>0.30952380952380948</v>
      </c>
      <c r="AH31" s="104"/>
      <c r="AI31" s="42">
        <f t="shared" si="0"/>
        <v>1.748</v>
      </c>
      <c r="AJ31" s="42">
        <f t="shared" si="1"/>
        <v>1.1499999999999999</v>
      </c>
      <c r="AK31" s="42">
        <f t="shared" si="2"/>
        <v>0.86249999999999993</v>
      </c>
      <c r="AO31" s="42">
        <v>5.516</v>
      </c>
      <c r="AS31" s="42">
        <f t="shared" si="3"/>
        <v>4.4845528455284551</v>
      </c>
    </row>
    <row r="32" spans="1:45" ht="5.0999999999999996" customHeight="1" thickBot="1" x14ac:dyDescent="0.3">
      <c r="A32" s="103"/>
      <c r="B32" s="612" t="s">
        <v>75</v>
      </c>
      <c r="C32" s="613"/>
      <c r="D32" s="614"/>
      <c r="E32" s="618">
        <v>100</v>
      </c>
      <c r="F32" s="618">
        <v>99.1</v>
      </c>
      <c r="G32" s="618">
        <v>98.6</v>
      </c>
      <c r="H32" s="620">
        <v>100.4</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2.0720000000000001</v>
      </c>
      <c r="AJ32" s="42">
        <f t="shared" si="1"/>
        <v>1.3631578947368421</v>
      </c>
      <c r="AK32" s="42">
        <f t="shared" si="2"/>
        <v>1.0223684210526316</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1.3640000000000001</v>
      </c>
      <c r="X33" s="582"/>
      <c r="Y33" s="449">
        <f>((W33/19.32)*10)</f>
        <v>0.70600414078674956</v>
      </c>
      <c r="Z33" s="450"/>
      <c r="AA33" s="581">
        <v>0.89600000000000002</v>
      </c>
      <c r="AB33" s="582"/>
      <c r="AC33" s="449">
        <f>((AA33/19.32)*10)</f>
        <v>0.46376811594202899</v>
      </c>
      <c r="AD33" s="450"/>
      <c r="AE33" s="581">
        <v>0.65500000000000003</v>
      </c>
      <c r="AF33" s="582"/>
      <c r="AG33" s="144">
        <f>((AE33/19.32)*10)</f>
        <v>0.33902691511387167</v>
      </c>
      <c r="AH33" s="104"/>
      <c r="AI33" s="42">
        <f t="shared" si="0"/>
        <v>2.4670000000000001</v>
      </c>
      <c r="AJ33" s="42">
        <f t="shared" si="1"/>
        <v>1.6230263157894738</v>
      </c>
      <c r="AK33" s="42">
        <f t="shared" si="2"/>
        <v>1.2172697368421053</v>
      </c>
      <c r="AO33" s="42">
        <v>7.7720000000000002</v>
      </c>
      <c r="AS33" s="42">
        <f t="shared" si="3"/>
        <v>6.3186991869918705</v>
      </c>
    </row>
    <row r="34" spans="1:45" ht="24.95" customHeight="1" thickBot="1" x14ac:dyDescent="0.3">
      <c r="A34" s="103"/>
      <c r="B34" s="602" t="s">
        <v>10</v>
      </c>
      <c r="C34" s="603"/>
      <c r="D34" s="603"/>
      <c r="E34" s="125">
        <f>((E29-E31)/(E31-E32))*100</f>
        <v>6.4610928657125273</v>
      </c>
      <c r="F34" s="125">
        <f>((F29-F31)/(F31-F32))*100</f>
        <v>9.8484089953341112</v>
      </c>
      <c r="G34" s="125">
        <f>((G29-G31)/(G31-G32))*100</f>
        <v>12.20043219003362</v>
      </c>
      <c r="H34" s="126">
        <f>((H29-H31)/(H31-H32))*100</f>
        <v>15.014818521227047</v>
      </c>
      <c r="I34" s="174"/>
      <c r="J34" s="630" t="s">
        <v>125</v>
      </c>
      <c r="K34" s="630"/>
      <c r="L34" s="184" t="s">
        <v>126</v>
      </c>
      <c r="M34" s="245">
        <v>2.64</v>
      </c>
      <c r="N34" s="128"/>
      <c r="O34" s="631" t="s">
        <v>9</v>
      </c>
      <c r="P34" s="632"/>
      <c r="Q34" s="156">
        <v>381</v>
      </c>
      <c r="R34" s="156">
        <v>365</v>
      </c>
      <c r="S34" s="157">
        <v>376</v>
      </c>
      <c r="T34" s="174"/>
      <c r="U34" s="120">
        <v>0.3</v>
      </c>
      <c r="V34" s="113">
        <f>U34*25.4</f>
        <v>7.6199999999999992</v>
      </c>
      <c r="W34" s="581">
        <f>AI31</f>
        <v>1.748</v>
      </c>
      <c r="X34" s="582"/>
      <c r="Y34" s="449">
        <f>((W34/19.32)*10)</f>
        <v>0.90476190476190477</v>
      </c>
      <c r="Z34" s="450"/>
      <c r="AA34" s="449">
        <v>1.2070000000000001</v>
      </c>
      <c r="AB34" s="450"/>
      <c r="AC34" s="449">
        <f>((AA34/19.32)*10)</f>
        <v>0.62474120082815732</v>
      </c>
      <c r="AD34" s="450"/>
      <c r="AE34" s="581">
        <f>AK31</f>
        <v>0.86249999999999993</v>
      </c>
      <c r="AF34" s="582"/>
      <c r="AG34" s="114">
        <f>((AE34/19.32)*10)</f>
        <v>0.4464285714285714</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873.36</v>
      </c>
      <c r="R35" s="608">
        <v>978.25</v>
      </c>
      <c r="S35" s="610">
        <v>974.55</v>
      </c>
      <c r="T35" s="174"/>
      <c r="U35" s="627">
        <v>0.4</v>
      </c>
      <c r="V35" s="624">
        <f>U35*25.4</f>
        <v>10.16</v>
      </c>
      <c r="W35" s="593">
        <f>AI32</f>
        <v>2.0720000000000001</v>
      </c>
      <c r="X35" s="594"/>
      <c r="Y35" s="439">
        <f>((W35/19.32)*10)</f>
        <v>1.0724637681159419</v>
      </c>
      <c r="Z35" s="440"/>
      <c r="AA35" s="593">
        <v>1.4219999999999999</v>
      </c>
      <c r="AB35" s="594"/>
      <c r="AC35" s="439">
        <f>(AA35/19.32)*10</f>
        <v>0.7360248447204969</v>
      </c>
      <c r="AD35" s="440"/>
      <c r="AE35" s="593">
        <v>0.97799999999999998</v>
      </c>
      <c r="AF35" s="594"/>
      <c r="AG35" s="443">
        <f>((AE35/19.32)*10)</f>
        <v>0.50621118012422361</v>
      </c>
      <c r="AH35" s="104"/>
      <c r="AS35" s="42">
        <f t="shared" si="3"/>
        <v>0</v>
      </c>
    </row>
    <row r="36" spans="1:45" ht="20.100000000000001" customHeight="1" thickBot="1" x14ac:dyDescent="0.3">
      <c r="A36" s="103"/>
      <c r="B36" s="639" t="s">
        <v>71</v>
      </c>
      <c r="C36" s="640"/>
      <c r="D36" s="640"/>
      <c r="E36" s="130">
        <f>E25/E24</f>
        <v>1.9697392923649908</v>
      </c>
      <c r="F36" s="130">
        <f>F25/F24</f>
        <v>2.121973929236499</v>
      </c>
      <c r="G36" s="130">
        <f>G25/G24</f>
        <v>2.1824953445065178</v>
      </c>
      <c r="H36" s="131">
        <f>H25/H24</f>
        <v>2.0665735567970205</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1.8501963856876547</v>
      </c>
      <c r="F37" s="230">
        <f>F36/(1+F34/100)</f>
        <v>1.9317293246610714</v>
      </c>
      <c r="G37" s="230">
        <f>G36/(1+G34/100)</f>
        <v>1.9451755237538038</v>
      </c>
      <c r="H37" s="123">
        <f>H36/(1+H34/100)</f>
        <v>1.7967889558645134</v>
      </c>
      <c r="I37" s="174"/>
      <c r="J37" s="641" t="s">
        <v>139</v>
      </c>
      <c r="K37" s="641"/>
      <c r="L37" s="643" t="s">
        <v>121</v>
      </c>
      <c r="M37" s="433">
        <f>IF(F74="","",(M42^2*F74+M42*F75+F76))</f>
        <v>1.9518</v>
      </c>
      <c r="N37" s="101"/>
      <c r="O37" s="576" t="s">
        <v>28</v>
      </c>
      <c r="P37" s="577"/>
      <c r="Q37" s="150">
        <v>795.67</v>
      </c>
      <c r="R37" s="152">
        <v>885.56</v>
      </c>
      <c r="S37" s="153">
        <v>884.32</v>
      </c>
      <c r="T37" s="174"/>
      <c r="U37" s="132">
        <v>0.5</v>
      </c>
      <c r="V37" s="133">
        <f>U37*25.4</f>
        <v>12.7</v>
      </c>
      <c r="W37" s="637">
        <f>AI33</f>
        <v>2.4670000000000001</v>
      </c>
      <c r="X37" s="638"/>
      <c r="Y37" s="431">
        <f>((W37/19.32)*10)</f>
        <v>1.2769151138716355</v>
      </c>
      <c r="Z37" s="432"/>
      <c r="AA37" s="637">
        <f>AJ33</f>
        <v>1.6230263157894738</v>
      </c>
      <c r="AB37" s="638"/>
      <c r="AC37" s="431">
        <f>((AA37/19.32)*10)</f>
        <v>0.84007573281028658</v>
      </c>
      <c r="AD37" s="432"/>
      <c r="AE37" s="637">
        <v>1.0088999999999999</v>
      </c>
      <c r="AF37" s="638"/>
      <c r="AG37" s="134">
        <f>((AE37/19.32)*10)</f>
        <v>0.52220496894409929</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100.73</v>
      </c>
      <c r="R38" s="618">
        <v>99.8</v>
      </c>
      <c r="S38" s="648">
        <v>101.6</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2.0270881621553625</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19.147158000000001</v>
      </c>
      <c r="N40" s="103"/>
      <c r="O40" s="628" t="s">
        <v>10</v>
      </c>
      <c r="P40" s="629"/>
      <c r="Q40" s="125">
        <f>((Q35-Q37)/(Q37-Q38))*100</f>
        <v>11.179382392724561</v>
      </c>
      <c r="R40" s="125">
        <f>((R35-R37)/(R37-R38))*100</f>
        <v>11.796222765220939</v>
      </c>
      <c r="S40" s="126">
        <f>((S35-S37)/(S37-S38))*100</f>
        <v>11.527749386753872</v>
      </c>
      <c r="T40" s="174"/>
      <c r="U40" s="645" t="s">
        <v>151</v>
      </c>
      <c r="V40" s="646"/>
      <c r="W40" s="423">
        <f>(AM79/6.9)*100</f>
        <v>5.1759834368530013</v>
      </c>
      <c r="X40" s="423"/>
      <c r="Y40" s="423"/>
      <c r="Z40" s="424"/>
      <c r="AA40" s="425">
        <f>(AO79/6.9)*100</f>
        <v>3.4052522610875013</v>
      </c>
      <c r="AB40" s="426"/>
      <c r="AC40" s="427"/>
      <c r="AD40" s="425">
        <f>(AQ79/6.9)*100</f>
        <v>2.5539391958156252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19.885734870744106</v>
      </c>
      <c r="N41" s="138"/>
      <c r="O41" s="565" t="s">
        <v>36</v>
      </c>
      <c r="P41" s="566"/>
      <c r="Q41" s="566"/>
      <c r="R41" s="566"/>
      <c r="S41" s="567"/>
      <c r="T41" s="174"/>
      <c r="U41" s="653" t="s">
        <v>152</v>
      </c>
      <c r="V41" s="654"/>
      <c r="W41" s="418">
        <f>(AM83/10.3)*100</f>
        <v>6.8544091338519371</v>
      </c>
      <c r="X41" s="418"/>
      <c r="Y41" s="418"/>
      <c r="Z41" s="419"/>
      <c r="AA41" s="420">
        <f>(AO83/10.3)*100</f>
        <v>4.502603067398339</v>
      </c>
      <c r="AB41" s="421"/>
      <c r="AC41" s="418"/>
      <c r="AD41" s="420">
        <f>(AQ83/10.3)*100</f>
        <v>3.2915234477074917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v>11</v>
      </c>
      <c r="N42" s="103"/>
      <c r="O42" s="639" t="s">
        <v>9</v>
      </c>
      <c r="P42" s="640"/>
      <c r="Q42" s="148">
        <v>314</v>
      </c>
      <c r="R42" s="148">
        <v>732</v>
      </c>
      <c r="S42" s="149">
        <v>748</v>
      </c>
      <c r="T42" s="174"/>
      <c r="U42" s="651" t="s">
        <v>42</v>
      </c>
      <c r="V42" s="652"/>
      <c r="W42" s="413">
        <f>IF(W40&lt;W41,W40,W41)</f>
        <v>5.1759834368530013</v>
      </c>
      <c r="X42" s="414"/>
      <c r="Y42" s="414"/>
      <c r="Z42" s="415"/>
      <c r="AA42" s="416">
        <f>IF(AA40&lt;AA41,AA40,AA41)</f>
        <v>3.4052522610875013</v>
      </c>
      <c r="AB42" s="414"/>
      <c r="AC42" s="415"/>
      <c r="AD42" s="416">
        <f>IF(AD40&lt;AD41,AD40,AD41)</f>
        <v>2.5539391958156252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8.6</v>
      </c>
      <c r="N43" s="103"/>
      <c r="O43" s="612" t="s">
        <v>49</v>
      </c>
      <c r="P43" s="614"/>
      <c r="Q43" s="618">
        <v>903.36</v>
      </c>
      <c r="R43" s="608">
        <v>698.79</v>
      </c>
      <c r="S43" s="610">
        <v>846.04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777.63</v>
      </c>
      <c r="R45" s="150">
        <v>578.1</v>
      </c>
      <c r="S45" s="151">
        <v>686.45</v>
      </c>
      <c r="T45" s="174"/>
      <c r="U45" s="656" t="s">
        <v>139</v>
      </c>
      <c r="V45" s="656"/>
      <c r="W45" s="179" t="s">
        <v>121</v>
      </c>
      <c r="X45" s="406">
        <f>MAX(M37:M39)</f>
        <v>2.0270881621553625</v>
      </c>
      <c r="Y45" s="406"/>
      <c r="Z45" s="406"/>
      <c r="AA45" s="174"/>
      <c r="AB45" s="657" t="s">
        <v>31</v>
      </c>
      <c r="AC45" s="658"/>
      <c r="AD45" s="658"/>
      <c r="AE45" s="658"/>
      <c r="AF45" s="231">
        <v>0.115</v>
      </c>
      <c r="AG45" s="231">
        <v>0.2036</v>
      </c>
      <c r="AH45" s="233">
        <v>8.7400000000000005E-2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100.52</v>
      </c>
      <c r="R46" s="152">
        <v>47.6</v>
      </c>
      <c r="S46" s="153">
        <v>49.1</v>
      </c>
      <c r="T46" s="174"/>
      <c r="U46" s="555" t="s">
        <v>123</v>
      </c>
      <c r="V46" s="555"/>
      <c r="W46" s="179" t="s">
        <v>41</v>
      </c>
      <c r="X46" s="401">
        <f>MIN(M42:M44)</f>
        <v>8.6</v>
      </c>
      <c r="Y46" s="401"/>
      <c r="Z46" s="401"/>
      <c r="AA46" s="174"/>
      <c r="AB46" s="660" t="s">
        <v>32</v>
      </c>
      <c r="AC46" s="661"/>
      <c r="AD46" s="661"/>
      <c r="AE46" s="661"/>
      <c r="AF46" s="234">
        <v>0.27050000000000002</v>
      </c>
      <c r="AG46" s="234">
        <v>0.36449999999999999</v>
      </c>
      <c r="AH46" s="235">
        <v>0.25650000000000001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18.568622528097357</v>
      </c>
      <c r="R47" s="125">
        <f>((R43-R45)/(R45-R46))*100</f>
        <v>22.750235626767189</v>
      </c>
      <c r="S47" s="126">
        <f>((S43-S45)/(S45-S46))*100</f>
        <v>25.039617164823081</v>
      </c>
      <c r="T47" s="174"/>
      <c r="U47" s="555" t="s">
        <v>162</v>
      </c>
      <c r="V47" s="555"/>
      <c r="W47" s="179" t="s">
        <v>41</v>
      </c>
      <c r="X47" s="402">
        <f>IF(L25=D103,"-",IF(L25=D102,"-",IF(L25=D101,M25)))</f>
        <v>13.25</v>
      </c>
      <c r="Y47" s="402"/>
      <c r="Z47" s="402"/>
      <c r="AA47" s="174"/>
      <c r="AB47" s="662" t="s">
        <v>33</v>
      </c>
      <c r="AC47" s="663"/>
      <c r="AD47" s="663"/>
      <c r="AE47" s="663"/>
      <c r="AF47" s="232">
        <f>(AF46-AF45)*2.54</f>
        <v>0.3949700000000001</v>
      </c>
      <c r="AG47" s="232">
        <f>(AG46-AG45)*2.54</f>
        <v>0.40868599999999999</v>
      </c>
      <c r="AH47" s="239">
        <f>(AH46-AH45)*2.54</f>
        <v>0.42951400000000001</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3.4049137931034492</v>
      </c>
      <c r="AG48" s="142">
        <f>IF(AG47&lt;&gt;"",IF(R24&lt;&gt;"",AG47/R24*100,""),"")</f>
        <v>3.5050257289879934</v>
      </c>
      <c r="AH48" s="173">
        <f>IF(AH47&lt;&gt;"",IF(S24&lt;&gt;"",AH47/S24*100,""),"")</f>
        <v>3.699517657192076</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5.8999999999999997E-2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4555</v>
      </c>
      <c r="AG51" s="647">
        <v>4</v>
      </c>
      <c r="AH51" s="648"/>
      <c r="AJ51" s="42">
        <v>0.17</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0.32900000000000001</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0.52</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0.69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0.85599999999999998</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1.0640000000000001</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1.2470000000000001</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1.3640000000000001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1.748</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2.0720000000000001</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2.4670000000000001</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-6.7999999999999996E-3</v>
      </c>
      <c r="G74" s="75">
        <v>-0.12509999999999999</v>
      </c>
      <c r="J74" s="701"/>
      <c r="K74" s="702"/>
      <c r="L74" s="44"/>
      <c r="M74" s="44"/>
      <c r="N74" s="44"/>
    </row>
    <row r="75" spans="1:94" ht="26.25" customHeight="1" thickBot="1" x14ac:dyDescent="0.3">
      <c r="A75" s="11"/>
      <c r="B75" s="377" t="s">
        <v>113</v>
      </c>
      <c r="C75" s="377"/>
      <c r="D75" s="19"/>
      <c r="E75" s="54" t="s">
        <v>12</v>
      </c>
      <c r="F75" s="55">
        <v>0.14169999999999999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1.2159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0.17</v>
      </c>
      <c r="AM76" s="3">
        <f t="shared" si="4"/>
        <v>8.7991718426501039E-2</v>
      </c>
      <c r="AN76" s="5">
        <f>AA23</f>
        <v>0.11</v>
      </c>
      <c r="AO76" s="3">
        <f t="shared" ref="AO76:AO86" si="7">((AN76/19.32)*10)</f>
        <v>5.6935817805383024E-2</v>
      </c>
      <c r="AP76" s="5">
        <f>AE23</f>
        <v>7.8E-2</v>
      </c>
      <c r="AQ76" s="161">
        <f t="shared" si="5"/>
        <v>4.0372670807453416E-2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0.32900000000000001</v>
      </c>
      <c r="AM77" s="3">
        <f t="shared" si="4"/>
        <v>0.17028985507246377</v>
      </c>
      <c r="AN77" s="5">
        <f>AA24</f>
        <v>0.21644736842105264</v>
      </c>
      <c r="AO77" s="3">
        <f t="shared" si="7"/>
        <v>0.11203279938977879</v>
      </c>
      <c r="AP77" s="5">
        <f>AE24</f>
        <v>0.16233552631578949</v>
      </c>
      <c r="AQ77" s="161">
        <f t="shared" si="5"/>
        <v>8.40245995423341E-2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0.52</v>
      </c>
      <c r="AM78" s="3">
        <f t="shared" si="4"/>
        <v>0.2691511387163561</v>
      </c>
      <c r="AN78" s="5">
        <f>AA25</f>
        <v>0.34210526315789475</v>
      </c>
      <c r="AO78" s="3">
        <f t="shared" si="7"/>
        <v>0.17707311757655009</v>
      </c>
      <c r="AP78" s="5">
        <f>AE25</f>
        <v>0.25657894736842107</v>
      </c>
      <c r="AQ78" s="161">
        <f t="shared" si="5"/>
        <v>0.13280483818241257</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0.69</v>
      </c>
      <c r="AM79" s="4">
        <f t="shared" si="4"/>
        <v>0.3571428571428571</v>
      </c>
      <c r="AN79" s="5">
        <f>AA26</f>
        <v>0.4539473684210526</v>
      </c>
      <c r="AO79" s="4">
        <f t="shared" si="7"/>
        <v>0.23496240601503759</v>
      </c>
      <c r="AP79" s="5">
        <f>AE26</f>
        <v>0.34046052631578944</v>
      </c>
      <c r="AQ79" s="162">
        <f t="shared" si="5"/>
        <v>0.17622180451127817</v>
      </c>
      <c r="BB79" s="12">
        <v>17</v>
      </c>
      <c r="BC79" s="12">
        <v>18</v>
      </c>
    </row>
    <row r="80" spans="1:94" ht="42" customHeight="1" thickTop="1" thickBot="1" x14ac:dyDescent="0.3">
      <c r="D80" s="49"/>
      <c r="H80" s="711" t="s">
        <v>105</v>
      </c>
      <c r="I80" s="712"/>
      <c r="J80" s="58"/>
      <c r="AJ80" s="160">
        <f>U28</f>
        <v>0.125</v>
      </c>
      <c r="AK80" s="3">
        <f t="shared" si="6"/>
        <v>3.1749999999999998</v>
      </c>
      <c r="AL80" s="5">
        <f>W28</f>
        <v>0.85599999999999998</v>
      </c>
      <c r="AM80" s="3">
        <f t="shared" si="4"/>
        <v>0.44306418219461696</v>
      </c>
      <c r="AN80" s="5">
        <f>AA28</f>
        <v>0.56315789473684208</v>
      </c>
      <c r="AO80" s="3">
        <f t="shared" si="7"/>
        <v>0.2914895935490901</v>
      </c>
      <c r="AP80" s="5">
        <f>AE28</f>
        <v>0.42236842105263156</v>
      </c>
      <c r="AQ80" s="161">
        <f t="shared" si="5"/>
        <v>0.2186171951618176</v>
      </c>
      <c r="BC80" s="45">
        <v>0.99880400000000003</v>
      </c>
      <c r="BD80" s="45">
        <v>0.99862499999999998</v>
      </c>
    </row>
    <row r="81" spans="2:43" ht="15.75" customHeight="1" x14ac:dyDescent="0.25">
      <c r="AJ81" s="160">
        <f>U30</f>
        <v>0.15</v>
      </c>
      <c r="AK81" s="3">
        <f t="shared" si="6"/>
        <v>3.8099999999999996</v>
      </c>
      <c r="AL81" s="5">
        <f>W30</f>
        <v>1.0640000000000001</v>
      </c>
      <c r="AM81" s="3">
        <f t="shared" si="4"/>
        <v>0.55072463768115942</v>
      </c>
      <c r="AN81" s="5">
        <f>AA30</f>
        <v>0.70000000000000007</v>
      </c>
      <c r="AO81" s="3">
        <f t="shared" si="7"/>
        <v>0.36231884057971014</v>
      </c>
      <c r="AP81" s="5">
        <f>AE30</f>
        <v>0.52500000000000002</v>
      </c>
      <c r="AQ81" s="161">
        <f t="shared" si="5"/>
        <v>0.27173913043478259</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1.2470000000000001</v>
      </c>
      <c r="AM82" s="3">
        <f t="shared" si="4"/>
        <v>0.6454451345755694</v>
      </c>
      <c r="AN82" s="5">
        <f>AA31</f>
        <v>0.80500000000000005</v>
      </c>
      <c r="AO82" s="3">
        <f t="shared" si="7"/>
        <v>0.41666666666666674</v>
      </c>
      <c r="AP82" s="5">
        <f>AE31</f>
        <v>0.59799999999999998</v>
      </c>
      <c r="AQ82" s="161">
        <f t="shared" si="5"/>
        <v>0.30952380952380948</v>
      </c>
    </row>
    <row r="83" spans="2:43" ht="15" customHeight="1" x14ac:dyDescent="0.25">
      <c r="B83" s="49"/>
      <c r="C83" s="49"/>
      <c r="D83" s="49">
        <v>0</v>
      </c>
      <c r="E83" s="50">
        <f>M42</f>
        <v>11</v>
      </c>
      <c r="F83" s="49"/>
      <c r="G83" s="43">
        <f>G84/10</f>
        <v>2.2124552063024576</v>
      </c>
      <c r="H83" s="43">
        <f>H84/10</f>
        <v>2.0554318381348415</v>
      </c>
      <c r="I83" s="43">
        <f>I84/10</f>
        <v>1.958896321971185</v>
      </c>
      <c r="J83" s="43">
        <f>J84/10</f>
        <v>1.8546665027547136</v>
      </c>
      <c r="K83" s="43"/>
      <c r="L83" s="42">
        <v>0</v>
      </c>
      <c r="O83" s="706"/>
      <c r="P83" s="706"/>
      <c r="Q83" s="706"/>
      <c r="R83" s="706"/>
      <c r="S83" s="707"/>
      <c r="W83" s="112"/>
      <c r="AJ83" s="160">
        <f>U33</f>
        <v>0.2</v>
      </c>
      <c r="AK83" s="4">
        <f t="shared" si="6"/>
        <v>5.08</v>
      </c>
      <c r="AL83" s="5">
        <f>W33</f>
        <v>1.3640000000000001</v>
      </c>
      <c r="AM83" s="4">
        <f t="shared" si="4"/>
        <v>0.70600414078674956</v>
      </c>
      <c r="AN83" s="5">
        <f>AA33</f>
        <v>0.89600000000000002</v>
      </c>
      <c r="AO83" s="4">
        <f t="shared" si="7"/>
        <v>0.46376811594202899</v>
      </c>
      <c r="AP83" s="5">
        <f>AE33</f>
        <v>0.65500000000000003</v>
      </c>
      <c r="AQ83" s="162">
        <f t="shared" si="5"/>
        <v>0.33902691511387167</v>
      </c>
    </row>
    <row r="84" spans="2:43" ht="15" customHeight="1" x14ac:dyDescent="0.25">
      <c r="C84" s="94"/>
      <c r="D84" s="94"/>
      <c r="E84" s="94"/>
      <c r="F84" s="49"/>
      <c r="G84" s="43">
        <f>($M$34/(1+(E34*$M$34/100)))*($O$73)</f>
        <v>22.124552063024577</v>
      </c>
      <c r="H84" s="43">
        <f>($M$34/(1+(F34*$M$34/100)))*($O$73)</f>
        <v>20.554318381348416</v>
      </c>
      <c r="I84" s="43">
        <f>($M$34/(1+(G34*$M$34/100)))*($O$73)</f>
        <v>19.58896321971185</v>
      </c>
      <c r="J84" s="43">
        <f>($M$34/(1+(H34*$M$34/100)))*($O$73)</f>
        <v>18.546665027547135</v>
      </c>
      <c r="K84" s="43"/>
      <c r="O84" s="706" t="s">
        <v>146</v>
      </c>
      <c r="P84" s="706"/>
      <c r="Q84" s="706"/>
      <c r="R84" s="706"/>
      <c r="S84" s="707">
        <v>2240</v>
      </c>
      <c r="W84" s="112"/>
      <c r="AJ84" s="160">
        <f>U34</f>
        <v>0.3</v>
      </c>
      <c r="AK84" s="3">
        <f t="shared" si="6"/>
        <v>7.6199999999999992</v>
      </c>
      <c r="AL84" s="5">
        <f>W34</f>
        <v>1.748</v>
      </c>
      <c r="AM84" s="3">
        <f t="shared" si="4"/>
        <v>0.90476190476190477</v>
      </c>
      <c r="AN84" s="5">
        <f>AA34</f>
        <v>1.2070000000000001</v>
      </c>
      <c r="AO84" s="3">
        <f t="shared" si="7"/>
        <v>0.62474120082815732</v>
      </c>
      <c r="AP84" s="5">
        <f>AE34</f>
        <v>0.86249999999999993</v>
      </c>
      <c r="AQ84" s="161">
        <f t="shared" si="5"/>
        <v>0.4464285714285714</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2.0720000000000001</v>
      </c>
      <c r="AM85" s="3">
        <f t="shared" si="4"/>
        <v>1.0724637681159419</v>
      </c>
      <c r="AN85" s="5">
        <f>AA35</f>
        <v>1.4219999999999999</v>
      </c>
      <c r="AO85" s="3">
        <f t="shared" si="7"/>
        <v>0.7360248447204969</v>
      </c>
      <c r="AP85" s="5">
        <f>AE35</f>
        <v>0.97799999999999998</v>
      </c>
      <c r="AQ85" s="161">
        <f>((AP85/19.32)*10)</f>
        <v>0.50621118012422361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2.4670000000000001</v>
      </c>
      <c r="AM86" s="164">
        <f t="shared" si="4"/>
        <v>1.2769151138716355</v>
      </c>
      <c r="AN86" s="165">
        <f>AA37</f>
        <v>1.6230263157894738</v>
      </c>
      <c r="AO86" s="164">
        <f t="shared" si="7"/>
        <v>0.84007573281028658</v>
      </c>
      <c r="AP86" s="165">
        <f>AE37</f>
        <v>1.0088999999999999</v>
      </c>
      <c r="AQ86" s="166">
        <f>((AP86/19.32)*10)</f>
        <v>0.52220496894409929</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1.9383138189469469</v>
      </c>
      <c r="AK91" s="9">
        <f>R31</f>
        <v>1.819286173560652</v>
      </c>
      <c r="AL91" s="10">
        <f>S31</f>
        <v>1.6810400907309042</v>
      </c>
    </row>
    <row r="92" spans="2:43" ht="21" customHeight="1" thickBot="1" x14ac:dyDescent="0.3">
      <c r="B92" s="92"/>
      <c r="C92" s="93"/>
      <c r="D92" s="93"/>
      <c r="E92" s="93"/>
      <c r="F92" s="62"/>
      <c r="G92" s="63"/>
      <c r="H92" s="49"/>
      <c r="I92" s="49"/>
      <c r="O92" s="725" t="s">
        <v>147</v>
      </c>
      <c r="P92" s="726"/>
      <c r="Q92" s="726"/>
      <c r="R92" s="726"/>
      <c r="S92" s="61">
        <f>M42</f>
        <v>11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5.1759834368530013</v>
      </c>
      <c r="AK94" s="158">
        <f>AA42</f>
        <v>3.4052522610875013</v>
      </c>
      <c r="AL94" s="158">
        <f>AD42</f>
        <v>2.5539391958156252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299" priority="47">
      <formula>LEN(TRIM(D6))=0</formula>
    </cfRule>
  </conditionalFormatting>
  <conditionalFormatting sqref="D6:H10">
    <cfRule type="containsBlanks" dxfId="1298" priority="46">
      <formula>LEN(TRIM(D6))=0</formula>
    </cfRule>
  </conditionalFormatting>
  <conditionalFormatting sqref="M19">
    <cfRule type="containsBlanks" dxfId="1297" priority="45">
      <formula>LEN(TRIM(M19))=0</formula>
    </cfRule>
  </conditionalFormatting>
  <conditionalFormatting sqref="CP70">
    <cfRule type="containsBlanks" dxfId="1296" priority="44">
      <formula>LEN(TRIM(CP70))=0</formula>
    </cfRule>
  </conditionalFormatting>
  <conditionalFormatting sqref="M21">
    <cfRule type="containsBlanks" dxfId="1295" priority="43">
      <formula>LEN(TRIM(M21))=0</formula>
    </cfRule>
  </conditionalFormatting>
  <conditionalFormatting sqref="D12:M12">
    <cfRule type="containsBlanks" dxfId="1294" priority="42">
      <formula>LEN(TRIM(D12))=0</formula>
    </cfRule>
  </conditionalFormatting>
  <conditionalFormatting sqref="L9:M9">
    <cfRule type="containsBlanks" dxfId="1293" priority="41">
      <formula>LEN(TRIM(L9))=0</formula>
    </cfRule>
  </conditionalFormatting>
  <conditionalFormatting sqref="L25">
    <cfRule type="containsBlanks" dxfId="1292" priority="40">
      <formula>LEN(TRIM(L25))=0</formula>
    </cfRule>
  </conditionalFormatting>
  <conditionalFormatting sqref="Q20:S21">
    <cfRule type="containsBlanks" dxfId="1291" priority="33">
      <formula>LEN(TRIM(Q20))=0</formula>
    </cfRule>
    <cfRule type="containsBlanks" dxfId="1290" priority="39">
      <formula>LEN(TRIM(Q20))=0</formula>
    </cfRule>
  </conditionalFormatting>
  <conditionalFormatting sqref="U26:V27 AC33 AC26">
    <cfRule type="cellIs" dxfId="1289" priority="38" operator="between">
      <formula>0</formula>
      <formula>500</formula>
    </cfRule>
  </conditionalFormatting>
  <conditionalFormatting sqref="U33:V33">
    <cfRule type="cellIs" dxfId="1288" priority="37" operator="between">
      <formula>0</formula>
      <formula>500</formula>
    </cfRule>
  </conditionalFormatting>
  <conditionalFormatting sqref="AF45:AH46">
    <cfRule type="containsBlanks" dxfId="1287" priority="36">
      <formula>LEN(TRIM(AF45))=0</formula>
    </cfRule>
  </conditionalFormatting>
  <conditionalFormatting sqref="AF51:AG53">
    <cfRule type="containsBlanks" dxfId="1286" priority="35">
      <formula>LEN(TRIM(AF51))=0</formula>
    </cfRule>
  </conditionalFormatting>
  <conditionalFormatting sqref="E20:H24">
    <cfRule type="containsBlanks" dxfId="1285" priority="34">
      <formula>LEN(TRIM(E20))=0</formula>
    </cfRule>
  </conditionalFormatting>
  <conditionalFormatting sqref="M25">
    <cfRule type="containsBlanks" dxfId="1284" priority="32">
      <formula>LEN(TRIM(M25))=0</formula>
    </cfRule>
  </conditionalFormatting>
  <conditionalFormatting sqref="U26:V27 Y26:Z27 AC26:AD27 AG26:AG27">
    <cfRule type="containsBlanks" dxfId="1283" priority="30">
      <formula>LEN(TRIM(U26))=0</formula>
    </cfRule>
    <cfRule type="cellIs" dxfId="1282" priority="31" operator="between">
      <formula>0</formula>
      <formula>1000</formula>
    </cfRule>
  </conditionalFormatting>
  <conditionalFormatting sqref="W87:W88">
    <cfRule type="cellIs" dxfId="1281" priority="29" operator="between">
      <formula>0</formula>
      <formula>500</formula>
    </cfRule>
  </conditionalFormatting>
  <conditionalFormatting sqref="W94">
    <cfRule type="cellIs" dxfId="1280" priority="28" operator="between">
      <formula>0</formula>
      <formula>500</formula>
    </cfRule>
  </conditionalFormatting>
  <conditionalFormatting sqref="W87:W88">
    <cfRule type="containsBlanks" dxfId="1279" priority="26">
      <formula>LEN(TRIM(W87))=0</formula>
    </cfRule>
    <cfRule type="cellIs" dxfId="1278" priority="27" operator="between">
      <formula>0</formula>
      <formula>1000</formula>
    </cfRule>
  </conditionalFormatting>
  <conditionalFormatting sqref="U33:V33 Y33:Z33 AC33:AD33 AG33">
    <cfRule type="cellIs" dxfId="1277" priority="25" operator="between">
      <formula>0</formula>
      <formula>1000</formula>
    </cfRule>
  </conditionalFormatting>
  <conditionalFormatting sqref="Q27:S27">
    <cfRule type="containsBlanks" dxfId="1276" priority="23">
      <formula>LEN(TRIM(Q27))=0</formula>
    </cfRule>
    <cfRule type="containsBlanks" dxfId="1275" priority="24">
      <formula>LEN(TRIM(Q27))=0</formula>
    </cfRule>
  </conditionalFormatting>
  <conditionalFormatting sqref="W30:W31 W33:W35 W37 W28 W22:W26">
    <cfRule type="containsBlanks" dxfId="1274" priority="22">
      <formula>LEN(TRIM(W22))=0</formula>
    </cfRule>
  </conditionalFormatting>
  <conditionalFormatting sqref="W37 W30:W31 W33:W35 W28 W22:W26">
    <cfRule type="containsBlanks" dxfId="1273" priority="21">
      <formula>LEN(TRIM(W22))=0</formula>
    </cfRule>
  </conditionalFormatting>
  <conditionalFormatting sqref="W33:X33">
    <cfRule type="cellIs" dxfId="1272" priority="20" operator="between">
      <formula>0</formula>
      <formula>1000</formula>
    </cfRule>
  </conditionalFormatting>
  <conditionalFormatting sqref="W30:X37 W26 W28 W22:X25">
    <cfRule type="containsBlanks" dxfId="1271" priority="19">
      <formula>LEN(TRIM(W22))=0</formula>
    </cfRule>
  </conditionalFormatting>
  <conditionalFormatting sqref="AA37 AA30:AA31 AA33 AA22:AA26 AA28 AA35">
    <cfRule type="containsBlanks" dxfId="1270" priority="18">
      <formula>LEN(TRIM(AA22))=0</formula>
    </cfRule>
  </conditionalFormatting>
  <conditionalFormatting sqref="AA37 AA30:AA31 AA33 AA22:AA26 AA28 AA35">
    <cfRule type="containsBlanks" dxfId="1269" priority="17">
      <formula>LEN(TRIM(AA22))=0</formula>
    </cfRule>
  </conditionalFormatting>
  <conditionalFormatting sqref="AA33:AB33">
    <cfRule type="cellIs" dxfId="1268" priority="16" operator="between">
      <formula>0</formula>
      <formula>1000</formula>
    </cfRule>
  </conditionalFormatting>
  <conditionalFormatting sqref="AA30:AB30 AA31 AA33:AB33 AA22:AB25 AA26 AA28 AA35:AB37">
    <cfRule type="containsBlanks" dxfId="1267" priority="15">
      <formula>LEN(TRIM(AA22))=0</formula>
    </cfRule>
  </conditionalFormatting>
  <conditionalFormatting sqref="AE37 AE28 AE30:AE31 AE33:AE35 AE22:AE26">
    <cfRule type="containsBlanks" dxfId="1266" priority="14">
      <formula>LEN(TRIM(AE22))=0</formula>
    </cfRule>
  </conditionalFormatting>
  <conditionalFormatting sqref="AE37 AE28 AE30:AE31 AE33:AE35 AE22:AE26">
    <cfRule type="containsBlanks" dxfId="1265" priority="13">
      <formula>LEN(TRIM(AE22))=0</formula>
    </cfRule>
  </conditionalFormatting>
  <conditionalFormatting sqref="AE33:AF33">
    <cfRule type="cellIs" dxfId="1264" priority="12" operator="between">
      <formula>0</formula>
      <formula>1000</formula>
    </cfRule>
  </conditionalFormatting>
  <conditionalFormatting sqref="AE33:AF37 AE26 AE28 AE30:AE31 AE22:AF25">
    <cfRule type="containsBlanks" dxfId="1263" priority="11">
      <formula>LEN(TRIM(AE22))=0</formula>
    </cfRule>
  </conditionalFormatting>
  <conditionalFormatting sqref="K6:M6">
    <cfRule type="containsBlanks" dxfId="1262" priority="10">
      <formula>LEN(TRIM(K6))=0</formula>
    </cfRule>
  </conditionalFormatting>
  <conditionalFormatting sqref="K7:K8">
    <cfRule type="containsBlanks" dxfId="1261" priority="9">
      <formula>LEN(TRIM(K7))=0</formula>
    </cfRule>
  </conditionalFormatting>
  <conditionalFormatting sqref="D13:M13">
    <cfRule type="containsBlanks" dxfId="1260" priority="8">
      <formula>LEN(TRIM(D13))=0</formula>
    </cfRule>
  </conditionalFormatting>
  <conditionalFormatting sqref="B6:B10">
    <cfRule type="containsBlanks" dxfId="1259" priority="7">
      <formula>LEN(TRIM(B6))=0</formula>
    </cfRule>
  </conditionalFormatting>
  <conditionalFormatting sqref="B12:B13">
    <cfRule type="containsBlanks" dxfId="1258" priority="6">
      <formula>LEN(TRIM(B12))=0</formula>
    </cfRule>
  </conditionalFormatting>
  <conditionalFormatting sqref="E28:H33">
    <cfRule type="containsBlanks" dxfId="1257" priority="5">
      <formula>LEN(TRIM(E28))=0</formula>
    </cfRule>
  </conditionalFormatting>
  <conditionalFormatting sqref="Q22:S26">
    <cfRule type="containsBlanks" dxfId="1256" priority="3">
      <formula>LEN(TRIM(Q22))=0</formula>
    </cfRule>
    <cfRule type="containsBlanks" dxfId="1255" priority="4">
      <formula>LEN(TRIM(Q22))=0</formula>
    </cfRule>
  </conditionalFormatting>
  <conditionalFormatting sqref="Q34:S39">
    <cfRule type="containsBlanks" dxfId="1254" priority="2">
      <formula>LEN(TRIM(Q34))=0</formula>
    </cfRule>
  </conditionalFormatting>
  <conditionalFormatting sqref="Q42:S46">
    <cfRule type="containsBlanks" dxfId="1253" priority="1">
      <formula>LEN(TRIM(Q42))=0</formula>
    </cfRule>
  </conditionalFormatting>
  <dataValidations count="5">
    <dataValidation type="list" allowBlank="1" showInputMessage="1" showErrorMessage="1" sqref="D12:E12" xr:uid="{00000000-0002-0000-2000-000000000000}">
      <formula1>$B$87:$B$94</formula1>
    </dataValidation>
    <dataValidation type="list" allowBlank="1" showInputMessage="1" showErrorMessage="1" sqref="CP70" xr:uid="{00000000-0002-0000-2000-000001000000}">
      <formula1>$BA$3:$BA$5</formula1>
    </dataValidation>
    <dataValidation type="list" allowBlank="1" showInputMessage="1" showErrorMessage="1" sqref="M19" xr:uid="{00000000-0002-0000-2000-000002000000}">
      <formula1>$AX$3:$AX$5</formula1>
    </dataValidation>
    <dataValidation type="list" allowBlank="1" showInputMessage="1" showErrorMessage="1" sqref="M21" xr:uid="{00000000-0002-0000-2000-000003000000}">
      <formula1>$AX$3:$AX$4</formula1>
    </dataValidation>
    <dataValidation type="list" allowBlank="1" showInputMessage="1" showErrorMessage="1" sqref="L25" xr:uid="{00000000-0002-0000-2000-000004000000}">
      <formula1>$D$101:$D$104</formula1>
    </dataValidation>
  </dataValidations>
  <hyperlinks>
    <hyperlink ref="D8" r:id="rId1" xr:uid="{00000000-0004-0000-20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60769"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60770"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60771"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6077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6077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60774"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60775"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6077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6077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6077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77">
    <tabColor rgb="FF92D050"/>
  </sheetPr>
  <dimension ref="A1:CP153"/>
  <sheetViews>
    <sheetView view="pageBreakPreview" topLeftCell="A40" zoomScale="91" zoomScaleNormal="100" zoomScaleSheetLayoutView="91"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25-P-MEDIACANOA AP4 -2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25-P-MEDIACANOA AP4 -2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267</v>
      </c>
      <c r="G12" s="31" t="s">
        <v>4</v>
      </c>
      <c r="H12" s="146">
        <v>2</v>
      </c>
      <c r="I12" s="546" t="s">
        <v>5</v>
      </c>
      <c r="J12" s="546"/>
      <c r="K12" s="209">
        <v>0.9</v>
      </c>
      <c r="L12" s="32" t="s">
        <v>6</v>
      </c>
      <c r="M12" s="147">
        <v>1.5</v>
      </c>
      <c r="N12" s="78"/>
      <c r="O12" s="501" t="s">
        <v>3</v>
      </c>
      <c r="P12" s="501"/>
      <c r="Q12" s="225" t="s">
        <v>234</v>
      </c>
      <c r="R12" s="224" t="str">
        <f>F12</f>
        <v xml:space="preserve">P-MEDIACANOA AP4 </v>
      </c>
      <c r="S12" s="224"/>
      <c r="T12" s="502" t="s">
        <v>4</v>
      </c>
      <c r="U12" s="502"/>
      <c r="V12" s="33">
        <f>+H12</f>
        <v>2</v>
      </c>
      <c r="W12" s="547" t="s">
        <v>5</v>
      </c>
      <c r="X12" s="547"/>
      <c r="Y12" s="547"/>
      <c r="Z12" s="547"/>
      <c r="AA12" s="547"/>
      <c r="AB12" s="547"/>
      <c r="AC12" s="34">
        <f>K12</f>
        <v>0.9</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270</v>
      </c>
      <c r="E13" s="479"/>
      <c r="F13" s="479"/>
      <c r="G13" s="479"/>
      <c r="H13" s="479"/>
      <c r="I13" s="479"/>
      <c r="J13" s="479"/>
      <c r="K13" s="479"/>
      <c r="L13" s="479"/>
      <c r="M13" s="480"/>
      <c r="N13" s="188"/>
      <c r="O13" s="526" t="s">
        <v>130</v>
      </c>
      <c r="P13" s="526"/>
      <c r="Q13" s="527" t="str">
        <f>D13</f>
        <v>GRAVAS ANGULARES, CON ARCILLA Y ALGO DE ARENA,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v>56</v>
      </c>
      <c r="G20" s="148">
        <v>56</v>
      </c>
      <c r="H20" s="149">
        <v>56</v>
      </c>
      <c r="I20" s="174"/>
      <c r="J20" s="562" t="s">
        <v>96</v>
      </c>
      <c r="K20" s="562"/>
      <c r="L20" s="562"/>
      <c r="M20" s="39" t="str">
        <f>IF(M19=" ","-",IF(M19=" ","-",IF(M19=AX4,AW4,IF(M19=AX3,AW3))))</f>
        <v>18 ± 0,05 in</v>
      </c>
      <c r="N20" s="103"/>
      <c r="O20" s="560" t="s">
        <v>24</v>
      </c>
      <c r="P20" s="561"/>
      <c r="Q20" s="156">
        <v>503</v>
      </c>
      <c r="R20" s="156">
        <v>562</v>
      </c>
      <c r="S20" s="157">
        <v>506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7408</v>
      </c>
      <c r="F22" s="150">
        <v>7661</v>
      </c>
      <c r="G22" s="150">
        <v>7768</v>
      </c>
      <c r="H22" s="151">
        <v>7521</v>
      </c>
      <c r="I22" s="174"/>
      <c r="J22" s="578"/>
      <c r="K22" s="578"/>
      <c r="L22" s="578"/>
      <c r="M22" s="104"/>
      <c r="N22" s="103"/>
      <c r="O22" s="579" t="s">
        <v>132</v>
      </c>
      <c r="P22" s="580"/>
      <c r="Q22" s="219">
        <v>8648</v>
      </c>
      <c r="R22" s="219">
        <v>8321</v>
      </c>
      <c r="S22" s="208">
        <v>8057</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9.7000000000000003E-2</v>
      </c>
      <c r="AJ22" s="42">
        <f>AJ50/1.56</f>
        <v>6.2179487179487181E-2</v>
      </c>
      <c r="AK22" s="42">
        <f>AJ22*0.55</f>
        <v>3.4198717948717955E-2</v>
      </c>
      <c r="AO22" s="42">
        <v>0.06</v>
      </c>
      <c r="AS22" s="42">
        <f>AO22/1.23</f>
        <v>4.878048780487805E-2</v>
      </c>
    </row>
    <row r="23" spans="1:45" ht="24.95" customHeight="1" x14ac:dyDescent="0.25">
      <c r="A23" s="103"/>
      <c r="B23" s="583" t="s">
        <v>68</v>
      </c>
      <c r="C23" s="584"/>
      <c r="D23" s="584"/>
      <c r="E23" s="150">
        <v>2884</v>
      </c>
      <c r="F23" s="150">
        <v>2884</v>
      </c>
      <c r="G23" s="150">
        <v>2884</v>
      </c>
      <c r="H23" s="151">
        <v>2884</v>
      </c>
      <c r="I23" s="174"/>
      <c r="J23" s="587" t="s">
        <v>165</v>
      </c>
      <c r="K23" s="588"/>
      <c r="L23" s="588"/>
      <c r="M23" s="589"/>
      <c r="N23" s="103"/>
      <c r="O23" s="579" t="s">
        <v>27</v>
      </c>
      <c r="P23" s="580"/>
      <c r="Q23" s="150">
        <v>3852</v>
      </c>
      <c r="R23" s="150">
        <v>3826</v>
      </c>
      <c r="S23" s="151">
        <v>3864</v>
      </c>
      <c r="T23" s="174"/>
      <c r="U23" s="112">
        <v>2.5000000000000001E-2</v>
      </c>
      <c r="V23" s="113">
        <f>U23*25.4</f>
        <v>0.63500000000000001</v>
      </c>
      <c r="W23" s="581">
        <v>0.46700000000000003</v>
      </c>
      <c r="X23" s="582"/>
      <c r="Y23" s="449">
        <f>((W23/19.32)*10)</f>
        <v>0.24171842650103523</v>
      </c>
      <c r="Z23" s="450"/>
      <c r="AA23" s="581">
        <v>0.317</v>
      </c>
      <c r="AB23" s="582"/>
      <c r="AC23" s="449">
        <f>((AA23/19.32)*10)</f>
        <v>0.16407867494824019</v>
      </c>
      <c r="AD23" s="450"/>
      <c r="AE23" s="581">
        <v>0.16700000000000001</v>
      </c>
      <c r="AF23" s="582"/>
      <c r="AG23" s="114">
        <f>((AE23/19.32)*10)</f>
        <v>8.643892339544515E-2</v>
      </c>
      <c r="AH23" s="104"/>
      <c r="AI23" s="42">
        <f t="shared" ref="AI23:AI33" si="0">AJ51</f>
        <v>0.48899999999999999</v>
      </c>
      <c r="AJ23" s="42">
        <f t="shared" ref="AJ23:AJ33" si="1">AJ51/1.56</f>
        <v>0.31346153846153846</v>
      </c>
      <c r="AK23" s="42">
        <f t="shared" ref="AK23:AK33" si="2">AJ23*0.55</f>
        <v>0.17240384615384616</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11.63</v>
      </c>
      <c r="R24" s="152">
        <v>11.63</v>
      </c>
      <c r="S24" s="153">
        <v>11.65</v>
      </c>
      <c r="T24" s="174"/>
      <c r="U24" s="112">
        <v>0.05</v>
      </c>
      <c r="V24" s="113">
        <f>U24*25.4</f>
        <v>1.27</v>
      </c>
      <c r="W24" s="581">
        <f>AI24</f>
        <v>1.2729999999999999</v>
      </c>
      <c r="X24" s="582"/>
      <c r="Y24" s="449">
        <f>((W24/19.32)*10)</f>
        <v>0.65890269151138714</v>
      </c>
      <c r="Z24" s="450"/>
      <c r="AA24" s="581">
        <f>AJ24</f>
        <v>0.8160256410256409</v>
      </c>
      <c r="AB24" s="582"/>
      <c r="AC24" s="449">
        <f>((AA24/19.32)*10)</f>
        <v>0.42237352019960706</v>
      </c>
      <c r="AD24" s="450"/>
      <c r="AE24" s="581">
        <f>AK24</f>
        <v>0.44881410256410254</v>
      </c>
      <c r="AF24" s="582"/>
      <c r="AG24" s="114">
        <f>((AE24/19.32)*10)</f>
        <v>0.23230543610978394</v>
      </c>
      <c r="AH24" s="104"/>
      <c r="AI24" s="42">
        <f t="shared" si="0"/>
        <v>1.2729999999999999</v>
      </c>
      <c r="AJ24" s="42">
        <f t="shared" si="1"/>
        <v>0.8160256410256409</v>
      </c>
      <c r="AK24" s="42">
        <f t="shared" si="2"/>
        <v>0.44881410256410254</v>
      </c>
      <c r="AO24" s="42">
        <v>0.68400000000000005</v>
      </c>
      <c r="AS24" s="42">
        <f t="shared" si="3"/>
        <v>0.55609756097560981</v>
      </c>
    </row>
    <row r="25" spans="1:45" ht="24.95" customHeight="1" thickBot="1" x14ac:dyDescent="0.3">
      <c r="A25" s="103"/>
      <c r="B25" s="602" t="s">
        <v>69</v>
      </c>
      <c r="C25" s="603"/>
      <c r="D25" s="603"/>
      <c r="E25" s="115">
        <f>E22-E23</f>
        <v>4524</v>
      </c>
      <c r="F25" s="115">
        <f>F22-F23</f>
        <v>4777</v>
      </c>
      <c r="G25" s="115">
        <f>G22-G23</f>
        <v>4884</v>
      </c>
      <c r="H25" s="116">
        <f>H22-H23</f>
        <v>4637</v>
      </c>
      <c r="I25" s="174"/>
      <c r="J25" s="174" t="s">
        <v>127</v>
      </c>
      <c r="K25" s="174"/>
      <c r="L25" s="218" t="s">
        <v>128</v>
      </c>
      <c r="M25" s="155">
        <v>13.63</v>
      </c>
      <c r="N25" s="103"/>
      <c r="O25" s="604" t="s">
        <v>46</v>
      </c>
      <c r="P25" s="605"/>
      <c r="Q25" s="608">
        <v>15.25</v>
      </c>
      <c r="R25" s="608">
        <v>15.26</v>
      </c>
      <c r="S25" s="620">
        <v>15.23</v>
      </c>
      <c r="T25" s="174"/>
      <c r="U25" s="112">
        <v>7.4999999999999997E-2</v>
      </c>
      <c r="V25" s="113">
        <f>U25*25.4</f>
        <v>1.9049999999999998</v>
      </c>
      <c r="W25" s="581">
        <f>AI25</f>
        <v>2.1560000000000001</v>
      </c>
      <c r="X25" s="582"/>
      <c r="Y25" s="449">
        <f>((W25/19.32)*10)</f>
        <v>1.1159420289855073</v>
      </c>
      <c r="Z25" s="450"/>
      <c r="AA25" s="581">
        <f>AJ25</f>
        <v>1.382051282051282</v>
      </c>
      <c r="AB25" s="582"/>
      <c r="AC25" s="449">
        <f>((AA25/19.32)*10)</f>
        <v>0.71534745447788928</v>
      </c>
      <c r="AD25" s="450"/>
      <c r="AE25" s="581">
        <f>AK25</f>
        <v>0.76012820512820523</v>
      </c>
      <c r="AF25" s="582"/>
      <c r="AG25" s="114">
        <f>((AE25/19.32)*10)</f>
        <v>0.3934410999628391</v>
      </c>
      <c r="AH25" s="104"/>
      <c r="AI25" s="42">
        <f t="shared" si="0"/>
        <v>2.1560000000000001</v>
      </c>
      <c r="AJ25" s="42">
        <f t="shared" si="1"/>
        <v>1.382051282051282</v>
      </c>
      <c r="AK25" s="42">
        <f t="shared" si="2"/>
        <v>0.76012820512820523</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13.63</v>
      </c>
      <c r="N26" s="103"/>
      <c r="O26" s="606"/>
      <c r="P26" s="607"/>
      <c r="Q26" s="609"/>
      <c r="R26" s="609"/>
      <c r="S26" s="621"/>
      <c r="T26" s="174"/>
      <c r="U26" s="600">
        <v>0.1</v>
      </c>
      <c r="V26" s="601">
        <f>U26*25.4</f>
        <v>2.54</v>
      </c>
      <c r="W26" s="778">
        <f>AI26</f>
        <v>2.95</v>
      </c>
      <c r="X26" s="779"/>
      <c r="Y26" s="461">
        <f>((W26/19.32)*10)</f>
        <v>1.5269151138716359</v>
      </c>
      <c r="Z26" s="462"/>
      <c r="AA26" s="746">
        <f>AJ26</f>
        <v>1.891025641025641</v>
      </c>
      <c r="AB26" s="747"/>
      <c r="AC26" s="461">
        <f>((AA26/19.32)*10)</f>
        <v>0.97879173966130484</v>
      </c>
      <c r="AD26" s="462"/>
      <c r="AE26" s="746">
        <f>AK26</f>
        <v>1.0400641025641026</v>
      </c>
      <c r="AF26" s="747"/>
      <c r="AG26" s="469">
        <f>((AE26/19.32)*10)</f>
        <v>0.53833545681371775</v>
      </c>
      <c r="AH26" s="104"/>
      <c r="AI26" s="42">
        <f t="shared" si="0"/>
        <v>2.95</v>
      </c>
      <c r="AJ26" s="42">
        <f t="shared" si="1"/>
        <v>1.891025641025641</v>
      </c>
      <c r="AK26" s="42">
        <f t="shared" si="2"/>
        <v>1.0400641025641026</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2124.2678851626347</v>
      </c>
      <c r="R27" s="152">
        <f>(PI()*((R25^2)/4)*R24)</f>
        <v>2127.054723675994</v>
      </c>
      <c r="S27" s="153">
        <f>(PI()*((S25^2)/4)*S24)</f>
        <v>2122.3431962773943</v>
      </c>
      <c r="T27" s="174"/>
      <c r="U27" s="600"/>
      <c r="V27" s="601"/>
      <c r="W27" s="780"/>
      <c r="X27" s="781"/>
      <c r="Y27" s="463"/>
      <c r="Z27" s="464"/>
      <c r="AA27" s="748"/>
      <c r="AB27" s="749"/>
      <c r="AC27" s="463"/>
      <c r="AD27" s="464"/>
      <c r="AE27" s="748"/>
      <c r="AF27" s="749"/>
      <c r="AG27" s="470"/>
      <c r="AH27" s="193"/>
      <c r="AI27" s="42">
        <f t="shared" si="0"/>
        <v>3.726</v>
      </c>
      <c r="AJ27" s="42">
        <f t="shared" si="1"/>
        <v>2.3884615384615384</v>
      </c>
      <c r="AK27" s="42">
        <f t="shared" si="2"/>
        <v>1.3136538461538463</v>
      </c>
      <c r="AO27" s="42">
        <v>2.387</v>
      </c>
      <c r="AS27" s="42">
        <f t="shared" si="3"/>
        <v>1.9406504065040651</v>
      </c>
    </row>
    <row r="28" spans="1:45" ht="24.95" customHeight="1" thickBot="1" x14ac:dyDescent="0.3">
      <c r="A28" s="103"/>
      <c r="B28" s="560" t="s">
        <v>9</v>
      </c>
      <c r="C28" s="561"/>
      <c r="D28" s="561"/>
      <c r="E28" s="148">
        <v>384</v>
      </c>
      <c r="F28" s="148">
        <v>411</v>
      </c>
      <c r="G28" s="148">
        <v>362</v>
      </c>
      <c r="H28" s="149">
        <v>401</v>
      </c>
      <c r="I28" s="174"/>
      <c r="J28" s="597" t="s">
        <v>107</v>
      </c>
      <c r="K28" s="597"/>
      <c r="L28" s="562" t="s">
        <v>119</v>
      </c>
      <c r="M28" s="459">
        <f>IF(M26="","",(100-M26))</f>
        <v>86.37</v>
      </c>
      <c r="N28" s="103"/>
      <c r="O28" s="625" t="s">
        <v>136</v>
      </c>
      <c r="P28" s="626"/>
      <c r="Q28" s="220">
        <f>Q22-Q23</f>
        <v>4796</v>
      </c>
      <c r="R28" s="220">
        <f>R22-R23</f>
        <v>4495</v>
      </c>
      <c r="S28" s="220">
        <f>S22-S23</f>
        <v>4193</v>
      </c>
      <c r="T28" s="174"/>
      <c r="U28" s="627">
        <v>0.125</v>
      </c>
      <c r="V28" s="624">
        <f>U28*25.4</f>
        <v>3.1749999999999998</v>
      </c>
      <c r="W28" s="593">
        <f>AI27</f>
        <v>3.726</v>
      </c>
      <c r="X28" s="594"/>
      <c r="Y28" s="439">
        <f>((W28/19.32)*10)</f>
        <v>1.9285714285714286</v>
      </c>
      <c r="Z28" s="440"/>
      <c r="AA28" s="593">
        <f>AJ27</f>
        <v>2.3884615384615384</v>
      </c>
      <c r="AB28" s="594"/>
      <c r="AC28" s="439">
        <f>((AA28/19.32)*10)</f>
        <v>1.2362637362637361</v>
      </c>
      <c r="AD28" s="440"/>
      <c r="AE28" s="593">
        <f>AK27</f>
        <v>1.3136538461538463</v>
      </c>
      <c r="AF28" s="594"/>
      <c r="AG28" s="443">
        <f>((AE28/19.32)*10)</f>
        <v>0.67994505494505497</v>
      </c>
      <c r="AH28" s="104"/>
      <c r="AI28" s="42">
        <f t="shared" si="0"/>
        <v>4.3410000000000002</v>
      </c>
      <c r="AJ28" s="42">
        <f t="shared" si="1"/>
        <v>2.7826923076923076</v>
      </c>
      <c r="AK28" s="42">
        <f t="shared" si="2"/>
        <v>1.5304807692307694</v>
      </c>
      <c r="AO28" s="42">
        <v>2.8959999999999999</v>
      </c>
      <c r="AS28" s="42">
        <f t="shared" si="3"/>
        <v>2.3544715447154472</v>
      </c>
    </row>
    <row r="29" spans="1:45" ht="5.0999999999999996" customHeight="1" thickBot="1" x14ac:dyDescent="0.3">
      <c r="A29" s="103"/>
      <c r="B29" s="612" t="s">
        <v>73</v>
      </c>
      <c r="C29" s="613"/>
      <c r="D29" s="614"/>
      <c r="E29" s="618">
        <v>972.4</v>
      </c>
      <c r="F29" s="618">
        <v>983.8</v>
      </c>
      <c r="G29" s="618">
        <v>968.1</v>
      </c>
      <c r="H29" s="620">
        <v>990.3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4.87</v>
      </c>
      <c r="AJ29" s="42">
        <f t="shared" si="1"/>
        <v>3.1217948717948718</v>
      </c>
      <c r="AK29" s="42">
        <f t="shared" si="2"/>
        <v>1.7169871794871796</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20.265552858552635</v>
      </c>
      <c r="N30" s="103"/>
      <c r="O30" s="622" t="s">
        <v>134</v>
      </c>
      <c r="P30" s="623"/>
      <c r="Q30" s="229">
        <f>Q28/Q27</f>
        <v>2.2577190162778442</v>
      </c>
      <c r="R30" s="229">
        <f>R28/R27</f>
        <v>2.1132507546546346</v>
      </c>
      <c r="S30" s="131">
        <f>S28/S27</f>
        <v>1.9756465435724784</v>
      </c>
      <c r="T30" s="174"/>
      <c r="U30" s="120">
        <v>0.15</v>
      </c>
      <c r="V30" s="113">
        <f>U30*25.4</f>
        <v>3.8099999999999996</v>
      </c>
      <c r="W30" s="581">
        <f>AI28</f>
        <v>4.3410000000000002</v>
      </c>
      <c r="X30" s="582"/>
      <c r="Y30" s="449">
        <f>((W30/19.32)*10)</f>
        <v>2.2468944099378882</v>
      </c>
      <c r="Z30" s="450"/>
      <c r="AA30" s="581">
        <f>AJ28</f>
        <v>2.7826923076923076</v>
      </c>
      <c r="AB30" s="582"/>
      <c r="AC30" s="449">
        <f>((AA30/19.32)*10)</f>
        <v>1.4403169294473641</v>
      </c>
      <c r="AD30" s="450"/>
      <c r="AE30" s="581">
        <f>AK28</f>
        <v>1.5304807692307694</v>
      </c>
      <c r="AF30" s="582"/>
      <c r="AG30" s="114">
        <f>((AE30/19.32)*10)</f>
        <v>0.79217431119605042</v>
      </c>
      <c r="AH30" s="104"/>
      <c r="AI30" s="42">
        <f t="shared" si="0"/>
        <v>5.2759999999999998</v>
      </c>
      <c r="AJ30" s="42">
        <f t="shared" si="1"/>
        <v>3.382051282051282</v>
      </c>
      <c r="AK30" s="42">
        <f t="shared" si="2"/>
        <v>1.8601282051282053</v>
      </c>
      <c r="AO30" s="42">
        <v>3.8439999999999999</v>
      </c>
      <c r="AS30" s="42">
        <f t="shared" si="3"/>
        <v>3.1252032520325201</v>
      </c>
    </row>
    <row r="31" spans="1:45" ht="24.95" customHeight="1" thickBot="1" x14ac:dyDescent="0.3">
      <c r="A31" s="103"/>
      <c r="B31" s="576" t="s">
        <v>74</v>
      </c>
      <c r="C31" s="577"/>
      <c r="D31" s="577"/>
      <c r="E31" s="152">
        <v>922.15</v>
      </c>
      <c r="F31" s="152">
        <v>914.06</v>
      </c>
      <c r="G31" s="152">
        <v>878.35</v>
      </c>
      <c r="H31" s="153">
        <v>880.44</v>
      </c>
      <c r="I31" s="174"/>
      <c r="J31" s="597" t="s">
        <v>138</v>
      </c>
      <c r="K31" s="597"/>
      <c r="L31" s="562" t="s">
        <v>116</v>
      </c>
      <c r="M31" s="457">
        <f>IF(M25="","",S82)</f>
        <v>2.7120000000000002</v>
      </c>
      <c r="N31" s="121"/>
      <c r="O31" s="628" t="s">
        <v>135</v>
      </c>
      <c r="P31" s="629"/>
      <c r="Q31" s="122">
        <f>Q30/(1+Q40/100)</f>
        <v>2.061070584828363</v>
      </c>
      <c r="R31" s="122">
        <f>R30/(1+R40/100)</f>
        <v>1.9347864637697743</v>
      </c>
      <c r="S31" s="123">
        <f>S30/(1+S40/100)</f>
        <v>1.7989515834604139</v>
      </c>
      <c r="T31" s="174"/>
      <c r="U31" s="627">
        <v>0.17499999999999999</v>
      </c>
      <c r="V31" s="624">
        <f>U31*25.4</f>
        <v>4.4449999999999994</v>
      </c>
      <c r="W31" s="593">
        <f>AI29</f>
        <v>4.87</v>
      </c>
      <c r="X31" s="594"/>
      <c r="Y31" s="439">
        <f>((W31/19.32)*10)</f>
        <v>2.520703933747412</v>
      </c>
      <c r="Z31" s="440"/>
      <c r="AA31" s="593">
        <f>AJ29</f>
        <v>3.1217948717948718</v>
      </c>
      <c r="AB31" s="594"/>
      <c r="AC31" s="439">
        <f>((AA31/19.32)*10)</f>
        <v>1.6158358549662897</v>
      </c>
      <c r="AD31" s="440"/>
      <c r="AE31" s="593">
        <f>AK29</f>
        <v>1.7169871794871796</v>
      </c>
      <c r="AF31" s="594"/>
      <c r="AG31" s="443">
        <f>((AE31/19.32)*10)</f>
        <v>0.88870972023145933</v>
      </c>
      <c r="AH31" s="104"/>
      <c r="AI31" s="42">
        <f t="shared" si="0"/>
        <v>6.8390000000000004</v>
      </c>
      <c r="AJ31" s="42">
        <f t="shared" si="1"/>
        <v>4.3839743589743589</v>
      </c>
      <c r="AK31" s="42">
        <f t="shared" si="2"/>
        <v>2.4111858974358977</v>
      </c>
      <c r="AO31" s="42">
        <v>5.516</v>
      </c>
      <c r="AS31" s="42">
        <f t="shared" si="3"/>
        <v>4.4845528455284551</v>
      </c>
    </row>
    <row r="32" spans="1:45" ht="5.0999999999999996" customHeight="1" thickBot="1" x14ac:dyDescent="0.3">
      <c r="A32" s="103"/>
      <c r="B32" s="612" t="s">
        <v>75</v>
      </c>
      <c r="C32" s="613"/>
      <c r="D32" s="614"/>
      <c r="E32" s="618">
        <v>98.1</v>
      </c>
      <c r="F32" s="618">
        <v>98.3</v>
      </c>
      <c r="G32" s="618">
        <v>100.1</v>
      </c>
      <c r="H32" s="620">
        <v>100.9</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8.2739999999999991</v>
      </c>
      <c r="AJ32" s="42">
        <f t="shared" si="1"/>
        <v>5.3038461538461528</v>
      </c>
      <c r="AK32" s="42">
        <f t="shared" si="2"/>
        <v>2.9171153846153843</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5.2759999999999998</v>
      </c>
      <c r="X33" s="582"/>
      <c r="Y33" s="449">
        <f>((W33/19.32)*10)</f>
        <v>2.7308488612836439</v>
      </c>
      <c r="Z33" s="450"/>
      <c r="AA33" s="581">
        <v>3.3780000000000001</v>
      </c>
      <c r="AB33" s="582"/>
      <c r="AC33" s="449">
        <f>((AA33/19.32)*10)</f>
        <v>1.7484472049689441</v>
      </c>
      <c r="AD33" s="450"/>
      <c r="AE33" s="581">
        <v>1.83</v>
      </c>
      <c r="AF33" s="582"/>
      <c r="AG33" s="144">
        <f>((AE33/19.32)*10)</f>
        <v>0.94720496894409933</v>
      </c>
      <c r="AH33" s="104"/>
      <c r="AI33" s="42">
        <f t="shared" si="0"/>
        <v>9.5519999999999996</v>
      </c>
      <c r="AJ33" s="42">
        <f t="shared" si="1"/>
        <v>6.1230769230769226</v>
      </c>
      <c r="AK33" s="42">
        <f t="shared" si="2"/>
        <v>3.3676923076923075</v>
      </c>
      <c r="AO33" s="42">
        <v>7.7720000000000002</v>
      </c>
      <c r="AS33" s="42">
        <f t="shared" si="3"/>
        <v>6.3186991869918705</v>
      </c>
    </row>
    <row r="34" spans="1:45" ht="24.95" customHeight="1" thickBot="1" x14ac:dyDescent="0.3">
      <c r="A34" s="103"/>
      <c r="B34" s="602" t="s">
        <v>10</v>
      </c>
      <c r="C34" s="603"/>
      <c r="D34" s="603"/>
      <c r="E34" s="125">
        <f>((E29-E31)/(E31-E32))*100</f>
        <v>6.0979309507918211</v>
      </c>
      <c r="F34" s="125">
        <f>((F29-F31)/(F31-F32))*100</f>
        <v>8.5490830636461723</v>
      </c>
      <c r="G34" s="125">
        <f>((G29-G31)/(G31-G32))*100</f>
        <v>11.532283970446516</v>
      </c>
      <c r="H34" s="126">
        <f>((H29-H31)/(H31-H32))*100</f>
        <v>14.092926597737113</v>
      </c>
      <c r="I34" s="174"/>
      <c r="J34" s="630" t="s">
        <v>125</v>
      </c>
      <c r="K34" s="630"/>
      <c r="L34" s="184" t="s">
        <v>126</v>
      </c>
      <c r="M34" s="245">
        <v>2.74</v>
      </c>
      <c r="N34" s="128"/>
      <c r="O34" s="631" t="s">
        <v>9</v>
      </c>
      <c r="P34" s="632"/>
      <c r="Q34" s="156">
        <v>367</v>
      </c>
      <c r="R34" s="156">
        <v>289</v>
      </c>
      <c r="S34" s="157">
        <v>300</v>
      </c>
      <c r="T34" s="174"/>
      <c r="U34" s="120">
        <v>0.3</v>
      </c>
      <c r="V34" s="113">
        <f>U34*25.4</f>
        <v>7.6199999999999992</v>
      </c>
      <c r="W34" s="581">
        <f>AI31</f>
        <v>6.8390000000000004</v>
      </c>
      <c r="X34" s="582"/>
      <c r="Y34" s="449">
        <f>((W34/19.32)*10)</f>
        <v>3.5398550724637685</v>
      </c>
      <c r="Z34" s="450"/>
      <c r="AA34" s="449">
        <v>4.3840000000000003</v>
      </c>
      <c r="AB34" s="450"/>
      <c r="AC34" s="449">
        <f>((AA34/19.32)*10)</f>
        <v>2.2691511387163561</v>
      </c>
      <c r="AD34" s="450"/>
      <c r="AE34" s="581">
        <f>AK31</f>
        <v>2.4111858974358977</v>
      </c>
      <c r="AF34" s="582"/>
      <c r="AG34" s="114">
        <f>((AE34/19.32)*10)</f>
        <v>1.2480258268301749</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863.48</v>
      </c>
      <c r="R35" s="608">
        <v>875.44</v>
      </c>
      <c r="S35" s="610">
        <v>764.07</v>
      </c>
      <c r="T35" s="174"/>
      <c r="U35" s="627">
        <v>0.4</v>
      </c>
      <c r="V35" s="624">
        <f>U35*25.4</f>
        <v>10.16</v>
      </c>
      <c r="W35" s="593">
        <f>AI32</f>
        <v>8.2739999999999991</v>
      </c>
      <c r="X35" s="594"/>
      <c r="Y35" s="439">
        <f>((W35/19.32)*10)</f>
        <v>4.2826086956521738</v>
      </c>
      <c r="Z35" s="440"/>
      <c r="AA35" s="593">
        <f>AJ32</f>
        <v>5.3038461538461528</v>
      </c>
      <c r="AB35" s="594"/>
      <c r="AC35" s="439">
        <f>(AA35/19.32)*10</f>
        <v>2.7452619843924184</v>
      </c>
      <c r="AD35" s="440"/>
      <c r="AE35" s="593">
        <f>AK32</f>
        <v>2.9171153846153843</v>
      </c>
      <c r="AF35" s="594"/>
      <c r="AG35" s="443">
        <f>((AE35/19.32)*10)</f>
        <v>1.5098940914158305</v>
      </c>
      <c r="AH35" s="104"/>
      <c r="AS35" s="42">
        <f t="shared" si="3"/>
        <v>0</v>
      </c>
    </row>
    <row r="36" spans="1:45" ht="20.100000000000001" customHeight="1" thickBot="1" x14ac:dyDescent="0.3">
      <c r="A36" s="103"/>
      <c r="B36" s="639" t="s">
        <v>71</v>
      </c>
      <c r="C36" s="640"/>
      <c r="D36" s="640"/>
      <c r="E36" s="130">
        <f>E25/E24</f>
        <v>2.1061452513966481</v>
      </c>
      <c r="F36" s="130">
        <f>F25/F24</f>
        <v>2.2239292364990688</v>
      </c>
      <c r="G36" s="130">
        <f>G25/G24</f>
        <v>2.2737430167597767</v>
      </c>
      <c r="H36" s="131">
        <f>H25/H24</f>
        <v>2.1587523277467411</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1.9850954985856202</v>
      </c>
      <c r="F37" s="230">
        <f>F36/(1+F34/100)</f>
        <v>2.0487775425934278</v>
      </c>
      <c r="G37" s="230">
        <f>G36/(1+G34/100)</f>
        <v>2.038641132250341</v>
      </c>
      <c r="H37" s="123">
        <f>H36/(1+H34/100)</f>
        <v>1.8921000557361083</v>
      </c>
      <c r="I37" s="174"/>
      <c r="J37" s="641" t="s">
        <v>139</v>
      </c>
      <c r="K37" s="641"/>
      <c r="L37" s="643" t="s">
        <v>121</v>
      </c>
      <c r="M37" s="433">
        <f>IF(F74="","",(M42^2*F74+M42*F75+F76))</f>
        <v>2.0658055921052632</v>
      </c>
      <c r="N37" s="101"/>
      <c r="O37" s="576" t="s">
        <v>28</v>
      </c>
      <c r="P37" s="577"/>
      <c r="Q37" s="150">
        <v>796.93</v>
      </c>
      <c r="R37" s="152">
        <v>810.03</v>
      </c>
      <c r="S37" s="153">
        <v>704.66</v>
      </c>
      <c r="T37" s="174"/>
      <c r="U37" s="132">
        <v>0.5</v>
      </c>
      <c r="V37" s="133">
        <f>U37*25.4</f>
        <v>12.7</v>
      </c>
      <c r="W37" s="637">
        <f>AI33</f>
        <v>9.5519999999999996</v>
      </c>
      <c r="X37" s="638"/>
      <c r="Y37" s="431">
        <f>((W37/19.32)*10)</f>
        <v>4.9440993788819867</v>
      </c>
      <c r="Z37" s="432"/>
      <c r="AA37" s="637">
        <f>AJ33</f>
        <v>6.1230769230769226</v>
      </c>
      <c r="AB37" s="638"/>
      <c r="AC37" s="431">
        <f>((AA37/19.32)*10)</f>
        <v>3.1692944736422994</v>
      </c>
      <c r="AD37" s="432"/>
      <c r="AE37" s="637">
        <f>AK33</f>
        <v>3.3676923076923075</v>
      </c>
      <c r="AF37" s="638"/>
      <c r="AG37" s="134">
        <f>((AE37/19.32)*10)</f>
        <v>1.7431119605032648</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99.42</v>
      </c>
      <c r="R38" s="618">
        <v>100.9</v>
      </c>
      <c r="S38" s="648">
        <v>99.8</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2.1351477411800199</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20.265552858552635</v>
      </c>
      <c r="N40" s="103"/>
      <c r="O40" s="628" t="s">
        <v>10</v>
      </c>
      <c r="P40" s="629"/>
      <c r="Q40" s="125">
        <f>((Q35-Q37)/(Q37-Q38))*100</f>
        <v>9.5410818482889237</v>
      </c>
      <c r="R40" s="125">
        <f>((R35-R37)/(R37-R38))*100</f>
        <v>9.2239786780985273</v>
      </c>
      <c r="S40" s="126">
        <f>((S35-S37)/(S37-S38))*100</f>
        <v>9.8221075951459973</v>
      </c>
      <c r="T40" s="174"/>
      <c r="U40" s="645" t="s">
        <v>151</v>
      </c>
      <c r="V40" s="646"/>
      <c r="W40" s="423">
        <f>(AM79/6.9)*100</f>
        <v>22.129204548864287</v>
      </c>
      <c r="X40" s="423"/>
      <c r="Y40" s="423"/>
      <c r="Z40" s="424"/>
      <c r="AA40" s="425">
        <f>(AO79/6.9)*100</f>
        <v>14.185387531323258</v>
      </c>
      <c r="AB40" s="426"/>
      <c r="AC40" s="427"/>
      <c r="AD40" s="425">
        <f>(AQ79/6.9)*100</f>
        <v>7.8019631422277929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20.945799340975999</v>
      </c>
      <c r="N41" s="138"/>
      <c r="O41" s="565" t="s">
        <v>36</v>
      </c>
      <c r="P41" s="566"/>
      <c r="Q41" s="566"/>
      <c r="R41" s="566"/>
      <c r="S41" s="567"/>
      <c r="T41" s="174"/>
      <c r="U41" s="653" t="s">
        <v>152</v>
      </c>
      <c r="V41" s="654"/>
      <c r="W41" s="418">
        <f>(AM83/10.3)*100</f>
        <v>26.513095740617899</v>
      </c>
      <c r="X41" s="418"/>
      <c r="Y41" s="418"/>
      <c r="Z41" s="419"/>
      <c r="AA41" s="420">
        <f>(AO83/10.3)*100</f>
        <v>16.975215582222759</v>
      </c>
      <c r="AB41" s="421"/>
      <c r="AC41" s="418"/>
      <c r="AD41" s="420">
        <f>(AQ83/10.3)*100</f>
        <v>9.1961647470300907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9.4144736842105274</v>
      </c>
      <c r="N42" s="103"/>
      <c r="O42" s="639" t="s">
        <v>9</v>
      </c>
      <c r="P42" s="640"/>
      <c r="Q42" s="148">
        <v>314</v>
      </c>
      <c r="R42" s="148">
        <v>718</v>
      </c>
      <c r="S42" s="149">
        <v>350</v>
      </c>
      <c r="T42" s="174"/>
      <c r="U42" s="651" t="s">
        <v>42</v>
      </c>
      <c r="V42" s="652"/>
      <c r="W42" s="413">
        <f>IF(W40&lt;W41,W40,W41)</f>
        <v>22.129204548864287</v>
      </c>
      <c r="X42" s="414"/>
      <c r="Y42" s="414"/>
      <c r="Z42" s="415"/>
      <c r="AA42" s="416">
        <f>IF(AA40&lt;AA41,AA40,AA41)</f>
        <v>14.185387531323258</v>
      </c>
      <c r="AB42" s="414"/>
      <c r="AC42" s="415"/>
      <c r="AD42" s="416">
        <f>IF(AD40&lt;AD41,AD40,AD41)</f>
        <v>7.8019631422277929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7.4108552631578952</v>
      </c>
      <c r="N43" s="103"/>
      <c r="O43" s="612" t="s">
        <v>49</v>
      </c>
      <c r="P43" s="614"/>
      <c r="Q43" s="618">
        <v>901.75</v>
      </c>
      <c r="R43" s="608">
        <v>944.62</v>
      </c>
      <c r="S43" s="610">
        <v>834.14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818.32</v>
      </c>
      <c r="R45" s="150">
        <v>854.76</v>
      </c>
      <c r="S45" s="151">
        <v>742.18</v>
      </c>
      <c r="T45" s="174"/>
      <c r="U45" s="656" t="s">
        <v>139</v>
      </c>
      <c r="V45" s="656"/>
      <c r="W45" s="179" t="s">
        <v>121</v>
      </c>
      <c r="X45" s="406">
        <f>MAX(M37:M39)</f>
        <v>2.1351477411800199</v>
      </c>
      <c r="Y45" s="406"/>
      <c r="Z45" s="406"/>
      <c r="AA45" s="174"/>
      <c r="AB45" s="657" t="s">
        <v>31</v>
      </c>
      <c r="AC45" s="658"/>
      <c r="AD45" s="658"/>
      <c r="AE45" s="658"/>
      <c r="AF45" s="231">
        <v>0.11849999999999999</v>
      </c>
      <c r="AG45" s="231">
        <v>0.113</v>
      </c>
      <c r="AH45" s="233">
        <v>9.4500000000000001E-2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100.52</v>
      </c>
      <c r="R46" s="152">
        <v>49.51</v>
      </c>
      <c r="S46" s="153">
        <v>101.92</v>
      </c>
      <c r="T46" s="174"/>
      <c r="U46" s="555" t="s">
        <v>123</v>
      </c>
      <c r="V46" s="555"/>
      <c r="W46" s="179" t="s">
        <v>41</v>
      </c>
      <c r="X46" s="401">
        <f>MIN(M42:M44)</f>
        <v>7.4108552631578952</v>
      </c>
      <c r="Y46" s="401"/>
      <c r="Z46" s="401"/>
      <c r="AA46" s="174"/>
      <c r="AB46" s="660" t="s">
        <v>32</v>
      </c>
      <c r="AC46" s="661"/>
      <c r="AD46" s="661"/>
      <c r="AE46" s="661"/>
      <c r="AF46" s="234">
        <v>0.19800000000000001</v>
      </c>
      <c r="AG46" s="234">
        <v>0.20899999999999999</v>
      </c>
      <c r="AH46" s="235">
        <v>0.20050000000000001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11.623014767344657</v>
      </c>
      <c r="R47" s="125">
        <f>((R43-R45)/(R45-R46))*100</f>
        <v>11.159267308289353</v>
      </c>
      <c r="S47" s="126">
        <f>((S43-S45)/(S45-S46))*100</f>
        <v>14.362915065754542</v>
      </c>
      <c r="T47" s="174"/>
      <c r="U47" s="555" t="s">
        <v>162</v>
      </c>
      <c r="V47" s="555"/>
      <c r="W47" s="179" t="s">
        <v>41</v>
      </c>
      <c r="X47" s="402">
        <f>IF(L25=D103,"-",IF(L25=D102,"-",IF(L25=D101,M25)))</f>
        <v>13.63</v>
      </c>
      <c r="Y47" s="402"/>
      <c r="Z47" s="402"/>
      <c r="AA47" s="174"/>
      <c r="AB47" s="662" t="s">
        <v>33</v>
      </c>
      <c r="AC47" s="663"/>
      <c r="AD47" s="663"/>
      <c r="AE47" s="663"/>
      <c r="AF47" s="232">
        <f>(AF46-AF45)*2.54</f>
        <v>0.20193000000000005</v>
      </c>
      <c r="AG47" s="232">
        <f>(AG46-AG45)*2.54</f>
        <v>0.24383999999999997</v>
      </c>
      <c r="AH47" s="239">
        <f>(AH46-AH45)*2.54</f>
        <v>0.26924000000000003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1.7362854686156497</v>
      </c>
      <c r="AG48" s="142">
        <f>IF(AG47&lt;&gt;"",IF(R24&lt;&gt;"",AG47/R24*100,""),"")</f>
        <v>2.0966466036113496</v>
      </c>
      <c r="AH48" s="173">
        <f>IF(AH47&lt;&gt;"",IF(S24&lt;&gt;"",AH47/S24*100,""),"")</f>
        <v>2.3110729613733909</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9.7000000000000003E-2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4555</v>
      </c>
      <c r="AG51" s="647">
        <v>4</v>
      </c>
      <c r="AH51" s="648"/>
      <c r="AJ51" s="42">
        <v>0.48899999999999999</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1.2729999999999999</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2.1560000000000001</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2.95</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3.726</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4.3410000000000002</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4.87</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5.2759999999999998</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6.8390000000000004</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8.2739999999999991</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9.5519999999999996</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-7.6E-3</v>
      </c>
      <c r="G74" s="75">
        <v>-0.12509999999999999</v>
      </c>
      <c r="J74" s="701"/>
      <c r="K74" s="702"/>
      <c r="L74" s="44"/>
      <c r="M74" s="44"/>
      <c r="N74" s="44"/>
    </row>
    <row r="75" spans="1:94" ht="26.25" customHeight="1" thickBot="1" x14ac:dyDescent="0.3">
      <c r="A75" s="11"/>
      <c r="B75" s="377" t="s">
        <v>113</v>
      </c>
      <c r="C75" s="377"/>
      <c r="D75" s="19"/>
      <c r="E75" s="54" t="s">
        <v>12</v>
      </c>
      <c r="F75" s="55">
        <v>0.1431</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1.3922000000000001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0.46700000000000003</v>
      </c>
      <c r="AM76" s="3">
        <f t="shared" si="4"/>
        <v>0.24171842650103523</v>
      </c>
      <c r="AN76" s="5">
        <f>AA23</f>
        <v>0.317</v>
      </c>
      <c r="AO76" s="3">
        <f t="shared" ref="AO76:AO86" si="7">((AN76/19.32)*10)</f>
        <v>0.16407867494824019</v>
      </c>
      <c r="AP76" s="5">
        <f>AE23</f>
        <v>0.16700000000000001</v>
      </c>
      <c r="AQ76" s="161">
        <f t="shared" si="5"/>
        <v>8.643892339544515E-2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1.2729999999999999</v>
      </c>
      <c r="AM77" s="3">
        <f t="shared" si="4"/>
        <v>0.65890269151138714</v>
      </c>
      <c r="AN77" s="5">
        <f>AA24</f>
        <v>0.8160256410256409</v>
      </c>
      <c r="AO77" s="3">
        <f t="shared" si="7"/>
        <v>0.42237352019960706</v>
      </c>
      <c r="AP77" s="5">
        <f>AE24</f>
        <v>0.44881410256410254</v>
      </c>
      <c r="AQ77" s="161">
        <f t="shared" si="5"/>
        <v>0.23230543610978394</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2.1560000000000001</v>
      </c>
      <c r="AM78" s="3">
        <f t="shared" si="4"/>
        <v>1.1159420289855073</v>
      </c>
      <c r="AN78" s="5">
        <f>AA25</f>
        <v>1.382051282051282</v>
      </c>
      <c r="AO78" s="3">
        <f t="shared" si="7"/>
        <v>0.71534745447788928</v>
      </c>
      <c r="AP78" s="5">
        <f>AE25</f>
        <v>0.76012820512820523</v>
      </c>
      <c r="AQ78" s="161">
        <f t="shared" si="5"/>
        <v>0.3934410999628391</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2.95</v>
      </c>
      <c r="AM79" s="4">
        <f t="shared" si="4"/>
        <v>1.5269151138716359</v>
      </c>
      <c r="AN79" s="5">
        <f>AA26</f>
        <v>1.891025641025641</v>
      </c>
      <c r="AO79" s="4">
        <f t="shared" si="7"/>
        <v>0.97879173966130484</v>
      </c>
      <c r="AP79" s="5">
        <f>AE26</f>
        <v>1.0400641025641026</v>
      </c>
      <c r="AQ79" s="162">
        <f t="shared" si="5"/>
        <v>0.53833545681371775</v>
      </c>
      <c r="BB79" s="12">
        <v>17</v>
      </c>
      <c r="BC79" s="12">
        <v>18</v>
      </c>
    </row>
    <row r="80" spans="1:94" ht="42" customHeight="1" thickTop="1" thickBot="1" x14ac:dyDescent="0.3">
      <c r="D80" s="49"/>
      <c r="H80" s="711" t="s">
        <v>105</v>
      </c>
      <c r="I80" s="712"/>
      <c r="J80" s="58"/>
      <c r="AJ80" s="160">
        <f>U28</f>
        <v>0.125</v>
      </c>
      <c r="AK80" s="3">
        <f t="shared" si="6"/>
        <v>3.1749999999999998</v>
      </c>
      <c r="AL80" s="5">
        <f>W28</f>
        <v>3.726</v>
      </c>
      <c r="AM80" s="3">
        <f t="shared" si="4"/>
        <v>1.9285714285714286</v>
      </c>
      <c r="AN80" s="5">
        <f>AA28</f>
        <v>2.3884615384615384</v>
      </c>
      <c r="AO80" s="3">
        <f t="shared" si="7"/>
        <v>1.2362637362637361</v>
      </c>
      <c r="AP80" s="5">
        <f>AE28</f>
        <v>1.3136538461538463</v>
      </c>
      <c r="AQ80" s="161">
        <f t="shared" si="5"/>
        <v>0.67994505494505497</v>
      </c>
      <c r="BC80" s="45">
        <v>0.99880400000000003</v>
      </c>
      <c r="BD80" s="45">
        <v>0.99862499999999998</v>
      </c>
    </row>
    <row r="81" spans="2:43" ht="15.75" customHeight="1" x14ac:dyDescent="0.25">
      <c r="AJ81" s="160">
        <f>U30</f>
        <v>0.15</v>
      </c>
      <c r="AK81" s="3">
        <f t="shared" si="6"/>
        <v>3.8099999999999996</v>
      </c>
      <c r="AL81" s="5">
        <f>W30</f>
        <v>4.3410000000000002</v>
      </c>
      <c r="AM81" s="3">
        <f t="shared" si="4"/>
        <v>2.2468944099378882</v>
      </c>
      <c r="AN81" s="5">
        <f>AA30</f>
        <v>2.7826923076923076</v>
      </c>
      <c r="AO81" s="3">
        <f t="shared" si="7"/>
        <v>1.4403169294473641</v>
      </c>
      <c r="AP81" s="5">
        <f>AE30</f>
        <v>1.5304807692307694</v>
      </c>
      <c r="AQ81" s="161">
        <f t="shared" si="5"/>
        <v>0.79217431119605042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4.87</v>
      </c>
      <c r="AM82" s="3">
        <f t="shared" si="4"/>
        <v>2.520703933747412</v>
      </c>
      <c r="AN82" s="5">
        <f>AA31</f>
        <v>3.1217948717948718</v>
      </c>
      <c r="AO82" s="3">
        <f t="shared" si="7"/>
        <v>1.6158358549662897</v>
      </c>
      <c r="AP82" s="5">
        <f>AE31</f>
        <v>1.7169871794871796</v>
      </c>
      <c r="AQ82" s="161">
        <f t="shared" si="5"/>
        <v>0.88870972023145933</v>
      </c>
    </row>
    <row r="83" spans="2:43" ht="15" customHeight="1" x14ac:dyDescent="0.25">
      <c r="B83" s="49"/>
      <c r="C83" s="49"/>
      <c r="D83" s="49">
        <v>0</v>
      </c>
      <c r="E83" s="50">
        <f>M42</f>
        <v>9.4144736842105274</v>
      </c>
      <c r="F83" s="49"/>
      <c r="G83" s="43">
        <f>G84/10</f>
        <v>2.3031260763100021</v>
      </c>
      <c r="H83" s="43">
        <f>H84/10</f>
        <v>2.1778012227471168</v>
      </c>
      <c r="I83" s="43">
        <f>I84/10</f>
        <v>2.0425315305639229</v>
      </c>
      <c r="J83" s="43">
        <f>J84/10</f>
        <v>1.9391461173151174</v>
      </c>
      <c r="K83" s="43"/>
      <c r="L83" s="42">
        <v>0</v>
      </c>
      <c r="O83" s="706"/>
      <c r="P83" s="706"/>
      <c r="Q83" s="706"/>
      <c r="R83" s="706"/>
      <c r="S83" s="707"/>
      <c r="W83" s="112"/>
      <c r="AJ83" s="160">
        <f>U33</f>
        <v>0.2</v>
      </c>
      <c r="AK83" s="4">
        <f t="shared" si="6"/>
        <v>5.08</v>
      </c>
      <c r="AL83" s="5">
        <f>W33</f>
        <v>5.2759999999999998</v>
      </c>
      <c r="AM83" s="4">
        <f t="shared" si="4"/>
        <v>2.7308488612836439</v>
      </c>
      <c r="AN83" s="5">
        <f>AA33</f>
        <v>3.3780000000000001</v>
      </c>
      <c r="AO83" s="4">
        <f t="shared" si="7"/>
        <v>1.7484472049689441</v>
      </c>
      <c r="AP83" s="5">
        <f>AE33</f>
        <v>1.83</v>
      </c>
      <c r="AQ83" s="162">
        <f t="shared" si="5"/>
        <v>0.94720496894409933</v>
      </c>
    </row>
    <row r="84" spans="2:43" ht="15" customHeight="1" x14ac:dyDescent="0.25">
      <c r="C84" s="94"/>
      <c r="D84" s="94"/>
      <c r="E84" s="94"/>
      <c r="F84" s="49"/>
      <c r="G84" s="43">
        <f>($M$34/(1+(E34*$M$34/100)))*($O$73)</f>
        <v>23.031260763100022</v>
      </c>
      <c r="H84" s="43">
        <f>($M$34/(1+(F34*$M$34/100)))*($O$73)</f>
        <v>21.778012227471169</v>
      </c>
      <c r="I84" s="43">
        <f>($M$34/(1+(G34*$M$34/100)))*($O$73)</f>
        <v>20.425315305639231</v>
      </c>
      <c r="J84" s="43">
        <f>($M$34/(1+(H34*$M$34/100)))*($O$73)</f>
        <v>19.391461173151175</v>
      </c>
      <c r="K84" s="43"/>
      <c r="O84" s="706" t="s">
        <v>146</v>
      </c>
      <c r="P84" s="706"/>
      <c r="Q84" s="706"/>
      <c r="R84" s="706"/>
      <c r="S84" s="707">
        <v>2240</v>
      </c>
      <c r="W84" s="112"/>
      <c r="AJ84" s="160">
        <f>U34</f>
        <v>0.3</v>
      </c>
      <c r="AK84" s="3">
        <f t="shared" si="6"/>
        <v>7.6199999999999992</v>
      </c>
      <c r="AL84" s="5">
        <f>W34</f>
        <v>6.8390000000000004</v>
      </c>
      <c r="AM84" s="3">
        <f t="shared" si="4"/>
        <v>3.5398550724637685</v>
      </c>
      <c r="AN84" s="5">
        <f>AA34</f>
        <v>4.3840000000000003</v>
      </c>
      <c r="AO84" s="3">
        <f t="shared" si="7"/>
        <v>2.2691511387163561</v>
      </c>
      <c r="AP84" s="5">
        <f>AE34</f>
        <v>2.4111858974358977</v>
      </c>
      <c r="AQ84" s="161">
        <f t="shared" si="5"/>
        <v>1.2480258268301749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8.2739999999999991</v>
      </c>
      <c r="AM85" s="3">
        <f t="shared" si="4"/>
        <v>4.2826086956521738</v>
      </c>
      <c r="AN85" s="5">
        <f>AA35</f>
        <v>5.3038461538461528</v>
      </c>
      <c r="AO85" s="3">
        <f t="shared" si="7"/>
        <v>2.7452619843924184</v>
      </c>
      <c r="AP85" s="5">
        <f>AE35</f>
        <v>2.9171153846153843</v>
      </c>
      <c r="AQ85" s="161">
        <f>((AP85/19.32)*10)</f>
        <v>1.5098940914158305</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9.5519999999999996</v>
      </c>
      <c r="AM86" s="164">
        <f t="shared" si="4"/>
        <v>4.9440993788819867</v>
      </c>
      <c r="AN86" s="165">
        <f>AA37</f>
        <v>6.1230769230769226</v>
      </c>
      <c r="AO86" s="164">
        <f t="shared" si="7"/>
        <v>3.1692944736422994</v>
      </c>
      <c r="AP86" s="165">
        <f>AE37</f>
        <v>3.3676923076923075</v>
      </c>
      <c r="AQ86" s="166">
        <f>((AP86/19.32)*10)</f>
        <v>1.7431119605032648</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2.061070584828363</v>
      </c>
      <c r="AK91" s="9">
        <f>R31</f>
        <v>1.9347864637697743</v>
      </c>
      <c r="AL91" s="10">
        <f>S31</f>
        <v>1.7989515834604139</v>
      </c>
    </row>
    <row r="92" spans="2:43" ht="21" customHeight="1" thickBot="1" x14ac:dyDescent="0.3">
      <c r="B92" s="92"/>
      <c r="C92" s="93"/>
      <c r="D92" s="93"/>
      <c r="E92" s="93"/>
      <c r="F92" s="62"/>
      <c r="G92" s="63"/>
      <c r="H92" s="49"/>
      <c r="I92" s="49"/>
      <c r="O92" s="725" t="s">
        <v>147</v>
      </c>
      <c r="P92" s="726"/>
      <c r="Q92" s="726"/>
      <c r="R92" s="726"/>
      <c r="S92" s="61">
        <f>M42</f>
        <v>9.4144736842105274</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22.129204548864287</v>
      </c>
      <c r="AK94" s="158">
        <f>AA42</f>
        <v>14.185387531323258</v>
      </c>
      <c r="AL94" s="158">
        <f>AD42</f>
        <v>7.8019631422277929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252" priority="47">
      <formula>LEN(TRIM(D6))=0</formula>
    </cfRule>
  </conditionalFormatting>
  <conditionalFormatting sqref="D6:H10">
    <cfRule type="containsBlanks" dxfId="1251" priority="46">
      <formula>LEN(TRIM(D6))=0</formula>
    </cfRule>
  </conditionalFormatting>
  <conditionalFormatting sqref="M19">
    <cfRule type="containsBlanks" dxfId="1250" priority="45">
      <formula>LEN(TRIM(M19))=0</formula>
    </cfRule>
  </conditionalFormatting>
  <conditionalFormatting sqref="CP70">
    <cfRule type="containsBlanks" dxfId="1249" priority="44">
      <formula>LEN(TRIM(CP70))=0</formula>
    </cfRule>
  </conditionalFormatting>
  <conditionalFormatting sqref="M21">
    <cfRule type="containsBlanks" dxfId="1248" priority="43">
      <formula>LEN(TRIM(M21))=0</formula>
    </cfRule>
  </conditionalFormatting>
  <conditionalFormatting sqref="D12:M12">
    <cfRule type="containsBlanks" dxfId="1247" priority="42">
      <formula>LEN(TRIM(D12))=0</formula>
    </cfRule>
  </conditionalFormatting>
  <conditionalFormatting sqref="L9:M9">
    <cfRule type="containsBlanks" dxfId="1246" priority="41">
      <formula>LEN(TRIM(L9))=0</formula>
    </cfRule>
  </conditionalFormatting>
  <conditionalFormatting sqref="L25">
    <cfRule type="containsBlanks" dxfId="1245" priority="40">
      <formula>LEN(TRIM(L25))=0</formula>
    </cfRule>
  </conditionalFormatting>
  <conditionalFormatting sqref="Q20:S21">
    <cfRule type="containsBlanks" dxfId="1244" priority="33">
      <formula>LEN(TRIM(Q20))=0</formula>
    </cfRule>
    <cfRule type="containsBlanks" dxfId="1243" priority="39">
      <formula>LEN(TRIM(Q20))=0</formula>
    </cfRule>
  </conditionalFormatting>
  <conditionalFormatting sqref="U26:V27 AC33 AC26">
    <cfRule type="cellIs" dxfId="1242" priority="38" operator="between">
      <formula>0</formula>
      <formula>500</formula>
    </cfRule>
  </conditionalFormatting>
  <conditionalFormatting sqref="U33:V33">
    <cfRule type="cellIs" dxfId="1241" priority="37" operator="between">
      <formula>0</formula>
      <formula>500</formula>
    </cfRule>
  </conditionalFormatting>
  <conditionalFormatting sqref="AF45:AH46">
    <cfRule type="containsBlanks" dxfId="1240" priority="36">
      <formula>LEN(TRIM(AF45))=0</formula>
    </cfRule>
  </conditionalFormatting>
  <conditionalFormatting sqref="AF51:AG53">
    <cfRule type="containsBlanks" dxfId="1239" priority="35">
      <formula>LEN(TRIM(AF51))=0</formula>
    </cfRule>
  </conditionalFormatting>
  <conditionalFormatting sqref="E20:H24">
    <cfRule type="containsBlanks" dxfId="1238" priority="34">
      <formula>LEN(TRIM(E20))=0</formula>
    </cfRule>
  </conditionalFormatting>
  <conditionalFormatting sqref="M25">
    <cfRule type="containsBlanks" dxfId="1237" priority="32">
      <formula>LEN(TRIM(M25))=0</formula>
    </cfRule>
  </conditionalFormatting>
  <conditionalFormatting sqref="U26:V27 Y26:Z27 AC26:AD27 AG26:AG27">
    <cfRule type="containsBlanks" dxfId="1236" priority="30">
      <formula>LEN(TRIM(U26))=0</formula>
    </cfRule>
    <cfRule type="cellIs" dxfId="1235" priority="31" operator="between">
      <formula>0</formula>
      <formula>1000</formula>
    </cfRule>
  </conditionalFormatting>
  <conditionalFormatting sqref="W87:W88">
    <cfRule type="cellIs" dxfId="1234" priority="29" operator="between">
      <formula>0</formula>
      <formula>500</formula>
    </cfRule>
  </conditionalFormatting>
  <conditionalFormatting sqref="W94">
    <cfRule type="cellIs" dxfId="1233" priority="28" operator="between">
      <formula>0</formula>
      <formula>500</formula>
    </cfRule>
  </conditionalFormatting>
  <conditionalFormatting sqref="W87:W88">
    <cfRule type="containsBlanks" dxfId="1232" priority="26">
      <formula>LEN(TRIM(W87))=0</formula>
    </cfRule>
    <cfRule type="cellIs" dxfId="1231" priority="27" operator="between">
      <formula>0</formula>
      <formula>1000</formula>
    </cfRule>
  </conditionalFormatting>
  <conditionalFormatting sqref="U33:V33 Y33:Z33 AC33:AD33 AG33">
    <cfRule type="cellIs" dxfId="1230" priority="25" operator="between">
      <formula>0</formula>
      <formula>1000</formula>
    </cfRule>
  </conditionalFormatting>
  <conditionalFormatting sqref="Q27:S27">
    <cfRule type="containsBlanks" dxfId="1229" priority="23">
      <formula>LEN(TRIM(Q27))=0</formula>
    </cfRule>
    <cfRule type="containsBlanks" dxfId="1228" priority="24">
      <formula>LEN(TRIM(Q27))=0</formula>
    </cfRule>
  </conditionalFormatting>
  <conditionalFormatting sqref="W30:W31 W33:W35 W37 W28 W22:W26">
    <cfRule type="containsBlanks" dxfId="1227" priority="22">
      <formula>LEN(TRIM(W22))=0</formula>
    </cfRule>
  </conditionalFormatting>
  <conditionalFormatting sqref="W37 W30:W31 W33:W35 W28 W22:W26">
    <cfRule type="containsBlanks" dxfId="1226" priority="21">
      <formula>LEN(TRIM(W22))=0</formula>
    </cfRule>
  </conditionalFormatting>
  <conditionalFormatting sqref="W33:X33">
    <cfRule type="cellIs" dxfId="1225" priority="20" operator="between">
      <formula>0</formula>
      <formula>1000</formula>
    </cfRule>
  </conditionalFormatting>
  <conditionalFormatting sqref="W30:X37 W26 W28 W22:X25">
    <cfRule type="containsBlanks" dxfId="1224" priority="19">
      <formula>LEN(TRIM(W22))=0</formula>
    </cfRule>
  </conditionalFormatting>
  <conditionalFormatting sqref="AA37 AA30:AA31 AA33 AA22:AA26 AA28 AA35">
    <cfRule type="containsBlanks" dxfId="1223" priority="18">
      <formula>LEN(TRIM(AA22))=0</formula>
    </cfRule>
  </conditionalFormatting>
  <conditionalFormatting sqref="AA37 AA30:AA31 AA33 AA22:AA26 AA28 AA35">
    <cfRule type="containsBlanks" dxfId="1222" priority="17">
      <formula>LEN(TRIM(AA22))=0</formula>
    </cfRule>
  </conditionalFormatting>
  <conditionalFormatting sqref="AA33:AB33">
    <cfRule type="cellIs" dxfId="1221" priority="16" operator="between">
      <formula>0</formula>
      <formula>1000</formula>
    </cfRule>
  </conditionalFormatting>
  <conditionalFormatting sqref="AA30:AB30 AA31 AA33:AB33 AA22:AB25 AA26 AA28 AA35:AB37">
    <cfRule type="containsBlanks" dxfId="1220" priority="15">
      <formula>LEN(TRIM(AA22))=0</formula>
    </cfRule>
  </conditionalFormatting>
  <conditionalFormatting sqref="AE37 AE28 AE30:AE31 AE33:AE35 AE22:AE26">
    <cfRule type="containsBlanks" dxfId="1219" priority="14">
      <formula>LEN(TRIM(AE22))=0</formula>
    </cfRule>
  </conditionalFormatting>
  <conditionalFormatting sqref="AE37 AE28 AE30:AE31 AE33:AE35 AE22:AE26">
    <cfRule type="containsBlanks" dxfId="1218" priority="13">
      <formula>LEN(TRIM(AE22))=0</formula>
    </cfRule>
  </conditionalFormatting>
  <conditionalFormatting sqref="AE33:AF33">
    <cfRule type="cellIs" dxfId="1217" priority="12" operator="between">
      <formula>0</formula>
      <formula>1000</formula>
    </cfRule>
  </conditionalFormatting>
  <conditionalFormatting sqref="AE33:AF37 AE26 AE28 AE30:AE31 AE22:AF25">
    <cfRule type="containsBlanks" dxfId="1216" priority="11">
      <formula>LEN(TRIM(AE22))=0</formula>
    </cfRule>
  </conditionalFormatting>
  <conditionalFormatting sqref="K6:M6">
    <cfRule type="containsBlanks" dxfId="1215" priority="10">
      <formula>LEN(TRIM(K6))=0</formula>
    </cfRule>
  </conditionalFormatting>
  <conditionalFormatting sqref="K7:K8">
    <cfRule type="containsBlanks" dxfId="1214" priority="9">
      <formula>LEN(TRIM(K7))=0</formula>
    </cfRule>
  </conditionalFormatting>
  <conditionalFormatting sqref="D13:M13">
    <cfRule type="containsBlanks" dxfId="1213" priority="8">
      <formula>LEN(TRIM(D13))=0</formula>
    </cfRule>
  </conditionalFormatting>
  <conditionalFormatting sqref="B6:B10">
    <cfRule type="containsBlanks" dxfId="1212" priority="7">
      <formula>LEN(TRIM(B6))=0</formula>
    </cfRule>
  </conditionalFormatting>
  <conditionalFormatting sqref="B12:B13">
    <cfRule type="containsBlanks" dxfId="1211" priority="6">
      <formula>LEN(TRIM(B12))=0</formula>
    </cfRule>
  </conditionalFormatting>
  <conditionalFormatting sqref="E28:H33">
    <cfRule type="containsBlanks" dxfId="1210" priority="5">
      <formula>LEN(TRIM(E28))=0</formula>
    </cfRule>
  </conditionalFormatting>
  <conditionalFormatting sqref="Q22:S26">
    <cfRule type="containsBlanks" dxfId="1209" priority="3">
      <formula>LEN(TRIM(Q22))=0</formula>
    </cfRule>
    <cfRule type="containsBlanks" dxfId="1208" priority="4">
      <formula>LEN(TRIM(Q22))=0</formula>
    </cfRule>
  </conditionalFormatting>
  <conditionalFormatting sqref="Q34:S39">
    <cfRule type="containsBlanks" dxfId="1207" priority="2">
      <formula>LEN(TRIM(Q34))=0</formula>
    </cfRule>
  </conditionalFormatting>
  <conditionalFormatting sqref="Q42:S46">
    <cfRule type="containsBlanks" dxfId="1206" priority="1">
      <formula>LEN(TRIM(Q42))=0</formula>
    </cfRule>
  </conditionalFormatting>
  <dataValidations count="5">
    <dataValidation type="list" allowBlank="1" showInputMessage="1" showErrorMessage="1" sqref="L25" xr:uid="{00000000-0002-0000-2100-000000000000}">
      <formula1>$D$101:$D$104</formula1>
    </dataValidation>
    <dataValidation type="list" allowBlank="1" showInputMessage="1" showErrorMessage="1" sqref="M21" xr:uid="{00000000-0002-0000-2100-000001000000}">
      <formula1>$AX$3:$AX$4</formula1>
    </dataValidation>
    <dataValidation type="list" allowBlank="1" showInputMessage="1" showErrorMessage="1" sqref="M19" xr:uid="{00000000-0002-0000-2100-000002000000}">
      <formula1>$AX$3:$AX$5</formula1>
    </dataValidation>
    <dataValidation type="list" allowBlank="1" showInputMessage="1" showErrorMessage="1" sqref="CP70" xr:uid="{00000000-0002-0000-2100-000003000000}">
      <formula1>$BA$3:$BA$5</formula1>
    </dataValidation>
    <dataValidation type="list" allowBlank="1" showInputMessage="1" showErrorMessage="1" sqref="D12:E12" xr:uid="{00000000-0002-0000-2100-000004000000}">
      <formula1>$B$87:$B$94</formula1>
    </dataValidation>
  </dataValidations>
  <hyperlinks>
    <hyperlink ref="D8" r:id="rId1" xr:uid="{00000000-0004-0000-21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61793"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61794"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61795"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6179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6179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61798"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61799"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6180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6180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6180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78">
    <tabColor rgb="FF92D050"/>
  </sheetPr>
  <dimension ref="A1:CP153"/>
  <sheetViews>
    <sheetView view="pageBreakPreview" topLeftCell="R19" zoomScale="86" zoomScaleNormal="100" zoomScaleSheetLayoutView="86"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25-P-MEDIACANOA AP2 -2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25-P-MEDIACANOA AP2 -2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268</v>
      </c>
      <c r="G12" s="31" t="s">
        <v>4</v>
      </c>
      <c r="H12" s="146">
        <v>2</v>
      </c>
      <c r="I12" s="546" t="s">
        <v>5</v>
      </c>
      <c r="J12" s="546"/>
      <c r="K12" s="209">
        <v>0.8</v>
      </c>
      <c r="L12" s="32" t="s">
        <v>6</v>
      </c>
      <c r="M12" s="147">
        <v>1.5</v>
      </c>
      <c r="N12" s="78"/>
      <c r="O12" s="501" t="s">
        <v>3</v>
      </c>
      <c r="P12" s="501"/>
      <c r="Q12" s="225" t="s">
        <v>234</v>
      </c>
      <c r="R12" s="224" t="str">
        <f>F12</f>
        <v xml:space="preserve">P-MEDIACANOA AP2 </v>
      </c>
      <c r="S12" s="224"/>
      <c r="T12" s="502" t="s">
        <v>4</v>
      </c>
      <c r="U12" s="502"/>
      <c r="V12" s="33">
        <f>+H12</f>
        <v>2</v>
      </c>
      <c r="W12" s="547" t="s">
        <v>5</v>
      </c>
      <c r="X12" s="547"/>
      <c r="Y12" s="547"/>
      <c r="Z12" s="547"/>
      <c r="AA12" s="547"/>
      <c r="AB12" s="547"/>
      <c r="AC12" s="34">
        <f>K12</f>
        <v>0.8</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271</v>
      </c>
      <c r="E13" s="479"/>
      <c r="F13" s="479"/>
      <c r="G13" s="479"/>
      <c r="H13" s="479"/>
      <c r="I13" s="479"/>
      <c r="J13" s="479"/>
      <c r="K13" s="479"/>
      <c r="L13" s="479"/>
      <c r="M13" s="480"/>
      <c r="N13" s="188"/>
      <c r="O13" s="526" t="s">
        <v>130</v>
      </c>
      <c r="P13" s="526"/>
      <c r="Q13" s="527" t="str">
        <f>D13</f>
        <v>GRAVAS ANGULOSAS, CON  ARCILLA Y ALGO DE ARENA, COLOR MARRÓN, EN CONDICIÓN HÚMEDA, CONSISTENCIA BLANDA.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528</v>
      </c>
      <c r="R20" s="148">
        <v>516</v>
      </c>
      <c r="S20" s="149">
        <v>488</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7278</v>
      </c>
      <c r="F22" s="150">
        <v>7448</v>
      </c>
      <c r="G22" s="150">
        <v>7580</v>
      </c>
      <c r="H22" s="151">
        <v>7459</v>
      </c>
      <c r="I22" s="174"/>
      <c r="J22" s="578"/>
      <c r="K22" s="578"/>
      <c r="L22" s="578"/>
      <c r="M22" s="104"/>
      <c r="N22" s="103"/>
      <c r="O22" s="579" t="s">
        <v>132</v>
      </c>
      <c r="P22" s="580"/>
      <c r="Q22" s="150">
        <v>8376</v>
      </c>
      <c r="R22" s="150">
        <v>8200</v>
      </c>
      <c r="S22" s="208">
        <v>7881</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7.6999999999999999E-2</v>
      </c>
      <c r="AJ22" s="42">
        <f>AJ50/1.57</f>
        <v>4.9044585987261143E-2</v>
      </c>
      <c r="AK22" s="42">
        <f>AJ22*0.65</f>
        <v>3.1878980891719741E-2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3844</v>
      </c>
      <c r="R23" s="150">
        <v>3814</v>
      </c>
      <c r="S23" s="151">
        <v>3702</v>
      </c>
      <c r="T23" s="174"/>
      <c r="U23" s="112">
        <v>2.5000000000000001E-2</v>
      </c>
      <c r="V23" s="113">
        <f>U23*25.4</f>
        <v>0.63500000000000001</v>
      </c>
      <c r="W23" s="581">
        <f>AI23</f>
        <v>0.28100000000000003</v>
      </c>
      <c r="X23" s="582"/>
      <c r="Y23" s="449">
        <f>((W23/19.32)*10)</f>
        <v>0.14544513457556937</v>
      </c>
      <c r="Z23" s="450"/>
      <c r="AA23" s="581">
        <v>0.17199999999999999</v>
      </c>
      <c r="AB23" s="582"/>
      <c r="AC23" s="449">
        <f>((AA23/19.32)*10)</f>
        <v>8.9026915113871619E-2</v>
      </c>
      <c r="AD23" s="450"/>
      <c r="AE23" s="581">
        <v>0.112</v>
      </c>
      <c r="AF23" s="582"/>
      <c r="AG23" s="114">
        <f>((AE23/19.32)*10)</f>
        <v>5.7971014492753624E-2</v>
      </c>
      <c r="AH23" s="104"/>
      <c r="AI23" s="42">
        <f t="shared" ref="AI23:AI33" si="2">AJ51</f>
        <v>0.28100000000000003</v>
      </c>
      <c r="AJ23" s="42">
        <f t="shared" ref="AJ23:AJ33" si="3">AJ51/1.57</f>
        <v>0.17898089171974524</v>
      </c>
      <c r="AK23" s="42">
        <f t="shared" ref="AK23:AK33" si="4">AJ23*0.65</f>
        <v>0.11633757961783441</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v>
      </c>
      <c r="R24" s="150">
        <v>11.63</v>
      </c>
      <c r="S24" s="151">
        <v>11.62</v>
      </c>
      <c r="T24" s="174"/>
      <c r="U24" s="112">
        <v>0.05</v>
      </c>
      <c r="V24" s="113">
        <f>U24*25.4</f>
        <v>1.27</v>
      </c>
      <c r="W24" s="581">
        <f>AI24</f>
        <v>0.61399999999999999</v>
      </c>
      <c r="X24" s="582"/>
      <c r="Y24" s="449">
        <f>((W24/19.32)*10)</f>
        <v>0.31780538302277428</v>
      </c>
      <c r="Z24" s="450"/>
      <c r="AA24" s="581">
        <f>AJ24</f>
        <v>0.39108280254777067</v>
      </c>
      <c r="AB24" s="582"/>
      <c r="AC24" s="449">
        <f>((AA24/19.32)*10)</f>
        <v>0.20242381084253139</v>
      </c>
      <c r="AD24" s="450"/>
      <c r="AE24" s="581">
        <v>0.251</v>
      </c>
      <c r="AF24" s="582"/>
      <c r="AG24" s="114">
        <f>((AE24/19.32)*10)</f>
        <v>0.12991718426501037</v>
      </c>
      <c r="AH24" s="104"/>
      <c r="AI24" s="42">
        <f t="shared" si="2"/>
        <v>0.61399999999999999</v>
      </c>
      <c r="AJ24" s="42">
        <f t="shared" si="3"/>
        <v>0.39108280254777067</v>
      </c>
      <c r="AK24" s="42">
        <f t="shared" si="4"/>
        <v>0.25420382165605093</v>
      </c>
      <c r="AO24" s="42">
        <v>0.68400000000000005</v>
      </c>
      <c r="AS24" s="42">
        <f t="shared" si="5"/>
        <v>0.55609756097560981</v>
      </c>
    </row>
    <row r="25" spans="1:45" ht="24.95" customHeight="1" thickBot="1" x14ac:dyDescent="0.3">
      <c r="A25" s="103"/>
      <c r="B25" s="602" t="s">
        <v>69</v>
      </c>
      <c r="C25" s="603"/>
      <c r="D25" s="603"/>
      <c r="E25" s="115">
        <f>E22-E23</f>
        <v>4394</v>
      </c>
      <c r="F25" s="115">
        <f>F22-F23</f>
        <v>4564</v>
      </c>
      <c r="G25" s="115">
        <f>G22-G23</f>
        <v>4696</v>
      </c>
      <c r="H25" s="116">
        <f>H22-H23</f>
        <v>4575</v>
      </c>
      <c r="I25" s="174"/>
      <c r="J25" s="174" t="s">
        <v>127</v>
      </c>
      <c r="K25" s="174"/>
      <c r="L25" s="218" t="s">
        <v>128</v>
      </c>
      <c r="M25" s="155">
        <v>15.7</v>
      </c>
      <c r="N25" s="103"/>
      <c r="O25" s="604" t="s">
        <v>46</v>
      </c>
      <c r="P25" s="605"/>
      <c r="Q25" s="608">
        <v>15.2</v>
      </c>
      <c r="R25" s="608">
        <v>15.24</v>
      </c>
      <c r="S25" s="610">
        <v>15.22</v>
      </c>
      <c r="T25" s="174"/>
      <c r="U25" s="112">
        <v>7.4999999999999997E-2</v>
      </c>
      <c r="V25" s="113">
        <f>U25*25.4</f>
        <v>1.9049999999999998</v>
      </c>
      <c r="W25" s="581">
        <f>AI25</f>
        <v>0.91100000000000003</v>
      </c>
      <c r="X25" s="582"/>
      <c r="Y25" s="449">
        <f>((W25/19.32)*10)</f>
        <v>0.47153209109730854</v>
      </c>
      <c r="Z25" s="450"/>
      <c r="AA25" s="581">
        <f>AJ25</f>
        <v>0.58025477707006368</v>
      </c>
      <c r="AB25" s="582"/>
      <c r="AC25" s="449">
        <f>((AA25/19.32)*10)</f>
        <v>0.30033891152694808</v>
      </c>
      <c r="AD25" s="450"/>
      <c r="AE25" s="581">
        <f>AK25</f>
        <v>0.37716560509554142</v>
      </c>
      <c r="AF25" s="582"/>
      <c r="AG25" s="114">
        <f>((AE25/19.32)*10)</f>
        <v>0.19522029249251627</v>
      </c>
      <c r="AH25" s="104"/>
      <c r="AI25" s="42">
        <f t="shared" si="2"/>
        <v>0.91100000000000003</v>
      </c>
      <c r="AJ25" s="42">
        <f t="shared" si="3"/>
        <v>0.58025477707006368</v>
      </c>
      <c r="AK25" s="42">
        <f t="shared" si="4"/>
        <v>0.37716560509554142</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15.7</v>
      </c>
      <c r="N26" s="103"/>
      <c r="O26" s="606"/>
      <c r="P26" s="607"/>
      <c r="Q26" s="609"/>
      <c r="R26" s="609"/>
      <c r="S26" s="611"/>
      <c r="T26" s="174"/>
      <c r="U26" s="600">
        <v>0.1</v>
      </c>
      <c r="V26" s="601">
        <f>U26*25.4</f>
        <v>2.54</v>
      </c>
      <c r="W26" s="778">
        <f>AI26</f>
        <v>1.1339999999999999</v>
      </c>
      <c r="X26" s="779"/>
      <c r="Y26" s="461">
        <f>((W26/19.32)*10)</f>
        <v>0.58695652173913038</v>
      </c>
      <c r="Z26" s="462"/>
      <c r="AA26" s="746">
        <f>AJ26</f>
        <v>0.7222929936305732</v>
      </c>
      <c r="AB26" s="747"/>
      <c r="AC26" s="461">
        <f>((AA26/19.32)*10)</f>
        <v>0.3738576571586818</v>
      </c>
      <c r="AD26" s="462"/>
      <c r="AE26" s="746">
        <f>AK26</f>
        <v>0.4694904458598726</v>
      </c>
      <c r="AF26" s="747"/>
      <c r="AG26" s="469">
        <f>((AE26/19.32)*10)</f>
        <v>0.24300747715314316</v>
      </c>
      <c r="AH26" s="104"/>
      <c r="AI26" s="42">
        <f t="shared" si="2"/>
        <v>1.1339999999999999</v>
      </c>
      <c r="AJ26" s="42">
        <f t="shared" si="3"/>
        <v>0.7222929936305732</v>
      </c>
      <c r="AK26" s="42">
        <f t="shared" si="4"/>
        <v>0.4694904458598726</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2121.4828734854036</v>
      </c>
      <c r="S27" s="153">
        <f>(PI()*((S25^2)/4)*S24)</f>
        <v>2114.0989683601856</v>
      </c>
      <c r="T27" s="174"/>
      <c r="U27" s="600"/>
      <c r="V27" s="601"/>
      <c r="W27" s="780"/>
      <c r="X27" s="781"/>
      <c r="Y27" s="463"/>
      <c r="Z27" s="464"/>
      <c r="AA27" s="748"/>
      <c r="AB27" s="749"/>
      <c r="AC27" s="463"/>
      <c r="AD27" s="464"/>
      <c r="AE27" s="748"/>
      <c r="AF27" s="749"/>
      <c r="AG27" s="470"/>
      <c r="AH27" s="193"/>
      <c r="AI27" s="42">
        <f t="shared" si="2"/>
        <v>1.343</v>
      </c>
      <c r="AJ27" s="42">
        <f t="shared" si="3"/>
        <v>0.85541401273885342</v>
      </c>
      <c r="AK27" s="42">
        <f t="shared" si="4"/>
        <v>0.55601910828025469</v>
      </c>
      <c r="AO27" s="42">
        <v>2.387</v>
      </c>
      <c r="AS27" s="42">
        <f t="shared" si="5"/>
        <v>1.9406504065040651</v>
      </c>
    </row>
    <row r="28" spans="1:45" ht="24.95" customHeight="1" thickBot="1" x14ac:dyDescent="0.3">
      <c r="A28" s="103"/>
      <c r="B28" s="560" t="s">
        <v>9</v>
      </c>
      <c r="C28" s="561"/>
      <c r="D28" s="561"/>
      <c r="E28" s="148">
        <v>715</v>
      </c>
      <c r="F28" s="148">
        <v>619</v>
      </c>
      <c r="G28" s="148">
        <v>603</v>
      </c>
      <c r="H28" s="149">
        <v>714</v>
      </c>
      <c r="I28" s="174"/>
      <c r="J28" s="597" t="s">
        <v>107</v>
      </c>
      <c r="K28" s="597"/>
      <c r="L28" s="562" t="s">
        <v>119</v>
      </c>
      <c r="M28" s="459">
        <f>IF(M26="","",(100-M26))</f>
        <v>84.3</v>
      </c>
      <c r="N28" s="103"/>
      <c r="O28" s="625" t="s">
        <v>136</v>
      </c>
      <c r="P28" s="626"/>
      <c r="Q28" s="220">
        <f>Q22-Q23</f>
        <v>4532</v>
      </c>
      <c r="R28" s="220">
        <f>R22-R23</f>
        <v>4386</v>
      </c>
      <c r="S28" s="220">
        <f>S22-S23</f>
        <v>4179</v>
      </c>
      <c r="T28" s="174"/>
      <c r="U28" s="627">
        <v>0.125</v>
      </c>
      <c r="V28" s="624">
        <f>U28*25.4</f>
        <v>3.1749999999999998</v>
      </c>
      <c r="W28" s="593">
        <f>AI27</f>
        <v>1.343</v>
      </c>
      <c r="X28" s="594"/>
      <c r="Y28" s="439">
        <f>((W28/19.32)*10)</f>
        <v>0.6951345755693582</v>
      </c>
      <c r="Z28" s="440"/>
      <c r="AA28" s="593">
        <f>AJ27</f>
        <v>0.85541401273885342</v>
      </c>
      <c r="AB28" s="594"/>
      <c r="AC28" s="439">
        <f>((AA28/19.32)*10)</f>
        <v>0.44276087615882687</v>
      </c>
      <c r="AD28" s="440"/>
      <c r="AE28" s="593">
        <f>AK27</f>
        <v>0.55601910828025469</v>
      </c>
      <c r="AF28" s="594"/>
      <c r="AG28" s="443">
        <f>((AE28/19.32)*10)</f>
        <v>0.2877945695032374</v>
      </c>
      <c r="AH28" s="104"/>
      <c r="AI28" s="42">
        <f t="shared" si="2"/>
        <v>1.5489999999999999</v>
      </c>
      <c r="AJ28" s="42">
        <f t="shared" si="3"/>
        <v>0.98662420382165594</v>
      </c>
      <c r="AK28" s="42">
        <f t="shared" si="4"/>
        <v>0.64130573248407641</v>
      </c>
      <c r="AO28" s="42">
        <v>2.8959999999999999</v>
      </c>
      <c r="AS28" s="42">
        <f t="shared" si="5"/>
        <v>2.3544715447154472</v>
      </c>
    </row>
    <row r="29" spans="1:45" ht="5.0999999999999996" customHeight="1" thickBot="1" x14ac:dyDescent="0.3">
      <c r="A29" s="103"/>
      <c r="B29" s="612" t="s">
        <v>73</v>
      </c>
      <c r="C29" s="613"/>
      <c r="D29" s="614"/>
      <c r="E29" s="618">
        <v>894.6</v>
      </c>
      <c r="F29" s="618">
        <v>907.66</v>
      </c>
      <c r="G29" s="618">
        <v>879.34</v>
      </c>
      <c r="H29" s="620">
        <v>675.16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1.6970000000000001</v>
      </c>
      <c r="AJ29" s="42">
        <f t="shared" si="3"/>
        <v>1.080891719745223</v>
      </c>
      <c r="AK29" s="42">
        <f t="shared" si="4"/>
        <v>0.70257961783439504</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18.644947312500001</v>
      </c>
      <c r="N30" s="103"/>
      <c r="O30" s="622" t="s">
        <v>134</v>
      </c>
      <c r="P30" s="623"/>
      <c r="Q30" s="229">
        <f>Q28/Q27</f>
        <v>2.1530536646661269</v>
      </c>
      <c r="R30" s="229">
        <f>R28/R27</f>
        <v>2.0674218278247047</v>
      </c>
      <c r="S30" s="131">
        <f>S28/S27</f>
        <v>1.9767286501452048</v>
      </c>
      <c r="T30" s="174"/>
      <c r="U30" s="120">
        <v>0.15</v>
      </c>
      <c r="V30" s="113">
        <f>U30*25.4</f>
        <v>3.8099999999999996</v>
      </c>
      <c r="W30" s="581">
        <f>AI28</f>
        <v>1.5489999999999999</v>
      </c>
      <c r="X30" s="582"/>
      <c r="Y30" s="449">
        <f>((W30/19.32)*10)</f>
        <v>0.80175983436852993</v>
      </c>
      <c r="Z30" s="450"/>
      <c r="AA30" s="581">
        <f>AJ28</f>
        <v>0.98662420382165594</v>
      </c>
      <c r="AB30" s="582"/>
      <c r="AC30" s="449">
        <f>((AA30/19.32)*10)</f>
        <v>0.51067505373791711</v>
      </c>
      <c r="AD30" s="450"/>
      <c r="AE30" s="581">
        <f>AK28</f>
        <v>0.64130573248407641</v>
      </c>
      <c r="AF30" s="582"/>
      <c r="AG30" s="114">
        <f>((AE30/19.32)*10)</f>
        <v>0.33193878492964618</v>
      </c>
      <c r="AH30" s="104"/>
      <c r="AI30" s="42">
        <f t="shared" si="2"/>
        <v>1.8460000000000001</v>
      </c>
      <c r="AJ30" s="42">
        <f t="shared" si="3"/>
        <v>1.175796178343949</v>
      </c>
      <c r="AK30" s="42">
        <f t="shared" si="4"/>
        <v>0.7642675159235669</v>
      </c>
      <c r="AO30" s="42">
        <v>3.8439999999999999</v>
      </c>
      <c r="AS30" s="42">
        <f t="shared" si="5"/>
        <v>3.1252032520325201</v>
      </c>
    </row>
    <row r="31" spans="1:45" ht="24.95" customHeight="1" thickBot="1" x14ac:dyDescent="0.3">
      <c r="A31" s="103"/>
      <c r="B31" s="576" t="s">
        <v>74</v>
      </c>
      <c r="C31" s="577"/>
      <c r="D31" s="577"/>
      <c r="E31" s="152">
        <v>828.22</v>
      </c>
      <c r="F31" s="152">
        <v>820.98</v>
      </c>
      <c r="G31" s="152">
        <v>777.04</v>
      </c>
      <c r="H31" s="153">
        <v>597.41999999999996</v>
      </c>
      <c r="I31" s="174"/>
      <c r="J31" s="597" t="s">
        <v>138</v>
      </c>
      <c r="K31" s="597"/>
      <c r="L31" s="562" t="s">
        <v>116</v>
      </c>
      <c r="M31" s="457">
        <f>IF(M25="","",S82)</f>
        <v>2.7120000000000002</v>
      </c>
      <c r="N31" s="121"/>
      <c r="O31" s="628" t="s">
        <v>135</v>
      </c>
      <c r="P31" s="629"/>
      <c r="Q31" s="122">
        <f>Q30/(1+Q40/100)</f>
        <v>1.9044851960136293</v>
      </c>
      <c r="R31" s="122">
        <f>R30/(1+R40/100)</f>
        <v>1.8253320869325003</v>
      </c>
      <c r="S31" s="123">
        <f>S30/(1+S40/100)</f>
        <v>1.7485933562484464</v>
      </c>
      <c r="T31" s="174"/>
      <c r="U31" s="627">
        <v>0.17499999999999999</v>
      </c>
      <c r="V31" s="624">
        <f>U31*25.4</f>
        <v>4.4449999999999994</v>
      </c>
      <c r="W31" s="593">
        <f>AI29</f>
        <v>1.6970000000000001</v>
      </c>
      <c r="X31" s="594"/>
      <c r="Y31" s="439">
        <f>((W31/19.32)*10)</f>
        <v>0.87836438923395443</v>
      </c>
      <c r="Z31" s="440"/>
      <c r="AA31" s="593">
        <f>AJ29</f>
        <v>1.080891719745223</v>
      </c>
      <c r="AB31" s="594"/>
      <c r="AC31" s="439">
        <f>((AA31/19.32)*10)</f>
        <v>0.55946776384328312</v>
      </c>
      <c r="AD31" s="440"/>
      <c r="AE31" s="593">
        <f>AK29</f>
        <v>0.70257961783439504</v>
      </c>
      <c r="AF31" s="594"/>
      <c r="AG31" s="443">
        <f>((AE31/19.32)*10)</f>
        <v>0.3636540464981341</v>
      </c>
      <c r="AH31" s="104"/>
      <c r="AI31" s="42">
        <f t="shared" si="2"/>
        <v>2.3220000000000001</v>
      </c>
      <c r="AJ31" s="42">
        <f t="shared" si="3"/>
        <v>1.4789808917197451</v>
      </c>
      <c r="AK31" s="42">
        <f t="shared" si="4"/>
        <v>0.96133757961783439</v>
      </c>
      <c r="AO31" s="42">
        <v>5.516</v>
      </c>
      <c r="AS31" s="42">
        <f t="shared" si="5"/>
        <v>4.4845528455284551</v>
      </c>
    </row>
    <row r="32" spans="1:45" ht="5.0999999999999996" customHeight="1" thickBot="1" x14ac:dyDescent="0.3">
      <c r="A32" s="103"/>
      <c r="B32" s="612" t="s">
        <v>75</v>
      </c>
      <c r="C32" s="613"/>
      <c r="D32" s="614"/>
      <c r="E32" s="618">
        <v>99.8</v>
      </c>
      <c r="F32" s="618">
        <v>100.1</v>
      </c>
      <c r="G32" s="618">
        <v>98.4</v>
      </c>
      <c r="H32" s="620">
        <v>99.2</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2.7029999999999998</v>
      </c>
      <c r="AJ32" s="42">
        <f t="shared" si="3"/>
        <v>1.7216560509554137</v>
      </c>
      <c r="AK32" s="42">
        <f t="shared" si="4"/>
        <v>1.119076433121019</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1.8460000000000001</v>
      </c>
      <c r="X33" s="582"/>
      <c r="Y33" s="449">
        <f>((W33/19.32)*10)</f>
        <v>0.95548654244306419</v>
      </c>
      <c r="Z33" s="450"/>
      <c r="AA33" s="581">
        <v>1.1519999999999999</v>
      </c>
      <c r="AB33" s="582"/>
      <c r="AC33" s="449">
        <f>((AA33/19.32)*10)</f>
        <v>0.59627329192546574</v>
      </c>
      <c r="AD33" s="450"/>
      <c r="AE33" s="581">
        <v>0.76700000000000002</v>
      </c>
      <c r="AF33" s="582"/>
      <c r="AG33" s="144">
        <f>((AE33/19.32)*10)</f>
        <v>0.39699792960662528</v>
      </c>
      <c r="AH33" s="104"/>
      <c r="AI33" s="42">
        <f t="shared" si="2"/>
        <v>3.0819999999999999</v>
      </c>
      <c r="AJ33" s="42">
        <f t="shared" si="3"/>
        <v>1.9630573248407641</v>
      </c>
      <c r="AK33" s="42">
        <f t="shared" si="4"/>
        <v>1.2759872611464966</v>
      </c>
      <c r="AO33" s="42">
        <v>7.7720000000000002</v>
      </c>
      <c r="AS33" s="42">
        <f t="shared" si="5"/>
        <v>6.3186991869918705</v>
      </c>
    </row>
    <row r="34" spans="1:45" ht="24.95" customHeight="1" thickBot="1" x14ac:dyDescent="0.3">
      <c r="A34" s="103"/>
      <c r="B34" s="602" t="s">
        <v>10</v>
      </c>
      <c r="C34" s="603"/>
      <c r="D34" s="603"/>
      <c r="E34" s="125">
        <f>((E29-E31)/(E31-E32))*100</f>
        <v>9.1128744405699997</v>
      </c>
      <c r="F34" s="125">
        <f>((F29-F31)/(F31-F32))*100</f>
        <v>12.024192653423587</v>
      </c>
      <c r="G34" s="125">
        <f>((G29-G31)/(G31-G32))*100</f>
        <v>15.07426617941767</v>
      </c>
      <c r="H34" s="126">
        <f>((H29-H31)/(H31-H32))*100</f>
        <v>15.603548633133959</v>
      </c>
      <c r="I34" s="174"/>
      <c r="J34" s="630" t="s">
        <v>125</v>
      </c>
      <c r="K34" s="630"/>
      <c r="L34" s="184" t="s">
        <v>126</v>
      </c>
      <c r="M34" s="245">
        <v>2.72</v>
      </c>
      <c r="N34" s="128"/>
      <c r="O34" s="631" t="s">
        <v>9</v>
      </c>
      <c r="P34" s="632"/>
      <c r="Q34" s="156">
        <v>365</v>
      </c>
      <c r="R34" s="156">
        <v>416</v>
      </c>
      <c r="S34" s="157">
        <v>398</v>
      </c>
      <c r="T34" s="174"/>
      <c r="U34" s="120">
        <v>0.3</v>
      </c>
      <c r="V34" s="113">
        <f>U34*25.4</f>
        <v>7.6199999999999992</v>
      </c>
      <c r="W34" s="581">
        <f>AI31</f>
        <v>2.3220000000000001</v>
      </c>
      <c r="X34" s="582"/>
      <c r="Y34" s="449">
        <f>((W34/19.32)*10)</f>
        <v>1.2018633540372672</v>
      </c>
      <c r="Z34" s="450"/>
      <c r="AA34" s="449">
        <v>1.4790000000000001</v>
      </c>
      <c r="AB34" s="450"/>
      <c r="AC34" s="449">
        <f>((AA34/19.32)*10)</f>
        <v>0.76552795031055898</v>
      </c>
      <c r="AD34" s="450"/>
      <c r="AE34" s="581">
        <f>AK31</f>
        <v>0.96133757961783439</v>
      </c>
      <c r="AF34" s="582"/>
      <c r="AG34" s="114">
        <f>((AE34/19.32)*10)</f>
        <v>0.4975867389326265</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809.45</v>
      </c>
      <c r="R35" s="608">
        <v>790.38</v>
      </c>
      <c r="S35" s="610">
        <v>812.1</v>
      </c>
      <c r="T35" s="174"/>
      <c r="U35" s="627">
        <v>0.4</v>
      </c>
      <c r="V35" s="624">
        <f>U35*25.4</f>
        <v>10.16</v>
      </c>
      <c r="W35" s="593">
        <f>AI32</f>
        <v>2.7029999999999998</v>
      </c>
      <c r="X35" s="594"/>
      <c r="Y35" s="439">
        <f>((W35/19.32)*10)</f>
        <v>1.3990683229813663</v>
      </c>
      <c r="Z35" s="440"/>
      <c r="AA35" s="593">
        <f>AJ32</f>
        <v>1.7216560509554137</v>
      </c>
      <c r="AB35" s="594"/>
      <c r="AC35" s="439">
        <f>(AA35/19.32)*10</f>
        <v>0.89112632037029693</v>
      </c>
      <c r="AD35" s="440"/>
      <c r="AE35" s="593">
        <f>AK32</f>
        <v>1.119076433121019</v>
      </c>
      <c r="AF35" s="594"/>
      <c r="AG35" s="443">
        <f>((AE35/19.32)*10)</f>
        <v>0.57923210824069304</v>
      </c>
      <c r="AH35" s="104"/>
      <c r="AS35" s="42">
        <f t="shared" si="5"/>
        <v>0</v>
      </c>
    </row>
    <row r="36" spans="1:45" ht="20.100000000000001" customHeight="1" thickBot="1" x14ac:dyDescent="0.3">
      <c r="A36" s="103"/>
      <c r="B36" s="639" t="s">
        <v>71</v>
      </c>
      <c r="C36" s="640"/>
      <c r="D36" s="640"/>
      <c r="E36" s="130">
        <f>E25/E24</f>
        <v>2.0456238361266292</v>
      </c>
      <c r="F36" s="130">
        <f>F25/F24</f>
        <v>2.1247672253258845</v>
      </c>
      <c r="G36" s="130">
        <f>G25/G24</f>
        <v>2.186219739292365</v>
      </c>
      <c r="H36" s="131">
        <f>H25/H24</f>
        <v>2.1298882681564244</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1.8747776984289874</v>
      </c>
      <c r="F37" s="230">
        <f>F36/(1+F34/100)</f>
        <v>1.896703894934028</v>
      </c>
      <c r="G37" s="230">
        <f>G36/(1+G34/100)</f>
        <v>1.8998337437874491</v>
      </c>
      <c r="H37" s="123">
        <f>H36/(1+H34/100)</f>
        <v>1.8424073424558889</v>
      </c>
      <c r="I37" s="174"/>
      <c r="J37" s="641" t="s">
        <v>139</v>
      </c>
      <c r="K37" s="641"/>
      <c r="L37" s="643" t="s">
        <v>121</v>
      </c>
      <c r="M37" s="433">
        <f>IF(F74="","",(M42^2*F74+M42*F75+F76))</f>
        <v>1.9006062500000001</v>
      </c>
      <c r="N37" s="101"/>
      <c r="O37" s="576" t="s">
        <v>28</v>
      </c>
      <c r="P37" s="577"/>
      <c r="Q37" s="150">
        <v>727.72</v>
      </c>
      <c r="R37" s="152">
        <v>709.55</v>
      </c>
      <c r="S37" s="153">
        <v>729.87</v>
      </c>
      <c r="T37" s="174"/>
      <c r="U37" s="132">
        <v>0.5</v>
      </c>
      <c r="V37" s="133">
        <f>U37*25.4</f>
        <v>12.7</v>
      </c>
      <c r="W37" s="637">
        <f>AI33</f>
        <v>3.0819999999999999</v>
      </c>
      <c r="X37" s="638"/>
      <c r="Y37" s="431">
        <f>((W37/19.32)*10)</f>
        <v>1.5952380952380951</v>
      </c>
      <c r="Z37" s="432"/>
      <c r="AA37" s="637">
        <f>AJ33</f>
        <v>1.9630573248407641</v>
      </c>
      <c r="AB37" s="638"/>
      <c r="AC37" s="431">
        <f>((AA37/19.32)*10)</f>
        <v>1.0160752198968759</v>
      </c>
      <c r="AD37" s="432"/>
      <c r="AE37" s="637">
        <v>1.2050000000000001</v>
      </c>
      <c r="AF37" s="638"/>
      <c r="AG37" s="134">
        <f>((AE37/19.32)*10)</f>
        <v>0.62370600414078681</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101.52</v>
      </c>
      <c r="R38" s="618">
        <v>100.1</v>
      </c>
      <c r="S38" s="648">
        <v>99.6</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1.9942822299124883</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18.644947312500001</v>
      </c>
      <c r="N40" s="103"/>
      <c r="O40" s="628" t="s">
        <v>10</v>
      </c>
      <c r="P40" s="629"/>
      <c r="Q40" s="125">
        <f>((Q35-Q37)/(Q37-Q38))*100</f>
        <v>13.051740657936763</v>
      </c>
      <c r="R40" s="125">
        <f>((R35-R37)/(R37-R38))*100</f>
        <v>13.262777914513094</v>
      </c>
      <c r="S40" s="126">
        <f>((S35-S37)/(S37-S38))*100</f>
        <v>13.046789471179022</v>
      </c>
      <c r="T40" s="174"/>
      <c r="U40" s="645" t="s">
        <v>151</v>
      </c>
      <c r="V40" s="646"/>
      <c r="W40" s="423">
        <f>(AM79/6.9)*100</f>
        <v>8.5066162570888455</v>
      </c>
      <c r="X40" s="423"/>
      <c r="Y40" s="423"/>
      <c r="Z40" s="424"/>
      <c r="AA40" s="425">
        <f>(AO79/6.9)*100</f>
        <v>5.4182269153432143</v>
      </c>
      <c r="AB40" s="426"/>
      <c r="AC40" s="427"/>
      <c r="AD40" s="425">
        <f>(AQ79/6.9)*100</f>
        <v>3.5218474949730889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19.56390867544151</v>
      </c>
      <c r="N41" s="138"/>
      <c r="O41" s="565" t="s">
        <v>36</v>
      </c>
      <c r="P41" s="566"/>
      <c r="Q41" s="566"/>
      <c r="R41" s="566"/>
      <c r="S41" s="567"/>
      <c r="T41" s="174"/>
      <c r="U41" s="653" t="s">
        <v>152</v>
      </c>
      <c r="V41" s="654"/>
      <c r="W41" s="418">
        <f>(AM83/10.3)*100</f>
        <v>9.2765683732336317</v>
      </c>
      <c r="X41" s="418"/>
      <c r="Y41" s="418"/>
      <c r="Z41" s="419"/>
      <c r="AA41" s="420">
        <f>(AO83/10.3)*100</f>
        <v>5.789061086655007</v>
      </c>
      <c r="AB41" s="421"/>
      <c r="AC41" s="418"/>
      <c r="AD41" s="420">
        <f>(AQ83/10.3)*100</f>
        <v>3.8543488311322842</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v>13.25</v>
      </c>
      <c r="N42" s="103"/>
      <c r="O42" s="639" t="s">
        <v>9</v>
      </c>
      <c r="P42" s="640"/>
      <c r="Q42" s="148">
        <v>356</v>
      </c>
      <c r="R42" s="148">
        <v>606</v>
      </c>
      <c r="S42" s="149">
        <v>632</v>
      </c>
      <c r="T42" s="174"/>
      <c r="U42" s="651" t="s">
        <v>42</v>
      </c>
      <c r="V42" s="652"/>
      <c r="W42" s="413">
        <f>IF(W40&lt;W41,W40,W41)</f>
        <v>8.5066162570888455</v>
      </c>
      <c r="X42" s="414"/>
      <c r="Y42" s="414"/>
      <c r="Z42" s="415"/>
      <c r="AA42" s="416">
        <f>IF(AA40&lt;AA41,AA40,AA41)</f>
        <v>5.4182269153432143</v>
      </c>
      <c r="AB42" s="414"/>
      <c r="AC42" s="415"/>
      <c r="AD42" s="416">
        <f>IF(AD40&lt;AD41,AD40,AD41)</f>
        <v>3.5218474949730889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10.2875</v>
      </c>
      <c r="N43" s="103"/>
      <c r="O43" s="612" t="s">
        <v>49</v>
      </c>
      <c r="P43" s="614"/>
      <c r="Q43" s="618">
        <v>974.23</v>
      </c>
      <c r="R43" s="608">
        <v>989.45</v>
      </c>
      <c r="S43" s="610">
        <v>708.41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847.87</v>
      </c>
      <c r="R45" s="150">
        <v>845.33</v>
      </c>
      <c r="S45" s="151">
        <v>595.75</v>
      </c>
      <c r="T45" s="174"/>
      <c r="U45" s="656" t="s">
        <v>139</v>
      </c>
      <c r="V45" s="656"/>
      <c r="W45" s="179" t="s">
        <v>121</v>
      </c>
      <c r="X45" s="406">
        <f>MAX(M37:M39)</f>
        <v>1.9942822299124883</v>
      </c>
      <c r="Y45" s="406"/>
      <c r="Z45" s="406"/>
      <c r="AA45" s="174"/>
      <c r="AB45" s="657" t="s">
        <v>31</v>
      </c>
      <c r="AC45" s="658"/>
      <c r="AD45" s="658"/>
      <c r="AE45" s="658"/>
      <c r="AF45" s="231">
        <v>7.5499999999999998E-2</v>
      </c>
      <c r="AG45" s="231">
        <v>9.7799999999999998E-2</v>
      </c>
      <c r="AH45" s="233">
        <v>0.1265</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103.3</v>
      </c>
      <c r="R46" s="152">
        <v>48.6</v>
      </c>
      <c r="S46" s="153">
        <v>47.9</v>
      </c>
      <c r="T46" s="174"/>
      <c r="U46" s="555" t="s">
        <v>123</v>
      </c>
      <c r="V46" s="555"/>
      <c r="W46" s="179" t="s">
        <v>41</v>
      </c>
      <c r="X46" s="401">
        <f>MIN(M42:M44)</f>
        <v>10.2875</v>
      </c>
      <c r="Y46" s="401"/>
      <c r="Z46" s="401"/>
      <c r="AA46" s="174"/>
      <c r="AB46" s="660" t="s">
        <v>32</v>
      </c>
      <c r="AC46" s="661"/>
      <c r="AD46" s="661"/>
      <c r="AE46" s="661"/>
      <c r="AF46" s="234">
        <v>0.13700000000000001</v>
      </c>
      <c r="AG46" s="234">
        <v>0.17649999999999999</v>
      </c>
      <c r="AH46" s="235">
        <v>0.217</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16.97086909222773</v>
      </c>
      <c r="R47" s="125">
        <f>((R43-R45)/(R45-R46))*100</f>
        <v>18.088938536266991</v>
      </c>
      <c r="S47" s="126">
        <f>((S43-S45)/(S45-S46))*100</f>
        <v>20.564022998996066</v>
      </c>
      <c r="T47" s="174"/>
      <c r="U47" s="555" t="s">
        <v>162</v>
      </c>
      <c r="V47" s="555"/>
      <c r="W47" s="179" t="s">
        <v>41</v>
      </c>
      <c r="X47" s="402">
        <f>IF(L25=D103,"-",IF(L25=D102,"-",IF(L25=D101,M25)))</f>
        <v>15.7</v>
      </c>
      <c r="Y47" s="402"/>
      <c r="Z47" s="402"/>
      <c r="AA47" s="174"/>
      <c r="AB47" s="662" t="s">
        <v>33</v>
      </c>
      <c r="AC47" s="663"/>
      <c r="AD47" s="663"/>
      <c r="AE47" s="663"/>
      <c r="AF47" s="232">
        <f>(AF46-AF45)*2.54</f>
        <v>0.15621000000000004</v>
      </c>
      <c r="AG47" s="232">
        <f>(AG46-AG45)*2.54</f>
        <v>0.19989799999999999</v>
      </c>
      <c r="AH47" s="239">
        <f>(AH46-AH45)*2.54</f>
        <v>0.22986999999999999</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1.3466379310344831</v>
      </c>
      <c r="AG48" s="142">
        <f>IF(AG47&lt;&gt;"",IF(R24&lt;&gt;"",AG47/R24*100,""),"")</f>
        <v>1.7188134135855542</v>
      </c>
      <c r="AH48" s="173">
        <f>IF(AH47&lt;&gt;"",IF(S24&lt;&gt;"",AH47/S24*100,""),"")</f>
        <v>1.9782271944922547</v>
      </c>
    </row>
    <row r="49" spans="1:37"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7"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7.6999999999999999E-2</v>
      </c>
      <c r="AK50" s="42">
        <v>7.6999999999999999E-2</v>
      </c>
    </row>
    <row r="51" spans="1:37"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4555</v>
      </c>
      <c r="AG51" s="647">
        <v>4</v>
      </c>
      <c r="AH51" s="648"/>
      <c r="AJ51" s="42">
        <v>0.28100000000000003</v>
      </c>
      <c r="AK51" s="42">
        <v>0.28100000000000003</v>
      </c>
    </row>
    <row r="52" spans="1:37"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4556</v>
      </c>
      <c r="AG52" s="647">
        <v>4</v>
      </c>
      <c r="AH52" s="648"/>
      <c r="AJ52" s="42">
        <v>0.61399999999999999</v>
      </c>
      <c r="AK52" s="42">
        <v>0.61399999999999999</v>
      </c>
    </row>
    <row r="53" spans="1:37"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0.91100000000000003</v>
      </c>
      <c r="AK53" s="42">
        <v>0.91100000000000003</v>
      </c>
    </row>
    <row r="54" spans="1:37"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1.1339999999999999</v>
      </c>
      <c r="AK54" s="42">
        <v>1.1339999999999999</v>
      </c>
    </row>
    <row r="55" spans="1:37"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1.343</v>
      </c>
      <c r="AK55" s="42">
        <v>1.343</v>
      </c>
    </row>
    <row r="56" spans="1:37"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1.5489999999999999</v>
      </c>
      <c r="AK56" s="42">
        <v>1.5489999999999999</v>
      </c>
    </row>
    <row r="57" spans="1:37"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1.6970000000000001</v>
      </c>
      <c r="AK57" s="42">
        <v>1.6970000000000001</v>
      </c>
    </row>
    <row r="58" spans="1:37"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1.8460000000000001</v>
      </c>
      <c r="AK58" s="42">
        <v>1.8460000000000001</v>
      </c>
    </row>
    <row r="59" spans="1:37"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2.3220000000000001</v>
      </c>
      <c r="AK59" s="42">
        <v>2.3220000000000001</v>
      </c>
    </row>
    <row r="60" spans="1:37"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2.7029999999999998</v>
      </c>
      <c r="AK60" s="42">
        <v>2.7029999999999998</v>
      </c>
    </row>
    <row r="61" spans="1:37"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3.0819999999999999</v>
      </c>
      <c r="AK61" s="42">
        <v>3.0819999999999999</v>
      </c>
    </row>
    <row r="62" spans="1:37"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7"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7"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-3.5000000000000001E-3</v>
      </c>
      <c r="G74" s="75">
        <v>-0.12509999999999999</v>
      </c>
      <c r="J74" s="701"/>
      <c r="K74" s="702"/>
      <c r="L74" s="44"/>
      <c r="M74" s="44"/>
      <c r="N74" s="44"/>
    </row>
    <row r="75" spans="1:94" ht="26.25" customHeight="1" thickBot="1" x14ac:dyDescent="0.3">
      <c r="A75" s="11"/>
      <c r="B75" s="377" t="s">
        <v>113</v>
      </c>
      <c r="C75" s="377"/>
      <c r="D75" s="19"/>
      <c r="E75" s="54" t="s">
        <v>12</v>
      </c>
      <c r="F75" s="55">
        <v>8.5099999999999995E-2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1.3875</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0.28100000000000003</v>
      </c>
      <c r="AM76" s="3">
        <f t="shared" si="6"/>
        <v>0.14544513457556937</v>
      </c>
      <c r="AN76" s="5">
        <f>AA23</f>
        <v>0.17199999999999999</v>
      </c>
      <c r="AO76" s="3">
        <f t="shared" ref="AO76:AO86" si="9">((AN76/19.32)*10)</f>
        <v>8.9026915113871619E-2</v>
      </c>
      <c r="AP76" s="5">
        <f>AE23</f>
        <v>0.112</v>
      </c>
      <c r="AQ76" s="161">
        <f t="shared" si="7"/>
        <v>5.7971014492753624E-2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0.61399999999999999</v>
      </c>
      <c r="AM77" s="3">
        <f t="shared" si="6"/>
        <v>0.31780538302277428</v>
      </c>
      <c r="AN77" s="5">
        <f>AA24</f>
        <v>0.39108280254777067</v>
      </c>
      <c r="AO77" s="3">
        <f t="shared" si="9"/>
        <v>0.20242381084253139</v>
      </c>
      <c r="AP77" s="5">
        <f>AE24</f>
        <v>0.251</v>
      </c>
      <c r="AQ77" s="161">
        <f t="shared" si="7"/>
        <v>0.12991718426501037</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0.91100000000000003</v>
      </c>
      <c r="AM78" s="3">
        <f t="shared" si="6"/>
        <v>0.47153209109730854</v>
      </c>
      <c r="AN78" s="5">
        <f>AA25</f>
        <v>0.58025477707006368</v>
      </c>
      <c r="AO78" s="3">
        <f t="shared" si="9"/>
        <v>0.30033891152694808</v>
      </c>
      <c r="AP78" s="5">
        <f>AE25</f>
        <v>0.37716560509554142</v>
      </c>
      <c r="AQ78" s="161">
        <f t="shared" si="7"/>
        <v>0.19522029249251627</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1.1339999999999999</v>
      </c>
      <c r="AM79" s="4">
        <f t="shared" si="6"/>
        <v>0.58695652173913038</v>
      </c>
      <c r="AN79" s="5">
        <f>AA26</f>
        <v>0.7222929936305732</v>
      </c>
      <c r="AO79" s="4">
        <f t="shared" si="9"/>
        <v>0.3738576571586818</v>
      </c>
      <c r="AP79" s="5">
        <f>AE26</f>
        <v>0.4694904458598726</v>
      </c>
      <c r="AQ79" s="162">
        <f t="shared" si="7"/>
        <v>0.24300747715314316</v>
      </c>
      <c r="BB79" s="12">
        <v>17</v>
      </c>
      <c r="BC79" s="12">
        <v>18</v>
      </c>
    </row>
    <row r="80" spans="1:94" ht="42" customHeight="1" thickTop="1" thickBot="1" x14ac:dyDescent="0.3">
      <c r="D80" s="49"/>
      <c r="H80" s="711" t="s">
        <v>105</v>
      </c>
      <c r="I80" s="712"/>
      <c r="J80" s="58"/>
      <c r="AJ80" s="160">
        <f>U28</f>
        <v>0.125</v>
      </c>
      <c r="AK80" s="3">
        <f t="shared" si="8"/>
        <v>3.1749999999999998</v>
      </c>
      <c r="AL80" s="5">
        <f>W28</f>
        <v>1.343</v>
      </c>
      <c r="AM80" s="3">
        <f t="shared" si="6"/>
        <v>0.6951345755693582</v>
      </c>
      <c r="AN80" s="5">
        <f>AA28</f>
        <v>0.85541401273885342</v>
      </c>
      <c r="AO80" s="3">
        <f t="shared" si="9"/>
        <v>0.44276087615882687</v>
      </c>
      <c r="AP80" s="5">
        <f>AE28</f>
        <v>0.55601910828025469</v>
      </c>
      <c r="AQ80" s="161">
        <f t="shared" si="7"/>
        <v>0.2877945695032374</v>
      </c>
      <c r="BC80" s="45">
        <v>0.99880400000000003</v>
      </c>
      <c r="BD80" s="45">
        <v>0.99862499999999998</v>
      </c>
    </row>
    <row r="81" spans="2:43" ht="15.75" customHeight="1" x14ac:dyDescent="0.25">
      <c r="AJ81" s="160">
        <f>U30</f>
        <v>0.15</v>
      </c>
      <c r="AK81" s="3">
        <f t="shared" si="8"/>
        <v>3.8099999999999996</v>
      </c>
      <c r="AL81" s="5">
        <f>W30</f>
        <v>1.5489999999999999</v>
      </c>
      <c r="AM81" s="3">
        <f t="shared" si="6"/>
        <v>0.80175983436852993</v>
      </c>
      <c r="AN81" s="5">
        <f>AA30</f>
        <v>0.98662420382165594</v>
      </c>
      <c r="AO81" s="3">
        <f t="shared" si="9"/>
        <v>0.51067505373791711</v>
      </c>
      <c r="AP81" s="5">
        <f>AE30</f>
        <v>0.64130573248407641</v>
      </c>
      <c r="AQ81" s="161">
        <f t="shared" si="7"/>
        <v>0.33193878492964618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1.6970000000000001</v>
      </c>
      <c r="AM82" s="3">
        <f t="shared" si="6"/>
        <v>0.87836438923395443</v>
      </c>
      <c r="AN82" s="5">
        <f>AA31</f>
        <v>1.080891719745223</v>
      </c>
      <c r="AO82" s="3">
        <f t="shared" si="9"/>
        <v>0.55946776384328312</v>
      </c>
      <c r="AP82" s="5">
        <f>AE31</f>
        <v>0.70257961783439504</v>
      </c>
      <c r="AQ82" s="161">
        <f t="shared" si="7"/>
        <v>0.3636540464981341</v>
      </c>
    </row>
    <row r="83" spans="2:43" ht="15" customHeight="1" x14ac:dyDescent="0.25">
      <c r="B83" s="49"/>
      <c r="C83" s="49"/>
      <c r="D83" s="49">
        <v>0</v>
      </c>
      <c r="E83" s="50">
        <f>M42</f>
        <v>13.25</v>
      </c>
      <c r="F83" s="49"/>
      <c r="G83" s="43">
        <f>G84/10</f>
        <v>2.1382993459876061</v>
      </c>
      <c r="H83" s="43">
        <f>H84/10</f>
        <v>2.0107033145678423</v>
      </c>
      <c r="I83" s="43">
        <f>I84/10</f>
        <v>1.8923986355884026</v>
      </c>
      <c r="J83" s="43">
        <f>J84/10</f>
        <v>1.8732722888632622</v>
      </c>
      <c r="K83" s="43"/>
      <c r="L83" s="42">
        <v>0</v>
      </c>
      <c r="O83" s="706"/>
      <c r="P83" s="706"/>
      <c r="Q83" s="706"/>
      <c r="R83" s="706"/>
      <c r="S83" s="707"/>
      <c r="W83" s="112"/>
      <c r="AJ83" s="160">
        <f>U33</f>
        <v>0.2</v>
      </c>
      <c r="AK83" s="4">
        <f t="shared" si="8"/>
        <v>5.08</v>
      </c>
      <c r="AL83" s="5">
        <f>W33</f>
        <v>1.8460000000000001</v>
      </c>
      <c r="AM83" s="4">
        <f t="shared" si="6"/>
        <v>0.95548654244306419</v>
      </c>
      <c r="AN83" s="5">
        <f>AA33</f>
        <v>1.1519999999999999</v>
      </c>
      <c r="AO83" s="4">
        <f t="shared" si="9"/>
        <v>0.59627329192546574</v>
      </c>
      <c r="AP83" s="5">
        <f>AE33</f>
        <v>0.76700000000000002</v>
      </c>
      <c r="AQ83" s="162">
        <f t="shared" si="7"/>
        <v>0.39699792960662528</v>
      </c>
    </row>
    <row r="84" spans="2:43" ht="15" customHeight="1" x14ac:dyDescent="0.25">
      <c r="C84" s="94"/>
      <c r="D84" s="94"/>
      <c r="E84" s="94"/>
      <c r="F84" s="49"/>
      <c r="G84" s="43">
        <f>($M$34/(1+(E34*$M$34/100)))*($O$73)</f>
        <v>21.382993459876062</v>
      </c>
      <c r="H84" s="43">
        <f>($M$34/(1+(F34*$M$34/100)))*($O$73)</f>
        <v>20.107033145678425</v>
      </c>
      <c r="I84" s="43">
        <f>($M$34/(1+(G34*$M$34/100)))*($O$73)</f>
        <v>18.923986355884026</v>
      </c>
      <c r="J84" s="43">
        <f>($M$34/(1+(H34*$M$34/100)))*($O$73)</f>
        <v>18.732722888632622</v>
      </c>
      <c r="K84" s="43"/>
      <c r="O84" s="706" t="s">
        <v>146</v>
      </c>
      <c r="P84" s="706"/>
      <c r="Q84" s="706"/>
      <c r="R84" s="706"/>
      <c r="S84" s="707">
        <v>2240</v>
      </c>
      <c r="W84" s="112"/>
      <c r="AJ84" s="160">
        <f>U34</f>
        <v>0.3</v>
      </c>
      <c r="AK84" s="3">
        <f t="shared" si="8"/>
        <v>7.6199999999999992</v>
      </c>
      <c r="AL84" s="5">
        <f>W34</f>
        <v>2.3220000000000001</v>
      </c>
      <c r="AM84" s="3">
        <f t="shared" si="6"/>
        <v>1.2018633540372672</v>
      </c>
      <c r="AN84" s="5">
        <f>AA34</f>
        <v>1.4790000000000001</v>
      </c>
      <c r="AO84" s="3">
        <f t="shared" si="9"/>
        <v>0.76552795031055898</v>
      </c>
      <c r="AP84" s="5">
        <f>AE34</f>
        <v>0.96133757961783439</v>
      </c>
      <c r="AQ84" s="161">
        <f t="shared" si="7"/>
        <v>0.4975867389326265</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2.7029999999999998</v>
      </c>
      <c r="AM85" s="3">
        <f t="shared" si="6"/>
        <v>1.3990683229813663</v>
      </c>
      <c r="AN85" s="5">
        <f>AA35</f>
        <v>1.7216560509554137</v>
      </c>
      <c r="AO85" s="3">
        <f t="shared" si="9"/>
        <v>0.89112632037029693</v>
      </c>
      <c r="AP85" s="5">
        <f>AE35</f>
        <v>1.119076433121019</v>
      </c>
      <c r="AQ85" s="161">
        <f>((AP85/19.32)*10)</f>
        <v>0.57923210824069304</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3.0819999999999999</v>
      </c>
      <c r="AM86" s="164">
        <f t="shared" si="6"/>
        <v>1.5952380952380951</v>
      </c>
      <c r="AN86" s="165">
        <f>AA37</f>
        <v>1.9630573248407641</v>
      </c>
      <c r="AO86" s="164">
        <f t="shared" si="9"/>
        <v>1.0160752198968759</v>
      </c>
      <c r="AP86" s="165">
        <f>AE37</f>
        <v>1.2050000000000001</v>
      </c>
      <c r="AQ86" s="166">
        <f>((AP86/19.32)*10)</f>
        <v>0.62370600414078681</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1.9044851960136293</v>
      </c>
      <c r="AK91" s="9">
        <f>R31</f>
        <v>1.8253320869325003</v>
      </c>
      <c r="AL91" s="10">
        <f>S31</f>
        <v>1.7485933562484464</v>
      </c>
    </row>
    <row r="92" spans="2:43" ht="21" customHeight="1" thickBot="1" x14ac:dyDescent="0.3">
      <c r="B92" s="92"/>
      <c r="C92" s="93"/>
      <c r="D92" s="93"/>
      <c r="E92" s="93"/>
      <c r="F92" s="62"/>
      <c r="G92" s="63"/>
      <c r="H92" s="49"/>
      <c r="I92" s="49"/>
      <c r="O92" s="725" t="s">
        <v>147</v>
      </c>
      <c r="P92" s="726"/>
      <c r="Q92" s="726"/>
      <c r="R92" s="726"/>
      <c r="S92" s="61">
        <f>M42</f>
        <v>13.25</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8.5066162570888455</v>
      </c>
      <c r="AK94" s="158">
        <f>AA42</f>
        <v>5.4182269153432143</v>
      </c>
      <c r="AL94" s="158">
        <f>AD42</f>
        <v>3.5218474949730889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205" priority="49">
      <formula>LEN(TRIM(D6))=0</formula>
    </cfRule>
  </conditionalFormatting>
  <conditionalFormatting sqref="D6:H10">
    <cfRule type="containsBlanks" dxfId="1204" priority="48">
      <formula>LEN(TRIM(D6))=0</formula>
    </cfRule>
  </conditionalFormatting>
  <conditionalFormatting sqref="M19">
    <cfRule type="containsBlanks" dxfId="1203" priority="47">
      <formula>LEN(TRIM(M19))=0</formula>
    </cfRule>
  </conditionalFormatting>
  <conditionalFormatting sqref="CP70">
    <cfRule type="containsBlanks" dxfId="1202" priority="46">
      <formula>LEN(TRIM(CP70))=0</formula>
    </cfRule>
  </conditionalFormatting>
  <conditionalFormatting sqref="M21">
    <cfRule type="containsBlanks" dxfId="1201" priority="45">
      <formula>LEN(TRIM(M21))=0</formula>
    </cfRule>
  </conditionalFormatting>
  <conditionalFormatting sqref="D12:M12">
    <cfRule type="containsBlanks" dxfId="1200" priority="44">
      <formula>LEN(TRIM(D12))=0</formula>
    </cfRule>
  </conditionalFormatting>
  <conditionalFormatting sqref="L9:M9">
    <cfRule type="containsBlanks" dxfId="1199" priority="43">
      <formula>LEN(TRIM(L9))=0</formula>
    </cfRule>
  </conditionalFormatting>
  <conditionalFormatting sqref="L25">
    <cfRule type="containsBlanks" dxfId="1198" priority="42">
      <formula>LEN(TRIM(L25))=0</formula>
    </cfRule>
  </conditionalFormatting>
  <conditionalFormatting sqref="U26:V27 AC33 AC26">
    <cfRule type="cellIs" dxfId="1197" priority="40" operator="between">
      <formula>0</formula>
      <formula>500</formula>
    </cfRule>
  </conditionalFormatting>
  <conditionalFormatting sqref="U33:V33">
    <cfRule type="cellIs" dxfId="1196" priority="39" operator="between">
      <formula>0</formula>
      <formula>500</formula>
    </cfRule>
  </conditionalFormatting>
  <conditionalFormatting sqref="AF45:AH46">
    <cfRule type="containsBlanks" dxfId="1195" priority="38">
      <formula>LEN(TRIM(AF45))=0</formula>
    </cfRule>
  </conditionalFormatting>
  <conditionalFormatting sqref="AF51:AG53">
    <cfRule type="containsBlanks" dxfId="1194" priority="37">
      <formula>LEN(TRIM(AF51))=0</formula>
    </cfRule>
  </conditionalFormatting>
  <conditionalFormatting sqref="E20:H24">
    <cfRule type="containsBlanks" dxfId="1193" priority="36">
      <formula>LEN(TRIM(E20))=0</formula>
    </cfRule>
  </conditionalFormatting>
  <conditionalFormatting sqref="M25">
    <cfRule type="containsBlanks" dxfId="1192" priority="34">
      <formula>LEN(TRIM(M25))=0</formula>
    </cfRule>
  </conditionalFormatting>
  <conditionalFormatting sqref="U26:V27 Y26:Z27 AC26:AD27 AG26:AG27">
    <cfRule type="containsBlanks" dxfId="1191" priority="32">
      <formula>LEN(TRIM(U26))=0</formula>
    </cfRule>
    <cfRule type="cellIs" dxfId="1190" priority="33" operator="between">
      <formula>0</formula>
      <formula>1000</formula>
    </cfRule>
  </conditionalFormatting>
  <conditionalFormatting sqref="W87:W88">
    <cfRule type="cellIs" dxfId="1189" priority="31" operator="between">
      <formula>0</formula>
      <formula>500</formula>
    </cfRule>
  </conditionalFormatting>
  <conditionalFormatting sqref="W94">
    <cfRule type="cellIs" dxfId="1188" priority="30" operator="between">
      <formula>0</formula>
      <formula>500</formula>
    </cfRule>
  </conditionalFormatting>
  <conditionalFormatting sqref="W87:W88">
    <cfRule type="containsBlanks" dxfId="1187" priority="28">
      <formula>LEN(TRIM(W87))=0</formula>
    </cfRule>
    <cfRule type="cellIs" dxfId="1186" priority="29" operator="between">
      <formula>0</formula>
      <formula>1000</formula>
    </cfRule>
  </conditionalFormatting>
  <conditionalFormatting sqref="U33:V33 Y33:Z33 AC33:AD33 AG33">
    <cfRule type="cellIs" dxfId="1185" priority="27" operator="between">
      <formula>0</formula>
      <formula>1000</formula>
    </cfRule>
  </conditionalFormatting>
  <conditionalFormatting sqref="Q27:S27">
    <cfRule type="containsBlanks" dxfId="1184" priority="25">
      <formula>LEN(TRIM(Q27))=0</formula>
    </cfRule>
    <cfRule type="containsBlanks" dxfId="1183" priority="26">
      <formula>LEN(TRIM(Q27))=0</formula>
    </cfRule>
  </conditionalFormatting>
  <conditionalFormatting sqref="W30:W31 W33:W35 W37 W28 W22:W26">
    <cfRule type="containsBlanks" dxfId="1182" priority="24">
      <formula>LEN(TRIM(W22))=0</formula>
    </cfRule>
  </conditionalFormatting>
  <conditionalFormatting sqref="W37 W30:W31 W33:W35 W28 W22:W26">
    <cfRule type="containsBlanks" dxfId="1181" priority="23">
      <formula>LEN(TRIM(W22))=0</formula>
    </cfRule>
  </conditionalFormatting>
  <conditionalFormatting sqref="W33:X33">
    <cfRule type="cellIs" dxfId="1180" priority="22" operator="between">
      <formula>0</formula>
      <formula>1000</formula>
    </cfRule>
  </conditionalFormatting>
  <conditionalFormatting sqref="W30:X37 W26 W28 W22:X25">
    <cfRule type="containsBlanks" dxfId="1179" priority="21">
      <formula>LEN(TRIM(W22))=0</formula>
    </cfRule>
  </conditionalFormatting>
  <conditionalFormatting sqref="AA37 AA30:AA31 AA33 AA22:AA26 AA28 AA35">
    <cfRule type="containsBlanks" dxfId="1178" priority="20">
      <formula>LEN(TRIM(AA22))=0</formula>
    </cfRule>
  </conditionalFormatting>
  <conditionalFormatting sqref="AA37 AA30:AA31 AA33 AA22:AA26 AA28 AA35">
    <cfRule type="containsBlanks" dxfId="1177" priority="19">
      <formula>LEN(TRIM(AA22))=0</formula>
    </cfRule>
  </conditionalFormatting>
  <conditionalFormatting sqref="AA33:AB33">
    <cfRule type="cellIs" dxfId="1176" priority="18" operator="between">
      <formula>0</formula>
      <formula>1000</formula>
    </cfRule>
  </conditionalFormatting>
  <conditionalFormatting sqref="AA30:AB30 AA31 AA33:AB33 AA22:AB25 AA26 AA28 AA35:AB37">
    <cfRule type="containsBlanks" dxfId="1175" priority="17">
      <formula>LEN(TRIM(AA22))=0</formula>
    </cfRule>
  </conditionalFormatting>
  <conditionalFormatting sqref="AE37 AE28 AE30:AE31 AE33:AE35 AE22:AE26">
    <cfRule type="containsBlanks" dxfId="1174" priority="16">
      <formula>LEN(TRIM(AE22))=0</formula>
    </cfRule>
  </conditionalFormatting>
  <conditionalFormatting sqref="AE37 AE28 AE30:AE31 AE33:AE35 AE22:AE26">
    <cfRule type="containsBlanks" dxfId="1173" priority="15">
      <formula>LEN(TRIM(AE22))=0</formula>
    </cfRule>
  </conditionalFormatting>
  <conditionalFormatting sqref="AE33:AF33">
    <cfRule type="cellIs" dxfId="1172" priority="14" operator="between">
      <formula>0</formula>
      <formula>1000</formula>
    </cfRule>
  </conditionalFormatting>
  <conditionalFormatting sqref="AE33:AF37 AE26 AE28 AE30:AE31 AE22:AF25">
    <cfRule type="containsBlanks" dxfId="1171" priority="13">
      <formula>LEN(TRIM(AE22))=0</formula>
    </cfRule>
  </conditionalFormatting>
  <conditionalFormatting sqref="K6:M6">
    <cfRule type="containsBlanks" dxfId="1170" priority="12">
      <formula>LEN(TRIM(K6))=0</formula>
    </cfRule>
  </conditionalFormatting>
  <conditionalFormatting sqref="K7:K8">
    <cfRule type="containsBlanks" dxfId="1169" priority="11">
      <formula>LEN(TRIM(K7))=0</formula>
    </cfRule>
  </conditionalFormatting>
  <conditionalFormatting sqref="D13:M13">
    <cfRule type="containsBlanks" dxfId="1168" priority="10">
      <formula>LEN(TRIM(D13))=0</formula>
    </cfRule>
  </conditionalFormatting>
  <conditionalFormatting sqref="B6:B10">
    <cfRule type="containsBlanks" dxfId="1167" priority="9">
      <formula>LEN(TRIM(B6))=0</formula>
    </cfRule>
  </conditionalFormatting>
  <conditionalFormatting sqref="B12:B13">
    <cfRule type="containsBlanks" dxfId="1166" priority="8">
      <formula>LEN(TRIM(B12))=0</formula>
    </cfRule>
  </conditionalFormatting>
  <conditionalFormatting sqref="E28:H33">
    <cfRule type="containsBlanks" dxfId="1165" priority="7">
      <formula>LEN(TRIM(E28))=0</formula>
    </cfRule>
  </conditionalFormatting>
  <conditionalFormatting sqref="Q34:S39">
    <cfRule type="containsBlanks" dxfId="1164" priority="4">
      <formula>LEN(TRIM(Q34))=0</formula>
    </cfRule>
  </conditionalFormatting>
  <conditionalFormatting sqref="Q42:S46">
    <cfRule type="containsBlanks" dxfId="1163" priority="3">
      <formula>LEN(TRIM(Q42))=0</formula>
    </cfRule>
  </conditionalFormatting>
  <conditionalFormatting sqref="Q20:S26">
    <cfRule type="containsBlanks" dxfId="1162" priority="1">
      <formula>LEN(TRIM(Q20))=0</formula>
    </cfRule>
    <cfRule type="containsBlanks" dxfId="1161" priority="2">
      <formula>LEN(TRIM(Q20))=0</formula>
    </cfRule>
  </conditionalFormatting>
  <dataValidations count="5">
    <dataValidation type="list" allowBlank="1" showInputMessage="1" showErrorMessage="1" sqref="D12:E12" xr:uid="{00000000-0002-0000-2200-000000000000}">
      <formula1>$B$87:$B$94</formula1>
    </dataValidation>
    <dataValidation type="list" allowBlank="1" showInputMessage="1" showErrorMessage="1" sqref="CP70" xr:uid="{00000000-0002-0000-2200-000001000000}">
      <formula1>$BA$3:$BA$5</formula1>
    </dataValidation>
    <dataValidation type="list" allowBlank="1" showInputMessage="1" showErrorMessage="1" sqref="M19" xr:uid="{00000000-0002-0000-2200-000002000000}">
      <formula1>$AX$3:$AX$5</formula1>
    </dataValidation>
    <dataValidation type="list" allowBlank="1" showInputMessage="1" showErrorMessage="1" sqref="M21" xr:uid="{00000000-0002-0000-2200-000003000000}">
      <formula1>$AX$3:$AX$4</formula1>
    </dataValidation>
    <dataValidation type="list" allowBlank="1" showInputMessage="1" showErrorMessage="1" sqref="L25" xr:uid="{00000000-0002-0000-2200-000004000000}">
      <formula1>$D$101:$D$104</formula1>
    </dataValidation>
  </dataValidations>
  <hyperlinks>
    <hyperlink ref="D8" r:id="rId1" xr:uid="{00000000-0004-0000-22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6281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6281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62819"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6282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6282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6282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6282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6282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6282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6282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73">
    <tabColor rgb="FF92D050"/>
  </sheetPr>
  <dimension ref="A1:CP153"/>
  <sheetViews>
    <sheetView view="pageBreakPreview" topLeftCell="O3" zoomScale="70" zoomScaleNormal="100" zoomScaleSheetLayoutView="7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45952</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45952</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25-P-MEDIACANOA AP1 -2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25-P-MEDIACANOA AP1 -2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263</v>
      </c>
      <c r="G12" s="31" t="s">
        <v>4</v>
      </c>
      <c r="H12" s="146">
        <v>2</v>
      </c>
      <c r="I12" s="546" t="s">
        <v>5</v>
      </c>
      <c r="J12" s="546"/>
      <c r="K12" s="209">
        <v>1</v>
      </c>
      <c r="L12" s="32" t="s">
        <v>6</v>
      </c>
      <c r="M12" s="147">
        <v>1.5</v>
      </c>
      <c r="N12" s="78"/>
      <c r="O12" s="501" t="s">
        <v>3</v>
      </c>
      <c r="P12" s="501"/>
      <c r="Q12" s="225" t="s">
        <v>234</v>
      </c>
      <c r="R12" s="224" t="str">
        <f>F12</f>
        <v xml:space="preserve">P-MEDIACANOA AP1 </v>
      </c>
      <c r="S12" s="224"/>
      <c r="T12" s="502" t="s">
        <v>4</v>
      </c>
      <c r="U12" s="502"/>
      <c r="V12" s="33">
        <f>+H12</f>
        <v>2</v>
      </c>
      <c r="W12" s="547" t="s">
        <v>5</v>
      </c>
      <c r="X12" s="547"/>
      <c r="Y12" s="547"/>
      <c r="Z12" s="547"/>
      <c r="AA12" s="547"/>
      <c r="AB12" s="547"/>
      <c r="AC12" s="34">
        <f>K12</f>
        <v>1</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274</v>
      </c>
      <c r="E13" s="479"/>
      <c r="F13" s="479"/>
      <c r="G13" s="479"/>
      <c r="H13" s="479"/>
      <c r="I13" s="479"/>
      <c r="J13" s="479"/>
      <c r="K13" s="479"/>
      <c r="L13" s="479"/>
      <c r="M13" s="480"/>
      <c r="N13" s="188"/>
      <c r="O13" s="526" t="s">
        <v>130</v>
      </c>
      <c r="P13" s="526"/>
      <c r="Q13" s="527" t="str">
        <f>D13</f>
        <v>GRAVAS ANGULARES, CON LIMO Y ARENA , COLOR MARRÓN, CEMENTACIÓN MODERADA, EN CONDICIÓN SECA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610</v>
      </c>
      <c r="R20" s="156">
        <v>547</v>
      </c>
      <c r="S20" s="157">
        <v>607</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11678</v>
      </c>
      <c r="F22" s="150">
        <v>12236</v>
      </c>
      <c r="G22" s="150">
        <v>12309</v>
      </c>
      <c r="H22" s="151">
        <v>11792</v>
      </c>
      <c r="I22" s="174"/>
      <c r="J22" s="578"/>
      <c r="K22" s="578"/>
      <c r="L22" s="578"/>
      <c r="M22" s="104"/>
      <c r="N22" s="103"/>
      <c r="O22" s="579" t="s">
        <v>132</v>
      </c>
      <c r="P22" s="580"/>
      <c r="Q22" s="219">
        <v>8694</v>
      </c>
      <c r="R22" s="219">
        <v>8393</v>
      </c>
      <c r="S22" s="208">
        <v>8265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0.11700000000000001</v>
      </c>
      <c r="AJ22" s="42">
        <f>AJ50/1.52</f>
        <v>7.6973684210526319E-2</v>
      </c>
      <c r="AK22" s="42">
        <f>AJ22*0.68</f>
        <v>5.2342105263157898E-2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3842</v>
      </c>
      <c r="R23" s="150">
        <v>3836</v>
      </c>
      <c r="S23" s="151">
        <v>3862</v>
      </c>
      <c r="T23" s="174"/>
      <c r="U23" s="112">
        <v>2.5000000000000001E-2</v>
      </c>
      <c r="V23" s="113">
        <f>U23*25.4</f>
        <v>0.63500000000000001</v>
      </c>
      <c r="W23" s="581">
        <f>AI23</f>
        <v>0.622</v>
      </c>
      <c r="X23" s="582"/>
      <c r="Y23" s="449">
        <f>((W23/19.32)*10)</f>
        <v>0.32194616977225671</v>
      </c>
      <c r="Z23" s="450"/>
      <c r="AA23" s="581">
        <f>AJ23</f>
        <v>0.40921052631578947</v>
      </c>
      <c r="AB23" s="582"/>
      <c r="AC23" s="449">
        <f>((AA23/19.32)*10)</f>
        <v>0.21180669063964258</v>
      </c>
      <c r="AD23" s="450"/>
      <c r="AE23" s="581">
        <v>0.255</v>
      </c>
      <c r="AF23" s="582"/>
      <c r="AG23" s="114">
        <f>((AE23/19.32)*10)</f>
        <v>0.13198757763975155</v>
      </c>
      <c r="AH23" s="104"/>
      <c r="AI23" s="42">
        <f t="shared" ref="AI23:AI33" si="0">AJ51</f>
        <v>0.622</v>
      </c>
      <c r="AJ23" s="42">
        <f t="shared" ref="AJ23:AJ33" si="1">AJ51/1.52</f>
        <v>0.40921052631578947</v>
      </c>
      <c r="AK23" s="42">
        <f t="shared" ref="AK23:AK33" si="2">AJ23*0.68</f>
        <v>0.27826315789473688</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11.25</v>
      </c>
      <c r="S24" s="153">
        <v>11.31</v>
      </c>
      <c r="T24" s="174"/>
      <c r="U24" s="112">
        <v>0.05</v>
      </c>
      <c r="V24" s="113">
        <f>U24*25.4</f>
        <v>1.27</v>
      </c>
      <c r="W24" s="581">
        <f>AI24</f>
        <v>1.204</v>
      </c>
      <c r="X24" s="582"/>
      <c r="Y24" s="449">
        <f>((W24/19.32)*10)</f>
        <v>0.62318840579710144</v>
      </c>
      <c r="Z24" s="450"/>
      <c r="AA24" s="581">
        <f>AJ24</f>
        <v>0.79210526315789465</v>
      </c>
      <c r="AB24" s="582"/>
      <c r="AC24" s="449">
        <f>((AA24/19.32)*10)</f>
        <v>0.40999237223493512</v>
      </c>
      <c r="AD24" s="450"/>
      <c r="AE24" s="581">
        <v>0.51100000000000001</v>
      </c>
      <c r="AF24" s="582"/>
      <c r="AG24" s="114">
        <f>((AE24/19.32)*10)</f>
        <v>0.26449275362318841</v>
      </c>
      <c r="AH24" s="104"/>
      <c r="AI24" s="42">
        <f t="shared" si="0"/>
        <v>1.204</v>
      </c>
      <c r="AJ24" s="42">
        <f t="shared" si="1"/>
        <v>0.79210526315789465</v>
      </c>
      <c r="AK24" s="42">
        <f t="shared" si="2"/>
        <v>0.53863157894736835</v>
      </c>
      <c r="AO24" s="42">
        <v>0.68400000000000005</v>
      </c>
      <c r="AS24" s="42">
        <f t="shared" si="3"/>
        <v>0.55609756097560981</v>
      </c>
    </row>
    <row r="25" spans="1:45" ht="24.95" customHeight="1" thickBot="1" x14ac:dyDescent="0.3">
      <c r="A25" s="103"/>
      <c r="B25" s="602" t="s">
        <v>69</v>
      </c>
      <c r="C25" s="603"/>
      <c r="D25" s="603"/>
      <c r="E25" s="115">
        <f>E22-E23</f>
        <v>4366</v>
      </c>
      <c r="F25" s="115">
        <f>F22-F23</f>
        <v>4924</v>
      </c>
      <c r="G25" s="115">
        <f>G22-G23</f>
        <v>4997</v>
      </c>
      <c r="H25" s="116">
        <f>H22-H23</f>
        <v>4480</v>
      </c>
      <c r="I25" s="174"/>
      <c r="J25" s="174" t="s">
        <v>127</v>
      </c>
      <c r="K25" s="174"/>
      <c r="L25" s="218" t="s">
        <v>128</v>
      </c>
      <c r="M25" s="155">
        <v>23.58</v>
      </c>
      <c r="N25" s="103"/>
      <c r="O25" s="604" t="s">
        <v>46</v>
      </c>
      <c r="P25" s="605"/>
      <c r="Q25" s="608">
        <v>15.2</v>
      </c>
      <c r="R25" s="608">
        <v>15.22</v>
      </c>
      <c r="S25" s="620">
        <v>15.2</v>
      </c>
      <c r="T25" s="174"/>
      <c r="U25" s="112">
        <v>7.4999999999999997E-2</v>
      </c>
      <c r="V25" s="113">
        <f>U25*25.4</f>
        <v>1.9049999999999998</v>
      </c>
      <c r="W25" s="581">
        <f>AI25</f>
        <v>1.552</v>
      </c>
      <c r="X25" s="582"/>
      <c r="Y25" s="449">
        <f>((W25/19.32)*10)</f>
        <v>0.80331262939958603</v>
      </c>
      <c r="Z25" s="450"/>
      <c r="AA25" s="581">
        <f>AJ25</f>
        <v>1.0210526315789474</v>
      </c>
      <c r="AB25" s="582"/>
      <c r="AC25" s="449">
        <f>((AA25/19.32)*10)</f>
        <v>0.52849515092078025</v>
      </c>
      <c r="AD25" s="450"/>
      <c r="AE25" s="581">
        <f>AK25</f>
        <v>0.69431578947368433</v>
      </c>
      <c r="AF25" s="582"/>
      <c r="AG25" s="114">
        <f>((AE25/19.32)*10)</f>
        <v>0.35937670262613064</v>
      </c>
      <c r="AH25" s="104"/>
      <c r="AI25" s="42">
        <f t="shared" si="0"/>
        <v>1.552</v>
      </c>
      <c r="AJ25" s="42">
        <f t="shared" si="1"/>
        <v>1.0210526315789474</v>
      </c>
      <c r="AK25" s="42">
        <f t="shared" si="2"/>
        <v>0.69431578947368433</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23.58</v>
      </c>
      <c r="N26" s="103"/>
      <c r="O26" s="606"/>
      <c r="P26" s="607"/>
      <c r="Q26" s="609"/>
      <c r="R26" s="609"/>
      <c r="S26" s="621"/>
      <c r="T26" s="174"/>
      <c r="U26" s="600">
        <v>0.1</v>
      </c>
      <c r="V26" s="601">
        <f>U26*25.4</f>
        <v>2.54</v>
      </c>
      <c r="W26" s="778">
        <f>AI26</f>
        <v>1.8149999999999999</v>
      </c>
      <c r="X26" s="779"/>
      <c r="Y26" s="461">
        <f>((W26/19.32)*10)</f>
        <v>0.93944099378881984</v>
      </c>
      <c r="Z26" s="462"/>
      <c r="AA26" s="746">
        <f>AJ26</f>
        <v>1.194078947368421</v>
      </c>
      <c r="AB26" s="747"/>
      <c r="AC26" s="461">
        <f>((AA26/19.32)*10)</f>
        <v>0.61805328538738147</v>
      </c>
      <c r="AD26" s="462"/>
      <c r="AE26" s="746">
        <f>AK26</f>
        <v>0.8119736842105264</v>
      </c>
      <c r="AF26" s="747"/>
      <c r="AG26" s="469">
        <f>((AE26/19.32)*10)</f>
        <v>0.42027623406341946</v>
      </c>
      <c r="AH26" s="104"/>
      <c r="AI26" s="42">
        <f t="shared" si="0"/>
        <v>1.8149999999999999</v>
      </c>
      <c r="AJ26" s="42">
        <f t="shared" si="1"/>
        <v>1.194078947368421</v>
      </c>
      <c r="AK26" s="42">
        <f t="shared" si="2"/>
        <v>0.8119736842105264</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2046.7825640320214</v>
      </c>
      <c r="S27" s="153">
        <f>(PI()*((S25^2)/4)*S24)</f>
        <v>2052.2944098029284</v>
      </c>
      <c r="T27" s="174"/>
      <c r="U27" s="600"/>
      <c r="V27" s="601"/>
      <c r="W27" s="780"/>
      <c r="X27" s="781"/>
      <c r="Y27" s="463"/>
      <c r="Z27" s="464"/>
      <c r="AA27" s="748"/>
      <c r="AB27" s="749"/>
      <c r="AC27" s="463"/>
      <c r="AD27" s="464"/>
      <c r="AE27" s="748"/>
      <c r="AF27" s="749"/>
      <c r="AG27" s="470"/>
      <c r="AH27" s="193"/>
      <c r="AI27" s="42">
        <f t="shared" si="0"/>
        <v>2.044</v>
      </c>
      <c r="AJ27" s="42">
        <f t="shared" si="1"/>
        <v>1.3447368421052632</v>
      </c>
      <c r="AK27" s="42">
        <f t="shared" si="2"/>
        <v>0.91442105263157902</v>
      </c>
      <c r="AO27" s="42">
        <v>2.387</v>
      </c>
      <c r="AS27" s="42">
        <f t="shared" si="3"/>
        <v>1.9406504065040651</v>
      </c>
    </row>
    <row r="28" spans="1:45" ht="24.95" customHeight="1" thickBot="1" x14ac:dyDescent="0.3">
      <c r="A28" s="103"/>
      <c r="B28" s="560" t="s">
        <v>9</v>
      </c>
      <c r="C28" s="561"/>
      <c r="D28" s="561"/>
      <c r="E28" s="148">
        <v>310</v>
      </c>
      <c r="F28" s="148">
        <v>365</v>
      </c>
      <c r="G28" s="148">
        <v>350</v>
      </c>
      <c r="H28" s="149">
        <v>343</v>
      </c>
      <c r="I28" s="174"/>
      <c r="J28" s="597" t="s">
        <v>107</v>
      </c>
      <c r="K28" s="597"/>
      <c r="L28" s="562" t="s">
        <v>119</v>
      </c>
      <c r="M28" s="459">
        <f>IF(M26="","",(100-M26))</f>
        <v>76.42</v>
      </c>
      <c r="N28" s="103"/>
      <c r="O28" s="625" t="s">
        <v>136</v>
      </c>
      <c r="P28" s="626"/>
      <c r="Q28" s="220">
        <f>Q22-Q23</f>
        <v>4852</v>
      </c>
      <c r="R28" s="220">
        <f>R22-R23</f>
        <v>4557</v>
      </c>
      <c r="S28" s="220">
        <f>S22-S23</f>
        <v>4403</v>
      </c>
      <c r="T28" s="174"/>
      <c r="U28" s="627">
        <v>0.125</v>
      </c>
      <c r="V28" s="624">
        <f>U28*25.4</f>
        <v>3.1749999999999998</v>
      </c>
      <c r="W28" s="593">
        <f>AI27</f>
        <v>2.044</v>
      </c>
      <c r="X28" s="594"/>
      <c r="Y28" s="439">
        <f>((W28/19.32)*10)</f>
        <v>1.0579710144927537</v>
      </c>
      <c r="Z28" s="440"/>
      <c r="AA28" s="593">
        <f>AJ27</f>
        <v>1.3447368421052632</v>
      </c>
      <c r="AB28" s="594"/>
      <c r="AC28" s="439">
        <f>((AA28/19.32)*10)</f>
        <v>0.6960335621662852</v>
      </c>
      <c r="AD28" s="440"/>
      <c r="AE28" s="593">
        <f>AK27</f>
        <v>0.91442105263157902</v>
      </c>
      <c r="AF28" s="594"/>
      <c r="AG28" s="443">
        <f>((AE28/19.32)*10)</f>
        <v>0.47330282227307402</v>
      </c>
      <c r="AH28" s="104"/>
      <c r="AI28" s="42">
        <f t="shared" si="0"/>
        <v>2.258</v>
      </c>
      <c r="AJ28" s="42">
        <f t="shared" si="1"/>
        <v>1.4855263157894736</v>
      </c>
      <c r="AK28" s="42">
        <f t="shared" si="2"/>
        <v>1.0101578947368421</v>
      </c>
      <c r="AO28" s="42">
        <v>2.8959999999999999</v>
      </c>
      <c r="AS28" s="42">
        <f t="shared" si="3"/>
        <v>2.3544715447154472</v>
      </c>
    </row>
    <row r="29" spans="1:45" ht="5.0999999999999996" customHeight="1" thickBot="1" x14ac:dyDescent="0.3">
      <c r="A29" s="103"/>
      <c r="B29" s="612" t="s">
        <v>73</v>
      </c>
      <c r="C29" s="613"/>
      <c r="D29" s="614"/>
      <c r="E29" s="618">
        <v>785.45</v>
      </c>
      <c r="F29" s="618">
        <v>809.76</v>
      </c>
      <c r="G29" s="618">
        <v>914.1</v>
      </c>
      <c r="H29" s="620">
        <v>846.56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2.4409999999999998</v>
      </c>
      <c r="AJ29" s="42">
        <f t="shared" si="1"/>
        <v>1.6059210526315788</v>
      </c>
      <c r="AK29" s="42">
        <f t="shared" si="2"/>
        <v>1.0920263157894736</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21.472669241379311</v>
      </c>
      <c r="N30" s="103"/>
      <c r="O30" s="622" t="s">
        <v>134</v>
      </c>
      <c r="P30" s="623"/>
      <c r="Q30" s="229">
        <f>Q28/Q27</f>
        <v>2.3050786365754736</v>
      </c>
      <c r="R30" s="229">
        <f>R28/R27</f>
        <v>2.2264211548797945</v>
      </c>
      <c r="S30" s="131">
        <f>S28/S27</f>
        <v>2.1454036901181239</v>
      </c>
      <c r="T30" s="174"/>
      <c r="U30" s="120">
        <v>0.15</v>
      </c>
      <c r="V30" s="113">
        <f>U30*25.4</f>
        <v>3.8099999999999996</v>
      </c>
      <c r="W30" s="581">
        <f>AI28</f>
        <v>2.258</v>
      </c>
      <c r="X30" s="582"/>
      <c r="Y30" s="449">
        <f>((W30/19.32)*10)</f>
        <v>1.1687370600414078</v>
      </c>
      <c r="Z30" s="450"/>
      <c r="AA30" s="581">
        <f>AJ28</f>
        <v>1.4855263157894736</v>
      </c>
      <c r="AB30" s="582"/>
      <c r="AC30" s="449">
        <f>((AA30/19.32)*10)</f>
        <v>0.76890596055355775</v>
      </c>
      <c r="AD30" s="450"/>
      <c r="AE30" s="581">
        <f>AK28</f>
        <v>1.0101578947368421</v>
      </c>
      <c r="AF30" s="582"/>
      <c r="AG30" s="114">
        <f>((AE30/19.32)*10)</f>
        <v>0.52285605317641937</v>
      </c>
      <c r="AH30" s="104"/>
      <c r="AI30" s="42">
        <f t="shared" si="0"/>
        <v>2.5939999999999999</v>
      </c>
      <c r="AJ30" s="42">
        <f t="shared" si="1"/>
        <v>1.706578947368421</v>
      </c>
      <c r="AK30" s="42">
        <f t="shared" si="2"/>
        <v>1.1604736842105263</v>
      </c>
      <c r="AO30" s="42">
        <v>3.8439999999999999</v>
      </c>
      <c r="AS30" s="42">
        <f t="shared" si="3"/>
        <v>3.1252032520325201</v>
      </c>
    </row>
    <row r="31" spans="1:45" ht="24.95" customHeight="1" thickBot="1" x14ac:dyDescent="0.3">
      <c r="A31" s="103"/>
      <c r="B31" s="576" t="s">
        <v>74</v>
      </c>
      <c r="C31" s="577"/>
      <c r="D31" s="577"/>
      <c r="E31" s="152">
        <v>763.25</v>
      </c>
      <c r="F31" s="152">
        <v>771.73</v>
      </c>
      <c r="G31" s="152">
        <v>858.63</v>
      </c>
      <c r="H31" s="153">
        <v>780</v>
      </c>
      <c r="I31" s="174"/>
      <c r="J31" s="597" t="s">
        <v>138</v>
      </c>
      <c r="K31" s="597"/>
      <c r="L31" s="562" t="s">
        <v>116</v>
      </c>
      <c r="M31" s="457">
        <f>IF(M25="","",S82)</f>
        <v>2.7120000000000002</v>
      </c>
      <c r="N31" s="121"/>
      <c r="O31" s="628" t="s">
        <v>135</v>
      </c>
      <c r="P31" s="629"/>
      <c r="Q31" s="122">
        <f>Q30/(1+Q40/100)</f>
        <v>2.1581980935272989</v>
      </c>
      <c r="R31" s="122">
        <f>R30/(1+R40/100)</f>
        <v>2.0882808089498184</v>
      </c>
      <c r="S31" s="123">
        <f>S30/(1+S40/100)</f>
        <v>2.0203617226530386</v>
      </c>
      <c r="T31" s="174"/>
      <c r="U31" s="627">
        <v>0.17499999999999999</v>
      </c>
      <c r="V31" s="624">
        <f>U31*25.4</f>
        <v>4.4449999999999994</v>
      </c>
      <c r="W31" s="593">
        <f>AI29</f>
        <v>2.4409999999999998</v>
      </c>
      <c r="X31" s="594"/>
      <c r="Y31" s="439">
        <f>((W31/19.32)*10)</f>
        <v>1.2634575569358177</v>
      </c>
      <c r="Z31" s="440"/>
      <c r="AA31" s="593">
        <f>AJ29</f>
        <v>1.6059210526315788</v>
      </c>
      <c r="AB31" s="594"/>
      <c r="AC31" s="439">
        <f>((AA31/19.32)*10)</f>
        <v>0.83122207693145911</v>
      </c>
      <c r="AD31" s="440"/>
      <c r="AE31" s="593">
        <f>AK29</f>
        <v>1.0920263157894736</v>
      </c>
      <c r="AF31" s="594"/>
      <c r="AG31" s="443">
        <f>((AE31/19.32)*10)</f>
        <v>0.56523101231339212</v>
      </c>
      <c r="AH31" s="104"/>
      <c r="AI31" s="42">
        <f t="shared" si="0"/>
        <v>3.169</v>
      </c>
      <c r="AJ31" s="42">
        <f t="shared" si="1"/>
        <v>2.0848684210526316</v>
      </c>
      <c r="AK31" s="42">
        <f t="shared" si="2"/>
        <v>1.4177105263157896</v>
      </c>
      <c r="AO31" s="42">
        <v>5.516</v>
      </c>
      <c r="AS31" s="42">
        <f t="shared" si="3"/>
        <v>4.4845528455284551</v>
      </c>
    </row>
    <row r="32" spans="1:45" ht="5.0999999999999996" customHeight="1" thickBot="1" x14ac:dyDescent="0.3">
      <c r="A32" s="103"/>
      <c r="B32" s="612" t="s">
        <v>75</v>
      </c>
      <c r="C32" s="613"/>
      <c r="D32" s="614"/>
      <c r="E32" s="618">
        <v>102.03</v>
      </c>
      <c r="F32" s="618">
        <v>101.52</v>
      </c>
      <c r="G32" s="618">
        <v>101.08</v>
      </c>
      <c r="H32" s="620">
        <v>83.8</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3.73</v>
      </c>
      <c r="AJ32" s="42">
        <f t="shared" si="1"/>
        <v>2.4539473684210527</v>
      </c>
      <c r="AK32" s="42">
        <f t="shared" si="2"/>
        <v>1.668684210526316</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2.5939999999999999</v>
      </c>
      <c r="X33" s="582"/>
      <c r="Y33" s="449">
        <f>((W33/19.32)*10)</f>
        <v>1.3426501035196687</v>
      </c>
      <c r="Z33" s="450"/>
      <c r="AA33" s="581">
        <f>AJ30</f>
        <v>1.706578947368421</v>
      </c>
      <c r="AB33" s="582"/>
      <c r="AC33" s="449">
        <f>((AA33/19.32)*10)</f>
        <v>0.88332243652609777</v>
      </c>
      <c r="AD33" s="450"/>
      <c r="AE33" s="581">
        <f>AK30</f>
        <v>1.1604736842105263</v>
      </c>
      <c r="AF33" s="582"/>
      <c r="AG33" s="144">
        <f>((AE33/19.32)*10)</f>
        <v>0.60065925683774657</v>
      </c>
      <c r="AH33" s="104"/>
      <c r="AI33" s="42">
        <f t="shared" si="0"/>
        <v>4.2839999999999998</v>
      </c>
      <c r="AJ33" s="42">
        <f t="shared" si="1"/>
        <v>2.8184210526315789</v>
      </c>
      <c r="AK33" s="42">
        <f t="shared" si="2"/>
        <v>1.9165263157894739</v>
      </c>
      <c r="AO33" s="42">
        <v>7.7720000000000002</v>
      </c>
      <c r="AS33" s="42">
        <f t="shared" si="3"/>
        <v>6.3186991869918705</v>
      </c>
    </row>
    <row r="34" spans="1:45" ht="24.95" customHeight="1" thickBot="1" x14ac:dyDescent="0.3">
      <c r="A34" s="103"/>
      <c r="B34" s="602" t="s">
        <v>10</v>
      </c>
      <c r="C34" s="603"/>
      <c r="D34" s="603"/>
      <c r="E34" s="125">
        <f>((E29-E31)/(E31-E32))*100</f>
        <v>3.357430204773002</v>
      </c>
      <c r="F34" s="125">
        <f>((F29-F31)/(F31-F32))*100</f>
        <v>5.6743408782321918</v>
      </c>
      <c r="G34" s="125">
        <f>((G29-G31)/(G31-G32))*100</f>
        <v>7.3222889578245702</v>
      </c>
      <c r="H34" s="126">
        <f>((H29-H31)/(H31-H32))*100</f>
        <v>9.560471128985915</v>
      </c>
      <c r="I34" s="174"/>
      <c r="J34" s="630" t="s">
        <v>125</v>
      </c>
      <c r="K34" s="630"/>
      <c r="L34" s="184" t="s">
        <v>126</v>
      </c>
      <c r="M34" s="245">
        <v>2.7</v>
      </c>
      <c r="N34" s="128"/>
      <c r="O34" s="631" t="s">
        <v>9</v>
      </c>
      <c r="P34" s="632"/>
      <c r="Q34" s="156">
        <v>329</v>
      </c>
      <c r="R34" s="156">
        <v>709</v>
      </c>
      <c r="S34" s="157">
        <v>617</v>
      </c>
      <c r="T34" s="174"/>
      <c r="U34" s="120">
        <v>0.3</v>
      </c>
      <c r="V34" s="113">
        <f>U34*25.4</f>
        <v>7.6199999999999992</v>
      </c>
      <c r="W34" s="581">
        <f>AI31</f>
        <v>3.169</v>
      </c>
      <c r="X34" s="582"/>
      <c r="Y34" s="449">
        <f>((W34/19.32)*10)</f>
        <v>1.6402691511387162</v>
      </c>
      <c r="Z34" s="450"/>
      <c r="AA34" s="449">
        <v>2.1469999999999998</v>
      </c>
      <c r="AB34" s="450"/>
      <c r="AC34" s="449">
        <f>((AA34/19.32)*10)</f>
        <v>1.1112836438923395</v>
      </c>
      <c r="AD34" s="450"/>
      <c r="AE34" s="581">
        <v>1.389</v>
      </c>
      <c r="AF34" s="582"/>
      <c r="AG34" s="114">
        <f>((AE34/19.32)*10)</f>
        <v>0.71894409937888204</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746.71</v>
      </c>
      <c r="R35" s="608">
        <v>856.25</v>
      </c>
      <c r="S35" s="610">
        <v>768.09</v>
      </c>
      <c r="T35" s="174"/>
      <c r="U35" s="627">
        <v>0.4</v>
      </c>
      <c r="V35" s="624">
        <f>U35*25.4</f>
        <v>10.16</v>
      </c>
      <c r="W35" s="593">
        <f>AI32</f>
        <v>3.73</v>
      </c>
      <c r="X35" s="594"/>
      <c r="Y35" s="439">
        <f>((W35/19.32)*10)</f>
        <v>1.9306418219461696</v>
      </c>
      <c r="Z35" s="440"/>
      <c r="AA35" s="593">
        <v>2.5459999999999998</v>
      </c>
      <c r="AB35" s="594"/>
      <c r="AC35" s="439">
        <f>(AA35/19.32)*10</f>
        <v>1.3178053830227743</v>
      </c>
      <c r="AD35" s="440"/>
      <c r="AE35" s="593">
        <v>1.542</v>
      </c>
      <c r="AF35" s="594"/>
      <c r="AG35" s="443">
        <f>((AE35/19.32)*10)</f>
        <v>0.79813664596273282</v>
      </c>
      <c r="AH35" s="104"/>
      <c r="AS35" s="42">
        <f t="shared" si="3"/>
        <v>0</v>
      </c>
    </row>
    <row r="36" spans="1:45" ht="20.100000000000001" customHeight="1" thickBot="1" x14ac:dyDescent="0.3">
      <c r="A36" s="103"/>
      <c r="B36" s="639" t="s">
        <v>71</v>
      </c>
      <c r="C36" s="640"/>
      <c r="D36" s="640"/>
      <c r="E36" s="130">
        <f>E25/E24</f>
        <v>2.0325884543761639</v>
      </c>
      <c r="F36" s="130">
        <f>F25/F24</f>
        <v>2.2923649906890131</v>
      </c>
      <c r="G36" s="130">
        <f>G25/G24</f>
        <v>2.3263500931098697</v>
      </c>
      <c r="H36" s="131">
        <f>H25/H24</f>
        <v>2.0856610800744879</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1.9665624912976019</v>
      </c>
      <c r="F37" s="230">
        <f>F36/(1+F34/100)</f>
        <v>2.1692730436147118</v>
      </c>
      <c r="G37" s="230">
        <f>G36/(1+G34/100)</f>
        <v>2.1676299636360508</v>
      </c>
      <c r="H37" s="123">
        <f>H36/(1+H34/100)</f>
        <v>1.9036620220617999</v>
      </c>
      <c r="I37" s="174"/>
      <c r="J37" s="641" t="s">
        <v>139</v>
      </c>
      <c r="K37" s="641"/>
      <c r="L37" s="643" t="s">
        <v>121</v>
      </c>
      <c r="M37" s="433">
        <f>IF(F74="","",(M42^2*F74+M42*F75+F76))</f>
        <v>2.1888551724137928</v>
      </c>
      <c r="N37" s="101"/>
      <c r="O37" s="576" t="s">
        <v>28</v>
      </c>
      <c r="P37" s="577"/>
      <c r="Q37" s="150">
        <v>705.56</v>
      </c>
      <c r="R37" s="152">
        <v>806.12</v>
      </c>
      <c r="S37" s="153">
        <v>726.05</v>
      </c>
      <c r="T37" s="174"/>
      <c r="U37" s="132">
        <v>0.5</v>
      </c>
      <c r="V37" s="133">
        <f>U37*25.4</f>
        <v>12.7</v>
      </c>
      <c r="W37" s="637">
        <f>AI33</f>
        <v>4.2839999999999998</v>
      </c>
      <c r="X37" s="638"/>
      <c r="Y37" s="431">
        <f>((W37/19.32)*10)</f>
        <v>2.2173913043478262</v>
      </c>
      <c r="Z37" s="432"/>
      <c r="AA37" s="637">
        <f>AJ33</f>
        <v>2.8184210526315789</v>
      </c>
      <c r="AB37" s="638"/>
      <c r="AC37" s="431">
        <f>((AA37/19.32)*10)</f>
        <v>1.4588100686498855</v>
      </c>
      <c r="AD37" s="432"/>
      <c r="AE37" s="637">
        <v>1.6679999999999999</v>
      </c>
      <c r="AF37" s="638"/>
      <c r="AG37" s="134">
        <f>((AE37/19.32)*10)</f>
        <v>0.86335403726708071</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100.92</v>
      </c>
      <c r="R38" s="618">
        <v>48.3</v>
      </c>
      <c r="S38" s="648">
        <v>46.79</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2.2931615095692153</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21.472669241379311</v>
      </c>
      <c r="N40" s="103"/>
      <c r="O40" s="628" t="s">
        <v>10</v>
      </c>
      <c r="P40" s="629"/>
      <c r="Q40" s="125">
        <f>((Q35-Q37)/(Q37-Q38))*100</f>
        <v>6.8057025668166338</v>
      </c>
      <c r="R40" s="125">
        <f>((R35-R37)/(R37-R38))*100</f>
        <v>6.615027315193581</v>
      </c>
      <c r="S40" s="126">
        <f>((S35-S37)/(S37-S38))*100</f>
        <v>6.1890881253128516</v>
      </c>
      <c r="T40" s="174"/>
      <c r="U40" s="645" t="s">
        <v>151</v>
      </c>
      <c r="V40" s="646"/>
      <c r="W40" s="423">
        <f>(AM79/6.9)*100</f>
        <v>13.615086866504637</v>
      </c>
      <c r="X40" s="423"/>
      <c r="Y40" s="423"/>
      <c r="Z40" s="424"/>
      <c r="AA40" s="425">
        <f>(AO79/6.9)*100</f>
        <v>8.9572939911214711</v>
      </c>
      <c r="AB40" s="426"/>
      <c r="AC40" s="427"/>
      <c r="AD40" s="425">
        <f>(AQ79/6.9)*100</f>
        <v>6.0909599139626005</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22.495914408874008</v>
      </c>
      <c r="N41" s="138"/>
      <c r="O41" s="565" t="s">
        <v>36</v>
      </c>
      <c r="P41" s="566"/>
      <c r="Q41" s="566"/>
      <c r="R41" s="566"/>
      <c r="S41" s="567"/>
      <c r="T41" s="174"/>
      <c r="U41" s="653" t="s">
        <v>152</v>
      </c>
      <c r="V41" s="654"/>
      <c r="W41" s="418">
        <f>(AM83/10.3)*100</f>
        <v>13.03543789824921</v>
      </c>
      <c r="X41" s="418"/>
      <c r="Y41" s="418"/>
      <c r="Z41" s="419"/>
      <c r="AA41" s="420">
        <f>(AO83/10.3)*100</f>
        <v>8.575945985690268</v>
      </c>
      <c r="AB41" s="421"/>
      <c r="AC41" s="418"/>
      <c r="AD41" s="420">
        <f>(AQ83/10.3)*100</f>
        <v>5.8316432702693834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6.2873563218390798</v>
      </c>
      <c r="N42" s="103"/>
      <c r="O42" s="639" t="s">
        <v>9</v>
      </c>
      <c r="P42" s="640"/>
      <c r="Q42" s="148">
        <v>351</v>
      </c>
      <c r="R42" s="148">
        <v>718</v>
      </c>
      <c r="S42" s="149">
        <v>350</v>
      </c>
      <c r="T42" s="174"/>
      <c r="U42" s="651" t="s">
        <v>42</v>
      </c>
      <c r="V42" s="652"/>
      <c r="W42" s="413">
        <f>IF(W40&lt;W41,W40,W41)</f>
        <v>13.03543789824921</v>
      </c>
      <c r="X42" s="414"/>
      <c r="Y42" s="414"/>
      <c r="Z42" s="415"/>
      <c r="AA42" s="416">
        <f>IF(AA40&lt;AA41,AA40,AA41)</f>
        <v>8.575945985690268</v>
      </c>
      <c r="AB42" s="414"/>
      <c r="AC42" s="415"/>
      <c r="AD42" s="416">
        <f>IF(AD40&lt;AD41,AD40,AD41)</f>
        <v>5.8316432702693834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5.0655172413793093</v>
      </c>
      <c r="N43" s="103"/>
      <c r="O43" s="612" t="s">
        <v>49</v>
      </c>
      <c r="P43" s="614"/>
      <c r="Q43" s="618">
        <v>1064.3499999999999</v>
      </c>
      <c r="R43" s="608">
        <v>944.62</v>
      </c>
      <c r="S43" s="610">
        <v>834.14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981.99</v>
      </c>
      <c r="R45" s="150">
        <v>854.76</v>
      </c>
      <c r="S45" s="151">
        <v>742.18</v>
      </c>
      <c r="T45" s="174"/>
      <c r="U45" s="656" t="s">
        <v>139</v>
      </c>
      <c r="V45" s="656"/>
      <c r="W45" s="179" t="s">
        <v>121</v>
      </c>
      <c r="X45" s="406">
        <f>MAX(M37:M39)</f>
        <v>2.2931615095692153</v>
      </c>
      <c r="Y45" s="406"/>
      <c r="Z45" s="406"/>
      <c r="AA45" s="174"/>
      <c r="AB45" s="657" t="s">
        <v>31</v>
      </c>
      <c r="AC45" s="658"/>
      <c r="AD45" s="658"/>
      <c r="AE45" s="658"/>
      <c r="AF45" s="231">
        <v>0.23150000000000001</v>
      </c>
      <c r="AG45" s="231">
        <v>0.109</v>
      </c>
      <c r="AH45" s="233">
        <v>0.17649999999999999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104.01</v>
      </c>
      <c r="R46" s="152">
        <v>49.51</v>
      </c>
      <c r="S46" s="153">
        <v>101.92</v>
      </c>
      <c r="T46" s="174"/>
      <c r="U46" s="555" t="s">
        <v>123</v>
      </c>
      <c r="V46" s="555"/>
      <c r="W46" s="179" t="s">
        <v>41</v>
      </c>
      <c r="X46" s="401">
        <f>MIN(M42:M44)</f>
        <v>5.0655172413793093</v>
      </c>
      <c r="Y46" s="401"/>
      <c r="Z46" s="401"/>
      <c r="AA46" s="174"/>
      <c r="AB46" s="660" t="s">
        <v>32</v>
      </c>
      <c r="AC46" s="661"/>
      <c r="AD46" s="661"/>
      <c r="AE46" s="661"/>
      <c r="AF46" s="234">
        <v>0.25</v>
      </c>
      <c r="AG46" s="234">
        <v>0.13750000000000001</v>
      </c>
      <c r="AH46" s="235">
        <v>0.20899999999999999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9.3806237044123897</v>
      </c>
      <c r="R47" s="125">
        <f>((R43-R45)/(R45-R46))*100</f>
        <v>11.159267308289353</v>
      </c>
      <c r="S47" s="126">
        <f>((S43-S45)/(S45-S46))*100</f>
        <v>14.362915065754542</v>
      </c>
      <c r="T47" s="174"/>
      <c r="U47" s="555" t="s">
        <v>162</v>
      </c>
      <c r="V47" s="555"/>
      <c r="W47" s="179" t="s">
        <v>41</v>
      </c>
      <c r="X47" s="402">
        <f>IF(L25=D103,"-",IF(L25=D102,"-",IF(L25=D101,M25)))</f>
        <v>23.58</v>
      </c>
      <c r="Y47" s="402"/>
      <c r="Z47" s="402"/>
      <c r="AA47" s="174"/>
      <c r="AB47" s="662" t="s">
        <v>33</v>
      </c>
      <c r="AC47" s="663"/>
      <c r="AD47" s="663"/>
      <c r="AE47" s="663"/>
      <c r="AF47" s="232">
        <f>(AF46-AF45)*2.54</f>
        <v>4.6989999999999969E-2</v>
      </c>
      <c r="AG47" s="232">
        <f>(AG46-AG45)*2.54</f>
        <v>7.2390000000000024E-2</v>
      </c>
      <c r="AH47" s="239">
        <f>(AH46-AH45)*2.54</f>
        <v>8.2549999999999998E-2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0.40508620689655145</v>
      </c>
      <c r="AG48" s="142">
        <f>IF(AG47&lt;&gt;"",IF(R24&lt;&gt;"",AG47/R24*100,""),"")</f>
        <v>0.64346666666666685</v>
      </c>
      <c r="AH48" s="173">
        <f>IF(AH47&lt;&gt;"",IF(S24&lt;&gt;"",AH47/S24*100,""),"")</f>
        <v>0.72988505747126431</v>
      </c>
    </row>
    <row r="49" spans="1:37"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7"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0.11700000000000001</v>
      </c>
      <c r="AK50" s="42">
        <v>0.11700000000000001</v>
      </c>
    </row>
    <row r="51" spans="1:37"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0.622</v>
      </c>
      <c r="AK51" s="42">
        <v>0.622</v>
      </c>
    </row>
    <row r="52" spans="1:37"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1.204</v>
      </c>
      <c r="AK52" s="42">
        <v>1.204</v>
      </c>
    </row>
    <row r="53" spans="1:37"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1.552</v>
      </c>
      <c r="AK53" s="42">
        <v>1.552</v>
      </c>
    </row>
    <row r="54" spans="1:37"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1.8149999999999999</v>
      </c>
      <c r="AK54" s="42">
        <v>1.8149999999999999</v>
      </c>
    </row>
    <row r="55" spans="1:37"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2.044</v>
      </c>
      <c r="AK55" s="42">
        <v>2.044</v>
      </c>
    </row>
    <row r="56" spans="1:37"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2.258</v>
      </c>
      <c r="AK56" s="42">
        <v>2.258</v>
      </c>
    </row>
    <row r="57" spans="1:37"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2.4409999999999998</v>
      </c>
      <c r="AK57" s="42">
        <v>2.4409999999999998</v>
      </c>
    </row>
    <row r="58" spans="1:37"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2.5939999999999999</v>
      </c>
      <c r="AK58" s="42">
        <v>2.5939999999999999</v>
      </c>
    </row>
    <row r="59" spans="1:37"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3.169</v>
      </c>
      <c r="AK59" s="42">
        <v>3.169</v>
      </c>
    </row>
    <row r="60" spans="1:37"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3.73</v>
      </c>
      <c r="AK60" s="42">
        <v>3.73</v>
      </c>
    </row>
    <row r="61" spans="1:37"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4.2839999999999998</v>
      </c>
      <c r="AK61" s="42">
        <v>4.2839999999999998</v>
      </c>
    </row>
    <row r="62" spans="1:37"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7"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7"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-2.6100000000000002E-2</v>
      </c>
      <c r="G74" s="75">
        <v>-0.12509999999999999</v>
      </c>
      <c r="J74" s="701"/>
      <c r="K74" s="702"/>
      <c r="L74" s="44"/>
      <c r="M74" s="44"/>
      <c r="N74" s="44"/>
    </row>
    <row r="75" spans="1:94" ht="26.25" customHeight="1" thickBot="1" x14ac:dyDescent="0.3">
      <c r="A75" s="11"/>
      <c r="B75" s="377" t="s">
        <v>113</v>
      </c>
      <c r="C75" s="377"/>
      <c r="D75" s="19"/>
      <c r="E75" s="54" t="s">
        <v>12</v>
      </c>
      <c r="F75" s="55">
        <v>0.32819999999999999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1.1571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0.622</v>
      </c>
      <c r="AM76" s="3">
        <f t="shared" si="4"/>
        <v>0.32194616977225671</v>
      </c>
      <c r="AN76" s="5">
        <f>AA23</f>
        <v>0.40921052631578947</v>
      </c>
      <c r="AO76" s="3">
        <f t="shared" ref="AO76:AO86" si="7">((AN76/19.32)*10)</f>
        <v>0.21180669063964258</v>
      </c>
      <c r="AP76" s="5">
        <f>AE23</f>
        <v>0.255</v>
      </c>
      <c r="AQ76" s="161">
        <f t="shared" si="5"/>
        <v>0.13198757763975155</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1.204</v>
      </c>
      <c r="AM77" s="3">
        <f t="shared" si="4"/>
        <v>0.62318840579710144</v>
      </c>
      <c r="AN77" s="5">
        <f>AA24</f>
        <v>0.79210526315789465</v>
      </c>
      <c r="AO77" s="3">
        <f t="shared" si="7"/>
        <v>0.40999237223493512</v>
      </c>
      <c r="AP77" s="5">
        <f>AE24</f>
        <v>0.51100000000000001</v>
      </c>
      <c r="AQ77" s="161">
        <f t="shared" si="5"/>
        <v>0.26449275362318841</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1.552</v>
      </c>
      <c r="AM78" s="3">
        <f t="shared" si="4"/>
        <v>0.80331262939958603</v>
      </c>
      <c r="AN78" s="5">
        <f>AA25</f>
        <v>1.0210526315789474</v>
      </c>
      <c r="AO78" s="3">
        <f t="shared" si="7"/>
        <v>0.52849515092078025</v>
      </c>
      <c r="AP78" s="5">
        <f>AE25</f>
        <v>0.69431578947368433</v>
      </c>
      <c r="AQ78" s="161">
        <f t="shared" si="5"/>
        <v>0.35937670262613064</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1.8149999999999999</v>
      </c>
      <c r="AM79" s="4">
        <f t="shared" si="4"/>
        <v>0.93944099378881984</v>
      </c>
      <c r="AN79" s="5">
        <f>AA26</f>
        <v>1.194078947368421</v>
      </c>
      <c r="AO79" s="4">
        <f t="shared" si="7"/>
        <v>0.61805328538738147</v>
      </c>
      <c r="AP79" s="5">
        <f>AE26</f>
        <v>0.8119736842105264</v>
      </c>
      <c r="AQ79" s="162">
        <f t="shared" si="5"/>
        <v>0.42027623406341946</v>
      </c>
      <c r="BB79" s="12">
        <v>17</v>
      </c>
      <c r="BC79" s="12">
        <v>18</v>
      </c>
    </row>
    <row r="80" spans="1:94" ht="42" customHeight="1" thickTop="1" thickBot="1" x14ac:dyDescent="0.3">
      <c r="D80" s="49"/>
      <c r="H80" s="711" t="s">
        <v>105</v>
      </c>
      <c r="I80" s="712"/>
      <c r="J80" s="58"/>
      <c r="AJ80" s="160">
        <f>U28</f>
        <v>0.125</v>
      </c>
      <c r="AK80" s="3">
        <f t="shared" si="6"/>
        <v>3.1749999999999998</v>
      </c>
      <c r="AL80" s="5">
        <f>W28</f>
        <v>2.044</v>
      </c>
      <c r="AM80" s="3">
        <f t="shared" si="4"/>
        <v>1.0579710144927537</v>
      </c>
      <c r="AN80" s="5">
        <f>AA28</f>
        <v>1.3447368421052632</v>
      </c>
      <c r="AO80" s="3">
        <f t="shared" si="7"/>
        <v>0.6960335621662852</v>
      </c>
      <c r="AP80" s="5">
        <f>AE28</f>
        <v>0.91442105263157902</v>
      </c>
      <c r="AQ80" s="161">
        <f t="shared" si="5"/>
        <v>0.47330282227307402</v>
      </c>
      <c r="BC80" s="45">
        <v>0.99880400000000003</v>
      </c>
      <c r="BD80" s="45">
        <v>0.99862499999999998</v>
      </c>
    </row>
    <row r="81" spans="2:43" ht="15.75" customHeight="1" x14ac:dyDescent="0.25">
      <c r="AJ81" s="160">
        <f>U30</f>
        <v>0.15</v>
      </c>
      <c r="AK81" s="3">
        <f t="shared" si="6"/>
        <v>3.8099999999999996</v>
      </c>
      <c r="AL81" s="5">
        <f>W30</f>
        <v>2.258</v>
      </c>
      <c r="AM81" s="3">
        <f t="shared" si="4"/>
        <v>1.1687370600414078</v>
      </c>
      <c r="AN81" s="5">
        <f>AA30</f>
        <v>1.4855263157894736</v>
      </c>
      <c r="AO81" s="3">
        <f t="shared" si="7"/>
        <v>0.76890596055355775</v>
      </c>
      <c r="AP81" s="5">
        <f>AE30</f>
        <v>1.0101578947368421</v>
      </c>
      <c r="AQ81" s="161">
        <f t="shared" si="5"/>
        <v>0.52285605317641937</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2.4409999999999998</v>
      </c>
      <c r="AM82" s="3">
        <f t="shared" si="4"/>
        <v>1.2634575569358177</v>
      </c>
      <c r="AN82" s="5">
        <f>AA31</f>
        <v>1.6059210526315788</v>
      </c>
      <c r="AO82" s="3">
        <f t="shared" si="7"/>
        <v>0.83122207693145911</v>
      </c>
      <c r="AP82" s="5">
        <f>AE31</f>
        <v>1.0920263157894736</v>
      </c>
      <c r="AQ82" s="161">
        <f t="shared" si="5"/>
        <v>0.56523101231339212</v>
      </c>
    </row>
    <row r="83" spans="2:43" ht="15" customHeight="1" x14ac:dyDescent="0.25">
      <c r="B83" s="49"/>
      <c r="C83" s="49"/>
      <c r="D83" s="49">
        <v>0</v>
      </c>
      <c r="E83" s="50">
        <f>M42</f>
        <v>6.2873563218390798</v>
      </c>
      <c r="F83" s="49"/>
      <c r="G83" s="43">
        <f>G84/10</f>
        <v>2.428550410449831</v>
      </c>
      <c r="H83" s="43">
        <f>H84/10</f>
        <v>2.2968118751544528</v>
      </c>
      <c r="I83" s="43">
        <f>I84/10</f>
        <v>2.2114853596144242</v>
      </c>
      <c r="J83" s="43">
        <f>J84/10</f>
        <v>2.1052627889559692</v>
      </c>
      <c r="K83" s="43"/>
      <c r="L83" s="42">
        <v>0</v>
      </c>
      <c r="O83" s="706"/>
      <c r="P83" s="706"/>
      <c r="Q83" s="706"/>
      <c r="R83" s="706"/>
      <c r="S83" s="707"/>
      <c r="W83" s="112"/>
      <c r="AJ83" s="160">
        <f>U33</f>
        <v>0.2</v>
      </c>
      <c r="AK83" s="4">
        <f t="shared" si="6"/>
        <v>5.08</v>
      </c>
      <c r="AL83" s="5">
        <f>W33</f>
        <v>2.5939999999999999</v>
      </c>
      <c r="AM83" s="4">
        <f t="shared" si="4"/>
        <v>1.3426501035196687</v>
      </c>
      <c r="AN83" s="5">
        <f>AA33</f>
        <v>1.706578947368421</v>
      </c>
      <c r="AO83" s="4">
        <f t="shared" si="7"/>
        <v>0.88332243652609777</v>
      </c>
      <c r="AP83" s="5">
        <f>AE33</f>
        <v>1.1604736842105263</v>
      </c>
      <c r="AQ83" s="162">
        <f t="shared" si="5"/>
        <v>0.60065925683774657</v>
      </c>
    </row>
    <row r="84" spans="2:43" ht="15" customHeight="1" x14ac:dyDescent="0.25">
      <c r="C84" s="94"/>
      <c r="D84" s="94"/>
      <c r="E84" s="94"/>
      <c r="F84" s="49"/>
      <c r="G84" s="43">
        <f>($M$34/(1+(E34*$M$34/100)))*($O$73)</f>
        <v>24.285504104498308</v>
      </c>
      <c r="H84" s="43">
        <f>($M$34/(1+(F34*$M$34/100)))*($O$73)</f>
        <v>22.96811875154453</v>
      </c>
      <c r="I84" s="43">
        <f>($M$34/(1+(G34*$M$34/100)))*($O$73)</f>
        <v>22.114853596144243</v>
      </c>
      <c r="J84" s="43">
        <f>($M$34/(1+(H34*$M$34/100)))*($O$73)</f>
        <v>21.052627889559691</v>
      </c>
      <c r="K84" s="43"/>
      <c r="O84" s="706" t="s">
        <v>146</v>
      </c>
      <c r="P84" s="706"/>
      <c r="Q84" s="706"/>
      <c r="R84" s="706"/>
      <c r="S84" s="707">
        <v>2240</v>
      </c>
      <c r="W84" s="112"/>
      <c r="AJ84" s="160">
        <f>U34</f>
        <v>0.3</v>
      </c>
      <c r="AK84" s="3">
        <f t="shared" si="6"/>
        <v>7.6199999999999992</v>
      </c>
      <c r="AL84" s="5">
        <f>W34</f>
        <v>3.169</v>
      </c>
      <c r="AM84" s="3">
        <f t="shared" si="4"/>
        <v>1.6402691511387162</v>
      </c>
      <c r="AN84" s="5">
        <f>AA34</f>
        <v>2.1469999999999998</v>
      </c>
      <c r="AO84" s="3">
        <f t="shared" si="7"/>
        <v>1.1112836438923395</v>
      </c>
      <c r="AP84" s="5">
        <f>AE34</f>
        <v>1.389</v>
      </c>
      <c r="AQ84" s="161">
        <f t="shared" si="5"/>
        <v>0.71894409937888204</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3.73</v>
      </c>
      <c r="AM85" s="3">
        <f t="shared" si="4"/>
        <v>1.9306418219461696</v>
      </c>
      <c r="AN85" s="5">
        <f>AA35</f>
        <v>2.5459999999999998</v>
      </c>
      <c r="AO85" s="3">
        <f t="shared" si="7"/>
        <v>1.3178053830227743</v>
      </c>
      <c r="AP85" s="5">
        <f>AE35</f>
        <v>1.542</v>
      </c>
      <c r="AQ85" s="161">
        <f>((AP85/19.32)*10)</f>
        <v>0.79813664596273282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4.2839999999999998</v>
      </c>
      <c r="AM86" s="164">
        <f t="shared" si="4"/>
        <v>2.2173913043478262</v>
      </c>
      <c r="AN86" s="165">
        <f>AA37</f>
        <v>2.8184210526315789</v>
      </c>
      <c r="AO86" s="164">
        <f t="shared" si="7"/>
        <v>1.4588100686498855</v>
      </c>
      <c r="AP86" s="165">
        <f>AE37</f>
        <v>1.6679999999999999</v>
      </c>
      <c r="AQ86" s="166">
        <f>((AP86/19.32)*10)</f>
        <v>0.86335403726708071</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2.1581980935272989</v>
      </c>
      <c r="AK91" s="9">
        <f>R31</f>
        <v>2.0882808089498184</v>
      </c>
      <c r="AL91" s="10">
        <f>S31</f>
        <v>2.0203617226530386</v>
      </c>
    </row>
    <row r="92" spans="2:43" ht="21" customHeight="1" thickBot="1" x14ac:dyDescent="0.3">
      <c r="B92" s="92"/>
      <c r="C92" s="93"/>
      <c r="D92" s="93"/>
      <c r="E92" s="93"/>
      <c r="F92" s="62"/>
      <c r="G92" s="63"/>
      <c r="H92" s="49"/>
      <c r="I92" s="49"/>
      <c r="O92" s="725" t="s">
        <v>147</v>
      </c>
      <c r="P92" s="726"/>
      <c r="Q92" s="726"/>
      <c r="R92" s="726"/>
      <c r="S92" s="61">
        <f>M42</f>
        <v>6.2873563218390798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13.03543789824921</v>
      </c>
      <c r="AK94" s="158">
        <f>AA42</f>
        <v>8.575945985690268</v>
      </c>
      <c r="AL94" s="158">
        <f>AD42</f>
        <v>5.8316432702693834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160" priority="47">
      <formula>LEN(TRIM(D6))=0</formula>
    </cfRule>
  </conditionalFormatting>
  <conditionalFormatting sqref="D6:H10">
    <cfRule type="containsBlanks" dxfId="1159" priority="46">
      <formula>LEN(TRIM(D6))=0</formula>
    </cfRule>
  </conditionalFormatting>
  <conditionalFormatting sqref="M19">
    <cfRule type="containsBlanks" dxfId="1158" priority="45">
      <formula>LEN(TRIM(M19))=0</formula>
    </cfRule>
  </conditionalFormatting>
  <conditionalFormatting sqref="CP70">
    <cfRule type="containsBlanks" dxfId="1157" priority="44">
      <formula>LEN(TRIM(CP70))=0</formula>
    </cfRule>
  </conditionalFormatting>
  <conditionalFormatting sqref="M21">
    <cfRule type="containsBlanks" dxfId="1156" priority="43">
      <formula>LEN(TRIM(M21))=0</formula>
    </cfRule>
  </conditionalFormatting>
  <conditionalFormatting sqref="D12:M12">
    <cfRule type="containsBlanks" dxfId="1155" priority="42">
      <formula>LEN(TRIM(D12))=0</formula>
    </cfRule>
  </conditionalFormatting>
  <conditionalFormatting sqref="L9:M9">
    <cfRule type="containsBlanks" dxfId="1154" priority="41">
      <formula>LEN(TRIM(L9))=0</formula>
    </cfRule>
  </conditionalFormatting>
  <conditionalFormatting sqref="L25">
    <cfRule type="containsBlanks" dxfId="1153" priority="40">
      <formula>LEN(TRIM(L25))=0</formula>
    </cfRule>
  </conditionalFormatting>
  <conditionalFormatting sqref="Q20:S21">
    <cfRule type="containsBlanks" dxfId="1152" priority="33">
      <formula>LEN(TRIM(Q20))=0</formula>
    </cfRule>
    <cfRule type="containsBlanks" dxfId="1151" priority="39">
      <formula>LEN(TRIM(Q20))=0</formula>
    </cfRule>
  </conditionalFormatting>
  <conditionalFormatting sqref="U26:V27 AC33 AC26">
    <cfRule type="cellIs" dxfId="1150" priority="38" operator="between">
      <formula>0</formula>
      <formula>500</formula>
    </cfRule>
  </conditionalFormatting>
  <conditionalFormatting sqref="U33:V33">
    <cfRule type="cellIs" dxfId="1149" priority="37" operator="between">
      <formula>0</formula>
      <formula>500</formula>
    </cfRule>
  </conditionalFormatting>
  <conditionalFormatting sqref="AF45:AH46">
    <cfRule type="containsBlanks" dxfId="1148" priority="36">
      <formula>LEN(TRIM(AF45))=0</formula>
    </cfRule>
  </conditionalFormatting>
  <conditionalFormatting sqref="AF51:AG53">
    <cfRule type="containsBlanks" dxfId="1147" priority="35">
      <formula>LEN(TRIM(AF51))=0</formula>
    </cfRule>
  </conditionalFormatting>
  <conditionalFormatting sqref="E20:H24">
    <cfRule type="containsBlanks" dxfId="1146" priority="34">
      <formula>LEN(TRIM(E20))=0</formula>
    </cfRule>
  </conditionalFormatting>
  <conditionalFormatting sqref="M25">
    <cfRule type="containsBlanks" dxfId="1145" priority="32">
      <formula>LEN(TRIM(M25))=0</formula>
    </cfRule>
  </conditionalFormatting>
  <conditionalFormatting sqref="U26:V27 Y26:Z27 AC26:AD27 AG26:AG27">
    <cfRule type="containsBlanks" dxfId="1144" priority="30">
      <formula>LEN(TRIM(U26))=0</formula>
    </cfRule>
    <cfRule type="cellIs" dxfId="1143" priority="31" operator="between">
      <formula>0</formula>
      <formula>1000</formula>
    </cfRule>
  </conditionalFormatting>
  <conditionalFormatting sqref="W87:W88">
    <cfRule type="cellIs" dxfId="1142" priority="29" operator="between">
      <formula>0</formula>
      <formula>500</formula>
    </cfRule>
  </conditionalFormatting>
  <conditionalFormatting sqref="W94">
    <cfRule type="cellIs" dxfId="1141" priority="28" operator="between">
      <formula>0</formula>
      <formula>500</formula>
    </cfRule>
  </conditionalFormatting>
  <conditionalFormatting sqref="W87:W88">
    <cfRule type="containsBlanks" dxfId="1140" priority="26">
      <formula>LEN(TRIM(W87))=0</formula>
    </cfRule>
    <cfRule type="cellIs" dxfId="1139" priority="27" operator="between">
      <formula>0</formula>
      <formula>1000</formula>
    </cfRule>
  </conditionalFormatting>
  <conditionalFormatting sqref="U33:V33 Y33:Z33 AC33:AD33 AG33">
    <cfRule type="cellIs" dxfId="1138" priority="25" operator="between">
      <formula>0</formula>
      <formula>1000</formula>
    </cfRule>
  </conditionalFormatting>
  <conditionalFormatting sqref="Q27:S27">
    <cfRule type="containsBlanks" dxfId="1137" priority="23">
      <formula>LEN(TRIM(Q27))=0</formula>
    </cfRule>
    <cfRule type="containsBlanks" dxfId="1136" priority="24">
      <formula>LEN(TRIM(Q27))=0</formula>
    </cfRule>
  </conditionalFormatting>
  <conditionalFormatting sqref="W30:W31 W33:W35 W37 W28 W22:W26">
    <cfRule type="containsBlanks" dxfId="1135" priority="22">
      <formula>LEN(TRIM(W22))=0</formula>
    </cfRule>
  </conditionalFormatting>
  <conditionalFormatting sqref="W37 W30:W31 W33:W35 W28 W22:W26">
    <cfRule type="containsBlanks" dxfId="1134" priority="21">
      <formula>LEN(TRIM(W22))=0</formula>
    </cfRule>
  </conditionalFormatting>
  <conditionalFormatting sqref="W33:X33">
    <cfRule type="cellIs" dxfId="1133" priority="20" operator="between">
      <formula>0</formula>
      <formula>1000</formula>
    </cfRule>
  </conditionalFormatting>
  <conditionalFormatting sqref="W30:X37 W26 W28 W22:X25">
    <cfRule type="containsBlanks" dxfId="1132" priority="19">
      <formula>LEN(TRIM(W22))=0</formula>
    </cfRule>
  </conditionalFormatting>
  <conditionalFormatting sqref="AA37 AA30:AA31 AA33 AA22:AA26 AA28 AA35">
    <cfRule type="containsBlanks" dxfId="1131" priority="18">
      <formula>LEN(TRIM(AA22))=0</formula>
    </cfRule>
  </conditionalFormatting>
  <conditionalFormatting sqref="AA37 AA30:AA31 AA33 AA22:AA26 AA28 AA35">
    <cfRule type="containsBlanks" dxfId="1130" priority="17">
      <formula>LEN(TRIM(AA22))=0</formula>
    </cfRule>
  </conditionalFormatting>
  <conditionalFormatting sqref="AA33:AB33">
    <cfRule type="cellIs" dxfId="1129" priority="16" operator="between">
      <formula>0</formula>
      <formula>1000</formula>
    </cfRule>
  </conditionalFormatting>
  <conditionalFormatting sqref="AA30:AB30 AA31 AA33:AB33 AA22:AB25 AA26 AA28 AA35:AB37">
    <cfRule type="containsBlanks" dxfId="1128" priority="15">
      <formula>LEN(TRIM(AA22))=0</formula>
    </cfRule>
  </conditionalFormatting>
  <conditionalFormatting sqref="AE37 AE28 AE30:AE31 AE33:AE35 AE22:AE26">
    <cfRule type="containsBlanks" dxfId="1127" priority="14">
      <formula>LEN(TRIM(AE22))=0</formula>
    </cfRule>
  </conditionalFormatting>
  <conditionalFormatting sqref="AE37 AE28 AE30:AE31 AE33:AE35 AE22:AE26">
    <cfRule type="containsBlanks" dxfId="1126" priority="13">
      <formula>LEN(TRIM(AE22))=0</formula>
    </cfRule>
  </conditionalFormatting>
  <conditionalFormatting sqref="AE33:AF33">
    <cfRule type="cellIs" dxfId="1125" priority="12" operator="between">
      <formula>0</formula>
      <formula>1000</formula>
    </cfRule>
  </conditionalFormatting>
  <conditionalFormatting sqref="AE33:AF37 AE26 AE28 AE30:AE31 AE22:AF25">
    <cfRule type="containsBlanks" dxfId="1124" priority="11">
      <formula>LEN(TRIM(AE22))=0</formula>
    </cfRule>
  </conditionalFormatting>
  <conditionalFormatting sqref="K6:M6">
    <cfRule type="containsBlanks" dxfId="1123" priority="10">
      <formula>LEN(TRIM(K6))=0</formula>
    </cfRule>
  </conditionalFormatting>
  <conditionalFormatting sqref="K7:K8">
    <cfRule type="containsBlanks" dxfId="1122" priority="9">
      <formula>LEN(TRIM(K7))=0</formula>
    </cfRule>
  </conditionalFormatting>
  <conditionalFormatting sqref="D13:M13">
    <cfRule type="containsBlanks" dxfId="1121" priority="8">
      <formula>LEN(TRIM(D13))=0</formula>
    </cfRule>
  </conditionalFormatting>
  <conditionalFormatting sqref="B6:B10">
    <cfRule type="containsBlanks" dxfId="1120" priority="7">
      <formula>LEN(TRIM(B6))=0</formula>
    </cfRule>
  </conditionalFormatting>
  <conditionalFormatting sqref="B12:B13">
    <cfRule type="containsBlanks" dxfId="1119" priority="6">
      <formula>LEN(TRIM(B12))=0</formula>
    </cfRule>
  </conditionalFormatting>
  <conditionalFormatting sqref="E28:H33">
    <cfRule type="containsBlanks" dxfId="1118" priority="5">
      <formula>LEN(TRIM(E28))=0</formula>
    </cfRule>
  </conditionalFormatting>
  <conditionalFormatting sqref="Q22:S26">
    <cfRule type="containsBlanks" dxfId="1117" priority="3">
      <formula>LEN(TRIM(Q22))=0</formula>
    </cfRule>
    <cfRule type="containsBlanks" dxfId="1116" priority="4">
      <formula>LEN(TRIM(Q22))=0</formula>
    </cfRule>
  </conditionalFormatting>
  <conditionalFormatting sqref="Q34:S39">
    <cfRule type="containsBlanks" dxfId="1115" priority="2">
      <formula>LEN(TRIM(Q34))=0</formula>
    </cfRule>
  </conditionalFormatting>
  <conditionalFormatting sqref="Q42:S46">
    <cfRule type="containsBlanks" dxfId="1114" priority="1">
      <formula>LEN(TRIM(Q42))=0</formula>
    </cfRule>
  </conditionalFormatting>
  <dataValidations count="5">
    <dataValidation type="list" allowBlank="1" showInputMessage="1" showErrorMessage="1" sqref="L25" xr:uid="{00000000-0002-0000-2300-000000000000}">
      <formula1>$D$101:$D$104</formula1>
    </dataValidation>
    <dataValidation type="list" allowBlank="1" showInputMessage="1" showErrorMessage="1" sqref="M21" xr:uid="{00000000-0002-0000-2300-000001000000}">
      <formula1>$AX$3:$AX$4</formula1>
    </dataValidation>
    <dataValidation type="list" allowBlank="1" showInputMessage="1" showErrorMessage="1" sqref="M19" xr:uid="{00000000-0002-0000-2300-000002000000}">
      <formula1>$AX$3:$AX$5</formula1>
    </dataValidation>
    <dataValidation type="list" allowBlank="1" showInputMessage="1" showErrorMessage="1" sqref="CP70" xr:uid="{00000000-0002-0000-2300-000003000000}">
      <formula1>$BA$3:$BA$5</formula1>
    </dataValidation>
    <dataValidation type="list" allowBlank="1" showInputMessage="1" showErrorMessage="1" sqref="D12:E12" xr:uid="{00000000-0002-0000-2300-000004000000}">
      <formula1>$B$87:$B$94</formula1>
    </dataValidation>
  </dataValidations>
  <hyperlinks>
    <hyperlink ref="D8" r:id="rId1" xr:uid="{00000000-0004-0000-23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5257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5257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52579"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5258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5258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5258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5258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5258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5258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5258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74">
    <tabColor theme="8" tint="0.59999389629810485"/>
  </sheetPr>
  <dimension ref="A1:CP153"/>
  <sheetViews>
    <sheetView view="pageBreakPreview" topLeftCell="O41" zoomScale="118" zoomScaleNormal="100" zoomScaleSheetLayoutView="118"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45952</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45952</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25-P-LA TORRE AP1-2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25-P-LA TORRE AP1-2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265</v>
      </c>
      <c r="G12" s="31" t="s">
        <v>4</v>
      </c>
      <c r="H12" s="146">
        <v>2</v>
      </c>
      <c r="I12" s="546" t="s">
        <v>5</v>
      </c>
      <c r="J12" s="546"/>
      <c r="K12" s="209">
        <v>0.7</v>
      </c>
      <c r="L12" s="32" t="s">
        <v>6</v>
      </c>
      <c r="M12" s="147">
        <v>1.5</v>
      </c>
      <c r="N12" s="78"/>
      <c r="O12" s="501" t="s">
        <v>3</v>
      </c>
      <c r="P12" s="501"/>
      <c r="Q12" s="225" t="s">
        <v>234</v>
      </c>
      <c r="R12" s="224" t="str">
        <f>F12</f>
        <v>P-LA TORRE AP1</v>
      </c>
      <c r="S12" s="224"/>
      <c r="T12" s="502" t="s">
        <v>4</v>
      </c>
      <c r="U12" s="502"/>
      <c r="V12" s="33">
        <f>+H12</f>
        <v>2</v>
      </c>
      <c r="W12" s="547" t="s">
        <v>5</v>
      </c>
      <c r="X12" s="547"/>
      <c r="Y12" s="547"/>
      <c r="Z12" s="547"/>
      <c r="AA12" s="547"/>
      <c r="AB12" s="547"/>
      <c r="AC12" s="34">
        <f>K12</f>
        <v>0.7</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272</v>
      </c>
      <c r="E13" s="479"/>
      <c r="F13" s="479"/>
      <c r="G13" s="479"/>
      <c r="H13" s="479"/>
      <c r="I13" s="479"/>
      <c r="J13" s="479"/>
      <c r="K13" s="479"/>
      <c r="L13" s="479"/>
      <c r="M13" s="480"/>
      <c r="N13" s="188"/>
      <c r="O13" s="526" t="s">
        <v>130</v>
      </c>
      <c r="P13" s="526"/>
      <c r="Q13" s="527" t="str">
        <f>D13</f>
        <v>GRAVAS CON ARCILLA Y ALGO DE ARENA, COLOR MARRÓN CONSISTENCIA BLANDA,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605</v>
      </c>
      <c r="R20" s="156">
        <v>602</v>
      </c>
      <c r="S20" s="157">
        <v>610</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11605</v>
      </c>
      <c r="F22" s="150">
        <v>12078</v>
      </c>
      <c r="G22" s="150">
        <v>12206</v>
      </c>
      <c r="H22" s="151">
        <v>11627</v>
      </c>
      <c r="I22" s="174"/>
      <c r="J22" s="578"/>
      <c r="K22" s="578"/>
      <c r="L22" s="578"/>
      <c r="M22" s="104"/>
      <c r="N22" s="103"/>
      <c r="O22" s="579" t="s">
        <v>132</v>
      </c>
      <c r="P22" s="580"/>
      <c r="Q22" s="219">
        <v>8548</v>
      </c>
      <c r="R22" s="219">
        <v>8225</v>
      </c>
      <c r="S22" s="208">
        <v>7936</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9.8000000000000004E-2</v>
      </c>
      <c r="AJ22" s="42">
        <f>AJ50/1.62</f>
        <v>6.0493827160493827E-2</v>
      </c>
      <c r="AK22" s="42">
        <f>AJ22*0.45</f>
        <v>2.7222222222222224E-2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3782</v>
      </c>
      <c r="R23" s="150">
        <v>3844</v>
      </c>
      <c r="S23" s="151">
        <v>3892</v>
      </c>
      <c r="T23" s="174"/>
      <c r="U23" s="112">
        <v>2.5000000000000001E-2</v>
      </c>
      <c r="V23" s="113">
        <f>U23*25.4</f>
        <v>0.63500000000000001</v>
      </c>
      <c r="W23" s="581">
        <v>1.5678000000000001</v>
      </c>
      <c r="X23" s="582"/>
      <c r="Y23" s="449">
        <f>((W23/19.32)*10)</f>
        <v>0.81149068322981366</v>
      </c>
      <c r="Z23" s="450"/>
      <c r="AA23" s="581">
        <v>0.67500000000000004</v>
      </c>
      <c r="AB23" s="582"/>
      <c r="AC23" s="449">
        <f>((AA23/19.32)*10)</f>
        <v>0.34937888198757766</v>
      </c>
      <c r="AD23" s="450"/>
      <c r="AE23" s="581">
        <v>0.23300000000000001</v>
      </c>
      <c r="AF23" s="582"/>
      <c r="AG23" s="114">
        <f>((AE23/19.32)*10)</f>
        <v>0.12060041407867496</v>
      </c>
      <c r="AH23" s="104"/>
      <c r="AI23" s="42">
        <f t="shared" ref="AI23:AI33" si="0">AJ51</f>
        <v>0.89700000000000002</v>
      </c>
      <c r="AJ23" s="42">
        <f t="shared" ref="AJ23:AJ33" si="1">AJ51/1.62</f>
        <v>0.5537037037037037</v>
      </c>
      <c r="AK23" s="42">
        <f t="shared" ref="AK23:AK33" si="2">AJ23*0.45</f>
        <v>0.24916666666666668</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11.56</v>
      </c>
      <c r="S24" s="153">
        <v>11.38</v>
      </c>
      <c r="T24" s="174"/>
      <c r="U24" s="112">
        <v>0.05</v>
      </c>
      <c r="V24" s="113">
        <f>U24*25.4</f>
        <v>1.27</v>
      </c>
      <c r="W24" s="581">
        <f>AI24</f>
        <v>4.1230000000000002</v>
      </c>
      <c r="X24" s="582"/>
      <c r="Y24" s="449">
        <f>((W24/19.32)*10)</f>
        <v>2.1340579710144927</v>
      </c>
      <c r="Z24" s="450"/>
      <c r="AA24" s="581">
        <f>AJ24</f>
        <v>2.5450617283950616</v>
      </c>
      <c r="AB24" s="582"/>
      <c r="AC24" s="449">
        <f>((AA24/19.32)*10)</f>
        <v>1.3173197351941313</v>
      </c>
      <c r="AD24" s="450"/>
      <c r="AE24" s="581">
        <f>AK24</f>
        <v>1.1452777777777778</v>
      </c>
      <c r="AF24" s="582"/>
      <c r="AG24" s="114">
        <f>((AE24/19.32)*10)</f>
        <v>0.59279388083735907</v>
      </c>
      <c r="AH24" s="104"/>
      <c r="AI24" s="42">
        <f t="shared" si="0"/>
        <v>4.1230000000000002</v>
      </c>
      <c r="AJ24" s="42">
        <f t="shared" si="1"/>
        <v>2.5450617283950616</v>
      </c>
      <c r="AK24" s="42">
        <f t="shared" si="2"/>
        <v>1.1452777777777778</v>
      </c>
      <c r="AO24" s="42">
        <v>0.68400000000000005</v>
      </c>
      <c r="AS24" s="42">
        <f t="shared" si="3"/>
        <v>0.55609756097560981</v>
      </c>
    </row>
    <row r="25" spans="1:45" ht="24.95" customHeight="1" thickBot="1" x14ac:dyDescent="0.3">
      <c r="A25" s="103"/>
      <c r="B25" s="602" t="s">
        <v>69</v>
      </c>
      <c r="C25" s="603"/>
      <c r="D25" s="603"/>
      <c r="E25" s="115">
        <f>E22-E23</f>
        <v>4293</v>
      </c>
      <c r="F25" s="115">
        <f>F22-F23</f>
        <v>4766</v>
      </c>
      <c r="G25" s="115">
        <f>G22-G23</f>
        <v>4894</v>
      </c>
      <c r="H25" s="116">
        <f>H22-H23</f>
        <v>4315</v>
      </c>
      <c r="I25" s="174"/>
      <c r="J25" s="174" t="s">
        <v>127</v>
      </c>
      <c r="K25" s="174"/>
      <c r="L25" s="218" t="s">
        <v>128</v>
      </c>
      <c r="M25" s="246">
        <v>31.69</v>
      </c>
      <c r="N25" s="103"/>
      <c r="O25" s="604" t="s">
        <v>46</v>
      </c>
      <c r="P25" s="605"/>
      <c r="Q25" s="608">
        <v>15.2</v>
      </c>
      <c r="R25" s="608">
        <v>15.25</v>
      </c>
      <c r="S25" s="610">
        <v>15.21</v>
      </c>
      <c r="T25" s="174"/>
      <c r="U25" s="112">
        <v>7.4999999999999997E-2</v>
      </c>
      <c r="V25" s="113">
        <f>U25*25.4</f>
        <v>1.9049999999999998</v>
      </c>
      <c r="W25" s="581">
        <f>AI25</f>
        <v>7.3819999999999997</v>
      </c>
      <c r="X25" s="582"/>
      <c r="Y25" s="449">
        <f>((W25/19.32)*10)</f>
        <v>3.820910973084886</v>
      </c>
      <c r="Z25" s="450"/>
      <c r="AA25" s="581">
        <f>AJ25</f>
        <v>4.55679012345679</v>
      </c>
      <c r="AB25" s="582"/>
      <c r="AC25" s="449">
        <f>((AA25/19.32)*10)</f>
        <v>2.3585870204227692</v>
      </c>
      <c r="AD25" s="450"/>
      <c r="AE25" s="581">
        <f>AK25</f>
        <v>2.0505555555555555</v>
      </c>
      <c r="AF25" s="582"/>
      <c r="AG25" s="114">
        <f>((AE25/19.32)*10)</f>
        <v>1.0613641591902461</v>
      </c>
      <c r="AH25" s="104"/>
      <c r="AI25" s="42">
        <f t="shared" si="0"/>
        <v>7.3819999999999997</v>
      </c>
      <c r="AJ25" s="42">
        <f t="shared" si="1"/>
        <v>4.55679012345679</v>
      </c>
      <c r="AK25" s="42">
        <f t="shared" si="2"/>
        <v>2.0505555555555555</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31.69</v>
      </c>
      <c r="N26" s="103"/>
      <c r="O26" s="606"/>
      <c r="P26" s="607"/>
      <c r="Q26" s="609"/>
      <c r="R26" s="609"/>
      <c r="S26" s="611"/>
      <c r="T26" s="174"/>
      <c r="U26" s="600">
        <v>0.1</v>
      </c>
      <c r="V26" s="601">
        <f>U26*25.4</f>
        <v>2.54</v>
      </c>
      <c r="W26" s="778">
        <f>AI26</f>
        <v>9.6470000000000002</v>
      </c>
      <c r="X26" s="779"/>
      <c r="Y26" s="461">
        <f>((W26/19.32)*10)</f>
        <v>4.9932712215320914</v>
      </c>
      <c r="Z26" s="462"/>
      <c r="AA26" s="746">
        <f>AJ26</f>
        <v>5.9549382716049379</v>
      </c>
      <c r="AB26" s="747"/>
      <c r="AC26" s="461">
        <f>((AA26/19.32)*10)</f>
        <v>3.0822661861309202</v>
      </c>
      <c r="AD26" s="462"/>
      <c r="AE26" s="746">
        <f>AK26</f>
        <v>2.6797222222222223</v>
      </c>
      <c r="AF26" s="747"/>
      <c r="AG26" s="469">
        <f>((AE26/19.32)*10)</f>
        <v>1.3870197837589142</v>
      </c>
      <c r="AH26" s="104"/>
      <c r="AI26" s="42">
        <f t="shared" si="0"/>
        <v>9.6470000000000002</v>
      </c>
      <c r="AJ26" s="42">
        <f t="shared" si="1"/>
        <v>5.9549382716049379</v>
      </c>
      <c r="AK26" s="42">
        <f t="shared" si="2"/>
        <v>2.6797222222222223</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2111.4820939363763</v>
      </c>
      <c r="S27" s="153">
        <f>(PI()*((S25^2)/4)*S24)</f>
        <v>2067.7144916572697</v>
      </c>
      <c r="T27" s="174"/>
      <c r="U27" s="600"/>
      <c r="V27" s="601"/>
      <c r="W27" s="780"/>
      <c r="X27" s="781"/>
      <c r="Y27" s="463"/>
      <c r="Z27" s="464"/>
      <c r="AA27" s="748"/>
      <c r="AB27" s="749"/>
      <c r="AC27" s="463"/>
      <c r="AD27" s="464"/>
      <c r="AE27" s="748"/>
      <c r="AF27" s="749"/>
      <c r="AG27" s="470"/>
      <c r="AH27" s="193"/>
      <c r="AI27" s="42">
        <f t="shared" si="0"/>
        <v>11.612</v>
      </c>
      <c r="AJ27" s="42">
        <f t="shared" si="1"/>
        <v>7.1679012345679007</v>
      </c>
      <c r="AK27" s="42">
        <f t="shared" si="2"/>
        <v>3.2255555555555553</v>
      </c>
      <c r="AO27" s="42">
        <v>2.387</v>
      </c>
      <c r="AS27" s="42">
        <f t="shared" si="3"/>
        <v>1.9406504065040651</v>
      </c>
    </row>
    <row r="28" spans="1:45" ht="24.95" customHeight="1" thickBot="1" x14ac:dyDescent="0.3">
      <c r="A28" s="103"/>
      <c r="B28" s="560" t="s">
        <v>9</v>
      </c>
      <c r="C28" s="561"/>
      <c r="D28" s="561"/>
      <c r="E28" s="148">
        <v>381</v>
      </c>
      <c r="F28" s="148">
        <v>338</v>
      </c>
      <c r="G28" s="148">
        <v>367</v>
      </c>
      <c r="H28" s="149">
        <v>339</v>
      </c>
      <c r="I28" s="174"/>
      <c r="J28" s="597" t="s">
        <v>107</v>
      </c>
      <c r="K28" s="597"/>
      <c r="L28" s="562" t="s">
        <v>119</v>
      </c>
      <c r="M28" s="459">
        <f>IF(M26="","",(100-M26))</f>
        <v>68.31</v>
      </c>
      <c r="N28" s="103"/>
      <c r="O28" s="625" t="s">
        <v>136</v>
      </c>
      <c r="P28" s="626"/>
      <c r="Q28" s="220">
        <f>Q22-Q23</f>
        <v>4766</v>
      </c>
      <c r="R28" s="220">
        <f>R22-R23</f>
        <v>4381</v>
      </c>
      <c r="S28" s="220">
        <f>S22-S23</f>
        <v>4044</v>
      </c>
      <c r="T28" s="174"/>
      <c r="U28" s="627">
        <v>0.125</v>
      </c>
      <c r="V28" s="624">
        <f>U28*25.4</f>
        <v>3.1749999999999998</v>
      </c>
      <c r="W28" s="593">
        <f>AI27</f>
        <v>11.612</v>
      </c>
      <c r="X28" s="594"/>
      <c r="Y28" s="439">
        <f>((W28/19.32)*10)</f>
        <v>6.0103519668737064</v>
      </c>
      <c r="Z28" s="440"/>
      <c r="AA28" s="593">
        <f>AJ27</f>
        <v>7.1679012345679007</v>
      </c>
      <c r="AB28" s="594"/>
      <c r="AC28" s="439">
        <f>((AA28/19.32)*10)</f>
        <v>3.7100938067121643</v>
      </c>
      <c r="AD28" s="440"/>
      <c r="AE28" s="593">
        <f>AK27</f>
        <v>3.2255555555555553</v>
      </c>
      <c r="AF28" s="594"/>
      <c r="AG28" s="443">
        <f>((AE28/19.32)*10)</f>
        <v>1.6695422130204738</v>
      </c>
      <c r="AH28" s="104"/>
      <c r="AI28" s="42">
        <f t="shared" si="0"/>
        <v>13.391</v>
      </c>
      <c r="AJ28" s="42">
        <f t="shared" si="1"/>
        <v>8.2660493827160497</v>
      </c>
      <c r="AK28" s="42">
        <f t="shared" si="2"/>
        <v>3.7197222222222224</v>
      </c>
      <c r="AO28" s="42">
        <v>2.8959999999999999</v>
      </c>
      <c r="AS28" s="42">
        <f t="shared" si="3"/>
        <v>2.3544715447154472</v>
      </c>
    </row>
    <row r="29" spans="1:45" ht="5.0999999999999996" customHeight="1" thickBot="1" x14ac:dyDescent="0.3">
      <c r="A29" s="103"/>
      <c r="B29" s="612" t="s">
        <v>73</v>
      </c>
      <c r="C29" s="613"/>
      <c r="D29" s="614"/>
      <c r="E29" s="618">
        <v>886.56899999999996</v>
      </c>
      <c r="F29" s="618">
        <v>679.45</v>
      </c>
      <c r="G29" s="618">
        <v>794.06</v>
      </c>
      <c r="H29" s="620">
        <v>546.47</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14.739000000000001</v>
      </c>
      <c r="AJ29" s="42">
        <f t="shared" si="1"/>
        <v>9.0981481481481481</v>
      </c>
      <c r="AK29" s="42">
        <f t="shared" si="2"/>
        <v>4.0941666666666672</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19.901242992187509</v>
      </c>
      <c r="N30" s="103"/>
      <c r="O30" s="622" t="s">
        <v>134</v>
      </c>
      <c r="P30" s="623"/>
      <c r="Q30" s="229">
        <f>Q28/Q27</f>
        <v>2.2642219253748368</v>
      </c>
      <c r="R30" s="229">
        <f>R28/R27</f>
        <v>2.0748459163263022</v>
      </c>
      <c r="S30" s="131">
        <f>S28/S27</f>
        <v>1.9557825881264395</v>
      </c>
      <c r="T30" s="174"/>
      <c r="U30" s="120">
        <v>0.15</v>
      </c>
      <c r="V30" s="113">
        <f>U30*25.4</f>
        <v>3.8099999999999996</v>
      </c>
      <c r="W30" s="581">
        <f>AI28</f>
        <v>13.391</v>
      </c>
      <c r="X30" s="582"/>
      <c r="Y30" s="449">
        <f>((W30/19.32)*10)</f>
        <v>6.9311594202898554</v>
      </c>
      <c r="Z30" s="450"/>
      <c r="AA30" s="581">
        <f>AJ28</f>
        <v>8.2660493827160497</v>
      </c>
      <c r="AB30" s="582"/>
      <c r="AC30" s="449">
        <f>((AA30/19.32)*10)</f>
        <v>4.278493469314725</v>
      </c>
      <c r="AD30" s="450"/>
      <c r="AE30" s="581">
        <f>AK28</f>
        <v>3.7197222222222224</v>
      </c>
      <c r="AF30" s="582"/>
      <c r="AG30" s="114">
        <f>((AE30/19.32)*10)</f>
        <v>1.9253220611916264</v>
      </c>
      <c r="AH30" s="104"/>
      <c r="AI30" s="42">
        <f t="shared" si="0"/>
        <v>15.813000000000001</v>
      </c>
      <c r="AJ30" s="42">
        <f t="shared" si="1"/>
        <v>9.7611111111111111</v>
      </c>
      <c r="AK30" s="42">
        <f t="shared" si="2"/>
        <v>4.3925000000000001</v>
      </c>
      <c r="AO30" s="42">
        <v>3.8439999999999999</v>
      </c>
      <c r="AS30" s="42">
        <f t="shared" si="3"/>
        <v>3.1252032520325201</v>
      </c>
    </row>
    <row r="31" spans="1:45" ht="24.95" customHeight="1" thickBot="1" x14ac:dyDescent="0.3">
      <c r="A31" s="103"/>
      <c r="B31" s="576" t="s">
        <v>74</v>
      </c>
      <c r="C31" s="577"/>
      <c r="D31" s="577"/>
      <c r="E31" s="152">
        <v>832.36</v>
      </c>
      <c r="F31" s="152">
        <v>622</v>
      </c>
      <c r="G31" s="152">
        <v>710.02</v>
      </c>
      <c r="H31" s="153">
        <v>480.89</v>
      </c>
      <c r="I31" s="174"/>
      <c r="J31" s="597" t="s">
        <v>138</v>
      </c>
      <c r="K31" s="597"/>
      <c r="L31" s="562" t="s">
        <v>116</v>
      </c>
      <c r="M31" s="457">
        <f>IF(M25="","",S82)</f>
        <v>2.7120000000000002</v>
      </c>
      <c r="N31" s="121"/>
      <c r="O31" s="628" t="s">
        <v>135</v>
      </c>
      <c r="P31" s="629"/>
      <c r="Q31" s="122">
        <f>Q30/(1+Q40/100)</f>
        <v>2.0202024582183022</v>
      </c>
      <c r="R31" s="122">
        <f>R30/(1+R40/100)</f>
        <v>1.8501424081490374</v>
      </c>
      <c r="S31" s="123">
        <f>S30/(1+S40/100)</f>
        <v>1.7456186343872255</v>
      </c>
      <c r="T31" s="174"/>
      <c r="U31" s="627">
        <v>0.17499999999999999</v>
      </c>
      <c r="V31" s="624">
        <f>U31*25.4</f>
        <v>4.4449999999999994</v>
      </c>
      <c r="W31" s="593">
        <f>AI29</f>
        <v>14.739000000000001</v>
      </c>
      <c r="X31" s="594"/>
      <c r="Y31" s="439">
        <f>((W31/19.32)*10)</f>
        <v>7.6288819875776408</v>
      </c>
      <c r="Z31" s="440"/>
      <c r="AA31" s="593">
        <v>9.3450000000000006</v>
      </c>
      <c r="AB31" s="594"/>
      <c r="AC31" s="439">
        <f>((AA31/19.32)*10)</f>
        <v>4.8369565217391308</v>
      </c>
      <c r="AD31" s="440"/>
      <c r="AE31" s="593">
        <f>AK29</f>
        <v>4.0941666666666672</v>
      </c>
      <c r="AF31" s="594"/>
      <c r="AG31" s="443">
        <f>((AE31/19.32)*10)</f>
        <v>2.1191338854382336</v>
      </c>
      <c r="AH31" s="104"/>
      <c r="AI31" s="42">
        <f t="shared" si="0"/>
        <v>20.053000000000001</v>
      </c>
      <c r="AJ31" s="42">
        <f t="shared" si="1"/>
        <v>12.378395061728394</v>
      </c>
      <c r="AK31" s="42">
        <f t="shared" si="2"/>
        <v>5.5702777777777772</v>
      </c>
      <c r="AO31" s="42">
        <v>5.516</v>
      </c>
      <c r="AS31" s="42">
        <f t="shared" si="3"/>
        <v>4.4845528455284551</v>
      </c>
    </row>
    <row r="32" spans="1:45" ht="5.0999999999999996" customHeight="1" thickBot="1" x14ac:dyDescent="0.3">
      <c r="A32" s="103"/>
      <c r="B32" s="612" t="s">
        <v>75</v>
      </c>
      <c r="C32" s="613"/>
      <c r="D32" s="614"/>
      <c r="E32" s="618">
        <v>100.64</v>
      </c>
      <c r="F32" s="618">
        <v>86.43</v>
      </c>
      <c r="G32" s="618">
        <v>99.33</v>
      </c>
      <c r="H32" s="620">
        <v>84.48</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24.145</v>
      </c>
      <c r="AJ32" s="42">
        <f t="shared" si="1"/>
        <v>14.904320987654319</v>
      </c>
      <c r="AK32" s="42">
        <f t="shared" si="2"/>
        <v>6.7069444444444439</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15.813000000000001</v>
      </c>
      <c r="X33" s="582"/>
      <c r="Y33" s="449">
        <f>((W33/19.32)*10)</f>
        <v>8.1847826086956523</v>
      </c>
      <c r="Z33" s="450"/>
      <c r="AA33" s="581">
        <v>10.4314</v>
      </c>
      <c r="AB33" s="582"/>
      <c r="AC33" s="449">
        <f>((AA33/19.32)*10)</f>
        <v>5.399275362318841</v>
      </c>
      <c r="AD33" s="450"/>
      <c r="AE33" s="581">
        <f>AK30</f>
        <v>4.3925000000000001</v>
      </c>
      <c r="AF33" s="582"/>
      <c r="AG33" s="144">
        <f>((AE33/19.32)*10)</f>
        <v>2.2735507246376812</v>
      </c>
      <c r="AH33" s="104"/>
      <c r="AI33" s="42">
        <f t="shared" si="0"/>
        <v>28.861000000000001</v>
      </c>
      <c r="AJ33" s="42">
        <f t="shared" si="1"/>
        <v>17.815432098765431</v>
      </c>
      <c r="AK33" s="42">
        <f t="shared" si="2"/>
        <v>8.0169444444444444</v>
      </c>
      <c r="AO33" s="42">
        <v>7.7720000000000002</v>
      </c>
      <c r="AS33" s="42">
        <f t="shared" si="3"/>
        <v>6.3186991869918705</v>
      </c>
    </row>
    <row r="34" spans="1:45" ht="24.95" customHeight="1" thickBot="1" x14ac:dyDescent="0.3">
      <c r="A34" s="103"/>
      <c r="B34" s="602" t="s">
        <v>10</v>
      </c>
      <c r="C34" s="603"/>
      <c r="D34" s="603"/>
      <c r="E34" s="125">
        <f>((E29-E31)/(E31-E32))*100</f>
        <v>7.4084349204613709</v>
      </c>
      <c r="F34" s="125">
        <f>((F29-F31)/(F31-F32))*100</f>
        <v>10.726889108799979</v>
      </c>
      <c r="G34" s="125">
        <f>((G29-G31)/(G31-G32))*100</f>
        <v>13.761482912770795</v>
      </c>
      <c r="H34" s="126">
        <f>((H29-H31)/(H31-H32))*100</f>
        <v>16.543477712469425</v>
      </c>
      <c r="I34" s="174"/>
      <c r="J34" s="630" t="s">
        <v>125</v>
      </c>
      <c r="K34" s="630"/>
      <c r="L34" s="184" t="s">
        <v>126</v>
      </c>
      <c r="M34" s="245">
        <v>2.8</v>
      </c>
      <c r="N34" s="128"/>
      <c r="O34" s="631" t="s">
        <v>9</v>
      </c>
      <c r="P34" s="632"/>
      <c r="Q34" s="156">
        <v>367</v>
      </c>
      <c r="R34" s="156">
        <v>383</v>
      </c>
      <c r="S34" s="157">
        <v>314</v>
      </c>
      <c r="T34" s="174"/>
      <c r="U34" s="120">
        <v>0.3</v>
      </c>
      <c r="V34" s="113">
        <f>U34*25.4</f>
        <v>7.6199999999999992</v>
      </c>
      <c r="W34" s="581">
        <f>AI31</f>
        <v>20.053000000000001</v>
      </c>
      <c r="X34" s="582"/>
      <c r="Y34" s="449">
        <f>((W34/19.32)*10)</f>
        <v>10.379399585921325</v>
      </c>
      <c r="Z34" s="450"/>
      <c r="AA34" s="449">
        <v>13.445</v>
      </c>
      <c r="AB34" s="450"/>
      <c r="AC34" s="449">
        <f>((AA34/19.32)*10)</f>
        <v>6.9591097308488612</v>
      </c>
      <c r="AD34" s="450"/>
      <c r="AE34" s="581">
        <f>AK31</f>
        <v>5.5702777777777772</v>
      </c>
      <c r="AF34" s="582"/>
      <c r="AG34" s="114">
        <f>((AE34/19.32)*10)</f>
        <v>2.8831665516448126</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791.53</v>
      </c>
      <c r="R35" s="608">
        <v>689.45</v>
      </c>
      <c r="S35" s="610">
        <v>804.78</v>
      </c>
      <c r="T35" s="174"/>
      <c r="U35" s="627">
        <v>0.4</v>
      </c>
      <c r="V35" s="624">
        <f>U35*25.4</f>
        <v>10.16</v>
      </c>
      <c r="W35" s="593">
        <f>AI32</f>
        <v>24.145</v>
      </c>
      <c r="X35" s="594"/>
      <c r="Y35" s="439">
        <f>((W35/19.32)*10)</f>
        <v>12.497412008281572</v>
      </c>
      <c r="Z35" s="440"/>
      <c r="AA35" s="593">
        <v>15.6896</v>
      </c>
      <c r="AB35" s="594"/>
      <c r="AC35" s="439">
        <f>(AA35/19.32)*10</f>
        <v>8.1209109730848859</v>
      </c>
      <c r="AD35" s="440"/>
      <c r="AE35" s="593">
        <f>AK32</f>
        <v>6.7069444444444439</v>
      </c>
      <c r="AF35" s="594"/>
      <c r="AG35" s="443">
        <f>((AE35/19.32)*10)</f>
        <v>3.4715033356337699</v>
      </c>
      <c r="AH35" s="104"/>
      <c r="AS35" s="42">
        <f t="shared" si="3"/>
        <v>0</v>
      </c>
    </row>
    <row r="36" spans="1:45" ht="20.100000000000001" customHeight="1" thickBot="1" x14ac:dyDescent="0.3">
      <c r="A36" s="103"/>
      <c r="B36" s="639" t="s">
        <v>71</v>
      </c>
      <c r="C36" s="640"/>
      <c r="D36" s="640"/>
      <c r="E36" s="130">
        <f>E25/E24</f>
        <v>1.9986033519553073</v>
      </c>
      <c r="F36" s="130">
        <f>F25/F24</f>
        <v>2.2188081936685289</v>
      </c>
      <c r="G36" s="130">
        <f>G25/G24</f>
        <v>2.2783985102420856</v>
      </c>
      <c r="H36" s="131">
        <f>H25/H24</f>
        <v>2.0088454376163871</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1.8607508371528949</v>
      </c>
      <c r="F37" s="230">
        <f>F36/(1+F34/100)</f>
        <v>2.0038567068278539</v>
      </c>
      <c r="G37" s="230">
        <f>G36/(1+G34/100)</f>
        <v>2.0027855227494702</v>
      </c>
      <c r="H37" s="123">
        <f>H36/(1+H34/100)</f>
        <v>1.7236875688337669</v>
      </c>
      <c r="I37" s="174"/>
      <c r="J37" s="641" t="s">
        <v>139</v>
      </c>
      <c r="K37" s="641"/>
      <c r="L37" s="643" t="s">
        <v>121</v>
      </c>
      <c r="M37" s="433">
        <f>IF(F74="","",(M42^2*F74+M42*F75+F76))</f>
        <v>2.0286690104166674</v>
      </c>
      <c r="N37" s="101"/>
      <c r="O37" s="576" t="s">
        <v>28</v>
      </c>
      <c r="P37" s="577"/>
      <c r="Q37" s="150">
        <v>716.94</v>
      </c>
      <c r="R37" s="152">
        <v>625.78</v>
      </c>
      <c r="S37" s="153">
        <v>729.09</v>
      </c>
      <c r="T37" s="174"/>
      <c r="U37" s="132">
        <v>0.5</v>
      </c>
      <c r="V37" s="133">
        <f>U37*25.4</f>
        <v>12.7</v>
      </c>
      <c r="W37" s="637">
        <f>AI33</f>
        <v>28.861000000000001</v>
      </c>
      <c r="X37" s="638"/>
      <c r="Y37" s="431">
        <f>((W37/19.32)*10)</f>
        <v>14.938405797101449</v>
      </c>
      <c r="Z37" s="432"/>
      <c r="AA37" s="637">
        <v>16.997</v>
      </c>
      <c r="AB37" s="638"/>
      <c r="AC37" s="431">
        <f>((AA37/19.32)*10)</f>
        <v>8.7976190476190474</v>
      </c>
      <c r="AD37" s="432"/>
      <c r="AE37" s="637">
        <v>7.6890000000000001</v>
      </c>
      <c r="AF37" s="638"/>
      <c r="AG37" s="134">
        <f>((AE37/19.32)*10)</f>
        <v>3.9798136645962732</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99.42</v>
      </c>
      <c r="R38" s="647">
        <v>101.54</v>
      </c>
      <c r="S38" s="648">
        <v>100.41</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2.2047105909627551</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19.901242992187509</v>
      </c>
      <c r="N40" s="103"/>
      <c r="O40" s="628" t="s">
        <v>10</v>
      </c>
      <c r="P40" s="629"/>
      <c r="Q40" s="125">
        <f>((Q35-Q37)/(Q37-Q38))*100</f>
        <v>12.078961005311553</v>
      </c>
      <c r="R40" s="125">
        <f>((R35-R37)/(R37-R38))*100</f>
        <v>12.145200671448206</v>
      </c>
      <c r="S40" s="126">
        <f>((S35-S37)/(S37-S38))*100</f>
        <v>12.039511357129212</v>
      </c>
      <c r="T40" s="174"/>
      <c r="U40" s="645" t="s">
        <v>151</v>
      </c>
      <c r="V40" s="646"/>
      <c r="W40" s="423">
        <f>(AM79/6.9)*100</f>
        <v>72.366249587421606</v>
      </c>
      <c r="X40" s="423"/>
      <c r="Y40" s="423"/>
      <c r="Z40" s="424"/>
      <c r="AA40" s="425">
        <f>(AO79/6.9)*100</f>
        <v>44.670524436679997</v>
      </c>
      <c r="AB40" s="426"/>
      <c r="AC40" s="427"/>
      <c r="AD40" s="425">
        <f>(AQ79/6.9)*100</f>
        <v>20.101735996506001</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21.62821089734463</v>
      </c>
      <c r="N41" s="138"/>
      <c r="O41" s="565" t="s">
        <v>36</v>
      </c>
      <c r="P41" s="566"/>
      <c r="Q41" s="566"/>
      <c r="R41" s="566"/>
      <c r="S41" s="567"/>
      <c r="T41" s="174"/>
      <c r="U41" s="653" t="s">
        <v>152</v>
      </c>
      <c r="V41" s="654"/>
      <c r="W41" s="418">
        <f>(AM83/10.3)*100</f>
        <v>79.463908822287877</v>
      </c>
      <c r="X41" s="418"/>
      <c r="Y41" s="418"/>
      <c r="Z41" s="419"/>
      <c r="AA41" s="420">
        <f>(AO83/10.3)*100</f>
        <v>52.420149148726601</v>
      </c>
      <c r="AB41" s="421"/>
      <c r="AC41" s="418"/>
      <c r="AD41" s="420">
        <f>(AQ83/10.3)*100</f>
        <v>22.073308006191077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11.651041666666668</v>
      </c>
      <c r="N42" s="103"/>
      <c r="O42" s="639" t="s">
        <v>9</v>
      </c>
      <c r="P42" s="640"/>
      <c r="Q42" s="148">
        <v>355</v>
      </c>
      <c r="R42" s="148">
        <v>329</v>
      </c>
      <c r="S42" s="149">
        <v>326</v>
      </c>
      <c r="T42" s="174"/>
      <c r="U42" s="651" t="s">
        <v>42</v>
      </c>
      <c r="V42" s="652"/>
      <c r="W42" s="413">
        <f>IF(W40&lt;W41,W40,W41)</f>
        <v>72.366249587421606</v>
      </c>
      <c r="X42" s="414"/>
      <c r="Y42" s="414"/>
      <c r="Z42" s="415"/>
      <c r="AA42" s="416">
        <f>IF(AA40&lt;AA41,AA40,AA41)</f>
        <v>44.670524436679997</v>
      </c>
      <c r="AB42" s="414"/>
      <c r="AC42" s="415"/>
      <c r="AD42" s="416">
        <f>IF(AD40&lt;AD41,AD40,AD41)</f>
        <v>20.101735996506001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9.0882812499999996</v>
      </c>
      <c r="N43" s="103"/>
      <c r="O43" s="612" t="s">
        <v>49</v>
      </c>
      <c r="P43" s="614"/>
      <c r="Q43" s="618">
        <v>961.4</v>
      </c>
      <c r="R43" s="608">
        <v>894.65</v>
      </c>
      <c r="S43" s="610">
        <v>907.15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856.04</v>
      </c>
      <c r="R45" s="150">
        <v>780.85</v>
      </c>
      <c r="S45" s="151">
        <v>780.33</v>
      </c>
      <c r="T45" s="174"/>
      <c r="U45" s="656" t="s">
        <v>139</v>
      </c>
      <c r="V45" s="656"/>
      <c r="W45" s="179" t="s">
        <v>121</v>
      </c>
      <c r="X45" s="406">
        <f>MAX(M37:M39)</f>
        <v>2.2047105909627551</v>
      </c>
      <c r="Y45" s="406"/>
      <c r="Z45" s="406"/>
      <c r="AA45" s="174"/>
      <c r="AB45" s="657" t="s">
        <v>31</v>
      </c>
      <c r="AC45" s="658"/>
      <c r="AD45" s="658"/>
      <c r="AE45" s="658"/>
      <c r="AF45" s="231">
        <v>1.8499999999999999E-2</v>
      </c>
      <c r="AG45" s="231">
        <v>0.19750000000000001</v>
      </c>
      <c r="AH45" s="233">
        <v>9.7500000000000003E-2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105.56</v>
      </c>
      <c r="R46" s="152">
        <v>100.91</v>
      </c>
      <c r="S46" s="153">
        <v>101.45</v>
      </c>
      <c r="T46" s="174"/>
      <c r="U46" s="555" t="s">
        <v>123</v>
      </c>
      <c r="V46" s="555"/>
      <c r="W46" s="179" t="s">
        <v>41</v>
      </c>
      <c r="X46" s="401">
        <f>MIN(M42:M44)</f>
        <v>9.0882812499999996</v>
      </c>
      <c r="Y46" s="401"/>
      <c r="Z46" s="401"/>
      <c r="AA46" s="174"/>
      <c r="AB46" s="660" t="s">
        <v>32</v>
      </c>
      <c r="AC46" s="661"/>
      <c r="AD46" s="661"/>
      <c r="AE46" s="661"/>
      <c r="AF46" s="234">
        <v>0.04</v>
      </c>
      <c r="AG46" s="234">
        <v>0.2195</v>
      </c>
      <c r="AH46" s="235">
        <v>0.1205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14.039015030380558</v>
      </c>
      <c r="R47" s="125">
        <f>((R43-R45)/(R45-R46))*100</f>
        <v>16.736770891549245</v>
      </c>
      <c r="S47" s="126">
        <f>((S43-S45)/(S45-S46))*100</f>
        <v>18.680768324298835</v>
      </c>
      <c r="T47" s="174"/>
      <c r="U47" s="555" t="s">
        <v>162</v>
      </c>
      <c r="V47" s="555"/>
      <c r="W47" s="179" t="s">
        <v>41</v>
      </c>
      <c r="X47" s="402">
        <f>IF(L25=D103,"-",IF(L25=D102,"-",IF(L25=D101,M25)))</f>
        <v>31.69</v>
      </c>
      <c r="Y47" s="402"/>
      <c r="Z47" s="402"/>
      <c r="AA47" s="174"/>
      <c r="AB47" s="662" t="s">
        <v>33</v>
      </c>
      <c r="AC47" s="663"/>
      <c r="AD47" s="663"/>
      <c r="AE47" s="663"/>
      <c r="AF47" s="232">
        <f>(AF46-AF45)*2.54</f>
        <v>5.4610000000000006E-2</v>
      </c>
      <c r="AG47" s="232">
        <f>(AG46-AG45)*2.54</f>
        <v>5.5879999999999978E-2</v>
      </c>
      <c r="AH47" s="239">
        <f>(AH46-AH45)*2.54</f>
        <v>5.8419999999999979E-2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0.4707758620689656</v>
      </c>
      <c r="AG48" s="142">
        <f>IF(AG47&lt;&gt;"",IF(R24&lt;&gt;"",AG47/R24*100,""),"")</f>
        <v>0.48339100346020741</v>
      </c>
      <c r="AH48" s="173">
        <f>IF(AH47&lt;&gt;"",IF(S24&lt;&gt;"",AH47/S24*100,""),"")</f>
        <v>0.51335676625659021</v>
      </c>
    </row>
    <row r="49" spans="1:38"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8"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9.8000000000000004E-2</v>
      </c>
      <c r="AK50" s="42">
        <v>9.8000000000000004E-2</v>
      </c>
      <c r="AL50" s="42">
        <v>9.8000000000000004E-2</v>
      </c>
    </row>
    <row r="51" spans="1:38"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0.89700000000000002</v>
      </c>
      <c r="AK51" s="42">
        <v>0.89700000000000002</v>
      </c>
      <c r="AL51" s="42">
        <v>0.89700000000000002</v>
      </c>
    </row>
    <row r="52" spans="1:38"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4.1230000000000002</v>
      </c>
      <c r="AK52" s="42">
        <v>4.1230000000000002</v>
      </c>
      <c r="AL52" s="42">
        <v>4.1230000000000002</v>
      </c>
    </row>
    <row r="53" spans="1:38"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7.3819999999999997</v>
      </c>
      <c r="AK53" s="42">
        <v>7.3819999999999997</v>
      </c>
      <c r="AL53" s="42">
        <v>7.3819999999999997</v>
      </c>
    </row>
    <row r="54" spans="1:38"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9.6470000000000002</v>
      </c>
      <c r="AK54" s="42">
        <v>9.6470000000000002</v>
      </c>
      <c r="AL54" s="42">
        <v>9.6470000000000002</v>
      </c>
    </row>
    <row r="55" spans="1:38"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11.612</v>
      </c>
      <c r="AK55" s="42">
        <v>11.612</v>
      </c>
      <c r="AL55" s="42">
        <v>11.612</v>
      </c>
    </row>
    <row r="56" spans="1:38"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13.391</v>
      </c>
      <c r="AK56" s="42">
        <v>13.391</v>
      </c>
      <c r="AL56" s="42">
        <v>13.391</v>
      </c>
    </row>
    <row r="57" spans="1:38"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14.739000000000001</v>
      </c>
      <c r="AK57" s="42">
        <v>14.739000000000001</v>
      </c>
      <c r="AL57" s="42">
        <v>14.739000000000001</v>
      </c>
    </row>
    <row r="58" spans="1:38"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15.813000000000001</v>
      </c>
      <c r="AK58" s="42">
        <v>15.813000000000001</v>
      </c>
      <c r="AL58" s="42">
        <v>15.813000000000001</v>
      </c>
    </row>
    <row r="59" spans="1:38"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20.053000000000001</v>
      </c>
      <c r="AK59" s="42">
        <v>20.053000000000001</v>
      </c>
      <c r="AL59" s="42">
        <v>20.053000000000001</v>
      </c>
    </row>
    <row r="60" spans="1:38"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24.145</v>
      </c>
      <c r="AK60" s="42">
        <v>24.145</v>
      </c>
      <c r="AL60" s="42">
        <v>24.145</v>
      </c>
    </row>
    <row r="61" spans="1:38"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28.861000000000001</v>
      </c>
      <c r="AK61" s="42">
        <v>28.861000000000001</v>
      </c>
      <c r="AL61" s="42">
        <v>28.861000000000001</v>
      </c>
    </row>
    <row r="62" spans="1:38"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8"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8"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-9.5999999999999992E-3</v>
      </c>
      <c r="G74" s="75">
        <v>-0.12509999999999999</v>
      </c>
      <c r="J74" s="701"/>
      <c r="K74" s="702"/>
      <c r="L74" s="44"/>
      <c r="M74" s="44"/>
      <c r="N74" s="44"/>
    </row>
    <row r="75" spans="1:94" ht="26.25" customHeight="1" thickBot="1" x14ac:dyDescent="0.3">
      <c r="A75" s="11"/>
      <c r="B75" s="377" t="s">
        <v>113</v>
      </c>
      <c r="C75" s="377"/>
      <c r="D75" s="19"/>
      <c r="E75" s="54" t="s">
        <v>12</v>
      </c>
      <c r="F75" s="55">
        <v>0.22370000000000001</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0.72550000000000003</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1.5678000000000001</v>
      </c>
      <c r="AM76" s="3">
        <f t="shared" si="4"/>
        <v>0.81149068322981366</v>
      </c>
      <c r="AN76" s="5">
        <f>AA23</f>
        <v>0.67500000000000004</v>
      </c>
      <c r="AO76" s="3">
        <f t="shared" ref="AO76:AO86" si="7">((AN76/19.32)*10)</f>
        <v>0.34937888198757766</v>
      </c>
      <c r="AP76" s="5">
        <f>AE23</f>
        <v>0.23300000000000001</v>
      </c>
      <c r="AQ76" s="161">
        <f t="shared" si="5"/>
        <v>0.12060041407867496</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4.1230000000000002</v>
      </c>
      <c r="AM77" s="3">
        <f t="shared" si="4"/>
        <v>2.1340579710144927</v>
      </c>
      <c r="AN77" s="5">
        <f>AA24</f>
        <v>2.5450617283950616</v>
      </c>
      <c r="AO77" s="3">
        <f t="shared" si="7"/>
        <v>1.3173197351941313</v>
      </c>
      <c r="AP77" s="5">
        <f>AE24</f>
        <v>1.1452777777777778</v>
      </c>
      <c r="AQ77" s="161">
        <f t="shared" si="5"/>
        <v>0.59279388083735907</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7.3819999999999997</v>
      </c>
      <c r="AM78" s="3">
        <f t="shared" si="4"/>
        <v>3.820910973084886</v>
      </c>
      <c r="AN78" s="5">
        <f>AA25</f>
        <v>4.55679012345679</v>
      </c>
      <c r="AO78" s="3">
        <f t="shared" si="7"/>
        <v>2.3585870204227692</v>
      </c>
      <c r="AP78" s="5">
        <f>AE25</f>
        <v>2.0505555555555555</v>
      </c>
      <c r="AQ78" s="161">
        <f t="shared" si="5"/>
        <v>1.0613641591902461</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9.6470000000000002</v>
      </c>
      <c r="AM79" s="4">
        <f t="shared" si="4"/>
        <v>4.9932712215320914</v>
      </c>
      <c r="AN79" s="5">
        <f>AA26</f>
        <v>5.9549382716049379</v>
      </c>
      <c r="AO79" s="4">
        <f t="shared" si="7"/>
        <v>3.0822661861309202</v>
      </c>
      <c r="AP79" s="5">
        <f>AE26</f>
        <v>2.6797222222222223</v>
      </c>
      <c r="AQ79" s="162">
        <f t="shared" si="5"/>
        <v>1.3870197837589142</v>
      </c>
      <c r="BB79" s="12">
        <v>17</v>
      </c>
      <c r="BC79" s="12">
        <v>18</v>
      </c>
    </row>
    <row r="80" spans="1:94" ht="42" customHeight="1" thickTop="1" thickBot="1" x14ac:dyDescent="0.3">
      <c r="D80" s="49"/>
      <c r="H80" s="711" t="s">
        <v>105</v>
      </c>
      <c r="I80" s="712"/>
      <c r="J80" s="58"/>
      <c r="AJ80" s="160">
        <f>U28</f>
        <v>0.125</v>
      </c>
      <c r="AK80" s="3">
        <f t="shared" si="6"/>
        <v>3.1749999999999998</v>
      </c>
      <c r="AL80" s="5">
        <f>W28</f>
        <v>11.612</v>
      </c>
      <c r="AM80" s="3">
        <f t="shared" si="4"/>
        <v>6.0103519668737064</v>
      </c>
      <c r="AN80" s="5">
        <f>AA28</f>
        <v>7.1679012345679007</v>
      </c>
      <c r="AO80" s="3">
        <f t="shared" si="7"/>
        <v>3.7100938067121643</v>
      </c>
      <c r="AP80" s="5">
        <f>AE28</f>
        <v>3.2255555555555553</v>
      </c>
      <c r="AQ80" s="161">
        <f t="shared" si="5"/>
        <v>1.6695422130204738</v>
      </c>
      <c r="BC80" s="45">
        <v>0.99880400000000003</v>
      </c>
      <c r="BD80" s="45">
        <v>0.99862499999999998</v>
      </c>
    </row>
    <row r="81" spans="2:43" ht="15.75" customHeight="1" x14ac:dyDescent="0.25">
      <c r="AJ81" s="160">
        <f>U30</f>
        <v>0.15</v>
      </c>
      <c r="AK81" s="3">
        <f t="shared" si="6"/>
        <v>3.8099999999999996</v>
      </c>
      <c r="AL81" s="5">
        <f>W30</f>
        <v>13.391</v>
      </c>
      <c r="AM81" s="3">
        <f t="shared" si="4"/>
        <v>6.9311594202898554</v>
      </c>
      <c r="AN81" s="5">
        <f>AA30</f>
        <v>8.2660493827160497</v>
      </c>
      <c r="AO81" s="3">
        <f t="shared" si="7"/>
        <v>4.278493469314725</v>
      </c>
      <c r="AP81" s="5">
        <f>AE30</f>
        <v>3.7197222222222224</v>
      </c>
      <c r="AQ81" s="161">
        <f t="shared" si="5"/>
        <v>1.9253220611916264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14.739000000000001</v>
      </c>
      <c r="AM82" s="3">
        <f t="shared" si="4"/>
        <v>7.6288819875776408</v>
      </c>
      <c r="AN82" s="5">
        <f>AA31</f>
        <v>9.3450000000000006</v>
      </c>
      <c r="AO82" s="3">
        <f t="shared" si="7"/>
        <v>4.8369565217391308</v>
      </c>
      <c r="AP82" s="5">
        <f>AE31</f>
        <v>4.0941666666666672</v>
      </c>
      <c r="AQ82" s="161">
        <f t="shared" si="5"/>
        <v>2.1191338854382336</v>
      </c>
    </row>
    <row r="83" spans="2:43" ht="15" customHeight="1" x14ac:dyDescent="0.25">
      <c r="B83" s="49"/>
      <c r="C83" s="49"/>
      <c r="D83" s="49">
        <v>0</v>
      </c>
      <c r="E83" s="50">
        <f>M42</f>
        <v>11.651041666666668</v>
      </c>
      <c r="F83" s="49"/>
      <c r="G83" s="43">
        <f>G84/10</f>
        <v>2.2749028483363771</v>
      </c>
      <c r="H83" s="43">
        <f>H84/10</f>
        <v>2.1123496632827417</v>
      </c>
      <c r="I83" s="43">
        <f>I84/10</f>
        <v>1.9827888019177258</v>
      </c>
      <c r="J83" s="43">
        <f>J84/10</f>
        <v>1.8772330380632856</v>
      </c>
      <c r="K83" s="43"/>
      <c r="L83" s="42">
        <v>0</v>
      </c>
      <c r="O83" s="706"/>
      <c r="P83" s="706"/>
      <c r="Q83" s="706"/>
      <c r="R83" s="706"/>
      <c r="S83" s="707"/>
      <c r="W83" s="112"/>
      <c r="AJ83" s="160">
        <f>U33</f>
        <v>0.2</v>
      </c>
      <c r="AK83" s="4">
        <f t="shared" si="6"/>
        <v>5.08</v>
      </c>
      <c r="AL83" s="5">
        <f>W33</f>
        <v>15.813000000000001</v>
      </c>
      <c r="AM83" s="4">
        <f t="shared" si="4"/>
        <v>8.1847826086956523</v>
      </c>
      <c r="AN83" s="5">
        <f>AA33</f>
        <v>10.4314</v>
      </c>
      <c r="AO83" s="4">
        <f t="shared" si="7"/>
        <v>5.399275362318841</v>
      </c>
      <c r="AP83" s="5">
        <f>AE33</f>
        <v>4.3925000000000001</v>
      </c>
      <c r="AQ83" s="162">
        <f t="shared" si="5"/>
        <v>2.2735507246376812</v>
      </c>
    </row>
    <row r="84" spans="2:43" ht="15" customHeight="1" x14ac:dyDescent="0.25">
      <c r="C84" s="94"/>
      <c r="D84" s="94"/>
      <c r="E84" s="94"/>
      <c r="F84" s="49"/>
      <c r="G84" s="43">
        <f>($M$34/(1+(E34*$M$34/100)))*($O$73)</f>
        <v>22.749028483363769</v>
      </c>
      <c r="H84" s="43">
        <f>($M$34/(1+(F34*$M$34/100)))*($O$73)</f>
        <v>21.123496632827415</v>
      </c>
      <c r="I84" s="43">
        <f>($M$34/(1+(G34*$M$34/100)))*($O$73)</f>
        <v>19.827888019177259</v>
      </c>
      <c r="J84" s="43">
        <f>($M$34/(1+(H34*$M$34/100)))*($O$73)</f>
        <v>18.772330380632855</v>
      </c>
      <c r="K84" s="43"/>
      <c r="O84" s="706" t="s">
        <v>146</v>
      </c>
      <c r="P84" s="706"/>
      <c r="Q84" s="706"/>
      <c r="R84" s="706"/>
      <c r="S84" s="707">
        <v>2240</v>
      </c>
      <c r="W84" s="112"/>
      <c r="AJ84" s="160">
        <f>U34</f>
        <v>0.3</v>
      </c>
      <c r="AK84" s="3">
        <f t="shared" si="6"/>
        <v>7.6199999999999992</v>
      </c>
      <c r="AL84" s="5">
        <f>W34</f>
        <v>20.053000000000001</v>
      </c>
      <c r="AM84" s="3">
        <f t="shared" si="4"/>
        <v>10.379399585921325</v>
      </c>
      <c r="AN84" s="5">
        <f>AA34</f>
        <v>13.445</v>
      </c>
      <c r="AO84" s="3">
        <f t="shared" si="7"/>
        <v>6.9591097308488612</v>
      </c>
      <c r="AP84" s="5">
        <f>AE34</f>
        <v>5.5702777777777772</v>
      </c>
      <c r="AQ84" s="161">
        <f t="shared" si="5"/>
        <v>2.8831665516448126</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24.145</v>
      </c>
      <c r="AM85" s="3">
        <f t="shared" si="4"/>
        <v>12.497412008281572</v>
      </c>
      <c r="AN85" s="5">
        <f>AA35</f>
        <v>15.6896</v>
      </c>
      <c r="AO85" s="3">
        <f t="shared" si="7"/>
        <v>8.1209109730848859</v>
      </c>
      <c r="AP85" s="5">
        <f>AE35</f>
        <v>6.7069444444444439</v>
      </c>
      <c r="AQ85" s="161">
        <f>((AP85/19.32)*10)</f>
        <v>3.4715033356337699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28.861000000000001</v>
      </c>
      <c r="AM86" s="164">
        <f t="shared" si="4"/>
        <v>14.938405797101449</v>
      </c>
      <c r="AN86" s="165">
        <f>AA37</f>
        <v>16.997</v>
      </c>
      <c r="AO86" s="164">
        <f t="shared" si="7"/>
        <v>8.7976190476190474</v>
      </c>
      <c r="AP86" s="165">
        <f>AE37</f>
        <v>7.6890000000000001</v>
      </c>
      <c r="AQ86" s="166">
        <f>((AP86/19.32)*10)</f>
        <v>3.9798136645962732</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2.0202024582183022</v>
      </c>
      <c r="AK91" s="9">
        <f>R31</f>
        <v>1.8501424081490374</v>
      </c>
      <c r="AL91" s="10">
        <f>S31</f>
        <v>1.7456186343872255</v>
      </c>
    </row>
    <row r="92" spans="2:43" ht="21" customHeight="1" thickBot="1" x14ac:dyDescent="0.3">
      <c r="B92" s="92"/>
      <c r="C92" s="93"/>
      <c r="D92" s="93"/>
      <c r="E92" s="93"/>
      <c r="F92" s="62"/>
      <c r="G92" s="63"/>
      <c r="H92" s="49"/>
      <c r="I92" s="49"/>
      <c r="O92" s="725" t="s">
        <v>147</v>
      </c>
      <c r="P92" s="726"/>
      <c r="Q92" s="726"/>
      <c r="R92" s="726"/>
      <c r="S92" s="61">
        <f>M42</f>
        <v>11.651041666666668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72.366249587421606</v>
      </c>
      <c r="AK94" s="158">
        <f>AA42</f>
        <v>44.670524436679997</v>
      </c>
      <c r="AL94" s="158">
        <f>AD42</f>
        <v>20.101735996506001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113" priority="47">
      <formula>LEN(TRIM(D6))=0</formula>
    </cfRule>
  </conditionalFormatting>
  <conditionalFormatting sqref="D6:H10">
    <cfRule type="containsBlanks" dxfId="1112" priority="46">
      <formula>LEN(TRIM(D6))=0</formula>
    </cfRule>
  </conditionalFormatting>
  <conditionalFormatting sqref="M19">
    <cfRule type="containsBlanks" dxfId="1111" priority="45">
      <formula>LEN(TRIM(M19))=0</formula>
    </cfRule>
  </conditionalFormatting>
  <conditionalFormatting sqref="CP70">
    <cfRule type="containsBlanks" dxfId="1110" priority="44">
      <formula>LEN(TRIM(CP70))=0</formula>
    </cfRule>
  </conditionalFormatting>
  <conditionalFormatting sqref="M21">
    <cfRule type="containsBlanks" dxfId="1109" priority="43">
      <formula>LEN(TRIM(M21))=0</formula>
    </cfRule>
  </conditionalFormatting>
  <conditionalFormatting sqref="D12:M12">
    <cfRule type="containsBlanks" dxfId="1108" priority="42">
      <formula>LEN(TRIM(D12))=0</formula>
    </cfRule>
  </conditionalFormatting>
  <conditionalFormatting sqref="L9:M9">
    <cfRule type="containsBlanks" dxfId="1107" priority="41">
      <formula>LEN(TRIM(L9))=0</formula>
    </cfRule>
  </conditionalFormatting>
  <conditionalFormatting sqref="L25">
    <cfRule type="containsBlanks" dxfId="1106" priority="40">
      <formula>LEN(TRIM(L25))=0</formula>
    </cfRule>
  </conditionalFormatting>
  <conditionalFormatting sqref="Q20:S21">
    <cfRule type="containsBlanks" dxfId="1105" priority="33">
      <formula>LEN(TRIM(Q20))=0</formula>
    </cfRule>
    <cfRule type="containsBlanks" dxfId="1104" priority="39">
      <formula>LEN(TRIM(Q20))=0</formula>
    </cfRule>
  </conditionalFormatting>
  <conditionalFormatting sqref="U26:V27 AC33 AC26">
    <cfRule type="cellIs" dxfId="1103" priority="38" operator="between">
      <formula>0</formula>
      <formula>500</formula>
    </cfRule>
  </conditionalFormatting>
  <conditionalFormatting sqref="U33:V33">
    <cfRule type="cellIs" dxfId="1102" priority="37" operator="between">
      <formula>0</formula>
      <formula>500</formula>
    </cfRule>
  </conditionalFormatting>
  <conditionalFormatting sqref="AF45:AH46">
    <cfRule type="containsBlanks" dxfId="1101" priority="36">
      <formula>LEN(TRIM(AF45))=0</formula>
    </cfRule>
  </conditionalFormatting>
  <conditionalFormatting sqref="AF51:AG53">
    <cfRule type="containsBlanks" dxfId="1100" priority="35">
      <formula>LEN(TRIM(AF51))=0</formula>
    </cfRule>
  </conditionalFormatting>
  <conditionalFormatting sqref="E20:H24">
    <cfRule type="containsBlanks" dxfId="1099" priority="34">
      <formula>LEN(TRIM(E20))=0</formula>
    </cfRule>
  </conditionalFormatting>
  <conditionalFormatting sqref="M25">
    <cfRule type="containsBlanks" dxfId="1098" priority="32">
      <formula>LEN(TRIM(M25))=0</formula>
    </cfRule>
  </conditionalFormatting>
  <conditionalFormatting sqref="U26:V27 Y26:Z27 AC26:AD27 AG26:AG27">
    <cfRule type="containsBlanks" dxfId="1097" priority="30">
      <formula>LEN(TRIM(U26))=0</formula>
    </cfRule>
    <cfRule type="cellIs" dxfId="1096" priority="31" operator="between">
      <formula>0</formula>
      <formula>1000</formula>
    </cfRule>
  </conditionalFormatting>
  <conditionalFormatting sqref="W87:W88">
    <cfRule type="cellIs" dxfId="1095" priority="29" operator="between">
      <formula>0</formula>
      <formula>500</formula>
    </cfRule>
  </conditionalFormatting>
  <conditionalFormatting sqref="W94">
    <cfRule type="cellIs" dxfId="1094" priority="28" operator="between">
      <formula>0</formula>
      <formula>500</formula>
    </cfRule>
  </conditionalFormatting>
  <conditionalFormatting sqref="W87:W88">
    <cfRule type="containsBlanks" dxfId="1093" priority="26">
      <formula>LEN(TRIM(W87))=0</formula>
    </cfRule>
    <cfRule type="cellIs" dxfId="1092" priority="27" operator="between">
      <formula>0</formula>
      <formula>1000</formula>
    </cfRule>
  </conditionalFormatting>
  <conditionalFormatting sqref="U33:V33 Y33:Z33 AC33:AD33 AG33">
    <cfRule type="cellIs" dxfId="1091" priority="25" operator="between">
      <formula>0</formula>
      <formula>1000</formula>
    </cfRule>
  </conditionalFormatting>
  <conditionalFormatting sqref="Q27:S27">
    <cfRule type="containsBlanks" dxfId="1090" priority="23">
      <formula>LEN(TRIM(Q27))=0</formula>
    </cfRule>
    <cfRule type="containsBlanks" dxfId="1089" priority="24">
      <formula>LEN(TRIM(Q27))=0</formula>
    </cfRule>
  </conditionalFormatting>
  <conditionalFormatting sqref="W30:W31 W33:W35 W37 W28 W22:W26">
    <cfRule type="containsBlanks" dxfId="1088" priority="22">
      <formula>LEN(TRIM(W22))=0</formula>
    </cfRule>
  </conditionalFormatting>
  <conditionalFormatting sqref="W37 W30:W31 W33:W35 W28 W22:W26">
    <cfRule type="containsBlanks" dxfId="1087" priority="21">
      <formula>LEN(TRIM(W22))=0</formula>
    </cfRule>
  </conditionalFormatting>
  <conditionalFormatting sqref="W33:X33">
    <cfRule type="cellIs" dxfId="1086" priority="20" operator="between">
      <formula>0</formula>
      <formula>1000</formula>
    </cfRule>
  </conditionalFormatting>
  <conditionalFormatting sqref="W30:X37 W26 W28 W22:X25">
    <cfRule type="containsBlanks" dxfId="1085" priority="19">
      <formula>LEN(TRIM(W22))=0</formula>
    </cfRule>
  </conditionalFormatting>
  <conditionalFormatting sqref="AA37 AA30:AA31 AA33 AA22:AA26 AA28 AA35">
    <cfRule type="containsBlanks" dxfId="1084" priority="18">
      <formula>LEN(TRIM(AA22))=0</formula>
    </cfRule>
  </conditionalFormatting>
  <conditionalFormatting sqref="AA37 AA30:AA31 AA33 AA22:AA26 AA28 AA35">
    <cfRule type="containsBlanks" dxfId="1083" priority="17">
      <formula>LEN(TRIM(AA22))=0</formula>
    </cfRule>
  </conditionalFormatting>
  <conditionalFormatting sqref="AA33:AB33">
    <cfRule type="cellIs" dxfId="1082" priority="16" operator="between">
      <formula>0</formula>
      <formula>1000</formula>
    </cfRule>
  </conditionalFormatting>
  <conditionalFormatting sqref="AA30:AB30 AA31 AA33:AB33 AA22:AB25 AA26 AA28 AA35:AB37">
    <cfRule type="containsBlanks" dxfId="1081" priority="15">
      <formula>LEN(TRIM(AA22))=0</formula>
    </cfRule>
  </conditionalFormatting>
  <conditionalFormatting sqref="AE37 AE28 AE30:AE31 AE33:AE35 AE22:AE26">
    <cfRule type="containsBlanks" dxfId="1080" priority="14">
      <formula>LEN(TRIM(AE22))=0</formula>
    </cfRule>
  </conditionalFormatting>
  <conditionalFormatting sqref="AE37 AE28 AE30:AE31 AE33:AE35 AE22:AE26">
    <cfRule type="containsBlanks" dxfId="1079" priority="13">
      <formula>LEN(TRIM(AE22))=0</formula>
    </cfRule>
  </conditionalFormatting>
  <conditionalFormatting sqref="AE33:AF33">
    <cfRule type="cellIs" dxfId="1078" priority="12" operator="between">
      <formula>0</formula>
      <formula>1000</formula>
    </cfRule>
  </conditionalFormatting>
  <conditionalFormatting sqref="AE33:AF37 AE26 AE28 AE30:AE31 AE22:AF25">
    <cfRule type="containsBlanks" dxfId="1077" priority="11">
      <formula>LEN(TRIM(AE22))=0</formula>
    </cfRule>
  </conditionalFormatting>
  <conditionalFormatting sqref="K6:M6">
    <cfRule type="containsBlanks" dxfId="1076" priority="10">
      <formula>LEN(TRIM(K6))=0</formula>
    </cfRule>
  </conditionalFormatting>
  <conditionalFormatting sqref="K7:K8">
    <cfRule type="containsBlanks" dxfId="1075" priority="9">
      <formula>LEN(TRIM(K7))=0</formula>
    </cfRule>
  </conditionalFormatting>
  <conditionalFormatting sqref="D13:M13">
    <cfRule type="containsBlanks" dxfId="1074" priority="8">
      <formula>LEN(TRIM(D13))=0</formula>
    </cfRule>
  </conditionalFormatting>
  <conditionalFormatting sqref="B6:B10">
    <cfRule type="containsBlanks" dxfId="1073" priority="7">
      <formula>LEN(TRIM(B6))=0</formula>
    </cfRule>
  </conditionalFormatting>
  <conditionalFormatting sqref="B12:B13">
    <cfRule type="containsBlanks" dxfId="1072" priority="6">
      <formula>LEN(TRIM(B12))=0</formula>
    </cfRule>
  </conditionalFormatting>
  <conditionalFormatting sqref="E28:H33">
    <cfRule type="containsBlanks" dxfId="1071" priority="5">
      <formula>LEN(TRIM(E28))=0</formula>
    </cfRule>
  </conditionalFormatting>
  <conditionalFormatting sqref="Q22:S26">
    <cfRule type="containsBlanks" dxfId="1070" priority="3">
      <formula>LEN(TRIM(Q22))=0</formula>
    </cfRule>
    <cfRule type="containsBlanks" dxfId="1069" priority="4">
      <formula>LEN(TRIM(Q22))=0</formula>
    </cfRule>
  </conditionalFormatting>
  <conditionalFormatting sqref="Q34:S39">
    <cfRule type="containsBlanks" dxfId="1068" priority="2">
      <formula>LEN(TRIM(Q34))=0</formula>
    </cfRule>
  </conditionalFormatting>
  <conditionalFormatting sqref="Q42:S46">
    <cfRule type="containsBlanks" dxfId="1067" priority="1">
      <formula>LEN(TRIM(Q42))=0</formula>
    </cfRule>
  </conditionalFormatting>
  <dataValidations count="5">
    <dataValidation type="list" allowBlank="1" showInputMessage="1" showErrorMessage="1" sqref="D12:E12" xr:uid="{00000000-0002-0000-2400-000000000000}">
      <formula1>$B$87:$B$94</formula1>
    </dataValidation>
    <dataValidation type="list" allowBlank="1" showInputMessage="1" showErrorMessage="1" sqref="CP70" xr:uid="{00000000-0002-0000-2400-000001000000}">
      <formula1>$BA$3:$BA$5</formula1>
    </dataValidation>
    <dataValidation type="list" allowBlank="1" showInputMessage="1" showErrorMessage="1" sqref="M19" xr:uid="{00000000-0002-0000-2400-000002000000}">
      <formula1>$AX$3:$AX$5</formula1>
    </dataValidation>
    <dataValidation type="list" allowBlank="1" showInputMessage="1" showErrorMessage="1" sqref="M21" xr:uid="{00000000-0002-0000-2400-000003000000}">
      <formula1>$AX$3:$AX$4</formula1>
    </dataValidation>
    <dataValidation type="list" allowBlank="1" showInputMessage="1" showErrorMessage="1" sqref="L25" xr:uid="{00000000-0002-0000-2400-000004000000}">
      <formula1>$D$101:$D$104</formula1>
    </dataValidation>
  </dataValidations>
  <hyperlinks>
    <hyperlink ref="D8" r:id="rId1" xr:uid="{00000000-0004-0000-24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5769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5769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57699"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5770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5770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5770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5770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5770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5770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5770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75">
    <tabColor theme="8" tint="0.59999389629810485"/>
  </sheetPr>
  <dimension ref="A1:CP153"/>
  <sheetViews>
    <sheetView view="pageBreakPreview" topLeftCell="S20" zoomScaleNormal="100" zoomScaleSheetLayoutView="100"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25-P-LA TORRE AP2 -2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25-P-LA TORRE AP2 -2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264</v>
      </c>
      <c r="G12" s="31" t="s">
        <v>4</v>
      </c>
      <c r="H12" s="146">
        <v>2</v>
      </c>
      <c r="I12" s="546" t="s">
        <v>5</v>
      </c>
      <c r="J12" s="546"/>
      <c r="K12" s="209">
        <v>0.7</v>
      </c>
      <c r="L12" s="32" t="s">
        <v>6</v>
      </c>
      <c r="M12" s="147">
        <v>1.5</v>
      </c>
      <c r="N12" s="78"/>
      <c r="O12" s="501" t="s">
        <v>3</v>
      </c>
      <c r="P12" s="501"/>
      <c r="Q12" s="225" t="s">
        <v>234</v>
      </c>
      <c r="R12" s="224" t="str">
        <f>F12</f>
        <v xml:space="preserve">P-LA TORRE AP2 </v>
      </c>
      <c r="S12" s="224"/>
      <c r="T12" s="502" t="s">
        <v>4</v>
      </c>
      <c r="U12" s="502"/>
      <c r="V12" s="33">
        <f>+H12</f>
        <v>2</v>
      </c>
      <c r="W12" s="547" t="s">
        <v>5</v>
      </c>
      <c r="X12" s="547"/>
      <c r="Y12" s="547"/>
      <c r="Z12" s="547"/>
      <c r="AA12" s="547"/>
      <c r="AB12" s="547"/>
      <c r="AC12" s="34">
        <f>K12</f>
        <v>0.7</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275</v>
      </c>
      <c r="E13" s="479"/>
      <c r="F13" s="479"/>
      <c r="G13" s="479"/>
      <c r="H13" s="479"/>
      <c r="I13" s="479"/>
      <c r="J13" s="479"/>
      <c r="K13" s="479"/>
      <c r="L13" s="479"/>
      <c r="M13" s="480"/>
      <c r="N13" s="188"/>
      <c r="O13" s="526" t="s">
        <v>130</v>
      </c>
      <c r="P13" s="526"/>
      <c r="Q13" s="527" t="str">
        <f>D13</f>
        <v>ARENA ARCILLOSA CON ALGUNAS GRAVAS, COLOR MARRÓN, EN CONDICIÓN SECA.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E20</f>
        <v>56</v>
      </c>
      <c r="G20" s="148">
        <f>F20</f>
        <v>56</v>
      </c>
      <c r="H20" s="149">
        <f>G20</f>
        <v>56</v>
      </c>
      <c r="I20" s="174"/>
      <c r="J20" s="562" t="s">
        <v>96</v>
      </c>
      <c r="K20" s="562"/>
      <c r="L20" s="562"/>
      <c r="M20" s="39" t="str">
        <f>IF(M19=" ","-",IF(M19=" ","-",IF(M19=AX4,AW4,IF(M19=AX3,AW3))))</f>
        <v>18 ± 0,05 in</v>
      </c>
      <c r="N20" s="103"/>
      <c r="O20" s="560" t="s">
        <v>24</v>
      </c>
      <c r="P20" s="561"/>
      <c r="Q20" s="156">
        <v>549</v>
      </c>
      <c r="R20" s="156">
        <v>580</v>
      </c>
      <c r="S20" s="157">
        <v>538</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11489</v>
      </c>
      <c r="F22" s="150">
        <v>11838</v>
      </c>
      <c r="G22" s="150">
        <v>11938</v>
      </c>
      <c r="H22" s="151">
        <v>11532</v>
      </c>
      <c r="I22" s="174"/>
      <c r="J22" s="578"/>
      <c r="K22" s="578"/>
      <c r="L22" s="578"/>
      <c r="M22" s="104"/>
      <c r="N22" s="103"/>
      <c r="O22" s="579" t="s">
        <v>132</v>
      </c>
      <c r="P22" s="580"/>
      <c r="Q22" s="219">
        <v>8374</v>
      </c>
      <c r="R22" s="219">
        <v>8065</v>
      </c>
      <c r="S22" s="208">
        <v>7994</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0.05</v>
      </c>
      <c r="AJ22" s="42">
        <f>AJ50/1.52</f>
        <v>3.2894736842105261E-2</v>
      </c>
      <c r="AK22" s="42">
        <f>AJ22*0.75</f>
        <v>2.4671052631578948E-2</v>
      </c>
      <c r="AO22" s="42">
        <v>0.06</v>
      </c>
      <c r="AS22" s="42">
        <f>AO22/1.23</f>
        <v>4.878048780487805E-2</v>
      </c>
    </row>
    <row r="23" spans="1:45" ht="24.95" customHeight="1" x14ac:dyDescent="0.25">
      <c r="A23" s="103"/>
      <c r="B23" s="583" t="s">
        <v>68</v>
      </c>
      <c r="C23" s="584"/>
      <c r="D23" s="584"/>
      <c r="E23" s="150">
        <v>7312</v>
      </c>
      <c r="F23" s="150">
        <v>7312</v>
      </c>
      <c r="G23" s="150">
        <v>7312</v>
      </c>
      <c r="H23" s="151">
        <v>7312</v>
      </c>
      <c r="I23" s="174"/>
      <c r="J23" s="587" t="s">
        <v>165</v>
      </c>
      <c r="K23" s="588"/>
      <c r="L23" s="588"/>
      <c r="M23" s="589"/>
      <c r="N23" s="103"/>
      <c r="O23" s="579" t="s">
        <v>27</v>
      </c>
      <c r="P23" s="580"/>
      <c r="Q23" s="150">
        <v>3852</v>
      </c>
      <c r="R23" s="150">
        <v>3868</v>
      </c>
      <c r="S23" s="151">
        <v>3784</v>
      </c>
      <c r="T23" s="174"/>
      <c r="U23" s="112">
        <v>2.5000000000000001E-2</v>
      </c>
      <c r="V23" s="113">
        <f>U23*25.4</f>
        <v>0.63500000000000001</v>
      </c>
      <c r="W23" s="581">
        <f>AI23</f>
        <v>0.155</v>
      </c>
      <c r="X23" s="582"/>
      <c r="Y23" s="449">
        <f>((W23/19.32)*10)</f>
        <v>8.0227743271221535E-2</v>
      </c>
      <c r="Z23" s="450"/>
      <c r="AA23" s="581">
        <v>9.8000000000000004E-2</v>
      </c>
      <c r="AB23" s="582"/>
      <c r="AC23" s="449">
        <f>((AA23/19.32)*10)</f>
        <v>5.0724637681159424E-2</v>
      </c>
      <c r="AD23" s="450"/>
      <c r="AE23" s="581">
        <f>AK23</f>
        <v>7.6480263157894732E-2</v>
      </c>
      <c r="AF23" s="582"/>
      <c r="AG23" s="114">
        <f>((AE23/19.32)*10)</f>
        <v>3.9586057535142202E-2</v>
      </c>
      <c r="AH23" s="104"/>
      <c r="AI23" s="42">
        <f t="shared" ref="AI23:AI33" si="0">AJ51</f>
        <v>0.155</v>
      </c>
      <c r="AJ23" s="42">
        <f t="shared" ref="AJ23:AJ33" si="1">AJ51/1.52</f>
        <v>0.10197368421052631</v>
      </c>
      <c r="AK23" s="42">
        <f t="shared" ref="AK23:AK32" si="2">AJ23*0.75</f>
        <v>7.6480263157894732E-2</v>
      </c>
      <c r="AO23" s="42">
        <v>0.247</v>
      </c>
      <c r="AS23" s="42">
        <f t="shared" ref="AS23:AS37" si="3">AO23/1.23</f>
        <v>0.20081300813008129</v>
      </c>
    </row>
    <row r="24" spans="1:45" ht="24.95" customHeight="1" thickBot="1" x14ac:dyDescent="0.3">
      <c r="A24" s="103"/>
      <c r="B24" s="583" t="s">
        <v>70</v>
      </c>
      <c r="C24" s="584"/>
      <c r="D24" s="584"/>
      <c r="E24" s="150">
        <v>2148</v>
      </c>
      <c r="F24" s="150">
        <f>E24</f>
        <v>2148</v>
      </c>
      <c r="G24" s="150">
        <f>F24</f>
        <v>2148</v>
      </c>
      <c r="H24" s="151">
        <f>G24</f>
        <v>2148</v>
      </c>
      <c r="I24" s="174"/>
      <c r="J24" s="590"/>
      <c r="K24" s="591"/>
      <c r="L24" s="591"/>
      <c r="M24" s="592"/>
      <c r="N24" s="103"/>
      <c r="O24" s="585" t="s">
        <v>35</v>
      </c>
      <c r="P24" s="586"/>
      <c r="Q24" s="152">
        <v>11.6</v>
      </c>
      <c r="R24" s="152">
        <v>11.35</v>
      </c>
      <c r="S24" s="153">
        <v>11.65</v>
      </c>
      <c r="T24" s="174"/>
      <c r="U24" s="112">
        <v>0.05</v>
      </c>
      <c r="V24" s="113">
        <f>U24*25.4</f>
        <v>1.27</v>
      </c>
      <c r="W24" s="581">
        <f>AI24</f>
        <v>0.253</v>
      </c>
      <c r="X24" s="582"/>
      <c r="Y24" s="449">
        <f>((W24/19.32)*10)</f>
        <v>0.13095238095238096</v>
      </c>
      <c r="Z24" s="450"/>
      <c r="AA24" s="581">
        <v>0.17599999999999999</v>
      </c>
      <c r="AB24" s="582"/>
      <c r="AC24" s="449">
        <f>((AA24/19.32)*10)</f>
        <v>9.1097308488612833E-2</v>
      </c>
      <c r="AD24" s="450"/>
      <c r="AE24" s="581">
        <f>AK24</f>
        <v>0.12483552631578947</v>
      </c>
      <c r="AF24" s="582"/>
      <c r="AG24" s="114">
        <f>((AE24/19.32)*10)</f>
        <v>6.4614661654135333E-2</v>
      </c>
      <c r="AH24" s="104"/>
      <c r="AI24" s="42">
        <f t="shared" si="0"/>
        <v>0.253</v>
      </c>
      <c r="AJ24" s="42">
        <f t="shared" si="1"/>
        <v>0.16644736842105262</v>
      </c>
      <c r="AK24" s="42">
        <f t="shared" si="2"/>
        <v>0.12483552631578947</v>
      </c>
      <c r="AO24" s="42">
        <v>0.68400000000000005</v>
      </c>
      <c r="AS24" s="42">
        <f t="shared" si="3"/>
        <v>0.55609756097560981</v>
      </c>
    </row>
    <row r="25" spans="1:45" ht="24.95" customHeight="1" thickBot="1" x14ac:dyDescent="0.3">
      <c r="A25" s="103"/>
      <c r="B25" s="602" t="s">
        <v>69</v>
      </c>
      <c r="C25" s="603"/>
      <c r="D25" s="603"/>
      <c r="E25" s="115">
        <f>E22-E23</f>
        <v>4177</v>
      </c>
      <c r="F25" s="115">
        <f>F22-F23</f>
        <v>4526</v>
      </c>
      <c r="G25" s="115">
        <f>G22-G23</f>
        <v>4626</v>
      </c>
      <c r="H25" s="116">
        <f>H22-H23</f>
        <v>4220</v>
      </c>
      <c r="I25" s="174"/>
      <c r="J25" s="174" t="s">
        <v>127</v>
      </c>
      <c r="K25" s="174"/>
      <c r="L25" s="218" t="s">
        <v>128</v>
      </c>
      <c r="M25" s="246">
        <v>9.26</v>
      </c>
      <c r="N25" s="103"/>
      <c r="O25" s="604" t="s">
        <v>46</v>
      </c>
      <c r="P25" s="605"/>
      <c r="Q25" s="608">
        <v>15.25</v>
      </c>
      <c r="R25" s="608">
        <v>15.25</v>
      </c>
      <c r="S25" s="610">
        <v>15.29</v>
      </c>
      <c r="T25" s="174"/>
      <c r="U25" s="112">
        <v>7.4999999999999997E-2</v>
      </c>
      <c r="V25" s="113">
        <f>U25*25.4</f>
        <v>1.9049999999999998</v>
      </c>
      <c r="W25" s="581">
        <f>AI25</f>
        <v>0.34200000000000003</v>
      </c>
      <c r="X25" s="582"/>
      <c r="Y25" s="449">
        <f>((W25/19.32)*10)</f>
        <v>0.17701863354037267</v>
      </c>
      <c r="Z25" s="450"/>
      <c r="AA25" s="581">
        <v>0.23699999999999999</v>
      </c>
      <c r="AB25" s="582"/>
      <c r="AC25" s="449">
        <f>((AA25/19.32)*10)</f>
        <v>0.12267080745341614</v>
      </c>
      <c r="AD25" s="450"/>
      <c r="AE25" s="581">
        <f>AK25</f>
        <v>0.16875000000000001</v>
      </c>
      <c r="AF25" s="582"/>
      <c r="AG25" s="114">
        <f>((AE25/19.32)*10)</f>
        <v>8.7344720496894415E-2</v>
      </c>
      <c r="AH25" s="104"/>
      <c r="AI25" s="42">
        <f t="shared" si="0"/>
        <v>0.34200000000000003</v>
      </c>
      <c r="AJ25" s="42">
        <f t="shared" si="1"/>
        <v>0.22500000000000001</v>
      </c>
      <c r="AK25" s="42">
        <f t="shared" si="2"/>
        <v>0.16875000000000001</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9.26</v>
      </c>
      <c r="N26" s="103"/>
      <c r="O26" s="606"/>
      <c r="P26" s="607"/>
      <c r="Q26" s="609"/>
      <c r="R26" s="609"/>
      <c r="S26" s="611"/>
      <c r="T26" s="174"/>
      <c r="U26" s="600">
        <v>0.1</v>
      </c>
      <c r="V26" s="601">
        <f>U26*25.4</f>
        <v>2.54</v>
      </c>
      <c r="W26" s="778">
        <f>AI26</f>
        <v>0.41099999999999998</v>
      </c>
      <c r="X26" s="779"/>
      <c r="Y26" s="461">
        <f>((W26/19.32)*10)</f>
        <v>0.21273291925465837</v>
      </c>
      <c r="Z26" s="462"/>
      <c r="AA26" s="746">
        <v>0.29199999999999998</v>
      </c>
      <c r="AB26" s="747"/>
      <c r="AC26" s="461">
        <f>((AA26/19.32)*10)</f>
        <v>0.15113871635610765</v>
      </c>
      <c r="AD26" s="462"/>
      <c r="AE26" s="746">
        <f>AK26</f>
        <v>0.20279605263157893</v>
      </c>
      <c r="AF26" s="747"/>
      <c r="AG26" s="469">
        <f>((AE26/19.32)*10)</f>
        <v>0.10496690094802223</v>
      </c>
      <c r="AH26" s="104"/>
      <c r="AI26" s="42">
        <f t="shared" si="0"/>
        <v>0.41099999999999998</v>
      </c>
      <c r="AJ26" s="42">
        <f t="shared" si="1"/>
        <v>0.27039473684210524</v>
      </c>
      <c r="AK26" s="42">
        <f t="shared" si="2"/>
        <v>0.20279605263157893</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2073.1247202576014</v>
      </c>
      <c r="S27" s="153">
        <f>(PI()*((S25^2)/4)*S24)</f>
        <v>2139.0984722882704</v>
      </c>
      <c r="T27" s="174"/>
      <c r="U27" s="600"/>
      <c r="V27" s="601"/>
      <c r="W27" s="780"/>
      <c r="X27" s="781"/>
      <c r="Y27" s="463"/>
      <c r="Z27" s="464"/>
      <c r="AA27" s="748"/>
      <c r="AB27" s="749"/>
      <c r="AC27" s="463"/>
      <c r="AD27" s="464"/>
      <c r="AE27" s="748"/>
      <c r="AF27" s="749"/>
      <c r="AG27" s="470"/>
      <c r="AH27" s="193"/>
      <c r="AI27" s="42">
        <f t="shared" si="0"/>
        <v>0.48699999999999999</v>
      </c>
      <c r="AJ27" s="42">
        <f t="shared" si="1"/>
        <v>0.32039473684210523</v>
      </c>
      <c r="AK27" s="42">
        <f t="shared" si="2"/>
        <v>0.24029605263157894</v>
      </c>
      <c r="AO27" s="42">
        <v>2.387</v>
      </c>
      <c r="AS27" s="42">
        <f t="shared" si="3"/>
        <v>1.9406504065040651</v>
      </c>
    </row>
    <row r="28" spans="1:45" ht="24.95" customHeight="1" thickBot="1" x14ac:dyDescent="0.3">
      <c r="A28" s="103"/>
      <c r="B28" s="560" t="s">
        <v>9</v>
      </c>
      <c r="C28" s="561"/>
      <c r="D28" s="561"/>
      <c r="E28" s="148">
        <v>355</v>
      </c>
      <c r="F28" s="148">
        <v>340</v>
      </c>
      <c r="G28" s="148">
        <v>312</v>
      </c>
      <c r="H28" s="149">
        <v>384</v>
      </c>
      <c r="I28" s="174"/>
      <c r="J28" s="597" t="s">
        <v>107</v>
      </c>
      <c r="K28" s="597"/>
      <c r="L28" s="562" t="s">
        <v>119</v>
      </c>
      <c r="M28" s="459">
        <f>IF(M26="","",(100-M26))</f>
        <v>90.74</v>
      </c>
      <c r="N28" s="103"/>
      <c r="O28" s="625" t="s">
        <v>136</v>
      </c>
      <c r="P28" s="626"/>
      <c r="Q28" s="220">
        <f>Q22-Q23</f>
        <v>4522</v>
      </c>
      <c r="R28" s="220">
        <f>R22-R23</f>
        <v>4197</v>
      </c>
      <c r="S28" s="220">
        <f>S22-S23</f>
        <v>4210</v>
      </c>
      <c r="T28" s="174"/>
      <c r="U28" s="627">
        <v>0.125</v>
      </c>
      <c r="V28" s="624">
        <f>U28*25.4</f>
        <v>3.1749999999999998</v>
      </c>
      <c r="W28" s="593">
        <f>AI27</f>
        <v>0.48699999999999999</v>
      </c>
      <c r="X28" s="594"/>
      <c r="Y28" s="439">
        <f>((W28/19.32)*10)</f>
        <v>0.25207039337474119</v>
      </c>
      <c r="Z28" s="440"/>
      <c r="AA28" s="593">
        <v>0.35399999999999998</v>
      </c>
      <c r="AB28" s="594"/>
      <c r="AC28" s="439">
        <f>((AA28/19.32)*10)</f>
        <v>0.18322981366459626</v>
      </c>
      <c r="AD28" s="440"/>
      <c r="AE28" s="593">
        <f>AK27</f>
        <v>0.24029605263157894</v>
      </c>
      <c r="AF28" s="594"/>
      <c r="AG28" s="443">
        <f>((AE28/19.32)*10)</f>
        <v>0.12437683883622098</v>
      </c>
      <c r="AH28" s="104"/>
      <c r="AI28" s="42">
        <f t="shared" si="0"/>
        <v>0.55400000000000005</v>
      </c>
      <c r="AJ28" s="42">
        <f t="shared" si="1"/>
        <v>0.36447368421052634</v>
      </c>
      <c r="AK28" s="42">
        <f t="shared" si="2"/>
        <v>0.27335526315789477</v>
      </c>
      <c r="AO28" s="42">
        <v>2.8959999999999999</v>
      </c>
      <c r="AS28" s="42">
        <f t="shared" si="3"/>
        <v>2.3544715447154472</v>
      </c>
    </row>
    <row r="29" spans="1:45" ht="5.0999999999999996" customHeight="1" thickBot="1" x14ac:dyDescent="0.3">
      <c r="A29" s="103"/>
      <c r="B29" s="612" t="s">
        <v>73</v>
      </c>
      <c r="C29" s="613"/>
      <c r="D29" s="614"/>
      <c r="E29" s="618">
        <v>978.19</v>
      </c>
      <c r="F29" s="618">
        <v>904.65</v>
      </c>
      <c r="G29" s="618">
        <v>765.56</v>
      </c>
      <c r="H29" s="620">
        <v>832.96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0.61299999999999999</v>
      </c>
      <c r="AJ29" s="42">
        <f t="shared" si="1"/>
        <v>0.40328947368421053</v>
      </c>
      <c r="AK29" s="42">
        <f t="shared" si="2"/>
        <v>0.3024671052631579</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19.311010986754969</v>
      </c>
      <c r="N30" s="103"/>
      <c r="O30" s="622" t="s">
        <v>134</v>
      </c>
      <c r="P30" s="623"/>
      <c r="Q30" s="229">
        <f>Q28/Q27</f>
        <v>2.134238746088799</v>
      </c>
      <c r="R30" s="229">
        <f>R28/R27</f>
        <v>2.0244802249420339</v>
      </c>
      <c r="S30" s="131">
        <f>S28/S27</f>
        <v>1.9681188381647583</v>
      </c>
      <c r="T30" s="174"/>
      <c r="U30" s="120">
        <v>0.15</v>
      </c>
      <c r="V30" s="113">
        <f>U30*25.4</f>
        <v>3.8099999999999996</v>
      </c>
      <c r="W30" s="581">
        <f>AI28</f>
        <v>0.55400000000000005</v>
      </c>
      <c r="X30" s="582"/>
      <c r="Y30" s="449">
        <f>((W30/19.32)*10)</f>
        <v>0.28674948240165632</v>
      </c>
      <c r="Z30" s="450"/>
      <c r="AA30" s="581">
        <v>0.39700000000000002</v>
      </c>
      <c r="AB30" s="582"/>
      <c r="AC30" s="449">
        <f>((AA30/19.32)*10)</f>
        <v>0.20548654244306419</v>
      </c>
      <c r="AD30" s="450"/>
      <c r="AE30" s="581">
        <f>AK28</f>
        <v>0.27335526315789477</v>
      </c>
      <c r="AF30" s="582"/>
      <c r="AG30" s="114">
        <f>((AE30/19.32)*10)</f>
        <v>0.1414882314481857</v>
      </c>
      <c r="AH30" s="104"/>
      <c r="AI30" s="42">
        <f t="shared" si="0"/>
        <v>0.65900000000000003</v>
      </c>
      <c r="AJ30" s="42">
        <f t="shared" si="1"/>
        <v>0.43355263157894736</v>
      </c>
      <c r="AK30" s="42">
        <f t="shared" si="2"/>
        <v>0.32516447368421053</v>
      </c>
      <c r="AO30" s="42">
        <v>3.8439999999999999</v>
      </c>
      <c r="AS30" s="42">
        <f t="shared" si="3"/>
        <v>3.1252032520325201</v>
      </c>
    </row>
    <row r="31" spans="1:45" ht="24.95" customHeight="1" thickBot="1" x14ac:dyDescent="0.3">
      <c r="A31" s="103"/>
      <c r="B31" s="576" t="s">
        <v>74</v>
      </c>
      <c r="C31" s="577"/>
      <c r="D31" s="577"/>
      <c r="E31" s="152">
        <v>922.34</v>
      </c>
      <c r="F31" s="152">
        <v>839.8</v>
      </c>
      <c r="G31" s="152">
        <v>695.04</v>
      </c>
      <c r="H31" s="153">
        <v>743.77</v>
      </c>
      <c r="I31" s="174"/>
      <c r="J31" s="597" t="s">
        <v>138</v>
      </c>
      <c r="K31" s="597"/>
      <c r="L31" s="562" t="s">
        <v>116</v>
      </c>
      <c r="M31" s="457">
        <f>IF(M25="","",S82)</f>
        <v>2.7120000000000002</v>
      </c>
      <c r="N31" s="121"/>
      <c r="O31" s="628" t="s">
        <v>135</v>
      </c>
      <c r="P31" s="629"/>
      <c r="Q31" s="122">
        <f>Q30/(1+Q40/100)</f>
        <v>1.9365935211320153</v>
      </c>
      <c r="R31" s="122">
        <f>R30/(1+R40/100)</f>
        <v>1.8284811847870373</v>
      </c>
      <c r="S31" s="123">
        <f>S30/(1+S40/100)</f>
        <v>1.7810160201636152</v>
      </c>
      <c r="T31" s="174"/>
      <c r="U31" s="627">
        <v>0.17499999999999999</v>
      </c>
      <c r="V31" s="624">
        <f>U31*25.4</f>
        <v>4.4449999999999994</v>
      </c>
      <c r="W31" s="593">
        <f>AI29</f>
        <v>0.61299999999999999</v>
      </c>
      <c r="X31" s="594"/>
      <c r="Y31" s="439">
        <f>((W31/19.32)*10)</f>
        <v>0.31728778467908897</v>
      </c>
      <c r="Z31" s="440"/>
      <c r="AA31" s="593">
        <v>0.436</v>
      </c>
      <c r="AB31" s="594"/>
      <c r="AC31" s="439">
        <f>((AA31/19.32)*10)</f>
        <v>0.22567287784679088</v>
      </c>
      <c r="AD31" s="440"/>
      <c r="AE31" s="593">
        <f>AK29</f>
        <v>0.3024671052631579</v>
      </c>
      <c r="AF31" s="594"/>
      <c r="AG31" s="443">
        <f>((AE31/19.32)*10)</f>
        <v>0.15655647270349787</v>
      </c>
      <c r="AH31" s="104"/>
      <c r="AI31" s="42">
        <f t="shared" si="0"/>
        <v>0.83699999999999997</v>
      </c>
      <c r="AJ31" s="42">
        <f t="shared" si="1"/>
        <v>0.55065789473684212</v>
      </c>
      <c r="AK31" s="42">
        <f t="shared" si="2"/>
        <v>0.41299342105263159</v>
      </c>
      <c r="AO31" s="42">
        <v>5.516</v>
      </c>
      <c r="AS31" s="42">
        <f t="shared" si="3"/>
        <v>4.4845528455284551</v>
      </c>
    </row>
    <row r="32" spans="1:45" ht="5.0999999999999996" customHeight="1" thickBot="1" x14ac:dyDescent="0.3">
      <c r="A32" s="103"/>
      <c r="B32" s="612" t="s">
        <v>75</v>
      </c>
      <c r="C32" s="613"/>
      <c r="D32" s="614"/>
      <c r="E32" s="618">
        <v>105.56</v>
      </c>
      <c r="F32" s="618">
        <v>119.91</v>
      </c>
      <c r="G32" s="618">
        <v>102.22</v>
      </c>
      <c r="H32" s="620">
        <v>101.44</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1</v>
      </c>
      <c r="AJ32" s="42">
        <f t="shared" si="1"/>
        <v>0.65789473684210531</v>
      </c>
      <c r="AK32" s="42">
        <f t="shared" si="2"/>
        <v>0.49342105263157898</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0.65900000000000003</v>
      </c>
      <c r="X33" s="582"/>
      <c r="Y33" s="449">
        <f>((W33/19.32)*10)</f>
        <v>0.34109730848861286</v>
      </c>
      <c r="Z33" s="450"/>
      <c r="AA33" s="581">
        <v>0.46800000000000003</v>
      </c>
      <c r="AB33" s="582"/>
      <c r="AC33" s="449">
        <f>((AA33/19.32)*10)</f>
        <v>0.24223602484472051</v>
      </c>
      <c r="AD33" s="450"/>
      <c r="AE33" s="581">
        <f>AK30</f>
        <v>0.32516447368421053</v>
      </c>
      <c r="AF33" s="582"/>
      <c r="AG33" s="144">
        <f>((AE33/19.32)*10)</f>
        <v>0.16830459300424977</v>
      </c>
      <c r="AH33" s="104"/>
      <c r="AI33" s="42">
        <f t="shared" si="0"/>
        <v>1.1830000000000001</v>
      </c>
      <c r="AJ33" s="42">
        <f t="shared" si="1"/>
        <v>0.77828947368421053</v>
      </c>
      <c r="AK33" s="42">
        <f>AJ33*0.75</f>
        <v>0.5837171052631579</v>
      </c>
      <c r="AO33" s="42">
        <v>7.7720000000000002</v>
      </c>
      <c r="AS33" s="42">
        <f t="shared" si="3"/>
        <v>6.3186991869918705</v>
      </c>
    </row>
    <row r="34" spans="1:45" ht="24.95" customHeight="1" thickBot="1" x14ac:dyDescent="0.3">
      <c r="A34" s="103"/>
      <c r="B34" s="602" t="s">
        <v>10</v>
      </c>
      <c r="C34" s="603"/>
      <c r="D34" s="603"/>
      <c r="E34" s="125">
        <f>((E29-E31)/(E31-E32))*100</f>
        <v>6.8378265873307402</v>
      </c>
      <c r="F34" s="125">
        <f>((F29-F31)/(F31-F32))*100</f>
        <v>9.0083207156648974</v>
      </c>
      <c r="G34" s="125">
        <f>((G29-G31)/(G31-G32))*100</f>
        <v>11.895685030869402</v>
      </c>
      <c r="H34" s="126">
        <f>((H29-H31)/(H31-H32))*100</f>
        <v>13.885386016533568</v>
      </c>
      <c r="I34" s="174"/>
      <c r="J34" s="630" t="s">
        <v>125</v>
      </c>
      <c r="K34" s="630"/>
      <c r="L34" s="184" t="s">
        <v>126</v>
      </c>
      <c r="M34" s="245">
        <v>2.6</v>
      </c>
      <c r="N34" s="128"/>
      <c r="O34" s="631" t="s">
        <v>9</v>
      </c>
      <c r="P34" s="632"/>
      <c r="Q34" s="156">
        <v>314</v>
      </c>
      <c r="R34" s="156">
        <v>309</v>
      </c>
      <c r="S34" s="157">
        <v>310</v>
      </c>
      <c r="T34" s="174"/>
      <c r="U34" s="120">
        <v>0.3</v>
      </c>
      <c r="V34" s="113">
        <f>U34*25.4</f>
        <v>7.6199999999999992</v>
      </c>
      <c r="W34" s="581">
        <f>AI31</f>
        <v>0.83699999999999997</v>
      </c>
      <c r="X34" s="582"/>
      <c r="Y34" s="449">
        <f>((W34/19.32)*10)</f>
        <v>0.43322981366459623</v>
      </c>
      <c r="Z34" s="450"/>
      <c r="AA34" s="449">
        <v>0.57499999999999996</v>
      </c>
      <c r="AB34" s="450"/>
      <c r="AC34" s="449">
        <f>((AA34/19.32)*10)</f>
        <v>0.29761904761904762</v>
      </c>
      <c r="AD34" s="450"/>
      <c r="AE34" s="581">
        <v>0.38700000000000001</v>
      </c>
      <c r="AF34" s="582"/>
      <c r="AG34" s="114">
        <f>((AE34/19.32)*10)</f>
        <v>0.2003105590062112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747.88</v>
      </c>
      <c r="R35" s="608">
        <v>825.41</v>
      </c>
      <c r="S35" s="620">
        <v>699.6</v>
      </c>
      <c r="T35" s="174"/>
      <c r="U35" s="627">
        <v>0.4</v>
      </c>
      <c r="V35" s="624">
        <f>U35*25.4</f>
        <v>10.16</v>
      </c>
      <c r="W35" s="593">
        <f>AI32</f>
        <v>1</v>
      </c>
      <c r="X35" s="594"/>
      <c r="Y35" s="439">
        <f>((W35/19.32)*10)</f>
        <v>0.51759834368530022</v>
      </c>
      <c r="Z35" s="440"/>
      <c r="AA35" s="593">
        <v>0.68700000000000006</v>
      </c>
      <c r="AB35" s="594"/>
      <c r="AC35" s="439">
        <f>(AA35/19.32)*10</f>
        <v>0.35559006211180127</v>
      </c>
      <c r="AD35" s="440"/>
      <c r="AE35" s="593">
        <v>0.436</v>
      </c>
      <c r="AF35" s="594"/>
      <c r="AG35" s="443">
        <f>((AE35/19.32)*10)</f>
        <v>0.22567287784679088</v>
      </c>
      <c r="AH35" s="104"/>
      <c r="AS35" s="42">
        <f t="shared" si="3"/>
        <v>0</v>
      </c>
    </row>
    <row r="36" spans="1:45" ht="20.100000000000001" customHeight="1" thickBot="1" x14ac:dyDescent="0.3">
      <c r="A36" s="103"/>
      <c r="B36" s="639" t="s">
        <v>71</v>
      </c>
      <c r="C36" s="640"/>
      <c r="D36" s="640"/>
      <c r="E36" s="130">
        <f>E25/E24</f>
        <v>1.9445996275605215</v>
      </c>
      <c r="F36" s="130">
        <f>F25/F24</f>
        <v>2.1070763500931098</v>
      </c>
      <c r="G36" s="130">
        <f>G25/G24</f>
        <v>2.1536312849162011</v>
      </c>
      <c r="H36" s="131">
        <f>H25/H24</f>
        <v>1.9646182495344506</v>
      </c>
      <c r="I36" s="174"/>
      <c r="J36" s="634" t="s">
        <v>102</v>
      </c>
      <c r="K36" s="635"/>
      <c r="L36" s="635"/>
      <c r="M36" s="636"/>
      <c r="N36" s="101"/>
      <c r="O36" s="615"/>
      <c r="P36" s="617"/>
      <c r="Q36" s="609"/>
      <c r="R36" s="609"/>
      <c r="S36" s="62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1.8201415076250904</v>
      </c>
      <c r="F37" s="230">
        <f>F36/(1+F34/100)</f>
        <v>1.9329500135949851</v>
      </c>
      <c r="G37" s="230">
        <f>G36/(1+G34/100)</f>
        <v>1.9246776891549167</v>
      </c>
      <c r="H37" s="123">
        <f>H36/(1+H34/100)</f>
        <v>1.725083716403466</v>
      </c>
      <c r="I37" s="174"/>
      <c r="J37" s="641" t="s">
        <v>139</v>
      </c>
      <c r="K37" s="641"/>
      <c r="L37" s="643" t="s">
        <v>121</v>
      </c>
      <c r="M37" s="433">
        <f>IF(F74="","",(M42^2*F74+M42*F75+F76))</f>
        <v>1.9685026490066226</v>
      </c>
      <c r="N37" s="101"/>
      <c r="O37" s="576" t="s">
        <v>28</v>
      </c>
      <c r="P37" s="577"/>
      <c r="Q37" s="150">
        <v>687.93</v>
      </c>
      <c r="R37" s="152">
        <v>756.45</v>
      </c>
      <c r="S37" s="153">
        <v>642.77</v>
      </c>
      <c r="T37" s="174"/>
      <c r="U37" s="132">
        <v>0.5</v>
      </c>
      <c r="V37" s="133">
        <f>U37*25.4</f>
        <v>12.7</v>
      </c>
      <c r="W37" s="637">
        <f>AI33</f>
        <v>1.1830000000000001</v>
      </c>
      <c r="X37" s="638"/>
      <c r="Y37" s="431">
        <f>((W37/19.32)*10)</f>
        <v>0.6123188405797102</v>
      </c>
      <c r="Z37" s="432"/>
      <c r="AA37" s="637">
        <f>AJ33</f>
        <v>0.77828947368421053</v>
      </c>
      <c r="AB37" s="638"/>
      <c r="AC37" s="431">
        <f>((AA37/19.32)*10)</f>
        <v>0.40284134248665143</v>
      </c>
      <c r="AD37" s="432"/>
      <c r="AE37" s="637">
        <v>0.47799999999999998</v>
      </c>
      <c r="AF37" s="638"/>
      <c r="AG37" s="134">
        <f>((AE37/19.32)*10)</f>
        <v>0.2474120082815735</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100.52</v>
      </c>
      <c r="R38" s="647">
        <v>113.12</v>
      </c>
      <c r="S38" s="648">
        <v>101.81</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2.0197774818233327</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19.311010986754969</v>
      </c>
      <c r="N40" s="103"/>
      <c r="O40" s="628" t="s">
        <v>10</v>
      </c>
      <c r="P40" s="629"/>
      <c r="Q40" s="125">
        <f>((Q35-Q37)/(Q37-Q38))*100</f>
        <v>10.205818763725514</v>
      </c>
      <c r="R40" s="125">
        <f>((R35-R37)/(R37-R38))*100</f>
        <v>10.719226524489752</v>
      </c>
      <c r="S40" s="126">
        <f>((S35-S37)/(S37-S38))*100</f>
        <v>10.505397811298439</v>
      </c>
      <c r="T40" s="174"/>
      <c r="U40" s="645" t="s">
        <v>151</v>
      </c>
      <c r="V40" s="646"/>
      <c r="W40" s="423">
        <f>(AM79/6.9)*100</f>
        <v>3.0830857862993963</v>
      </c>
      <c r="X40" s="423"/>
      <c r="Y40" s="423"/>
      <c r="Z40" s="424"/>
      <c r="AA40" s="425">
        <f>(AO79/6.9)*100</f>
        <v>2.190416179074024</v>
      </c>
      <c r="AB40" s="426"/>
      <c r="AC40" s="427"/>
      <c r="AD40" s="425">
        <f>(AQ79/6.9)*100</f>
        <v>1.5212594340293075</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19.814017096686893</v>
      </c>
      <c r="N41" s="138"/>
      <c r="O41" s="565" t="s">
        <v>36</v>
      </c>
      <c r="P41" s="566"/>
      <c r="Q41" s="566"/>
      <c r="R41" s="566"/>
      <c r="S41" s="567"/>
      <c r="T41" s="174"/>
      <c r="U41" s="653" t="s">
        <v>152</v>
      </c>
      <c r="V41" s="654"/>
      <c r="W41" s="418">
        <f>(AM83/10.3)*100</f>
        <v>3.3116243542583774</v>
      </c>
      <c r="X41" s="418"/>
      <c r="Y41" s="418"/>
      <c r="Z41" s="419"/>
      <c r="AA41" s="420">
        <f>(AO83/10.3)*100</f>
        <v>2.3518060664535971</v>
      </c>
      <c r="AB41" s="421"/>
      <c r="AC41" s="418"/>
      <c r="AD41" s="420">
        <f>(AQ83/10.3)*100</f>
        <v>1.6340251747985413</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10.013245033112582</v>
      </c>
      <c r="N42" s="103"/>
      <c r="O42" s="639" t="s">
        <v>9</v>
      </c>
      <c r="P42" s="640"/>
      <c r="Q42" s="148">
        <v>356</v>
      </c>
      <c r="R42" s="148">
        <v>351</v>
      </c>
      <c r="S42" s="149">
        <v>356</v>
      </c>
      <c r="T42" s="174"/>
      <c r="U42" s="651" t="s">
        <v>42</v>
      </c>
      <c r="V42" s="652"/>
      <c r="W42" s="413">
        <f>IF(W40&lt;W41,W40,W41)</f>
        <v>3.0830857862993963</v>
      </c>
      <c r="X42" s="414"/>
      <c r="Y42" s="414"/>
      <c r="Z42" s="415"/>
      <c r="AA42" s="416">
        <f>IF(AA40&lt;AA41,AA40,AA41)</f>
        <v>2.190416179074024</v>
      </c>
      <c r="AB42" s="414"/>
      <c r="AC42" s="415"/>
      <c r="AD42" s="416">
        <f>IF(AD40&lt;AD41,AD40,AD41)</f>
        <v>1.5212594340293075</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7.8599337748344364</v>
      </c>
      <c r="N43" s="103"/>
      <c r="O43" s="612" t="s">
        <v>49</v>
      </c>
      <c r="P43" s="614"/>
      <c r="Q43" s="618">
        <v>1060.79</v>
      </c>
      <c r="R43" s="608">
        <v>978.16</v>
      </c>
      <c r="S43" s="610">
        <v>809.41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905.12</v>
      </c>
      <c r="R45" s="150">
        <v>821.65</v>
      </c>
      <c r="S45" s="151">
        <v>675.65</v>
      </c>
      <c r="T45" s="174"/>
      <c r="U45" s="656" t="s">
        <v>139</v>
      </c>
      <c r="V45" s="656"/>
      <c r="W45" s="179" t="s">
        <v>121</v>
      </c>
      <c r="X45" s="406">
        <f>MAX(M37:M39)</f>
        <v>2.0197774818233327</v>
      </c>
      <c r="Y45" s="406"/>
      <c r="Z45" s="406"/>
      <c r="AA45" s="174"/>
      <c r="AB45" s="657" t="s">
        <v>31</v>
      </c>
      <c r="AC45" s="658"/>
      <c r="AD45" s="658"/>
      <c r="AE45" s="658"/>
      <c r="AF45" s="231">
        <v>1.8499999999999999E-2</v>
      </c>
      <c r="AG45" s="231">
        <v>0.126</v>
      </c>
      <c r="AH45" s="233">
        <v>9.7500000000000003E-2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103.3</v>
      </c>
      <c r="R46" s="152">
        <v>103.95</v>
      </c>
      <c r="S46" s="153">
        <v>103.3</v>
      </c>
      <c r="T46" s="174"/>
      <c r="U46" s="555" t="s">
        <v>123</v>
      </c>
      <c r="V46" s="555"/>
      <c r="W46" s="179" t="s">
        <v>41</v>
      </c>
      <c r="X46" s="401">
        <f>MIN(M42:M44)</f>
        <v>7.8599337748344364</v>
      </c>
      <c r="Y46" s="401"/>
      <c r="Z46" s="401"/>
      <c r="AA46" s="174"/>
      <c r="AB46" s="660" t="s">
        <v>32</v>
      </c>
      <c r="AC46" s="661"/>
      <c r="AD46" s="661"/>
      <c r="AE46" s="661"/>
      <c r="AF46" s="234">
        <v>0.2195</v>
      </c>
      <c r="AG46" s="234">
        <v>0.34749999999999998</v>
      </c>
      <c r="AH46" s="235">
        <v>0.34399999999999997</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19.41458182634506</v>
      </c>
      <c r="R47" s="125">
        <f>((R43-R45)/(R45-R46))*100</f>
        <v>21.807161766754913</v>
      </c>
      <c r="S47" s="126">
        <f>((S43-S45)/(S45-S46))*100</f>
        <v>23.370315366471562</v>
      </c>
      <c r="T47" s="174"/>
      <c r="U47" s="555" t="s">
        <v>162</v>
      </c>
      <c r="V47" s="555"/>
      <c r="W47" s="179" t="s">
        <v>41</v>
      </c>
      <c r="X47" s="402">
        <f>IF(L25=D103,"-",IF(L25=D102,"-",IF(L25=D101,M25)))</f>
        <v>9.26</v>
      </c>
      <c r="Y47" s="402"/>
      <c r="Z47" s="402"/>
      <c r="AA47" s="174"/>
      <c r="AB47" s="662" t="s">
        <v>33</v>
      </c>
      <c r="AC47" s="663"/>
      <c r="AD47" s="663"/>
      <c r="AE47" s="663"/>
      <c r="AF47" s="232">
        <f>(AF46-AF45)*2.54</f>
        <v>0.51053999999999999</v>
      </c>
      <c r="AG47" s="232">
        <f>(AG46-AG45)*2.54</f>
        <v>0.56260999999999994</v>
      </c>
      <c r="AH47" s="239">
        <f>(AH46-AH45)*2.54</f>
        <v>0.62610999999999994</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4.4012068965517246</v>
      </c>
      <c r="AG48" s="142">
        <f>IF(AG47&lt;&gt;"",IF(R24&lt;&gt;"",AG47/R24*100,""),"")</f>
        <v>4.9569162995594711</v>
      </c>
      <c r="AH48" s="173">
        <f>IF(AH47&lt;&gt;"",IF(S24&lt;&gt;"",AH47/S24*100,""),"")</f>
        <v>5.3743347639484966</v>
      </c>
    </row>
    <row r="49" spans="1:37"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7"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0.05</v>
      </c>
      <c r="AK50" s="42">
        <v>0.05</v>
      </c>
    </row>
    <row r="51" spans="1:37"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0.155</v>
      </c>
      <c r="AK51" s="42">
        <v>0.155</v>
      </c>
    </row>
    <row r="52" spans="1:37"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0.253</v>
      </c>
      <c r="AK52" s="42">
        <v>0.253</v>
      </c>
    </row>
    <row r="53" spans="1:37"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0.34200000000000003</v>
      </c>
      <c r="AK53" s="42">
        <v>0.34200000000000003</v>
      </c>
    </row>
    <row r="54" spans="1:37"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0.41099999999999998</v>
      </c>
      <c r="AK54" s="42">
        <v>0.41099999999999998</v>
      </c>
    </row>
    <row r="55" spans="1:37"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0.48699999999999999</v>
      </c>
      <c r="AK55" s="42">
        <v>0.48699999999999999</v>
      </c>
    </row>
    <row r="56" spans="1:37"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0.55400000000000005</v>
      </c>
      <c r="AK56" s="42">
        <v>0.55400000000000005</v>
      </c>
    </row>
    <row r="57" spans="1:37"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0.61299999999999999</v>
      </c>
      <c r="AK57" s="42">
        <v>0.61299999999999999</v>
      </c>
    </row>
    <row r="58" spans="1:37"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0.65900000000000003</v>
      </c>
      <c r="AK58" s="42">
        <v>0.65900000000000003</v>
      </c>
    </row>
    <row r="59" spans="1:37"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0.83699999999999997</v>
      </c>
      <c r="AK59" s="42">
        <v>0.83699999999999997</v>
      </c>
    </row>
    <row r="60" spans="1:37"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v>
      </c>
      <c r="AK60" s="42">
        <v>1</v>
      </c>
    </row>
    <row r="61" spans="1:37"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1.1830000000000001</v>
      </c>
      <c r="AK61" s="42">
        <v>1.1830000000000001</v>
      </c>
    </row>
    <row r="62" spans="1:37"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7"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7"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-1.5100000000000001E-2</v>
      </c>
      <c r="G74" s="75">
        <v>-0.12509999999999999</v>
      </c>
      <c r="J74" s="701"/>
      <c r="K74" s="702"/>
      <c r="L74" s="44"/>
      <c r="M74" s="44"/>
      <c r="N74" s="44"/>
    </row>
    <row r="75" spans="1:94" ht="26.25" customHeight="1" thickBot="1" x14ac:dyDescent="0.3">
      <c r="A75" s="11"/>
      <c r="B75" s="377" t="s">
        <v>113</v>
      </c>
      <c r="C75" s="377"/>
      <c r="D75" s="19"/>
      <c r="E75" s="54" t="s">
        <v>12</v>
      </c>
      <c r="F75" s="55">
        <v>0.3024</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0.45450000000000002</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0.155</v>
      </c>
      <c r="AM76" s="3">
        <f t="shared" si="4"/>
        <v>8.0227743271221535E-2</v>
      </c>
      <c r="AN76" s="5">
        <f>AA23</f>
        <v>9.8000000000000004E-2</v>
      </c>
      <c r="AO76" s="3">
        <f t="shared" ref="AO76:AO86" si="7">((AN76/19.32)*10)</f>
        <v>5.0724637681159424E-2</v>
      </c>
      <c r="AP76" s="5">
        <f>AE23</f>
        <v>7.6480263157894732E-2</v>
      </c>
      <c r="AQ76" s="161">
        <f t="shared" si="5"/>
        <v>3.9586057535142202E-2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0.253</v>
      </c>
      <c r="AM77" s="3">
        <f t="shared" si="4"/>
        <v>0.13095238095238096</v>
      </c>
      <c r="AN77" s="5">
        <f>AA24</f>
        <v>0.17599999999999999</v>
      </c>
      <c r="AO77" s="3">
        <f t="shared" si="7"/>
        <v>9.1097308488612833E-2</v>
      </c>
      <c r="AP77" s="5">
        <f>AE24</f>
        <v>0.12483552631578947</v>
      </c>
      <c r="AQ77" s="161">
        <f t="shared" si="5"/>
        <v>6.4614661654135333E-2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0.34200000000000003</v>
      </c>
      <c r="AM78" s="3">
        <f t="shared" si="4"/>
        <v>0.17701863354037267</v>
      </c>
      <c r="AN78" s="5">
        <f>AA25</f>
        <v>0.23699999999999999</v>
      </c>
      <c r="AO78" s="3">
        <f t="shared" si="7"/>
        <v>0.12267080745341614</v>
      </c>
      <c r="AP78" s="5">
        <f>AE25</f>
        <v>0.16875000000000001</v>
      </c>
      <c r="AQ78" s="161">
        <f t="shared" si="5"/>
        <v>8.7344720496894415E-2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0.41099999999999998</v>
      </c>
      <c r="AM79" s="4">
        <f t="shared" si="4"/>
        <v>0.21273291925465837</v>
      </c>
      <c r="AN79" s="5">
        <f>AA26</f>
        <v>0.29199999999999998</v>
      </c>
      <c r="AO79" s="4">
        <f t="shared" si="7"/>
        <v>0.15113871635610765</v>
      </c>
      <c r="AP79" s="5">
        <f>AE26</f>
        <v>0.20279605263157893</v>
      </c>
      <c r="AQ79" s="162">
        <f t="shared" si="5"/>
        <v>0.10496690094802223</v>
      </c>
      <c r="BB79" s="12">
        <v>17</v>
      </c>
      <c r="BC79" s="12">
        <v>18</v>
      </c>
    </row>
    <row r="80" spans="1:94" ht="42" customHeight="1" thickTop="1" thickBot="1" x14ac:dyDescent="0.3">
      <c r="D80" s="49"/>
      <c r="H80" s="711" t="s">
        <v>105</v>
      </c>
      <c r="I80" s="712"/>
      <c r="J80" s="58"/>
      <c r="AJ80" s="160">
        <f>U28</f>
        <v>0.125</v>
      </c>
      <c r="AK80" s="3">
        <f t="shared" si="6"/>
        <v>3.1749999999999998</v>
      </c>
      <c r="AL80" s="5">
        <f>W28</f>
        <v>0.48699999999999999</v>
      </c>
      <c r="AM80" s="3">
        <f t="shared" si="4"/>
        <v>0.25207039337474119</v>
      </c>
      <c r="AN80" s="5">
        <f>AA28</f>
        <v>0.35399999999999998</v>
      </c>
      <c r="AO80" s="3">
        <f t="shared" si="7"/>
        <v>0.18322981366459626</v>
      </c>
      <c r="AP80" s="5">
        <f>AE28</f>
        <v>0.24029605263157894</v>
      </c>
      <c r="AQ80" s="161">
        <f t="shared" si="5"/>
        <v>0.12437683883622098</v>
      </c>
      <c r="BC80" s="45">
        <v>0.99880400000000003</v>
      </c>
      <c r="BD80" s="45">
        <v>0.99862499999999998</v>
      </c>
    </row>
    <row r="81" spans="2:43" ht="15.75" customHeight="1" x14ac:dyDescent="0.25">
      <c r="AJ81" s="160">
        <f>U30</f>
        <v>0.15</v>
      </c>
      <c r="AK81" s="3">
        <f t="shared" si="6"/>
        <v>3.8099999999999996</v>
      </c>
      <c r="AL81" s="5">
        <f>W30</f>
        <v>0.55400000000000005</v>
      </c>
      <c r="AM81" s="3">
        <f t="shared" si="4"/>
        <v>0.28674948240165632</v>
      </c>
      <c r="AN81" s="5">
        <f>AA30</f>
        <v>0.39700000000000002</v>
      </c>
      <c r="AO81" s="3">
        <f t="shared" si="7"/>
        <v>0.20548654244306419</v>
      </c>
      <c r="AP81" s="5">
        <f>AE30</f>
        <v>0.27335526315789477</v>
      </c>
      <c r="AQ81" s="161">
        <f t="shared" si="5"/>
        <v>0.1414882314481857</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0.61299999999999999</v>
      </c>
      <c r="AM82" s="3">
        <f t="shared" si="4"/>
        <v>0.31728778467908897</v>
      </c>
      <c r="AN82" s="5">
        <f>AA31</f>
        <v>0.436</v>
      </c>
      <c r="AO82" s="3">
        <f t="shared" si="7"/>
        <v>0.22567287784679088</v>
      </c>
      <c r="AP82" s="5">
        <f>AE31</f>
        <v>0.3024671052631579</v>
      </c>
      <c r="AQ82" s="161">
        <f t="shared" si="5"/>
        <v>0.15655647270349787</v>
      </c>
    </row>
    <row r="83" spans="2:43" ht="15" customHeight="1" x14ac:dyDescent="0.25">
      <c r="B83" s="49"/>
      <c r="C83" s="49"/>
      <c r="D83" s="49">
        <v>0</v>
      </c>
      <c r="E83" s="50">
        <f>M42</f>
        <v>10.013245033112582</v>
      </c>
      <c r="F83" s="49"/>
      <c r="G83" s="43">
        <f>G84/10</f>
        <v>2.1655932681212904</v>
      </c>
      <c r="H83" s="43">
        <f>H84/10</f>
        <v>2.0665744895891955</v>
      </c>
      <c r="I83" s="43">
        <f>I84/10</f>
        <v>1.9480819869822672</v>
      </c>
      <c r="J83" s="43">
        <f>J84/10</f>
        <v>1.8740355995717342</v>
      </c>
      <c r="K83" s="43"/>
      <c r="L83" s="42">
        <v>0</v>
      </c>
      <c r="O83" s="706"/>
      <c r="P83" s="706"/>
      <c r="Q83" s="706"/>
      <c r="R83" s="706"/>
      <c r="S83" s="707"/>
      <c r="W83" s="112"/>
      <c r="AJ83" s="160">
        <f>U33</f>
        <v>0.2</v>
      </c>
      <c r="AK83" s="4">
        <f t="shared" si="6"/>
        <v>5.08</v>
      </c>
      <c r="AL83" s="5">
        <f>W33</f>
        <v>0.65900000000000003</v>
      </c>
      <c r="AM83" s="4">
        <f t="shared" si="4"/>
        <v>0.34109730848861286</v>
      </c>
      <c r="AN83" s="5">
        <f>AA33</f>
        <v>0.46800000000000003</v>
      </c>
      <c r="AO83" s="4">
        <f t="shared" si="7"/>
        <v>0.24223602484472051</v>
      </c>
      <c r="AP83" s="5">
        <f>AE33</f>
        <v>0.32516447368421053</v>
      </c>
      <c r="AQ83" s="162">
        <f t="shared" si="5"/>
        <v>0.16830459300424977</v>
      </c>
    </row>
    <row r="84" spans="2:43" ht="15" customHeight="1" x14ac:dyDescent="0.25">
      <c r="C84" s="94"/>
      <c r="D84" s="94"/>
      <c r="E84" s="94"/>
      <c r="F84" s="49"/>
      <c r="G84" s="43">
        <f>($M$34/(1+(E34*$M$34/100)))*($O$73)</f>
        <v>21.655932681212903</v>
      </c>
      <c r="H84" s="43">
        <f>($M$34/(1+(F34*$M$34/100)))*($O$73)</f>
        <v>20.665744895891955</v>
      </c>
      <c r="I84" s="43">
        <f>($M$34/(1+(G34*$M$34/100)))*($O$73)</f>
        <v>19.480819869822671</v>
      </c>
      <c r="J84" s="43">
        <f>($M$34/(1+(H34*$M$34/100)))*($O$73)</f>
        <v>18.740355995717341</v>
      </c>
      <c r="K84" s="43"/>
      <c r="O84" s="706" t="s">
        <v>146</v>
      </c>
      <c r="P84" s="706"/>
      <c r="Q84" s="706"/>
      <c r="R84" s="706"/>
      <c r="S84" s="707">
        <v>2240</v>
      </c>
      <c r="W84" s="112"/>
      <c r="AJ84" s="160">
        <f>U34</f>
        <v>0.3</v>
      </c>
      <c r="AK84" s="3">
        <f t="shared" si="6"/>
        <v>7.6199999999999992</v>
      </c>
      <c r="AL84" s="5">
        <f>W34</f>
        <v>0.83699999999999997</v>
      </c>
      <c r="AM84" s="3">
        <f t="shared" si="4"/>
        <v>0.43322981366459623</v>
      </c>
      <c r="AN84" s="5">
        <f>AA34</f>
        <v>0.57499999999999996</v>
      </c>
      <c r="AO84" s="3">
        <f t="shared" si="7"/>
        <v>0.29761904761904762</v>
      </c>
      <c r="AP84" s="5">
        <f>AE34</f>
        <v>0.38700000000000001</v>
      </c>
      <c r="AQ84" s="161">
        <f t="shared" si="5"/>
        <v>0.2003105590062112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v>
      </c>
      <c r="AM85" s="3">
        <f t="shared" si="4"/>
        <v>0.51759834368530022</v>
      </c>
      <c r="AN85" s="5">
        <f>AA35</f>
        <v>0.68700000000000006</v>
      </c>
      <c r="AO85" s="3">
        <f t="shared" si="7"/>
        <v>0.35559006211180127</v>
      </c>
      <c r="AP85" s="5">
        <f>AE35</f>
        <v>0.436</v>
      </c>
      <c r="AQ85" s="161">
        <f>((AP85/19.32)*10)</f>
        <v>0.22567287784679088</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1.1830000000000001</v>
      </c>
      <c r="AM86" s="164">
        <f t="shared" si="4"/>
        <v>0.6123188405797102</v>
      </c>
      <c r="AN86" s="165">
        <f>AA37</f>
        <v>0.77828947368421053</v>
      </c>
      <c r="AO86" s="164">
        <f t="shared" si="7"/>
        <v>0.40284134248665143</v>
      </c>
      <c r="AP86" s="165">
        <f>AE37</f>
        <v>0.47799999999999998</v>
      </c>
      <c r="AQ86" s="166">
        <f>((AP86/19.32)*10)</f>
        <v>0.2474120082815735</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1.9365935211320153</v>
      </c>
      <c r="AK91" s="9">
        <f>R31</f>
        <v>1.8284811847870373</v>
      </c>
      <c r="AL91" s="10">
        <f>S31</f>
        <v>1.7810160201636152</v>
      </c>
    </row>
    <row r="92" spans="2:43" ht="21" customHeight="1" thickBot="1" x14ac:dyDescent="0.3">
      <c r="B92" s="92"/>
      <c r="C92" s="93"/>
      <c r="D92" s="93"/>
      <c r="E92" s="93"/>
      <c r="F92" s="62"/>
      <c r="G92" s="63"/>
      <c r="H92" s="49"/>
      <c r="I92" s="49"/>
      <c r="O92" s="725" t="s">
        <v>147</v>
      </c>
      <c r="P92" s="726"/>
      <c r="Q92" s="726"/>
      <c r="R92" s="726"/>
      <c r="S92" s="61">
        <f>M42</f>
        <v>10.013245033112582</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3.0830857862993963</v>
      </c>
      <c r="AK94" s="158">
        <f>AA42</f>
        <v>2.190416179074024</v>
      </c>
      <c r="AL94" s="158">
        <f>AD42</f>
        <v>1.5212594340293075</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066" priority="47">
      <formula>LEN(TRIM(D6))=0</formula>
    </cfRule>
  </conditionalFormatting>
  <conditionalFormatting sqref="D6:H10">
    <cfRule type="containsBlanks" dxfId="1065" priority="46">
      <formula>LEN(TRIM(D6))=0</formula>
    </cfRule>
  </conditionalFormatting>
  <conditionalFormatting sqref="M19">
    <cfRule type="containsBlanks" dxfId="1064" priority="45">
      <formula>LEN(TRIM(M19))=0</formula>
    </cfRule>
  </conditionalFormatting>
  <conditionalFormatting sqref="CP70">
    <cfRule type="containsBlanks" dxfId="1063" priority="44">
      <formula>LEN(TRIM(CP70))=0</formula>
    </cfRule>
  </conditionalFormatting>
  <conditionalFormatting sqref="M21">
    <cfRule type="containsBlanks" dxfId="1062" priority="43">
      <formula>LEN(TRIM(M21))=0</formula>
    </cfRule>
  </conditionalFormatting>
  <conditionalFormatting sqref="D12:M12">
    <cfRule type="containsBlanks" dxfId="1061" priority="42">
      <formula>LEN(TRIM(D12))=0</formula>
    </cfRule>
  </conditionalFormatting>
  <conditionalFormatting sqref="L9:M9">
    <cfRule type="containsBlanks" dxfId="1060" priority="41">
      <formula>LEN(TRIM(L9))=0</formula>
    </cfRule>
  </conditionalFormatting>
  <conditionalFormatting sqref="L25">
    <cfRule type="containsBlanks" dxfId="1059" priority="40">
      <formula>LEN(TRIM(L25))=0</formula>
    </cfRule>
  </conditionalFormatting>
  <conditionalFormatting sqref="Q20:S21">
    <cfRule type="containsBlanks" dxfId="1058" priority="33">
      <formula>LEN(TRIM(Q20))=0</formula>
    </cfRule>
    <cfRule type="containsBlanks" dxfId="1057" priority="39">
      <formula>LEN(TRIM(Q20))=0</formula>
    </cfRule>
  </conditionalFormatting>
  <conditionalFormatting sqref="U26:V27 AC33 AC26">
    <cfRule type="cellIs" dxfId="1056" priority="38" operator="between">
      <formula>0</formula>
      <formula>500</formula>
    </cfRule>
  </conditionalFormatting>
  <conditionalFormatting sqref="U33:V33">
    <cfRule type="cellIs" dxfId="1055" priority="37" operator="between">
      <formula>0</formula>
      <formula>500</formula>
    </cfRule>
  </conditionalFormatting>
  <conditionalFormatting sqref="AF45:AH46">
    <cfRule type="containsBlanks" dxfId="1054" priority="36">
      <formula>LEN(TRIM(AF45))=0</formula>
    </cfRule>
  </conditionalFormatting>
  <conditionalFormatting sqref="AF51:AG53">
    <cfRule type="containsBlanks" dxfId="1053" priority="35">
      <formula>LEN(TRIM(AF51))=0</formula>
    </cfRule>
  </conditionalFormatting>
  <conditionalFormatting sqref="E20:H24">
    <cfRule type="containsBlanks" dxfId="1052" priority="34">
      <formula>LEN(TRIM(E20))=0</formula>
    </cfRule>
  </conditionalFormatting>
  <conditionalFormatting sqref="M25">
    <cfRule type="containsBlanks" dxfId="1051" priority="32">
      <formula>LEN(TRIM(M25))=0</formula>
    </cfRule>
  </conditionalFormatting>
  <conditionalFormatting sqref="U26:V27 Y26:Z27 AC26:AD27 AG26:AG27">
    <cfRule type="containsBlanks" dxfId="1050" priority="30">
      <formula>LEN(TRIM(U26))=0</formula>
    </cfRule>
    <cfRule type="cellIs" dxfId="1049" priority="31" operator="between">
      <formula>0</formula>
      <formula>1000</formula>
    </cfRule>
  </conditionalFormatting>
  <conditionalFormatting sqref="W87:W88">
    <cfRule type="cellIs" dxfId="1048" priority="29" operator="between">
      <formula>0</formula>
      <formula>500</formula>
    </cfRule>
  </conditionalFormatting>
  <conditionalFormatting sqref="W94">
    <cfRule type="cellIs" dxfId="1047" priority="28" operator="between">
      <formula>0</formula>
      <formula>500</formula>
    </cfRule>
  </conditionalFormatting>
  <conditionalFormatting sqref="W87:W88">
    <cfRule type="containsBlanks" dxfId="1046" priority="26">
      <formula>LEN(TRIM(W87))=0</formula>
    </cfRule>
    <cfRule type="cellIs" dxfId="1045" priority="27" operator="between">
      <formula>0</formula>
      <formula>1000</formula>
    </cfRule>
  </conditionalFormatting>
  <conditionalFormatting sqref="U33:V33 Y33:Z33 AC33:AD33 AG33">
    <cfRule type="cellIs" dxfId="1044" priority="25" operator="between">
      <formula>0</formula>
      <formula>1000</formula>
    </cfRule>
  </conditionalFormatting>
  <conditionalFormatting sqref="Q27:S27">
    <cfRule type="containsBlanks" dxfId="1043" priority="23">
      <formula>LEN(TRIM(Q27))=0</formula>
    </cfRule>
    <cfRule type="containsBlanks" dxfId="1042" priority="24">
      <formula>LEN(TRIM(Q27))=0</formula>
    </cfRule>
  </conditionalFormatting>
  <conditionalFormatting sqref="W30:W31 W33:W35 W37 W28 W22:W26">
    <cfRule type="containsBlanks" dxfId="1041" priority="22">
      <formula>LEN(TRIM(W22))=0</formula>
    </cfRule>
  </conditionalFormatting>
  <conditionalFormatting sqref="W37 W30:W31 W33:W35 W28 W22:W26">
    <cfRule type="containsBlanks" dxfId="1040" priority="21">
      <formula>LEN(TRIM(W22))=0</formula>
    </cfRule>
  </conditionalFormatting>
  <conditionalFormatting sqref="W33:X33">
    <cfRule type="cellIs" dxfId="1039" priority="20" operator="between">
      <formula>0</formula>
      <formula>1000</formula>
    </cfRule>
  </conditionalFormatting>
  <conditionalFormatting sqref="W30:X37 W26 W28 W22:X25">
    <cfRule type="containsBlanks" dxfId="1038" priority="19">
      <formula>LEN(TRIM(W22))=0</formula>
    </cfRule>
  </conditionalFormatting>
  <conditionalFormatting sqref="AA37 AA30:AA31 AA33 AA22:AA26 AA28 AA35">
    <cfRule type="containsBlanks" dxfId="1037" priority="18">
      <formula>LEN(TRIM(AA22))=0</formula>
    </cfRule>
  </conditionalFormatting>
  <conditionalFormatting sqref="AA37 AA30:AA31 AA33 AA22:AA26 AA28 AA35">
    <cfRule type="containsBlanks" dxfId="1036" priority="17">
      <formula>LEN(TRIM(AA22))=0</formula>
    </cfRule>
  </conditionalFormatting>
  <conditionalFormatting sqref="AA33:AB33">
    <cfRule type="cellIs" dxfId="1035" priority="16" operator="between">
      <formula>0</formula>
      <formula>1000</formula>
    </cfRule>
  </conditionalFormatting>
  <conditionalFormatting sqref="AA30:AB30 AA31 AA33:AB33 AA22:AB25 AA26 AA28 AA35:AB37">
    <cfRule type="containsBlanks" dxfId="1034" priority="15">
      <formula>LEN(TRIM(AA22))=0</formula>
    </cfRule>
  </conditionalFormatting>
  <conditionalFormatting sqref="AE37 AE28 AE30:AE31 AE33:AE35 AE22:AE26">
    <cfRule type="containsBlanks" dxfId="1033" priority="14">
      <formula>LEN(TRIM(AE22))=0</formula>
    </cfRule>
  </conditionalFormatting>
  <conditionalFormatting sqref="AE37 AE28 AE30:AE31 AE33:AE35 AE22:AE26">
    <cfRule type="containsBlanks" dxfId="1032" priority="13">
      <formula>LEN(TRIM(AE22))=0</formula>
    </cfRule>
  </conditionalFormatting>
  <conditionalFormatting sqref="AE33:AF33">
    <cfRule type="cellIs" dxfId="1031" priority="12" operator="between">
      <formula>0</formula>
      <formula>1000</formula>
    </cfRule>
  </conditionalFormatting>
  <conditionalFormatting sqref="AE33:AF37 AE26 AE28 AE30:AE31 AE22:AF25">
    <cfRule type="containsBlanks" dxfId="1030" priority="11">
      <formula>LEN(TRIM(AE22))=0</formula>
    </cfRule>
  </conditionalFormatting>
  <conditionalFormatting sqref="K6:M6">
    <cfRule type="containsBlanks" dxfId="1029" priority="10">
      <formula>LEN(TRIM(K6))=0</formula>
    </cfRule>
  </conditionalFormatting>
  <conditionalFormatting sqref="K7:K8">
    <cfRule type="containsBlanks" dxfId="1028" priority="9">
      <formula>LEN(TRIM(K7))=0</formula>
    </cfRule>
  </conditionalFormatting>
  <conditionalFormatting sqref="D13:M13">
    <cfRule type="containsBlanks" dxfId="1027" priority="8">
      <formula>LEN(TRIM(D13))=0</formula>
    </cfRule>
  </conditionalFormatting>
  <conditionalFormatting sqref="B6:B10">
    <cfRule type="containsBlanks" dxfId="1026" priority="7">
      <formula>LEN(TRIM(B6))=0</formula>
    </cfRule>
  </conditionalFormatting>
  <conditionalFormatting sqref="B12:B13">
    <cfRule type="containsBlanks" dxfId="1025" priority="6">
      <formula>LEN(TRIM(B12))=0</formula>
    </cfRule>
  </conditionalFormatting>
  <conditionalFormatting sqref="E28:H33">
    <cfRule type="containsBlanks" dxfId="1024" priority="5">
      <formula>LEN(TRIM(E28))=0</formula>
    </cfRule>
  </conditionalFormatting>
  <conditionalFormatting sqref="Q22:S26">
    <cfRule type="containsBlanks" dxfId="1023" priority="3">
      <formula>LEN(TRIM(Q22))=0</formula>
    </cfRule>
    <cfRule type="containsBlanks" dxfId="1022" priority="4">
      <formula>LEN(TRIM(Q22))=0</formula>
    </cfRule>
  </conditionalFormatting>
  <conditionalFormatting sqref="Q34:S39">
    <cfRule type="containsBlanks" dxfId="1021" priority="2">
      <formula>LEN(TRIM(Q34))=0</formula>
    </cfRule>
  </conditionalFormatting>
  <conditionalFormatting sqref="Q42:S46">
    <cfRule type="containsBlanks" dxfId="1020" priority="1">
      <formula>LEN(TRIM(Q42))=0</formula>
    </cfRule>
  </conditionalFormatting>
  <dataValidations count="5">
    <dataValidation type="list" allowBlank="1" showInputMessage="1" showErrorMessage="1" sqref="L25" xr:uid="{00000000-0002-0000-2500-000000000000}">
      <formula1>$D$101:$D$104</formula1>
    </dataValidation>
    <dataValidation type="list" allowBlank="1" showInputMessage="1" showErrorMessage="1" sqref="M21" xr:uid="{00000000-0002-0000-2500-000001000000}">
      <formula1>$AX$3:$AX$4</formula1>
    </dataValidation>
    <dataValidation type="list" allowBlank="1" showInputMessage="1" showErrorMessage="1" sqref="M19" xr:uid="{00000000-0002-0000-2500-000002000000}">
      <formula1>$AX$3:$AX$5</formula1>
    </dataValidation>
    <dataValidation type="list" allowBlank="1" showInputMessage="1" showErrorMessage="1" sqref="CP70" xr:uid="{00000000-0002-0000-2500-000003000000}">
      <formula1>$BA$3:$BA$5</formula1>
    </dataValidation>
    <dataValidation type="list" allowBlank="1" showInputMessage="1" showErrorMessage="1" sqref="D12:E12" xr:uid="{00000000-0002-0000-2500-000004000000}">
      <formula1>$B$87:$B$94</formula1>
    </dataValidation>
  </dataValidations>
  <hyperlinks>
    <hyperlink ref="D8" r:id="rId1" xr:uid="{00000000-0004-0000-25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58721"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58722"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58723"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5872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5872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58726"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58727"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5872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5872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5873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81">
    <tabColor theme="8" tint="0.59999389629810485"/>
  </sheetPr>
  <dimension ref="A1:CP153"/>
  <sheetViews>
    <sheetView view="pageBreakPreview" topLeftCell="AC9" zoomScale="112" zoomScaleNormal="100" zoomScaleSheetLayoutView="112"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25-P-LA TORRE AP3 -2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25-P-LA TORRE AP3 -2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288</v>
      </c>
      <c r="G12" s="31" t="s">
        <v>4</v>
      </c>
      <c r="H12" s="146">
        <v>2</v>
      </c>
      <c r="I12" s="546" t="s">
        <v>5</v>
      </c>
      <c r="J12" s="546"/>
      <c r="K12" s="209">
        <v>0.5</v>
      </c>
      <c r="L12" s="32" t="s">
        <v>6</v>
      </c>
      <c r="M12" s="147">
        <v>1.5</v>
      </c>
      <c r="N12" s="78"/>
      <c r="O12" s="501" t="s">
        <v>3</v>
      </c>
      <c r="P12" s="501"/>
      <c r="Q12" s="225" t="s">
        <v>234</v>
      </c>
      <c r="R12" s="224" t="str">
        <f>F12</f>
        <v xml:space="preserve">P-LA TORRE AP3 </v>
      </c>
      <c r="S12" s="224"/>
      <c r="T12" s="502" t="s">
        <v>4</v>
      </c>
      <c r="U12" s="502"/>
      <c r="V12" s="33">
        <f>+H12</f>
        <v>2</v>
      </c>
      <c r="W12" s="547" t="s">
        <v>5</v>
      </c>
      <c r="X12" s="547"/>
      <c r="Y12" s="547"/>
      <c r="Z12" s="547"/>
      <c r="AA12" s="547"/>
      <c r="AB12" s="547"/>
      <c r="AC12" s="34">
        <v>0.5</v>
      </c>
      <c r="AD12" s="548" t="s">
        <v>6</v>
      </c>
      <c r="AE12" s="548"/>
      <c r="AF12" s="35">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272</v>
      </c>
      <c r="E13" s="479"/>
      <c r="F13" s="479"/>
      <c r="G13" s="479"/>
      <c r="H13" s="479"/>
      <c r="I13" s="479"/>
      <c r="J13" s="479"/>
      <c r="K13" s="479"/>
      <c r="L13" s="479"/>
      <c r="M13" s="480"/>
      <c r="N13" s="188"/>
      <c r="O13" s="526" t="s">
        <v>130</v>
      </c>
      <c r="P13" s="526"/>
      <c r="Q13" s="527" t="str">
        <f>D13</f>
        <v>GRAVAS CON ARCILLA Y ALGO DE ARENA, COLOR MARRÓN CONSISTENCIA BLANDA,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538</v>
      </c>
      <c r="R20" s="156">
        <v>506</v>
      </c>
      <c r="S20" s="157">
        <v>505</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7355</v>
      </c>
      <c r="F22" s="150">
        <v>7697</v>
      </c>
      <c r="G22" s="150">
        <v>7887</v>
      </c>
      <c r="H22" s="151">
        <v>7556</v>
      </c>
      <c r="I22" s="174"/>
      <c r="J22" s="578"/>
      <c r="K22" s="578"/>
      <c r="L22" s="578"/>
      <c r="M22" s="104"/>
      <c r="N22" s="103"/>
      <c r="O22" s="579" t="s">
        <v>132</v>
      </c>
      <c r="P22" s="580"/>
      <c r="Q22" s="219">
        <v>8720</v>
      </c>
      <c r="R22" s="219">
        <v>8334</v>
      </c>
      <c r="S22" s="208">
        <v>7794</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v>
      </c>
      <c r="AJ22" s="42">
        <f>AJ50/1.52</f>
        <v>6.5789473684210523E-2</v>
      </c>
      <c r="AK22" s="42">
        <f>AJ22*0.6</f>
        <v>3.9473684210526314E-2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3772</v>
      </c>
      <c r="R23" s="150">
        <v>3862</v>
      </c>
      <c r="S23" s="151">
        <v>3645</v>
      </c>
      <c r="T23" s="174"/>
      <c r="U23" s="112">
        <v>2.5000000000000001E-2</v>
      </c>
      <c r="V23" s="113">
        <f>U23*25.4</f>
        <v>0.63500000000000001</v>
      </c>
      <c r="W23" s="581">
        <v>1.1539999999999999</v>
      </c>
      <c r="X23" s="582"/>
      <c r="Y23" s="449">
        <f>((W23/19.32)*10)</f>
        <v>0.59730848861283636</v>
      </c>
      <c r="Z23" s="450"/>
      <c r="AA23" s="581">
        <v>0.65500000000000003</v>
      </c>
      <c r="AB23" s="582"/>
      <c r="AC23" s="449">
        <f>((AA23/19.32)*10)</f>
        <v>0.33902691511387167</v>
      </c>
      <c r="AD23" s="450"/>
      <c r="AE23" s="581">
        <v>0.26900000000000002</v>
      </c>
      <c r="AF23" s="582"/>
      <c r="AG23" s="114">
        <f>((AE23/19.32)*10)</f>
        <v>0.13923395445134576</v>
      </c>
      <c r="AH23" s="104"/>
      <c r="AI23" s="42">
        <f t="shared" ref="AI23:AI33" si="2">AJ51</f>
        <v>1.1040000000000001</v>
      </c>
      <c r="AJ23" s="42">
        <f t="shared" ref="AJ23:AJ33" si="3">AJ51/1.52</f>
        <v>0.72631578947368425</v>
      </c>
      <c r="AK23" s="42">
        <f t="shared" ref="AK23:AK33" si="4">AJ23*0.6</f>
        <v>0.43578947368421056</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11.12</v>
      </c>
      <c r="S24" s="153">
        <v>11.45</v>
      </c>
      <c r="T24" s="174"/>
      <c r="U24" s="112">
        <v>0.05</v>
      </c>
      <c r="V24" s="113">
        <f>U24*25.4</f>
        <v>1.27</v>
      </c>
      <c r="W24" s="581">
        <f>AI24</f>
        <v>2.9740000000000002</v>
      </c>
      <c r="X24" s="582"/>
      <c r="Y24" s="449">
        <f>((W24/19.32)*10)</f>
        <v>1.5393374741200829</v>
      </c>
      <c r="Z24" s="450"/>
      <c r="AA24" s="581">
        <f>AJ24</f>
        <v>1.9565789473684212</v>
      </c>
      <c r="AB24" s="582"/>
      <c r="AC24" s="449">
        <f>((AA24/19.32)*10)</f>
        <v>1.0127220224474229</v>
      </c>
      <c r="AD24" s="450"/>
      <c r="AE24" s="581">
        <v>0.97799999999999998</v>
      </c>
      <c r="AF24" s="582"/>
      <c r="AG24" s="114">
        <f>((AE24/19.32)*10)</f>
        <v>0.50621118012422361</v>
      </c>
      <c r="AH24" s="104"/>
      <c r="AI24" s="42">
        <f t="shared" si="2"/>
        <v>2.9740000000000002</v>
      </c>
      <c r="AJ24" s="42">
        <f t="shared" si="3"/>
        <v>1.9565789473684212</v>
      </c>
      <c r="AK24" s="42">
        <f t="shared" si="4"/>
        <v>1.1739473684210526</v>
      </c>
      <c r="AO24" s="42">
        <v>0.68400000000000005</v>
      </c>
      <c r="AS24" s="42">
        <f t="shared" si="5"/>
        <v>0.55609756097560981</v>
      </c>
    </row>
    <row r="25" spans="1:45" ht="24.95" customHeight="1" thickBot="1" x14ac:dyDescent="0.3">
      <c r="A25" s="103"/>
      <c r="B25" s="602" t="s">
        <v>69</v>
      </c>
      <c r="C25" s="603"/>
      <c r="D25" s="603"/>
      <c r="E25" s="115">
        <f>E22-E23</f>
        <v>4471</v>
      </c>
      <c r="F25" s="115">
        <f>F22-F23</f>
        <v>4813</v>
      </c>
      <c r="G25" s="115">
        <f>G22-G23</f>
        <v>5003</v>
      </c>
      <c r="H25" s="116">
        <f>H22-H23</f>
        <v>4672</v>
      </c>
      <c r="I25" s="174"/>
      <c r="J25" s="174" t="s">
        <v>127</v>
      </c>
      <c r="K25" s="174"/>
      <c r="L25" s="218" t="s">
        <v>128</v>
      </c>
      <c r="M25" s="155">
        <v>39.450000000000003</v>
      </c>
      <c r="N25" s="103"/>
      <c r="O25" s="604" t="s">
        <v>46</v>
      </c>
      <c r="P25" s="605"/>
      <c r="Q25" s="608">
        <v>15.25</v>
      </c>
      <c r="R25" s="608">
        <v>15.32</v>
      </c>
      <c r="S25" s="620">
        <v>15.21</v>
      </c>
      <c r="T25" s="174"/>
      <c r="U25" s="112">
        <v>7.4999999999999997E-2</v>
      </c>
      <c r="V25" s="113">
        <f>U25*25.4</f>
        <v>1.9049999999999998</v>
      </c>
      <c r="W25" s="581">
        <f>AI25</f>
        <v>4.173</v>
      </c>
      <c r="X25" s="582"/>
      <c r="Y25" s="449">
        <f>((W25/19.32)*10)</f>
        <v>2.1599378881987579</v>
      </c>
      <c r="Z25" s="450"/>
      <c r="AA25" s="581">
        <f>AJ25</f>
        <v>2.7453947368421052</v>
      </c>
      <c r="AB25" s="582"/>
      <c r="AC25" s="449">
        <f>((AA25/19.32)*10)</f>
        <v>1.4210117685518142</v>
      </c>
      <c r="AD25" s="450"/>
      <c r="AE25" s="581">
        <f>AK25</f>
        <v>1.647236842105263</v>
      </c>
      <c r="AF25" s="582"/>
      <c r="AG25" s="114">
        <f>((AE25/19.32)*10)</f>
        <v>0.85260706113108853</v>
      </c>
      <c r="AH25" s="104"/>
      <c r="AI25" s="42">
        <f t="shared" si="2"/>
        <v>4.173</v>
      </c>
      <c r="AJ25" s="42">
        <f t="shared" si="3"/>
        <v>2.7453947368421052</v>
      </c>
      <c r="AK25" s="42">
        <f t="shared" si="4"/>
        <v>1.647236842105263</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39.450000000000003</v>
      </c>
      <c r="N26" s="103"/>
      <c r="O26" s="606"/>
      <c r="P26" s="607"/>
      <c r="Q26" s="609"/>
      <c r="R26" s="609"/>
      <c r="S26" s="621"/>
      <c r="T26" s="174"/>
      <c r="U26" s="600">
        <v>0.1</v>
      </c>
      <c r="V26" s="601">
        <f>U26*25.4</f>
        <v>2.54</v>
      </c>
      <c r="W26" s="778">
        <f>AI26</f>
        <v>5.0209999999999999</v>
      </c>
      <c r="X26" s="779"/>
      <c r="Y26" s="461">
        <f>((W26/19.32)*10)</f>
        <v>2.5988612836438922</v>
      </c>
      <c r="Z26" s="462"/>
      <c r="AA26" s="746">
        <f>AJ26</f>
        <v>3.3032894736842104</v>
      </c>
      <c r="AB26" s="747"/>
      <c r="AC26" s="461">
        <f>((AA26/19.32)*10)</f>
        <v>1.7097771602920344</v>
      </c>
      <c r="AD26" s="462"/>
      <c r="AE26" s="746">
        <f>AK26</f>
        <v>1.9819736842105262</v>
      </c>
      <c r="AF26" s="747"/>
      <c r="AG26" s="469">
        <f>((AE26/19.32)*10)</f>
        <v>1.0258662961752205</v>
      </c>
      <c r="AH26" s="104"/>
      <c r="AI26" s="42">
        <f t="shared" si="2"/>
        <v>5.0209999999999999</v>
      </c>
      <c r="AJ26" s="42">
        <f t="shared" si="3"/>
        <v>3.3032894736842104</v>
      </c>
      <c r="AK26" s="42">
        <f t="shared" si="4"/>
        <v>1.9819736842105262</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2049.8033530233024</v>
      </c>
      <c r="S27" s="153">
        <f>(PI()*((S25^2)/4)*S24)</f>
        <v>2080.4332978449679</v>
      </c>
      <c r="T27" s="174"/>
      <c r="U27" s="600"/>
      <c r="V27" s="601"/>
      <c r="W27" s="780"/>
      <c r="X27" s="781"/>
      <c r="Y27" s="463"/>
      <c r="Z27" s="464"/>
      <c r="AA27" s="748"/>
      <c r="AB27" s="749"/>
      <c r="AC27" s="463"/>
      <c r="AD27" s="464"/>
      <c r="AE27" s="748"/>
      <c r="AF27" s="749"/>
      <c r="AG27" s="470"/>
      <c r="AH27" s="193"/>
      <c r="AI27" s="42">
        <f t="shared" si="2"/>
        <v>5.8209999999999997</v>
      </c>
      <c r="AJ27" s="42">
        <f t="shared" si="3"/>
        <v>3.8296052631578945</v>
      </c>
      <c r="AK27" s="42">
        <f t="shared" si="4"/>
        <v>2.2977631578947366</v>
      </c>
      <c r="AO27" s="42">
        <v>2.387</v>
      </c>
      <c r="AS27" s="42">
        <f t="shared" si="5"/>
        <v>1.9406504065040651</v>
      </c>
    </row>
    <row r="28" spans="1:45" ht="24.95" customHeight="1" thickBot="1" x14ac:dyDescent="0.3">
      <c r="A28" s="103"/>
      <c r="B28" s="560" t="s">
        <v>9</v>
      </c>
      <c r="C28" s="561"/>
      <c r="D28" s="561"/>
      <c r="E28" s="148">
        <v>657</v>
      </c>
      <c r="F28" s="148">
        <v>567</v>
      </c>
      <c r="G28" s="148">
        <v>918</v>
      </c>
      <c r="H28" s="149">
        <v>891</v>
      </c>
      <c r="I28" s="174"/>
      <c r="J28" s="597" t="s">
        <v>107</v>
      </c>
      <c r="K28" s="597"/>
      <c r="L28" s="562" t="s">
        <v>119</v>
      </c>
      <c r="M28" s="459">
        <f>IF(M26="","",(100-M26))</f>
        <v>60.55</v>
      </c>
      <c r="N28" s="103"/>
      <c r="O28" s="625" t="s">
        <v>136</v>
      </c>
      <c r="P28" s="626"/>
      <c r="Q28" s="220">
        <f>Q22-Q23</f>
        <v>4948</v>
      </c>
      <c r="R28" s="220">
        <f>R22-R23</f>
        <v>4472</v>
      </c>
      <c r="S28" s="220">
        <f>S22-S23</f>
        <v>4149</v>
      </c>
      <c r="T28" s="174"/>
      <c r="U28" s="627">
        <v>0.125</v>
      </c>
      <c r="V28" s="624">
        <f>U28*25.4</f>
        <v>3.1749999999999998</v>
      </c>
      <c r="W28" s="593">
        <f>AI27</f>
        <v>5.8209999999999997</v>
      </c>
      <c r="X28" s="594"/>
      <c r="Y28" s="439">
        <f>((W28/19.32)*10)</f>
        <v>3.0129399585921322</v>
      </c>
      <c r="Z28" s="440"/>
      <c r="AA28" s="593">
        <f>AJ27</f>
        <v>3.8296052631578945</v>
      </c>
      <c r="AB28" s="594"/>
      <c r="AC28" s="439">
        <f>((AA28/19.32)*10)</f>
        <v>1.9821973411790346</v>
      </c>
      <c r="AD28" s="440"/>
      <c r="AE28" s="593">
        <f>AK27</f>
        <v>2.2977631578947366</v>
      </c>
      <c r="AF28" s="594"/>
      <c r="AG28" s="443">
        <f>((AE28/19.32)*10)</f>
        <v>1.1893184047074206</v>
      </c>
      <c r="AH28" s="104"/>
      <c r="AI28" s="42">
        <f t="shared" si="2"/>
        <v>6.4379999999999997</v>
      </c>
      <c r="AJ28" s="42">
        <f t="shared" si="3"/>
        <v>4.2355263157894738</v>
      </c>
      <c r="AK28" s="42">
        <f t="shared" si="4"/>
        <v>2.5413157894736842</v>
      </c>
      <c r="AO28" s="42">
        <v>2.8959999999999999</v>
      </c>
      <c r="AS28" s="42">
        <f t="shared" si="5"/>
        <v>2.3544715447154472</v>
      </c>
    </row>
    <row r="29" spans="1:45" ht="5.0999999999999996" customHeight="1" thickBot="1" x14ac:dyDescent="0.3">
      <c r="A29" s="103"/>
      <c r="B29" s="612" t="s">
        <v>73</v>
      </c>
      <c r="C29" s="613"/>
      <c r="D29" s="614"/>
      <c r="E29" s="618">
        <v>731.01</v>
      </c>
      <c r="F29" s="618">
        <v>645.89</v>
      </c>
      <c r="G29" s="618">
        <v>734.56</v>
      </c>
      <c r="H29" s="620">
        <v>843.7</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6.9589999999999996</v>
      </c>
      <c r="AJ29" s="42">
        <f t="shared" si="3"/>
        <v>4.5782894736842099</v>
      </c>
      <c r="AK29" s="42">
        <f t="shared" si="4"/>
        <v>2.7469736842105257</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20.64659068421053</v>
      </c>
      <c r="N30" s="103"/>
      <c r="O30" s="622" t="s">
        <v>134</v>
      </c>
      <c r="P30" s="623"/>
      <c r="Q30" s="229">
        <f>Q28/Q27</f>
        <v>2.3352970622838076</v>
      </c>
      <c r="R30" s="229">
        <f>R28/R27</f>
        <v>2.181672692360535</v>
      </c>
      <c r="S30" s="131">
        <f>S28/S27</f>
        <v>1.9942960941347037</v>
      </c>
      <c r="T30" s="174"/>
      <c r="U30" s="120">
        <v>0.15</v>
      </c>
      <c r="V30" s="113">
        <f>U30*25.4</f>
        <v>3.8099999999999996</v>
      </c>
      <c r="W30" s="581">
        <f>AI28</f>
        <v>6.4379999999999997</v>
      </c>
      <c r="X30" s="582"/>
      <c r="Y30" s="449">
        <f>((W30/19.32)*10)</f>
        <v>3.3322981366459627</v>
      </c>
      <c r="Z30" s="450"/>
      <c r="AA30" s="581">
        <f>AJ28</f>
        <v>4.2355263157894738</v>
      </c>
      <c r="AB30" s="582"/>
      <c r="AC30" s="449">
        <f>((AA30/19.32)*10)</f>
        <v>2.1923014056881334</v>
      </c>
      <c r="AD30" s="450"/>
      <c r="AE30" s="581">
        <f>AK28</f>
        <v>2.5413157894736842</v>
      </c>
      <c r="AF30" s="582"/>
      <c r="AG30" s="114">
        <f>((AE30/19.32)*10)</f>
        <v>1.31538084341288</v>
      </c>
      <c r="AH30" s="104"/>
      <c r="AI30" s="42">
        <f t="shared" si="2"/>
        <v>7.3419999999999996</v>
      </c>
      <c r="AJ30" s="42">
        <f t="shared" si="3"/>
        <v>4.8302631578947368</v>
      </c>
      <c r="AK30" s="42">
        <f t="shared" si="4"/>
        <v>2.8981578947368418</v>
      </c>
      <c r="AO30" s="42">
        <v>3.8439999999999999</v>
      </c>
      <c r="AS30" s="42">
        <f t="shared" si="5"/>
        <v>3.1252032520325201</v>
      </c>
    </row>
    <row r="31" spans="1:45" ht="24.95" customHeight="1" thickBot="1" x14ac:dyDescent="0.3">
      <c r="A31" s="103"/>
      <c r="B31" s="576" t="s">
        <v>74</v>
      </c>
      <c r="C31" s="577"/>
      <c r="D31" s="577"/>
      <c r="E31" s="152">
        <v>699.38</v>
      </c>
      <c r="F31" s="152">
        <v>602.08000000000004</v>
      </c>
      <c r="G31" s="152">
        <v>667.13</v>
      </c>
      <c r="H31" s="153">
        <v>747.24</v>
      </c>
      <c r="I31" s="174"/>
      <c r="J31" s="597" t="s">
        <v>138</v>
      </c>
      <c r="K31" s="597"/>
      <c r="L31" s="562" t="s">
        <v>116</v>
      </c>
      <c r="M31" s="457">
        <f>IF(M25="","",S82)</f>
        <v>2.7120000000000002</v>
      </c>
      <c r="N31" s="121"/>
      <c r="O31" s="628" t="s">
        <v>135</v>
      </c>
      <c r="P31" s="629"/>
      <c r="Q31" s="122">
        <f>Q30/(1+Q40/100)</f>
        <v>2.1422744344132156</v>
      </c>
      <c r="R31" s="122">
        <f>R30/(1+R40/100)</f>
        <v>1.999194277173767</v>
      </c>
      <c r="S31" s="123">
        <f>S30/(1+S40/100)</f>
        <v>1.8294575301503864</v>
      </c>
      <c r="T31" s="174"/>
      <c r="U31" s="627">
        <v>0.17499999999999999</v>
      </c>
      <c r="V31" s="624">
        <f>U31*25.4</f>
        <v>4.4449999999999994</v>
      </c>
      <c r="W31" s="593">
        <f>AI29</f>
        <v>6.9589999999999996</v>
      </c>
      <c r="X31" s="594"/>
      <c r="Y31" s="439">
        <f>((W31/19.32)*10)</f>
        <v>3.601966873706004</v>
      </c>
      <c r="Z31" s="440"/>
      <c r="AA31" s="593">
        <f>AJ29</f>
        <v>4.5782894736842099</v>
      </c>
      <c r="AB31" s="594"/>
      <c r="AC31" s="439">
        <f>((AA31/19.32)*10)</f>
        <v>2.3697150484907921</v>
      </c>
      <c r="AD31" s="440"/>
      <c r="AE31" s="593">
        <f>AK29</f>
        <v>2.7469736842105257</v>
      </c>
      <c r="AF31" s="594"/>
      <c r="AG31" s="443">
        <f>((AE31/19.32)*10)</f>
        <v>1.4218290290944748</v>
      </c>
      <c r="AH31" s="104"/>
      <c r="AI31" s="42">
        <f t="shared" si="2"/>
        <v>9.0860000000000003</v>
      </c>
      <c r="AJ31" s="42">
        <f t="shared" si="3"/>
        <v>5.9776315789473689</v>
      </c>
      <c r="AK31" s="42">
        <f t="shared" si="4"/>
        <v>3.5865789473684213</v>
      </c>
      <c r="AO31" s="42">
        <v>5.516</v>
      </c>
      <c r="AS31" s="42">
        <f t="shared" si="5"/>
        <v>4.4845528455284551</v>
      </c>
    </row>
    <row r="32" spans="1:45" ht="5.0999999999999996" customHeight="1" thickBot="1" x14ac:dyDescent="0.3">
      <c r="A32" s="103"/>
      <c r="B32" s="612" t="s">
        <v>75</v>
      </c>
      <c r="C32" s="613"/>
      <c r="D32" s="614"/>
      <c r="E32" s="618">
        <v>45.43</v>
      </c>
      <c r="F32" s="618">
        <v>47.55</v>
      </c>
      <c r="G32" s="618">
        <v>49.09</v>
      </c>
      <c r="H32" s="620">
        <v>50.11</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10.669</v>
      </c>
      <c r="AJ32" s="42">
        <f t="shared" si="3"/>
        <v>7.0190789473684214</v>
      </c>
      <c r="AK32" s="42">
        <f t="shared" si="4"/>
        <v>4.2114473684210525</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7.3419999999999996</v>
      </c>
      <c r="X33" s="582"/>
      <c r="Y33" s="449">
        <f>((W33/19.32)*10)</f>
        <v>3.8002070393374736</v>
      </c>
      <c r="Z33" s="450"/>
      <c r="AA33" s="581">
        <f>AJ30</f>
        <v>4.8302631578947368</v>
      </c>
      <c r="AB33" s="582"/>
      <c r="AC33" s="449">
        <f>((AA33/19.32)*10)</f>
        <v>2.5001362100904432</v>
      </c>
      <c r="AD33" s="450"/>
      <c r="AE33" s="581">
        <f>AK30</f>
        <v>2.8981578947368418</v>
      </c>
      <c r="AF33" s="582"/>
      <c r="AG33" s="144">
        <f>((AE33/19.32)*10)</f>
        <v>1.5000817260542658</v>
      </c>
      <c r="AH33" s="104"/>
      <c r="AI33" s="42">
        <f t="shared" si="2"/>
        <v>11.975</v>
      </c>
      <c r="AJ33" s="42">
        <f t="shared" si="3"/>
        <v>7.8782894736842106</v>
      </c>
      <c r="AK33" s="42">
        <f t="shared" si="4"/>
        <v>4.7269736842105265</v>
      </c>
      <c r="AO33" s="42">
        <v>7.7720000000000002</v>
      </c>
      <c r="AS33" s="42">
        <f t="shared" si="5"/>
        <v>6.3186991869918705</v>
      </c>
    </row>
    <row r="34" spans="1:45" ht="24.95" customHeight="1" thickBot="1" x14ac:dyDescent="0.3">
      <c r="A34" s="103"/>
      <c r="B34" s="602" t="s">
        <v>10</v>
      </c>
      <c r="C34" s="603"/>
      <c r="D34" s="603"/>
      <c r="E34" s="125">
        <f>((E29-E31)/(E31-E32))*100</f>
        <v>4.8367612202767782</v>
      </c>
      <c r="F34" s="125">
        <f>((F29-F31)/(F31-F32))*100</f>
        <v>7.9003841090653237</v>
      </c>
      <c r="G34" s="125">
        <f>((G29-G31)/(G31-G32))*100</f>
        <v>10.910297068150921</v>
      </c>
      <c r="H34" s="126">
        <f>((H29-H31)/(H31-H32))*100</f>
        <v>13.836730595441315</v>
      </c>
      <c r="I34" s="174"/>
      <c r="J34" s="630" t="s">
        <v>125</v>
      </c>
      <c r="K34" s="630"/>
      <c r="L34" s="184" t="s">
        <v>126</v>
      </c>
      <c r="M34" s="245">
        <v>2.75</v>
      </c>
      <c r="N34" s="128"/>
      <c r="O34" s="631" t="s">
        <v>9</v>
      </c>
      <c r="P34" s="632"/>
      <c r="Q34" s="156">
        <v>326</v>
      </c>
      <c r="R34" s="156">
        <v>458</v>
      </c>
      <c r="S34" s="157">
        <v>321</v>
      </c>
      <c r="T34" s="174"/>
      <c r="U34" s="120">
        <v>0.3</v>
      </c>
      <c r="V34" s="113">
        <f>U34*25.4</f>
        <v>7.6199999999999992</v>
      </c>
      <c r="W34" s="581">
        <f>AI31</f>
        <v>9.0860000000000003</v>
      </c>
      <c r="X34" s="582"/>
      <c r="Y34" s="449">
        <f>((W34/19.32)*10)</f>
        <v>4.7028985507246377</v>
      </c>
      <c r="Z34" s="450"/>
      <c r="AA34" s="449">
        <v>5.9779999999999998</v>
      </c>
      <c r="AB34" s="450"/>
      <c r="AC34" s="449">
        <f>((AA34/19.32)*10)</f>
        <v>3.0942028985507246</v>
      </c>
      <c r="AD34" s="450"/>
      <c r="AE34" s="581">
        <f>AK31</f>
        <v>3.5865789473684213</v>
      </c>
      <c r="AF34" s="582"/>
      <c r="AG34" s="114">
        <f>((AE34/19.32)*10)</f>
        <v>1.8564073226544622</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776.33</v>
      </c>
      <c r="R35" s="608">
        <v>658.98</v>
      </c>
      <c r="S35" s="610">
        <v>824.76</v>
      </c>
      <c r="T35" s="174"/>
      <c r="U35" s="627">
        <v>0.4</v>
      </c>
      <c r="V35" s="624">
        <f>U35*25.4</f>
        <v>10.16</v>
      </c>
      <c r="W35" s="593">
        <f>AI32</f>
        <v>10.669</v>
      </c>
      <c r="X35" s="594"/>
      <c r="Y35" s="439">
        <f>((W35/19.32)*10)</f>
        <v>5.5222567287784683</v>
      </c>
      <c r="Z35" s="440"/>
      <c r="AA35" s="593">
        <f>AJ32</f>
        <v>7.0190789473684214</v>
      </c>
      <c r="AB35" s="594"/>
      <c r="AC35" s="439">
        <f>(AA35/19.32)*10</f>
        <v>3.6330636373542551</v>
      </c>
      <c r="AD35" s="440"/>
      <c r="AE35" s="593">
        <v>4.0890000000000004</v>
      </c>
      <c r="AF35" s="594"/>
      <c r="AG35" s="443">
        <f>((AE35/19.32)*10)</f>
        <v>2.1164596273291929</v>
      </c>
      <c r="AH35" s="104"/>
      <c r="AS35" s="42">
        <f t="shared" si="5"/>
        <v>0</v>
      </c>
    </row>
    <row r="36" spans="1:45" ht="20.100000000000001" customHeight="1" thickBot="1" x14ac:dyDescent="0.3">
      <c r="A36" s="103"/>
      <c r="B36" s="639" t="s">
        <v>71</v>
      </c>
      <c r="C36" s="640"/>
      <c r="D36" s="640"/>
      <c r="E36" s="130">
        <f>E25/E24</f>
        <v>2.0814711359404097</v>
      </c>
      <c r="F36" s="130">
        <f>F25/F24</f>
        <v>2.2406890130353818</v>
      </c>
      <c r="G36" s="130">
        <f>G25/G24</f>
        <v>2.3291433891992552</v>
      </c>
      <c r="H36" s="131">
        <f>H25/H24</f>
        <v>2.175046554934823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1.9854401373263963</v>
      </c>
      <c r="F37" s="230">
        <f>F36/(1+F34/100)</f>
        <v>2.0766274666552635</v>
      </c>
      <c r="G37" s="230">
        <f>G36/(1+G34/100)</f>
        <v>2.1000244799345089</v>
      </c>
      <c r="H37" s="123">
        <f>H36/(1+H34/100)</f>
        <v>1.9106720155769519</v>
      </c>
      <c r="I37" s="174"/>
      <c r="J37" s="641" t="s">
        <v>139</v>
      </c>
      <c r="K37" s="641"/>
      <c r="L37" s="643" t="s">
        <v>121</v>
      </c>
      <c r="M37" s="433">
        <f>IF(F74="","",(M42^2*F74+M42*F75+F76))</f>
        <v>2.1046473684210527</v>
      </c>
      <c r="N37" s="101"/>
      <c r="O37" s="576" t="s">
        <v>28</v>
      </c>
      <c r="P37" s="577"/>
      <c r="Q37" s="150">
        <v>720.53</v>
      </c>
      <c r="R37" s="152">
        <v>607.64</v>
      </c>
      <c r="S37" s="153">
        <v>760.28</v>
      </c>
      <c r="T37" s="174"/>
      <c r="U37" s="132">
        <v>0.5</v>
      </c>
      <c r="V37" s="133">
        <f>U37*25.4</f>
        <v>12.7</v>
      </c>
      <c r="W37" s="637">
        <f>AI33</f>
        <v>11.975</v>
      </c>
      <c r="X37" s="638"/>
      <c r="Y37" s="431">
        <f>((W37/19.32)*10)</f>
        <v>6.1982401656314696</v>
      </c>
      <c r="Z37" s="432"/>
      <c r="AA37" s="637">
        <f>AJ33</f>
        <v>7.8782894736842106</v>
      </c>
      <c r="AB37" s="638"/>
      <c r="AC37" s="431">
        <f>((AA37/19.32)*10)</f>
        <v>4.077789582652283</v>
      </c>
      <c r="AD37" s="432"/>
      <c r="AE37" s="637">
        <v>4.4889999999999999</v>
      </c>
      <c r="AF37" s="638"/>
      <c r="AG37" s="134">
        <f>((AE37/19.32)*10)</f>
        <v>2.3234989648033126</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101.23</v>
      </c>
      <c r="R38" s="618">
        <v>45.17</v>
      </c>
      <c r="S38" s="648">
        <v>44.65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2.3234339717301684</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20.64659068421053</v>
      </c>
      <c r="N40" s="103"/>
      <c r="O40" s="628" t="s">
        <v>10</v>
      </c>
      <c r="P40" s="629"/>
      <c r="Q40" s="125">
        <f>((Q35-Q37)/(Q37-Q38))*100</f>
        <v>9.010172775714528</v>
      </c>
      <c r="R40" s="125">
        <f>((R35-R37)/(R37-R38))*100</f>
        <v>9.1275979163333201</v>
      </c>
      <c r="S40" s="126">
        <f>((S35-S37)/(S37-S38))*100</f>
        <v>9.0102427231949491</v>
      </c>
      <c r="T40" s="174"/>
      <c r="U40" s="645" t="s">
        <v>151</v>
      </c>
      <c r="V40" s="646"/>
      <c r="W40" s="423">
        <f>(AM79/6.9)*100</f>
        <v>37.66465628469409</v>
      </c>
      <c r="X40" s="423"/>
      <c r="Y40" s="423"/>
      <c r="Z40" s="424"/>
      <c r="AA40" s="425">
        <f>(AO79/6.9)*100</f>
        <v>24.779379134667163</v>
      </c>
      <c r="AB40" s="426"/>
      <c r="AC40" s="427"/>
      <c r="AD40" s="425">
        <f>(AQ79/6.9)*100</f>
        <v>14.867627480800296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22.792887262672956</v>
      </c>
      <c r="N41" s="138"/>
      <c r="O41" s="565" t="s">
        <v>36</v>
      </c>
      <c r="P41" s="566"/>
      <c r="Q41" s="566"/>
      <c r="R41" s="566"/>
      <c r="S41" s="567"/>
      <c r="T41" s="174"/>
      <c r="U41" s="653" t="s">
        <v>152</v>
      </c>
      <c r="V41" s="654"/>
      <c r="W41" s="418">
        <f>(AM83/10.3)*100</f>
        <v>36.895213974150224</v>
      </c>
      <c r="X41" s="418"/>
      <c r="Y41" s="418"/>
      <c r="Z41" s="419"/>
      <c r="AA41" s="420">
        <f>(AO83/10.3)*100</f>
        <v>24.273167088256727</v>
      </c>
      <c r="AB41" s="421"/>
      <c r="AC41" s="418"/>
      <c r="AD41" s="420">
        <f>(AQ83/10.3)*100</f>
        <v>14.563900252954037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8.9210526315789469</v>
      </c>
      <c r="N42" s="103"/>
      <c r="O42" s="639" t="s">
        <v>9</v>
      </c>
      <c r="P42" s="640"/>
      <c r="Q42" s="148">
        <v>367</v>
      </c>
      <c r="R42" s="148">
        <v>1</v>
      </c>
      <c r="S42" s="149">
        <v>4</v>
      </c>
      <c r="T42" s="174"/>
      <c r="U42" s="651" t="s">
        <v>42</v>
      </c>
      <c r="V42" s="652"/>
      <c r="W42" s="413">
        <f>IF(W40&lt;W41,W40,W41)</f>
        <v>36.895213974150224</v>
      </c>
      <c r="X42" s="414"/>
      <c r="Y42" s="414"/>
      <c r="Z42" s="415"/>
      <c r="AA42" s="416">
        <f>IF(AA40&lt;AA41,AA40,AA41)</f>
        <v>24.273167088256727</v>
      </c>
      <c r="AB42" s="414"/>
      <c r="AC42" s="415"/>
      <c r="AD42" s="416">
        <f>IF(AD40&lt;AD41,AD40,AD41)</f>
        <v>14.563900252954037</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7.0407894736842103</v>
      </c>
      <c r="N43" s="103"/>
      <c r="O43" s="612" t="s">
        <v>49</v>
      </c>
      <c r="P43" s="614"/>
      <c r="Q43" s="618">
        <v>1024.3699999999999</v>
      </c>
      <c r="R43" s="608">
        <v>809.77</v>
      </c>
      <c r="S43" s="610">
        <v>689.07</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932.39</v>
      </c>
      <c r="R45" s="150">
        <v>719.65</v>
      </c>
      <c r="S45" s="151">
        <v>603.54999999999995</v>
      </c>
      <c r="T45" s="174"/>
      <c r="U45" s="656" t="s">
        <v>139</v>
      </c>
      <c r="V45" s="656"/>
      <c r="W45" s="179" t="s">
        <v>121</v>
      </c>
      <c r="X45" s="406">
        <f>MAX(M37:M39)</f>
        <v>2.3234339717301684</v>
      </c>
      <c r="Y45" s="406"/>
      <c r="Z45" s="406"/>
      <c r="AA45" s="174"/>
      <c r="AB45" s="657" t="s">
        <v>31</v>
      </c>
      <c r="AC45" s="658"/>
      <c r="AD45" s="658"/>
      <c r="AE45" s="658"/>
      <c r="AF45" s="231">
        <v>0.29149999999999998</v>
      </c>
      <c r="AG45" s="231">
        <v>0.109</v>
      </c>
      <c r="AH45" s="233">
        <v>0.17649999999999999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99.42</v>
      </c>
      <c r="R46" s="152">
        <v>55.23</v>
      </c>
      <c r="S46" s="153">
        <v>65.14</v>
      </c>
      <c r="T46" s="174"/>
      <c r="U46" s="555" t="s">
        <v>123</v>
      </c>
      <c r="V46" s="555"/>
      <c r="W46" s="179" t="s">
        <v>41</v>
      </c>
      <c r="X46" s="401">
        <f>MIN(M42:M44)</f>
        <v>7.0407894736842103</v>
      </c>
      <c r="Y46" s="401"/>
      <c r="Z46" s="401"/>
      <c r="AA46" s="174"/>
      <c r="AB46" s="660" t="s">
        <v>32</v>
      </c>
      <c r="AC46" s="661"/>
      <c r="AD46" s="661"/>
      <c r="AE46" s="661"/>
      <c r="AF46" s="234">
        <v>0.313</v>
      </c>
      <c r="AG46" s="234">
        <v>0.13750000000000001</v>
      </c>
      <c r="AH46" s="235">
        <v>0.20899999999999999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11.042414492718814</v>
      </c>
      <c r="R47" s="125">
        <f>((R43-R45)/(R45-R46))*100</f>
        <v>13.563709701694712</v>
      </c>
      <c r="S47" s="126">
        <f>((S43-S45)/(S45-S46))*100</f>
        <v>15.8838060214335</v>
      </c>
      <c r="T47" s="174"/>
      <c r="U47" s="555" t="s">
        <v>162</v>
      </c>
      <c r="V47" s="555"/>
      <c r="W47" s="179" t="s">
        <v>41</v>
      </c>
      <c r="X47" s="402">
        <f>IF(L25=D103,"-",IF(L25=D102,"-",IF(L25=D101,M25)))</f>
        <v>39.450000000000003</v>
      </c>
      <c r="Y47" s="402"/>
      <c r="Z47" s="402"/>
      <c r="AA47" s="174"/>
      <c r="AB47" s="662" t="s">
        <v>33</v>
      </c>
      <c r="AC47" s="663"/>
      <c r="AD47" s="663"/>
      <c r="AE47" s="663"/>
      <c r="AF47" s="232">
        <f>(AF46-AF45)*2.54</f>
        <v>5.4610000000000047E-2</v>
      </c>
      <c r="AG47" s="232">
        <f>(AG46-AG45)*2.54</f>
        <v>7.2390000000000024E-2</v>
      </c>
      <c r="AH47" s="239">
        <f>(AH46-AH45)*2.54</f>
        <v>8.2549999999999998E-2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0.47077586206896599</v>
      </c>
      <c r="AG48" s="142">
        <f>IF(AG47&lt;&gt;"",IF(R24&lt;&gt;"",AG47/R24*100,""),"")</f>
        <v>0.65098920863309373</v>
      </c>
      <c r="AH48" s="173">
        <f>IF(AH47&lt;&gt;"",IF(S24&lt;&gt;"",AH47/S24*100,""),"")</f>
        <v>0.72096069868995638</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1.1040000000000001</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2.9740000000000002</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4.173</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5.0209999999999999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5.8209999999999997</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6.4379999999999997</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6.9589999999999996</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7.3419999999999996</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9.0860000000000003</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10.669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11.975</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-7.6E-3</v>
      </c>
      <c r="G74" s="75">
        <v>-0.12509999999999999</v>
      </c>
      <c r="J74" s="701"/>
      <c r="K74" s="702"/>
      <c r="L74" s="44"/>
      <c r="M74" s="44"/>
      <c r="N74" s="44"/>
    </row>
    <row r="75" spans="1:94" ht="26.25" customHeight="1" thickBot="1" x14ac:dyDescent="0.3">
      <c r="A75" s="11"/>
      <c r="B75" s="377" t="s">
        <v>113</v>
      </c>
      <c r="C75" s="377"/>
      <c r="D75" s="19"/>
      <c r="E75" s="54" t="s">
        <v>12</v>
      </c>
      <c r="F75" s="55">
        <v>0.1356</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1.4998</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1.1539999999999999</v>
      </c>
      <c r="AM76" s="3">
        <f t="shared" si="6"/>
        <v>0.59730848861283636</v>
      </c>
      <c r="AN76" s="5">
        <f>AA23</f>
        <v>0.65500000000000003</v>
      </c>
      <c r="AO76" s="3">
        <f t="shared" ref="AO76:AO86" si="9">((AN76/19.32)*10)</f>
        <v>0.33902691511387167</v>
      </c>
      <c r="AP76" s="5">
        <f>AE23</f>
        <v>0.26900000000000002</v>
      </c>
      <c r="AQ76" s="161">
        <f t="shared" si="7"/>
        <v>0.13923395445134576</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2.9740000000000002</v>
      </c>
      <c r="AM77" s="3">
        <f t="shared" si="6"/>
        <v>1.5393374741200829</v>
      </c>
      <c r="AN77" s="5">
        <f>AA24</f>
        <v>1.9565789473684212</v>
      </c>
      <c r="AO77" s="3">
        <f t="shared" si="9"/>
        <v>1.0127220224474229</v>
      </c>
      <c r="AP77" s="5">
        <f>AE24</f>
        <v>0.97799999999999998</v>
      </c>
      <c r="AQ77" s="161">
        <f t="shared" si="7"/>
        <v>0.50621118012422361</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4.173</v>
      </c>
      <c r="AM78" s="3">
        <f t="shared" si="6"/>
        <v>2.1599378881987579</v>
      </c>
      <c r="AN78" s="5">
        <f>AA25</f>
        <v>2.7453947368421052</v>
      </c>
      <c r="AO78" s="3">
        <f t="shared" si="9"/>
        <v>1.4210117685518142</v>
      </c>
      <c r="AP78" s="5">
        <f>AE25</f>
        <v>1.647236842105263</v>
      </c>
      <c r="AQ78" s="161">
        <f t="shared" si="7"/>
        <v>0.85260706113108853</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5.0209999999999999</v>
      </c>
      <c r="AM79" s="4">
        <f t="shared" si="6"/>
        <v>2.5988612836438922</v>
      </c>
      <c r="AN79" s="5">
        <f>AA26</f>
        <v>3.3032894736842104</v>
      </c>
      <c r="AO79" s="4">
        <f t="shared" si="9"/>
        <v>1.7097771602920344</v>
      </c>
      <c r="AP79" s="5">
        <f>AE26</f>
        <v>1.9819736842105262</v>
      </c>
      <c r="AQ79" s="162">
        <f t="shared" si="7"/>
        <v>1.0258662961752205</v>
      </c>
      <c r="BB79" s="12">
        <v>17</v>
      </c>
      <c r="BC79" s="12">
        <v>18</v>
      </c>
    </row>
    <row r="80" spans="1:94" ht="42" customHeight="1" thickTop="1" thickBot="1" x14ac:dyDescent="0.3">
      <c r="D80" s="49"/>
      <c r="H80" s="711" t="s">
        <v>105</v>
      </c>
      <c r="I80" s="712"/>
      <c r="J80" s="58"/>
      <c r="AJ80" s="160">
        <f>U28</f>
        <v>0.125</v>
      </c>
      <c r="AK80" s="3">
        <f t="shared" si="8"/>
        <v>3.1749999999999998</v>
      </c>
      <c r="AL80" s="5">
        <f>W28</f>
        <v>5.8209999999999997</v>
      </c>
      <c r="AM80" s="3">
        <f t="shared" si="6"/>
        <v>3.0129399585921322</v>
      </c>
      <c r="AN80" s="5">
        <f>AA28</f>
        <v>3.8296052631578945</v>
      </c>
      <c r="AO80" s="3">
        <f t="shared" si="9"/>
        <v>1.9821973411790346</v>
      </c>
      <c r="AP80" s="5">
        <f>AE28</f>
        <v>2.2977631578947366</v>
      </c>
      <c r="AQ80" s="161">
        <f t="shared" si="7"/>
        <v>1.1893184047074206</v>
      </c>
      <c r="BC80" s="45">
        <v>0.99880400000000003</v>
      </c>
      <c r="BD80" s="45">
        <v>0.99862499999999998</v>
      </c>
    </row>
    <row r="81" spans="2:43" ht="15.75" customHeight="1" x14ac:dyDescent="0.25">
      <c r="AJ81" s="160">
        <f>U30</f>
        <v>0.15</v>
      </c>
      <c r="AK81" s="3">
        <f t="shared" si="8"/>
        <v>3.8099999999999996</v>
      </c>
      <c r="AL81" s="5">
        <f>W30</f>
        <v>6.4379999999999997</v>
      </c>
      <c r="AM81" s="3">
        <f t="shared" si="6"/>
        <v>3.3322981366459627</v>
      </c>
      <c r="AN81" s="5">
        <f>AA30</f>
        <v>4.2355263157894738</v>
      </c>
      <c r="AO81" s="3">
        <f t="shared" si="9"/>
        <v>2.1923014056881334</v>
      </c>
      <c r="AP81" s="5">
        <f>AE30</f>
        <v>2.5413157894736842</v>
      </c>
      <c r="AQ81" s="161">
        <f t="shared" si="7"/>
        <v>1.31538084341288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6.9589999999999996</v>
      </c>
      <c r="AM82" s="3">
        <f t="shared" si="6"/>
        <v>3.601966873706004</v>
      </c>
      <c r="AN82" s="5">
        <f>AA31</f>
        <v>4.5782894736842099</v>
      </c>
      <c r="AO82" s="3">
        <f t="shared" si="9"/>
        <v>2.3697150484907921</v>
      </c>
      <c r="AP82" s="5">
        <f>AE31</f>
        <v>2.7469736842105257</v>
      </c>
      <c r="AQ82" s="161">
        <f t="shared" si="7"/>
        <v>1.4218290290944748</v>
      </c>
    </row>
    <row r="83" spans="2:43" ht="15" customHeight="1" x14ac:dyDescent="0.25">
      <c r="B83" s="49"/>
      <c r="C83" s="49"/>
      <c r="D83" s="49">
        <v>0</v>
      </c>
      <c r="E83" s="50">
        <f>M42</f>
        <v>8.9210526315789469</v>
      </c>
      <c r="F83" s="49"/>
      <c r="G83" s="43">
        <f>G84/10</f>
        <v>2.4271610436848166</v>
      </c>
      <c r="H83" s="43">
        <f>H84/10</f>
        <v>2.2591711943941366</v>
      </c>
      <c r="I83" s="43">
        <f>I84/10</f>
        <v>2.1153306429280407</v>
      </c>
      <c r="J83" s="43">
        <f>J84/10</f>
        <v>1.9920173109793793</v>
      </c>
      <c r="K83" s="43"/>
      <c r="L83" s="42">
        <v>0</v>
      </c>
      <c r="O83" s="706"/>
      <c r="P83" s="706"/>
      <c r="Q83" s="706"/>
      <c r="R83" s="706"/>
      <c r="S83" s="707"/>
      <c r="W83" s="112"/>
      <c r="AJ83" s="160">
        <f>U33</f>
        <v>0.2</v>
      </c>
      <c r="AK83" s="4">
        <f t="shared" si="8"/>
        <v>5.08</v>
      </c>
      <c r="AL83" s="5">
        <f>W33</f>
        <v>7.3419999999999996</v>
      </c>
      <c r="AM83" s="4">
        <f t="shared" si="6"/>
        <v>3.8002070393374736</v>
      </c>
      <c r="AN83" s="5">
        <f>AA33</f>
        <v>4.8302631578947368</v>
      </c>
      <c r="AO83" s="4">
        <f t="shared" si="9"/>
        <v>2.5001362100904432</v>
      </c>
      <c r="AP83" s="5">
        <f>AE33</f>
        <v>2.8981578947368418</v>
      </c>
      <c r="AQ83" s="162">
        <f t="shared" si="7"/>
        <v>1.5000817260542658</v>
      </c>
    </row>
    <row r="84" spans="2:43" ht="15" customHeight="1" x14ac:dyDescent="0.25">
      <c r="C84" s="94"/>
      <c r="D84" s="94"/>
      <c r="E84" s="94"/>
      <c r="F84" s="49"/>
      <c r="G84" s="43">
        <f>($M$34/(1+(E34*$M$34/100)))*($O$73)</f>
        <v>24.271610436848164</v>
      </c>
      <c r="H84" s="43">
        <f>($M$34/(1+(F34*$M$34/100)))*($O$73)</f>
        <v>22.591711943941366</v>
      </c>
      <c r="I84" s="43">
        <f>($M$34/(1+(G34*$M$34/100)))*($O$73)</f>
        <v>21.153306429280406</v>
      </c>
      <c r="J84" s="43">
        <f>($M$34/(1+(H34*$M$34/100)))*($O$73)</f>
        <v>19.920173109793794</v>
      </c>
      <c r="K84" s="43"/>
      <c r="O84" s="706" t="s">
        <v>146</v>
      </c>
      <c r="P84" s="706"/>
      <c r="Q84" s="706"/>
      <c r="R84" s="706"/>
      <c r="S84" s="707">
        <v>2240</v>
      </c>
      <c r="W84" s="112"/>
      <c r="AJ84" s="160">
        <f>U34</f>
        <v>0.3</v>
      </c>
      <c r="AK84" s="3">
        <f t="shared" si="8"/>
        <v>7.6199999999999992</v>
      </c>
      <c r="AL84" s="5">
        <f>W34</f>
        <v>9.0860000000000003</v>
      </c>
      <c r="AM84" s="3">
        <f t="shared" si="6"/>
        <v>4.7028985507246377</v>
      </c>
      <c r="AN84" s="5">
        <f>AA34</f>
        <v>5.9779999999999998</v>
      </c>
      <c r="AO84" s="3">
        <f t="shared" si="9"/>
        <v>3.0942028985507246</v>
      </c>
      <c r="AP84" s="5">
        <f>AE34</f>
        <v>3.5865789473684213</v>
      </c>
      <c r="AQ84" s="161">
        <f t="shared" si="7"/>
        <v>1.8564073226544622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10.669</v>
      </c>
      <c r="AM85" s="3">
        <f t="shared" si="6"/>
        <v>5.5222567287784683</v>
      </c>
      <c r="AN85" s="5">
        <f>AA35</f>
        <v>7.0190789473684214</v>
      </c>
      <c r="AO85" s="3">
        <f t="shared" si="9"/>
        <v>3.6330636373542551</v>
      </c>
      <c r="AP85" s="5">
        <f>AE35</f>
        <v>4.0890000000000004</v>
      </c>
      <c r="AQ85" s="161">
        <f>((AP85/19.32)*10)</f>
        <v>2.1164596273291929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11.975</v>
      </c>
      <c r="AM86" s="164">
        <f t="shared" si="6"/>
        <v>6.1982401656314696</v>
      </c>
      <c r="AN86" s="165">
        <f>AA37</f>
        <v>7.8782894736842106</v>
      </c>
      <c r="AO86" s="164">
        <f t="shared" si="9"/>
        <v>4.077789582652283</v>
      </c>
      <c r="AP86" s="165">
        <f>AE37</f>
        <v>4.4889999999999999</v>
      </c>
      <c r="AQ86" s="166">
        <f>((AP86/19.32)*10)</f>
        <v>2.3234989648033126</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2.1422744344132156</v>
      </c>
      <c r="AK91" s="9">
        <f>R31</f>
        <v>1.999194277173767</v>
      </c>
      <c r="AL91" s="10">
        <f>S31</f>
        <v>1.8294575301503864</v>
      </c>
    </row>
    <row r="92" spans="2:43" ht="21" customHeight="1" thickBot="1" x14ac:dyDescent="0.3">
      <c r="B92" s="92"/>
      <c r="C92" s="93"/>
      <c r="D92" s="93"/>
      <c r="E92" s="93"/>
      <c r="F92" s="62"/>
      <c r="G92" s="63"/>
      <c r="H92" s="49"/>
      <c r="I92" s="49"/>
      <c r="O92" s="725" t="s">
        <v>147</v>
      </c>
      <c r="P92" s="726"/>
      <c r="Q92" s="726"/>
      <c r="R92" s="726"/>
      <c r="S92" s="61">
        <f>M42</f>
        <v>8.9210526315789469</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36.895213974150224</v>
      </c>
      <c r="AK94" s="158">
        <f>AA42</f>
        <v>24.273167088256727</v>
      </c>
      <c r="AL94" s="158">
        <f>AD42</f>
        <v>14.563900252954037</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1019" priority="47">
      <formula>LEN(TRIM(D6))=0</formula>
    </cfRule>
  </conditionalFormatting>
  <conditionalFormatting sqref="D6:H10">
    <cfRule type="containsBlanks" dxfId="1018" priority="46">
      <formula>LEN(TRIM(D6))=0</formula>
    </cfRule>
  </conditionalFormatting>
  <conditionalFormatting sqref="M19">
    <cfRule type="containsBlanks" dxfId="1017" priority="45">
      <formula>LEN(TRIM(M19))=0</formula>
    </cfRule>
  </conditionalFormatting>
  <conditionalFormatting sqref="CP70">
    <cfRule type="containsBlanks" dxfId="1016" priority="44">
      <formula>LEN(TRIM(CP70))=0</formula>
    </cfRule>
  </conditionalFormatting>
  <conditionalFormatting sqref="M21">
    <cfRule type="containsBlanks" dxfId="1015" priority="43">
      <formula>LEN(TRIM(M21))=0</formula>
    </cfRule>
  </conditionalFormatting>
  <conditionalFormatting sqref="D12:M12">
    <cfRule type="containsBlanks" dxfId="1014" priority="42">
      <formula>LEN(TRIM(D12))=0</formula>
    </cfRule>
  </conditionalFormatting>
  <conditionalFormatting sqref="L9:M9">
    <cfRule type="containsBlanks" dxfId="1013" priority="41">
      <formula>LEN(TRIM(L9))=0</formula>
    </cfRule>
  </conditionalFormatting>
  <conditionalFormatting sqref="L25">
    <cfRule type="containsBlanks" dxfId="1012" priority="40">
      <formula>LEN(TRIM(L25))=0</formula>
    </cfRule>
  </conditionalFormatting>
  <conditionalFormatting sqref="Q20:S21">
    <cfRule type="containsBlanks" dxfId="1011" priority="33">
      <formula>LEN(TRIM(Q20))=0</formula>
    </cfRule>
    <cfRule type="containsBlanks" dxfId="1010" priority="39">
      <formula>LEN(TRIM(Q20))=0</formula>
    </cfRule>
  </conditionalFormatting>
  <conditionalFormatting sqref="U26:V27 AC33 AC26">
    <cfRule type="cellIs" dxfId="1009" priority="38" operator="between">
      <formula>0</formula>
      <formula>500</formula>
    </cfRule>
  </conditionalFormatting>
  <conditionalFormatting sqref="U33:V33">
    <cfRule type="cellIs" dxfId="1008" priority="37" operator="between">
      <formula>0</formula>
      <formula>500</formula>
    </cfRule>
  </conditionalFormatting>
  <conditionalFormatting sqref="AF45:AH46">
    <cfRule type="containsBlanks" dxfId="1007" priority="36">
      <formula>LEN(TRIM(AF45))=0</formula>
    </cfRule>
  </conditionalFormatting>
  <conditionalFormatting sqref="AF51:AG53">
    <cfRule type="containsBlanks" dxfId="1006" priority="35">
      <formula>LEN(TRIM(AF51))=0</formula>
    </cfRule>
  </conditionalFormatting>
  <conditionalFormatting sqref="E20:H24">
    <cfRule type="containsBlanks" dxfId="1005" priority="34">
      <formula>LEN(TRIM(E20))=0</formula>
    </cfRule>
  </conditionalFormatting>
  <conditionalFormatting sqref="M25">
    <cfRule type="containsBlanks" dxfId="1004" priority="32">
      <formula>LEN(TRIM(M25))=0</formula>
    </cfRule>
  </conditionalFormatting>
  <conditionalFormatting sqref="U26:V27 Y26:Z27 AC26:AD27 AG26:AG27">
    <cfRule type="containsBlanks" dxfId="1003" priority="30">
      <formula>LEN(TRIM(U26))=0</formula>
    </cfRule>
    <cfRule type="cellIs" dxfId="1002" priority="31" operator="between">
      <formula>0</formula>
      <formula>1000</formula>
    </cfRule>
  </conditionalFormatting>
  <conditionalFormatting sqref="W87:W88">
    <cfRule type="cellIs" dxfId="1001" priority="29" operator="between">
      <formula>0</formula>
      <formula>500</formula>
    </cfRule>
  </conditionalFormatting>
  <conditionalFormatting sqref="W94">
    <cfRule type="cellIs" dxfId="1000" priority="28" operator="between">
      <formula>0</formula>
      <formula>500</formula>
    </cfRule>
  </conditionalFormatting>
  <conditionalFormatting sqref="W87:W88">
    <cfRule type="containsBlanks" dxfId="999" priority="26">
      <formula>LEN(TRIM(W87))=0</formula>
    </cfRule>
    <cfRule type="cellIs" dxfId="998" priority="27" operator="between">
      <formula>0</formula>
      <formula>1000</formula>
    </cfRule>
  </conditionalFormatting>
  <conditionalFormatting sqref="U33:V33 Y33:Z33 AC33:AD33 AG33">
    <cfRule type="cellIs" dxfId="997" priority="25" operator="between">
      <formula>0</formula>
      <formula>1000</formula>
    </cfRule>
  </conditionalFormatting>
  <conditionalFormatting sqref="Q27:S27">
    <cfRule type="containsBlanks" dxfId="996" priority="23">
      <formula>LEN(TRIM(Q27))=0</formula>
    </cfRule>
    <cfRule type="containsBlanks" dxfId="995" priority="24">
      <formula>LEN(TRIM(Q27))=0</formula>
    </cfRule>
  </conditionalFormatting>
  <conditionalFormatting sqref="W30:W31 W33:W35 W37 W28 W22:W26">
    <cfRule type="containsBlanks" dxfId="994" priority="22">
      <formula>LEN(TRIM(W22))=0</formula>
    </cfRule>
  </conditionalFormatting>
  <conditionalFormatting sqref="W37 W30:W31 W33:W35 W28 W22:W26">
    <cfRule type="containsBlanks" dxfId="993" priority="21">
      <formula>LEN(TRIM(W22))=0</formula>
    </cfRule>
  </conditionalFormatting>
  <conditionalFormatting sqref="W33:X33">
    <cfRule type="cellIs" dxfId="992" priority="20" operator="between">
      <formula>0</formula>
      <formula>1000</formula>
    </cfRule>
  </conditionalFormatting>
  <conditionalFormatting sqref="W30:X37 W26 W28 W22:X25">
    <cfRule type="containsBlanks" dxfId="991" priority="19">
      <formula>LEN(TRIM(W22))=0</formula>
    </cfRule>
  </conditionalFormatting>
  <conditionalFormatting sqref="AA37 AA30:AA31 AA33 AA22:AA26 AA28 AA35">
    <cfRule type="containsBlanks" dxfId="990" priority="18">
      <formula>LEN(TRIM(AA22))=0</formula>
    </cfRule>
  </conditionalFormatting>
  <conditionalFormatting sqref="AA37 AA30:AA31 AA33 AA22:AA26 AA28 AA35">
    <cfRule type="containsBlanks" dxfId="989" priority="17">
      <formula>LEN(TRIM(AA22))=0</formula>
    </cfRule>
  </conditionalFormatting>
  <conditionalFormatting sqref="AA33:AB33">
    <cfRule type="cellIs" dxfId="988" priority="16" operator="between">
      <formula>0</formula>
      <formula>1000</formula>
    </cfRule>
  </conditionalFormatting>
  <conditionalFormatting sqref="AA30:AB30 AA31 AA33:AB33 AA22:AB25 AA26 AA28 AA35:AB37">
    <cfRule type="containsBlanks" dxfId="987" priority="15">
      <formula>LEN(TRIM(AA22))=0</formula>
    </cfRule>
  </conditionalFormatting>
  <conditionalFormatting sqref="AE37 AE28 AE30:AE31 AE33:AE35 AE22:AE26">
    <cfRule type="containsBlanks" dxfId="986" priority="14">
      <formula>LEN(TRIM(AE22))=0</formula>
    </cfRule>
  </conditionalFormatting>
  <conditionalFormatting sqref="AE37 AE28 AE30:AE31 AE33:AE35 AE22:AE26">
    <cfRule type="containsBlanks" dxfId="985" priority="13">
      <formula>LEN(TRIM(AE22))=0</formula>
    </cfRule>
  </conditionalFormatting>
  <conditionalFormatting sqref="AE33:AF33">
    <cfRule type="cellIs" dxfId="984" priority="12" operator="between">
      <formula>0</formula>
      <formula>1000</formula>
    </cfRule>
  </conditionalFormatting>
  <conditionalFormatting sqref="AE33:AF37 AE26 AE28 AE30:AE31 AE22:AF25">
    <cfRule type="containsBlanks" dxfId="983" priority="11">
      <formula>LEN(TRIM(AE22))=0</formula>
    </cfRule>
  </conditionalFormatting>
  <conditionalFormatting sqref="K6:M6">
    <cfRule type="containsBlanks" dxfId="982" priority="10">
      <formula>LEN(TRIM(K6))=0</formula>
    </cfRule>
  </conditionalFormatting>
  <conditionalFormatting sqref="K7:K8">
    <cfRule type="containsBlanks" dxfId="981" priority="9">
      <formula>LEN(TRIM(K7))=0</formula>
    </cfRule>
  </conditionalFormatting>
  <conditionalFormatting sqref="D13:M13">
    <cfRule type="containsBlanks" dxfId="980" priority="8">
      <formula>LEN(TRIM(D13))=0</formula>
    </cfRule>
  </conditionalFormatting>
  <conditionalFormatting sqref="B6:B10">
    <cfRule type="containsBlanks" dxfId="979" priority="7">
      <formula>LEN(TRIM(B6))=0</formula>
    </cfRule>
  </conditionalFormatting>
  <conditionalFormatting sqref="B12:B13">
    <cfRule type="containsBlanks" dxfId="978" priority="6">
      <formula>LEN(TRIM(B12))=0</formula>
    </cfRule>
  </conditionalFormatting>
  <conditionalFormatting sqref="E28:H33">
    <cfRule type="containsBlanks" dxfId="977" priority="5">
      <formula>LEN(TRIM(E28))=0</formula>
    </cfRule>
  </conditionalFormatting>
  <conditionalFormatting sqref="Q22:S26">
    <cfRule type="containsBlanks" dxfId="976" priority="3">
      <formula>LEN(TRIM(Q22))=0</formula>
    </cfRule>
    <cfRule type="containsBlanks" dxfId="975" priority="4">
      <formula>LEN(TRIM(Q22))=0</formula>
    </cfRule>
  </conditionalFormatting>
  <conditionalFormatting sqref="Q34:S39">
    <cfRule type="containsBlanks" dxfId="974" priority="2">
      <formula>LEN(TRIM(Q34))=0</formula>
    </cfRule>
  </conditionalFormatting>
  <conditionalFormatting sqref="Q42:S46">
    <cfRule type="containsBlanks" dxfId="973" priority="1">
      <formula>LEN(TRIM(Q42))=0</formula>
    </cfRule>
  </conditionalFormatting>
  <dataValidations count="5">
    <dataValidation type="list" allowBlank="1" showInputMessage="1" showErrorMessage="1" sqref="D12:E12" xr:uid="{00000000-0002-0000-2600-000000000000}">
      <formula1>$B$87:$B$94</formula1>
    </dataValidation>
    <dataValidation type="list" allowBlank="1" showInputMessage="1" showErrorMessage="1" sqref="CP70" xr:uid="{00000000-0002-0000-2600-000001000000}">
      <formula1>$BA$3:$BA$5</formula1>
    </dataValidation>
    <dataValidation type="list" allowBlank="1" showInputMessage="1" showErrorMessage="1" sqref="M19" xr:uid="{00000000-0002-0000-2600-000002000000}">
      <formula1>$AX$3:$AX$5</formula1>
    </dataValidation>
    <dataValidation type="list" allowBlank="1" showInputMessage="1" showErrorMessage="1" sqref="M21" xr:uid="{00000000-0002-0000-2600-000003000000}">
      <formula1>$AX$3:$AX$4</formula1>
    </dataValidation>
    <dataValidation type="list" allowBlank="1" showInputMessage="1" showErrorMessage="1" sqref="L25" xr:uid="{00000000-0002-0000-2600-000004000000}">
      <formula1>$D$101:$D$104</formula1>
    </dataValidation>
  </dataValidations>
  <hyperlinks>
    <hyperlink ref="D8" r:id="rId1" xr:uid="{00000000-0004-0000-26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6793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6793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67939"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6794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6794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6794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6794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6794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6794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6794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82">
    <tabColor theme="8" tint="0.59999389629810485"/>
  </sheetPr>
  <dimension ref="A1:CP153"/>
  <sheetViews>
    <sheetView view="pageBreakPreview" topLeftCell="S17" zoomScale="112" zoomScaleNormal="100" zoomScaleSheetLayoutView="112" workbookViewId="0">
      <selection activeCell="AH28" sqref="AH28"/>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25-P-LA TORRE AP4 -2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25-P-LA TORRE AP4 -2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289</v>
      </c>
      <c r="G12" s="31" t="s">
        <v>4</v>
      </c>
      <c r="H12" s="146">
        <v>2</v>
      </c>
      <c r="I12" s="546" t="s">
        <v>5</v>
      </c>
      <c r="J12" s="546"/>
      <c r="K12" s="209">
        <v>0.7</v>
      </c>
      <c r="L12" s="32" t="s">
        <v>6</v>
      </c>
      <c r="M12" s="147">
        <v>1.5</v>
      </c>
      <c r="N12" s="78"/>
      <c r="O12" s="501" t="s">
        <v>3</v>
      </c>
      <c r="P12" s="501"/>
      <c r="Q12" s="225" t="s">
        <v>234</v>
      </c>
      <c r="R12" s="224" t="str">
        <f>F12</f>
        <v xml:space="preserve">P-LA TORRE AP4 </v>
      </c>
      <c r="S12" s="224"/>
      <c r="T12" s="502" t="s">
        <v>4</v>
      </c>
      <c r="U12" s="502"/>
      <c r="V12" s="33">
        <f>+H12</f>
        <v>2</v>
      </c>
      <c r="W12" s="547" t="s">
        <v>5</v>
      </c>
      <c r="X12" s="547"/>
      <c r="Y12" s="547"/>
      <c r="Z12" s="547"/>
      <c r="AA12" s="547"/>
      <c r="AB12" s="547"/>
      <c r="AC12" s="34">
        <f>K12</f>
        <v>0.7</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273</v>
      </c>
      <c r="E13" s="479"/>
      <c r="F13" s="479"/>
      <c r="G13" s="479"/>
      <c r="H13" s="479"/>
      <c r="I13" s="479"/>
      <c r="J13" s="479"/>
      <c r="K13" s="479"/>
      <c r="L13" s="479"/>
      <c r="M13" s="480"/>
      <c r="N13" s="188"/>
      <c r="O13" s="526" t="s">
        <v>130</v>
      </c>
      <c r="P13" s="526"/>
      <c r="Q13" s="527" t="str">
        <f>D13</f>
        <v>GRAVAS CON ARCILLA Y ALGO DE ARENA, COLOR MARRÓN. CONSISTENCIA BLANDA,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562</v>
      </c>
      <c r="R20" s="156">
        <v>514</v>
      </c>
      <c r="S20" s="157">
        <v>515</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6976</v>
      </c>
      <c r="F22" s="150">
        <v>7769</v>
      </c>
      <c r="G22" s="150">
        <v>7955</v>
      </c>
      <c r="H22" s="151">
        <v>7156</v>
      </c>
      <c r="I22" s="174"/>
      <c r="J22" s="578"/>
      <c r="K22" s="578"/>
      <c r="L22" s="578"/>
      <c r="M22" s="104"/>
      <c r="N22" s="103"/>
      <c r="O22" s="579" t="s">
        <v>132</v>
      </c>
      <c r="P22" s="580"/>
      <c r="Q22" s="219">
        <v>8848</v>
      </c>
      <c r="R22" s="219">
        <v>8505</v>
      </c>
      <c r="S22" s="208">
        <v>8295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0.11</v>
      </c>
      <c r="AJ22" s="42">
        <f>AJ50/1.59</f>
        <v>6.9182389937106917E-2</v>
      </c>
      <c r="AK22" s="42">
        <f>AJ22*0.55</f>
        <v>3.805031446540881E-2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3844</v>
      </c>
      <c r="R23" s="150">
        <v>3765</v>
      </c>
      <c r="S23" s="151">
        <v>3651</v>
      </c>
      <c r="T23" s="174"/>
      <c r="U23" s="112">
        <v>2.5000000000000001E-2</v>
      </c>
      <c r="V23" s="113">
        <f>U23*25.4</f>
        <v>0.63500000000000001</v>
      </c>
      <c r="W23" s="581">
        <f>AI23</f>
        <v>0.51100000000000001</v>
      </c>
      <c r="X23" s="582"/>
      <c r="Y23" s="449">
        <f>((W23/19.32)*10)</f>
        <v>0.26449275362318841</v>
      </c>
      <c r="Z23" s="450"/>
      <c r="AA23" s="581">
        <v>0.311</v>
      </c>
      <c r="AB23" s="582"/>
      <c r="AC23" s="449">
        <f>((AA23/19.32)*10)</f>
        <v>0.16097308488612835</v>
      </c>
      <c r="AD23" s="450"/>
      <c r="AE23" s="581">
        <v>0.16700000000000001</v>
      </c>
      <c r="AF23" s="582"/>
      <c r="AG23" s="114">
        <f>((AE23/19.32)*10)</f>
        <v>8.643892339544515E-2</v>
      </c>
      <c r="AH23" s="104"/>
      <c r="AI23" s="42">
        <f t="shared" ref="AI23:AI33" si="2">AJ51</f>
        <v>0.51100000000000001</v>
      </c>
      <c r="AJ23" s="42">
        <f t="shared" ref="AJ23:AJ33" si="3">AJ51/1.59</f>
        <v>0.32138364779874212</v>
      </c>
      <c r="AK23" s="42">
        <f t="shared" ref="AK23:AK33" si="4">AJ23*0.55</f>
        <v>0.17676100628930819</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11.55</v>
      </c>
      <c r="S24" s="153">
        <v>11.52</v>
      </c>
      <c r="T24" s="174"/>
      <c r="U24" s="112">
        <v>0.05</v>
      </c>
      <c r="V24" s="113">
        <f>U24*25.4</f>
        <v>1.27</v>
      </c>
      <c r="W24" s="581">
        <f>AI24</f>
        <v>1.1910000000000001</v>
      </c>
      <c r="X24" s="582"/>
      <c r="Y24" s="449">
        <f>((W24/19.32)*10)</f>
        <v>0.61645962732919257</v>
      </c>
      <c r="Z24" s="450"/>
      <c r="AA24" s="581">
        <f>AJ24</f>
        <v>0.74905660377358485</v>
      </c>
      <c r="AB24" s="582"/>
      <c r="AC24" s="449">
        <f>((AA24/19.32)*10)</f>
        <v>0.38771045743974375</v>
      </c>
      <c r="AD24" s="450"/>
      <c r="AE24" s="581">
        <f>AK24</f>
        <v>0.41198113207547171</v>
      </c>
      <c r="AF24" s="582"/>
      <c r="AG24" s="114">
        <f>((AE24/19.32)*10)</f>
        <v>0.21324075159185907</v>
      </c>
      <c r="AH24" s="104"/>
      <c r="AI24" s="42">
        <f t="shared" si="2"/>
        <v>1.1910000000000001</v>
      </c>
      <c r="AJ24" s="42">
        <f t="shared" si="3"/>
        <v>0.74905660377358485</v>
      </c>
      <c r="AK24" s="42">
        <f t="shared" si="4"/>
        <v>0.41198113207547171</v>
      </c>
      <c r="AO24" s="42">
        <v>0.68400000000000005</v>
      </c>
      <c r="AS24" s="42">
        <f t="shared" si="5"/>
        <v>0.55609756097560981</v>
      </c>
    </row>
    <row r="25" spans="1:45" ht="24.95" customHeight="1" thickBot="1" x14ac:dyDescent="0.3">
      <c r="A25" s="103"/>
      <c r="B25" s="602" t="s">
        <v>69</v>
      </c>
      <c r="C25" s="603"/>
      <c r="D25" s="603"/>
      <c r="E25" s="115">
        <f>E22-E23</f>
        <v>4092</v>
      </c>
      <c r="F25" s="115">
        <f>F22-F23</f>
        <v>4885</v>
      </c>
      <c r="G25" s="115">
        <f>G22-G23</f>
        <v>5071</v>
      </c>
      <c r="H25" s="116">
        <f>H22-H23</f>
        <v>4272</v>
      </c>
      <c r="I25" s="174"/>
      <c r="J25" s="174" t="s">
        <v>127</v>
      </c>
      <c r="K25" s="174"/>
      <c r="L25" s="218" t="s">
        <v>128</v>
      </c>
      <c r="M25" s="155">
        <v>49.5</v>
      </c>
      <c r="N25" s="103"/>
      <c r="O25" s="604" t="s">
        <v>46</v>
      </c>
      <c r="P25" s="605"/>
      <c r="Q25" s="608">
        <v>15.2</v>
      </c>
      <c r="R25" s="608">
        <v>15.36</v>
      </c>
      <c r="S25" s="620">
        <v>15.98</v>
      </c>
      <c r="T25" s="174"/>
      <c r="U25" s="112">
        <v>7.4999999999999997E-2</v>
      </c>
      <c r="V25" s="113">
        <f>U25*25.4</f>
        <v>1.9049999999999998</v>
      </c>
      <c r="W25" s="581">
        <f>AI25</f>
        <v>2.2000000000000002</v>
      </c>
      <c r="X25" s="582"/>
      <c r="Y25" s="449">
        <f>((W25/19.32)*10)</f>
        <v>1.1387163561076605</v>
      </c>
      <c r="Z25" s="450"/>
      <c r="AA25" s="581">
        <f>AJ25</f>
        <v>1.3836477987421385</v>
      </c>
      <c r="AB25" s="582"/>
      <c r="AC25" s="449">
        <f>((AA25/19.32)*10)</f>
        <v>0.71617380887274251</v>
      </c>
      <c r="AD25" s="450"/>
      <c r="AE25" s="581">
        <f>AK25</f>
        <v>0.76100628930817626</v>
      </c>
      <c r="AF25" s="582"/>
      <c r="AG25" s="114">
        <f>((AE25/19.32)*10)</f>
        <v>0.39389559488000836</v>
      </c>
      <c r="AH25" s="104"/>
      <c r="AI25" s="42">
        <f t="shared" si="2"/>
        <v>2.2000000000000002</v>
      </c>
      <c r="AJ25" s="42">
        <f t="shared" si="3"/>
        <v>1.3836477987421385</v>
      </c>
      <c r="AK25" s="42">
        <f t="shared" si="4"/>
        <v>0.76100628930817626</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49.5</v>
      </c>
      <c r="N26" s="103"/>
      <c r="O26" s="606"/>
      <c r="P26" s="607"/>
      <c r="Q26" s="609"/>
      <c r="R26" s="609"/>
      <c r="S26" s="621"/>
      <c r="T26" s="174"/>
      <c r="U26" s="600">
        <v>0.1</v>
      </c>
      <c r="V26" s="601">
        <f>U26*25.4</f>
        <v>2.54</v>
      </c>
      <c r="W26" s="778">
        <f>AI26</f>
        <v>3.2109999999999999</v>
      </c>
      <c r="X26" s="779"/>
      <c r="Y26" s="461">
        <f>((W26/19.32)*10)</f>
        <v>1.6620082815734989</v>
      </c>
      <c r="Z26" s="462"/>
      <c r="AA26" s="746">
        <f>AJ26</f>
        <v>2.0194968553459116</v>
      </c>
      <c r="AB26" s="747"/>
      <c r="AC26" s="461">
        <f>((AA26/19.32)*10)</f>
        <v>1.0452882274047162</v>
      </c>
      <c r="AD26" s="462"/>
      <c r="AE26" s="746">
        <f>AK26</f>
        <v>1.1107232704402514</v>
      </c>
      <c r="AF26" s="747"/>
      <c r="AG26" s="469">
        <f>((AE26/19.32)*10)</f>
        <v>0.57490852507259393</v>
      </c>
      <c r="AH26" s="104"/>
      <c r="AI26" s="42">
        <f t="shared" si="2"/>
        <v>3.2109999999999999</v>
      </c>
      <c r="AJ26" s="42">
        <f t="shared" si="3"/>
        <v>2.0194968553459116</v>
      </c>
      <c r="AK26" s="42">
        <f t="shared" si="4"/>
        <v>1.1107232704402514</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2140.199690834143</v>
      </c>
      <c r="S27" s="153">
        <f>(PI()*((S25^2)/4)*S24)</f>
        <v>2310.4464671743231</v>
      </c>
      <c r="T27" s="174"/>
      <c r="U27" s="600"/>
      <c r="V27" s="601"/>
      <c r="W27" s="780"/>
      <c r="X27" s="781"/>
      <c r="Y27" s="463"/>
      <c r="Z27" s="464"/>
      <c r="AA27" s="748"/>
      <c r="AB27" s="749"/>
      <c r="AC27" s="463"/>
      <c r="AD27" s="464"/>
      <c r="AE27" s="748"/>
      <c r="AF27" s="749"/>
      <c r="AG27" s="470"/>
      <c r="AH27" s="193"/>
      <c r="AI27" s="42">
        <f t="shared" si="2"/>
        <v>4.2439999999999998</v>
      </c>
      <c r="AJ27" s="42">
        <f t="shared" si="3"/>
        <v>2.6691823899371068</v>
      </c>
      <c r="AK27" s="42">
        <f t="shared" si="4"/>
        <v>1.4680503144654089</v>
      </c>
      <c r="AO27" s="42">
        <v>2.387</v>
      </c>
      <c r="AS27" s="42">
        <f t="shared" si="5"/>
        <v>1.9406504065040651</v>
      </c>
    </row>
    <row r="28" spans="1:45" ht="24.95" customHeight="1" thickBot="1" x14ac:dyDescent="0.3">
      <c r="A28" s="103"/>
      <c r="B28" s="560" t="s">
        <v>9</v>
      </c>
      <c r="C28" s="561"/>
      <c r="D28" s="561"/>
      <c r="E28" s="148">
        <v>350</v>
      </c>
      <c r="F28" s="148">
        <v>301</v>
      </c>
      <c r="G28" s="148">
        <v>120</v>
      </c>
      <c r="H28" s="149">
        <v>156</v>
      </c>
      <c r="I28" s="174"/>
      <c r="J28" s="597" t="s">
        <v>107</v>
      </c>
      <c r="K28" s="597"/>
      <c r="L28" s="562" t="s">
        <v>119</v>
      </c>
      <c r="M28" s="459">
        <f>IF(M26="","",(100-M26))</f>
        <v>50.5</v>
      </c>
      <c r="N28" s="103"/>
      <c r="O28" s="625" t="s">
        <v>136</v>
      </c>
      <c r="P28" s="626"/>
      <c r="Q28" s="220">
        <f>Q22-Q23</f>
        <v>5004</v>
      </c>
      <c r="R28" s="220">
        <f>R22-R23</f>
        <v>4740</v>
      </c>
      <c r="S28" s="220">
        <f>S22-S23</f>
        <v>4644</v>
      </c>
      <c r="T28" s="174"/>
      <c r="U28" s="627">
        <v>0.125</v>
      </c>
      <c r="V28" s="624">
        <f>U28*25.4</f>
        <v>3.1749999999999998</v>
      </c>
      <c r="W28" s="593">
        <f>AI27</f>
        <v>4.2439999999999998</v>
      </c>
      <c r="X28" s="594"/>
      <c r="Y28" s="439">
        <f>((W28/19.32)*10)</f>
        <v>2.1966873706004137</v>
      </c>
      <c r="Z28" s="440"/>
      <c r="AA28" s="593">
        <f>AJ27</f>
        <v>2.6691823899371068</v>
      </c>
      <c r="AB28" s="594"/>
      <c r="AC28" s="439">
        <f>((AA28/19.32)*10)</f>
        <v>1.3815643840254175</v>
      </c>
      <c r="AD28" s="440"/>
      <c r="AE28" s="593">
        <f>AK27</f>
        <v>1.4680503144654089</v>
      </c>
      <c r="AF28" s="594"/>
      <c r="AG28" s="443">
        <f>((AE28/19.32)*10)</f>
        <v>0.75986041121397974</v>
      </c>
      <c r="AH28" s="104"/>
      <c r="AI28" s="42">
        <f t="shared" si="2"/>
        <v>5.2750000000000004</v>
      </c>
      <c r="AJ28" s="42">
        <f t="shared" si="3"/>
        <v>3.317610062893082</v>
      </c>
      <c r="AK28" s="42">
        <f t="shared" si="4"/>
        <v>1.8246855345911952</v>
      </c>
      <c r="AO28" s="42">
        <v>2.8959999999999999</v>
      </c>
      <c r="AS28" s="42">
        <f t="shared" si="5"/>
        <v>2.3544715447154472</v>
      </c>
    </row>
    <row r="29" spans="1:45" ht="5.0999999999999996" customHeight="1" thickBot="1" x14ac:dyDescent="0.3">
      <c r="A29" s="103"/>
      <c r="B29" s="612" t="s">
        <v>73</v>
      </c>
      <c r="C29" s="613"/>
      <c r="D29" s="614"/>
      <c r="E29" s="618">
        <v>764.92</v>
      </c>
      <c r="F29" s="618">
        <v>616.55999999999995</v>
      </c>
      <c r="G29" s="618">
        <v>816.44</v>
      </c>
      <c r="H29" s="620">
        <v>584.63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6.1619999999999999</v>
      </c>
      <c r="AJ29" s="42">
        <f t="shared" si="3"/>
        <v>3.8754716981132074</v>
      </c>
      <c r="AK29" s="42">
        <f t="shared" si="4"/>
        <v>2.1315094339622642</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21.465014420731709</v>
      </c>
      <c r="N30" s="103"/>
      <c r="O30" s="622" t="s">
        <v>134</v>
      </c>
      <c r="P30" s="623"/>
      <c r="Q30" s="229">
        <f>Q28/Q27</f>
        <v>2.3772904982324135</v>
      </c>
      <c r="R30" s="229">
        <f>R28/R27</f>
        <v>2.214746605328489</v>
      </c>
      <c r="S30" s="131">
        <f>S28/S27</f>
        <v>2.0100011257476198</v>
      </c>
      <c r="T30" s="174"/>
      <c r="U30" s="120">
        <v>0.15</v>
      </c>
      <c r="V30" s="113">
        <f>U30*25.4</f>
        <v>3.8099999999999996</v>
      </c>
      <c r="W30" s="581">
        <f>AI28</f>
        <v>5.2750000000000004</v>
      </c>
      <c r="X30" s="582"/>
      <c r="Y30" s="449">
        <f>((W30/19.32)*10)</f>
        <v>2.7303312629399592</v>
      </c>
      <c r="Z30" s="450"/>
      <c r="AA30" s="581">
        <f>AJ28</f>
        <v>3.317610062893082</v>
      </c>
      <c r="AB30" s="582"/>
      <c r="AC30" s="449">
        <f>((AA30/19.32)*10)</f>
        <v>1.7171894735471438</v>
      </c>
      <c r="AD30" s="450"/>
      <c r="AE30" s="581">
        <f>AK28</f>
        <v>1.8246855345911952</v>
      </c>
      <c r="AF30" s="582"/>
      <c r="AG30" s="114">
        <f>((AE30/19.32)*10)</f>
        <v>0.94445421045092914</v>
      </c>
      <c r="AH30" s="104"/>
      <c r="AI30" s="42">
        <f t="shared" si="2"/>
        <v>6.875</v>
      </c>
      <c r="AJ30" s="42">
        <f t="shared" si="3"/>
        <v>4.3238993710691824</v>
      </c>
      <c r="AK30" s="42">
        <f t="shared" si="4"/>
        <v>2.3781446540880506</v>
      </c>
      <c r="AO30" s="42">
        <v>3.8439999999999999</v>
      </c>
      <c r="AS30" s="42">
        <f t="shared" si="5"/>
        <v>3.1252032520325201</v>
      </c>
    </row>
    <row r="31" spans="1:45" ht="24.95" customHeight="1" thickBot="1" x14ac:dyDescent="0.3">
      <c r="A31" s="103"/>
      <c r="B31" s="576" t="s">
        <v>74</v>
      </c>
      <c r="C31" s="577"/>
      <c r="D31" s="577"/>
      <c r="E31" s="152">
        <v>732.4</v>
      </c>
      <c r="F31" s="152">
        <v>582.11</v>
      </c>
      <c r="G31" s="152">
        <v>755.31</v>
      </c>
      <c r="H31" s="153">
        <v>534.23</v>
      </c>
      <c r="I31" s="174"/>
      <c r="J31" s="597" t="s">
        <v>138</v>
      </c>
      <c r="K31" s="597"/>
      <c r="L31" s="562" t="s">
        <v>116</v>
      </c>
      <c r="M31" s="457">
        <f>IF(M25="","",S82)</f>
        <v>2.7120000000000002</v>
      </c>
      <c r="N31" s="121"/>
      <c r="O31" s="628" t="s">
        <v>135</v>
      </c>
      <c r="P31" s="629"/>
      <c r="Q31" s="122">
        <f>Q30/(1+Q40/100)</f>
        <v>2.1825140492067625</v>
      </c>
      <c r="R31" s="122">
        <f>R30/(1+R40/100)</f>
        <v>2.0380759413657086</v>
      </c>
      <c r="S31" s="123">
        <f>S30/(1+S40/100)</f>
        <v>1.8467423260002616</v>
      </c>
      <c r="T31" s="174"/>
      <c r="U31" s="627">
        <v>0.17499999999999999</v>
      </c>
      <c r="V31" s="624">
        <f>U31*25.4</f>
        <v>4.4449999999999994</v>
      </c>
      <c r="W31" s="593">
        <f>AI29</f>
        <v>6.1619999999999999</v>
      </c>
      <c r="X31" s="594"/>
      <c r="Y31" s="439">
        <f>((W31/19.32)*10)</f>
        <v>3.1894409937888195</v>
      </c>
      <c r="Z31" s="440"/>
      <c r="AA31" s="593">
        <f>AJ29</f>
        <v>3.8754716981132074</v>
      </c>
      <c r="AB31" s="594"/>
      <c r="AC31" s="439">
        <f>((AA31/19.32)*10)</f>
        <v>2.0059377319426539</v>
      </c>
      <c r="AD31" s="440"/>
      <c r="AE31" s="593">
        <f>AK29</f>
        <v>2.1315094339622642</v>
      </c>
      <c r="AF31" s="594"/>
      <c r="AG31" s="443">
        <f>((AE31/19.32)*10)</f>
        <v>1.1032657525684597</v>
      </c>
      <c r="AH31" s="104"/>
      <c r="AI31" s="42">
        <f t="shared" si="2"/>
        <v>9.5739999999999998</v>
      </c>
      <c r="AJ31" s="42">
        <f t="shared" si="3"/>
        <v>6.0213836477987419</v>
      </c>
      <c r="AK31" s="42">
        <f t="shared" si="4"/>
        <v>3.3117610062893084</v>
      </c>
      <c r="AO31" s="42">
        <v>5.516</v>
      </c>
      <c r="AS31" s="42">
        <f t="shared" si="5"/>
        <v>4.4845528455284551</v>
      </c>
    </row>
    <row r="32" spans="1:45" ht="5.0999999999999996" customHeight="1" thickBot="1" x14ac:dyDescent="0.3">
      <c r="A32" s="103"/>
      <c r="B32" s="612" t="s">
        <v>75</v>
      </c>
      <c r="C32" s="613"/>
      <c r="D32" s="614"/>
      <c r="E32" s="618">
        <v>100</v>
      </c>
      <c r="F32" s="618">
        <v>98.45</v>
      </c>
      <c r="G32" s="618">
        <v>100.23</v>
      </c>
      <c r="H32" s="620">
        <v>101.65</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11.885999999999999</v>
      </c>
      <c r="AJ32" s="42">
        <f t="shared" si="3"/>
        <v>7.475471698113207</v>
      </c>
      <c r="AK32" s="42">
        <f t="shared" si="4"/>
        <v>4.1115094339622642</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6.875</v>
      </c>
      <c r="X33" s="582"/>
      <c r="Y33" s="449">
        <f>((W33/19.32)*10)</f>
        <v>3.558488612836439</v>
      </c>
      <c r="Z33" s="450"/>
      <c r="AA33" s="581">
        <f>AJ30</f>
        <v>4.3238993710691824</v>
      </c>
      <c r="AB33" s="582"/>
      <c r="AC33" s="449">
        <f>((AA33/19.32)*10)</f>
        <v>2.2380431527273199</v>
      </c>
      <c r="AD33" s="450"/>
      <c r="AE33" s="581">
        <f>AK30</f>
        <v>2.3781446540880506</v>
      </c>
      <c r="AF33" s="582"/>
      <c r="AG33" s="144">
        <f>((AE33/19.32)*10)</f>
        <v>1.2309237340000263</v>
      </c>
      <c r="AH33" s="104"/>
      <c r="AI33" s="42">
        <f t="shared" si="2"/>
        <v>13.981999999999999</v>
      </c>
      <c r="AJ33" s="42">
        <f t="shared" si="3"/>
        <v>8.7937106918238985</v>
      </c>
      <c r="AK33" s="42">
        <f t="shared" si="4"/>
        <v>4.8365408805031445</v>
      </c>
      <c r="AO33" s="42">
        <v>7.7720000000000002</v>
      </c>
      <c r="AS33" s="42">
        <f t="shared" si="5"/>
        <v>6.3186991869918705</v>
      </c>
    </row>
    <row r="34" spans="1:45" ht="24.95" customHeight="1" thickBot="1" x14ac:dyDescent="0.3">
      <c r="A34" s="103"/>
      <c r="B34" s="602" t="s">
        <v>10</v>
      </c>
      <c r="C34" s="603"/>
      <c r="D34" s="603"/>
      <c r="E34" s="125">
        <f>((E29-E31)/(E31-E32))*100</f>
        <v>5.1423149905123307</v>
      </c>
      <c r="F34" s="125">
        <f>((F29-F31)/(F31-F32))*100</f>
        <v>7.1227721953438223</v>
      </c>
      <c r="G34" s="125">
        <f>((G29-G31)/(G31-G32))*100</f>
        <v>9.331684679733792</v>
      </c>
      <c r="H34" s="126">
        <f>((H29-H31)/(H31-H32))*100</f>
        <v>11.651024088029953</v>
      </c>
      <c r="I34" s="174"/>
      <c r="J34" s="630" t="s">
        <v>125</v>
      </c>
      <c r="K34" s="630"/>
      <c r="L34" s="184" t="s">
        <v>126</v>
      </c>
      <c r="M34" s="245">
        <v>2.72</v>
      </c>
      <c r="N34" s="128"/>
      <c r="O34" s="631" t="s">
        <v>9</v>
      </c>
      <c r="P34" s="632"/>
      <c r="Q34" s="156">
        <v>339</v>
      </c>
      <c r="R34" s="156">
        <v>512</v>
      </c>
      <c r="S34" s="157">
        <v>36</v>
      </c>
      <c r="T34" s="174"/>
      <c r="U34" s="120">
        <v>0.3</v>
      </c>
      <c r="V34" s="113">
        <f>U34*25.4</f>
        <v>7.6199999999999992</v>
      </c>
      <c r="W34" s="581">
        <f>AI31</f>
        <v>9.5739999999999998</v>
      </c>
      <c r="X34" s="582"/>
      <c r="Y34" s="449">
        <f>((W34/19.32)*10)</f>
        <v>4.9554865424430634</v>
      </c>
      <c r="Z34" s="450"/>
      <c r="AA34" s="449">
        <v>6.0209999999999999</v>
      </c>
      <c r="AB34" s="450"/>
      <c r="AC34" s="449">
        <f>((AA34/19.32)*10)</f>
        <v>3.116459627329192</v>
      </c>
      <c r="AD34" s="450"/>
      <c r="AE34" s="581">
        <f>AK31</f>
        <v>3.3117610062893084</v>
      </c>
      <c r="AF34" s="582"/>
      <c r="AG34" s="114">
        <f>((AE34/19.32)*10)</f>
        <v>1.7141620115369092</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888.05</v>
      </c>
      <c r="R35" s="608">
        <v>605.48</v>
      </c>
      <c r="S35" s="610">
        <v>720.58</v>
      </c>
      <c r="T35" s="174"/>
      <c r="U35" s="627">
        <v>0.4</v>
      </c>
      <c r="V35" s="624">
        <f>U35*25.4</f>
        <v>10.16</v>
      </c>
      <c r="W35" s="593">
        <f>AI32</f>
        <v>11.885999999999999</v>
      </c>
      <c r="X35" s="594"/>
      <c r="Y35" s="439">
        <f>((W35/19.32)*10)</f>
        <v>6.1521739130434785</v>
      </c>
      <c r="Z35" s="440"/>
      <c r="AA35" s="593">
        <f>AJ32</f>
        <v>7.475471698113207</v>
      </c>
      <c r="AB35" s="594"/>
      <c r="AC35" s="439">
        <f>(AA35/19.32)*10</f>
        <v>3.8692917692097346</v>
      </c>
      <c r="AD35" s="440"/>
      <c r="AE35" s="593">
        <f>AK32</f>
        <v>4.1115094339622642</v>
      </c>
      <c r="AF35" s="594"/>
      <c r="AG35" s="443">
        <f>((AE35/19.32)*10)</f>
        <v>2.1281104730653539</v>
      </c>
      <c r="AH35" s="104"/>
      <c r="AS35" s="42">
        <f t="shared" si="5"/>
        <v>0</v>
      </c>
    </row>
    <row r="36" spans="1:45" ht="20.100000000000001" customHeight="1" thickBot="1" x14ac:dyDescent="0.3">
      <c r="A36" s="103"/>
      <c r="B36" s="639" t="s">
        <v>71</v>
      </c>
      <c r="C36" s="640"/>
      <c r="D36" s="640"/>
      <c r="E36" s="130">
        <f>E25/E24</f>
        <v>1.9050279329608939</v>
      </c>
      <c r="F36" s="130">
        <f>F25/F24</f>
        <v>2.2742085661080074</v>
      </c>
      <c r="G36" s="130">
        <f>G25/G24</f>
        <v>2.360800744878957</v>
      </c>
      <c r="H36" s="131">
        <f>H25/H24</f>
        <v>1.988826815642458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1.8118565613975659</v>
      </c>
      <c r="F37" s="230">
        <f>F36/(1+F34/100)</f>
        <v>2.1229926368605101</v>
      </c>
      <c r="G37" s="230">
        <f>G36/(1+G34/100)</f>
        <v>2.1593015344037458</v>
      </c>
      <c r="H37" s="123">
        <f>H36/(1+H34/100)</f>
        <v>1.7812884672462928</v>
      </c>
      <c r="I37" s="174"/>
      <c r="J37" s="641" t="s">
        <v>139</v>
      </c>
      <c r="K37" s="641"/>
      <c r="L37" s="643" t="s">
        <v>121</v>
      </c>
      <c r="M37" s="433">
        <f>IF(F74="","",(M42^2*F74+M42*F75+F76))</f>
        <v>2.188074864498645</v>
      </c>
      <c r="N37" s="101"/>
      <c r="O37" s="576" t="s">
        <v>28</v>
      </c>
      <c r="P37" s="577"/>
      <c r="Q37" s="150">
        <v>822.22</v>
      </c>
      <c r="R37" s="152">
        <v>560.78</v>
      </c>
      <c r="S37" s="153">
        <v>665.76</v>
      </c>
      <c r="T37" s="174"/>
      <c r="U37" s="132">
        <v>0.5</v>
      </c>
      <c r="V37" s="133">
        <f>U37*25.4</f>
        <v>12.7</v>
      </c>
      <c r="W37" s="637">
        <f>AI33</f>
        <v>13.981999999999999</v>
      </c>
      <c r="X37" s="638"/>
      <c r="Y37" s="431">
        <f>((W37/19.32)*10)</f>
        <v>7.237060041407867</v>
      </c>
      <c r="Z37" s="432"/>
      <c r="AA37" s="637">
        <v>8.5640000000000001</v>
      </c>
      <c r="AB37" s="638"/>
      <c r="AC37" s="431">
        <f>((AA37/19.32)*10)</f>
        <v>4.4327122153209109</v>
      </c>
      <c r="AD37" s="432"/>
      <c r="AE37" s="637">
        <v>4.6790000000000003</v>
      </c>
      <c r="AF37" s="638"/>
      <c r="AG37" s="134">
        <f>((AE37/19.32)*10)</f>
        <v>2.4218426501035197</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84.58</v>
      </c>
      <c r="R38" s="618">
        <v>45.12</v>
      </c>
      <c r="S38" s="648">
        <v>45.65</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2.439912910195714</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21.465014420731709</v>
      </c>
      <c r="N40" s="103"/>
      <c r="O40" s="628" t="s">
        <v>10</v>
      </c>
      <c r="P40" s="629"/>
      <c r="Q40" s="125">
        <f>((Q35-Q37)/(Q37-Q38))*100</f>
        <v>8.9244075700883805</v>
      </c>
      <c r="R40" s="125">
        <f>((R35-R37)/(R37-R38))*100</f>
        <v>8.6685025016483834</v>
      </c>
      <c r="S40" s="126">
        <f>((S35-S37)/(S37-S38))*100</f>
        <v>8.8403670316556813</v>
      </c>
      <c r="T40" s="174"/>
      <c r="U40" s="645" t="s">
        <v>151</v>
      </c>
      <c r="V40" s="646"/>
      <c r="W40" s="423">
        <f>(AM79/6.9)*100</f>
        <v>24.087076544543461</v>
      </c>
      <c r="X40" s="423"/>
      <c r="Y40" s="423"/>
      <c r="Z40" s="424"/>
      <c r="AA40" s="425">
        <f>(AO79/6.9)*100</f>
        <v>15.149104744995887</v>
      </c>
      <c r="AB40" s="426"/>
      <c r="AC40" s="427"/>
      <c r="AD40" s="425">
        <f>(AQ79/6.9)*100</f>
        <v>8.3320076097477376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23.935545649019957</v>
      </c>
      <c r="N41" s="138"/>
      <c r="O41" s="565" t="s">
        <v>36</v>
      </c>
      <c r="P41" s="566"/>
      <c r="Q41" s="566"/>
      <c r="R41" s="566"/>
      <c r="S41" s="567"/>
      <c r="T41" s="174"/>
      <c r="U41" s="653" t="s">
        <v>152</v>
      </c>
      <c r="V41" s="654"/>
      <c r="W41" s="418">
        <f>(AM83/10.3)*100</f>
        <v>34.548433134334353</v>
      </c>
      <c r="X41" s="418"/>
      <c r="Y41" s="418"/>
      <c r="Z41" s="419"/>
      <c r="AA41" s="420">
        <f>(AO83/10.3)*100</f>
        <v>21.72857429832349</v>
      </c>
      <c r="AB41" s="421"/>
      <c r="AC41" s="418"/>
      <c r="AD41" s="420">
        <f>(AQ83/10.3)*100</f>
        <v>11.950715864077925</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8.3482384823848239</v>
      </c>
      <c r="N42" s="103"/>
      <c r="O42" s="639" t="s">
        <v>9</v>
      </c>
      <c r="P42" s="640"/>
      <c r="Q42" s="148">
        <v>326</v>
      </c>
      <c r="R42" s="148">
        <v>462</v>
      </c>
      <c r="S42" s="149">
        <v>432</v>
      </c>
      <c r="T42" s="174"/>
      <c r="U42" s="651" t="s">
        <v>42</v>
      </c>
      <c r="V42" s="652"/>
      <c r="W42" s="413">
        <f>IF(W40&lt;W41,W40,W41)</f>
        <v>24.087076544543461</v>
      </c>
      <c r="X42" s="414"/>
      <c r="Y42" s="414"/>
      <c r="Z42" s="415"/>
      <c r="AA42" s="416">
        <f>IF(AA40&lt;AA41,AA40,AA41)</f>
        <v>15.149104744995887</v>
      </c>
      <c r="AB42" s="414"/>
      <c r="AC42" s="415"/>
      <c r="AD42" s="416">
        <f>IF(AD40&lt;AD41,AD40,AD41)</f>
        <v>8.3320076097477376</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6.611178861788618</v>
      </c>
      <c r="N43" s="103"/>
      <c r="O43" s="612" t="s">
        <v>49</v>
      </c>
      <c r="P43" s="614"/>
      <c r="Q43" s="618">
        <v>1001.85</v>
      </c>
      <c r="R43" s="608">
        <v>925.46</v>
      </c>
      <c r="S43" s="610">
        <v>834.09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907.43</v>
      </c>
      <c r="R45" s="150">
        <v>828.87</v>
      </c>
      <c r="S45" s="153">
        <v>735</v>
      </c>
      <c r="T45" s="174"/>
      <c r="U45" s="656" t="s">
        <v>139</v>
      </c>
      <c r="V45" s="656"/>
      <c r="W45" s="179" t="s">
        <v>121</v>
      </c>
      <c r="X45" s="406">
        <f>MAX(M37:M39)</f>
        <v>2.439912910195714</v>
      </c>
      <c r="Y45" s="406"/>
      <c r="Z45" s="406"/>
      <c r="AA45" s="174"/>
      <c r="AB45" s="657" t="s">
        <v>31</v>
      </c>
      <c r="AC45" s="658"/>
      <c r="AD45" s="658"/>
      <c r="AE45" s="658"/>
      <c r="AF45" s="231">
        <v>0.1065</v>
      </c>
      <c r="AG45" s="231">
        <v>0.109</v>
      </c>
      <c r="AH45" s="233">
        <v>0.17649999999999999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101.27</v>
      </c>
      <c r="R46" s="152">
        <v>101.45</v>
      </c>
      <c r="S46" s="153">
        <v>101.65</v>
      </c>
      <c r="T46" s="174"/>
      <c r="U46" s="555" t="s">
        <v>123</v>
      </c>
      <c r="V46" s="555"/>
      <c r="W46" s="179" t="s">
        <v>41</v>
      </c>
      <c r="X46" s="401">
        <f>MIN(M42:M44)</f>
        <v>6.611178861788618</v>
      </c>
      <c r="Y46" s="401"/>
      <c r="Z46" s="401"/>
      <c r="AA46" s="174"/>
      <c r="AB46" s="660" t="s">
        <v>32</v>
      </c>
      <c r="AC46" s="661"/>
      <c r="AD46" s="661"/>
      <c r="AE46" s="661"/>
      <c r="AF46" s="234">
        <v>0.11169999999999999</v>
      </c>
      <c r="AG46" s="234">
        <v>0.1195</v>
      </c>
      <c r="AH46" s="235">
        <v>0.19089999999999999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11.712315173166626</v>
      </c>
      <c r="R47" s="125">
        <f>((R43-R45)/(R45-R46))*100</f>
        <v>13.278436116686375</v>
      </c>
      <c r="S47" s="126">
        <f>((S43-S45)/(S45-S46))*100</f>
        <v>15.645377753217025</v>
      </c>
      <c r="T47" s="174"/>
      <c r="U47" s="555" t="s">
        <v>162</v>
      </c>
      <c r="V47" s="555"/>
      <c r="W47" s="179" t="s">
        <v>41</v>
      </c>
      <c r="X47" s="402">
        <f>IF(L25=D103,"-",IF(L25=D102,"-",IF(L25=D101,M25)))</f>
        <v>49.5</v>
      </c>
      <c r="Y47" s="402"/>
      <c r="Z47" s="402"/>
      <c r="AA47" s="174"/>
      <c r="AB47" s="662" t="s">
        <v>33</v>
      </c>
      <c r="AC47" s="663"/>
      <c r="AD47" s="663"/>
      <c r="AE47" s="663"/>
      <c r="AF47" s="232">
        <f>(AF46-AF45)*2.54</f>
        <v>1.3207999999999991E-2</v>
      </c>
      <c r="AG47" s="232">
        <f>(AG46-AG45)*2.54</f>
        <v>2.6669999999999989E-2</v>
      </c>
      <c r="AH47" s="239">
        <f>(AH46-AH45)*2.54</f>
        <v>3.657599999999999E-2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0.11386206896551716</v>
      </c>
      <c r="AG48" s="142">
        <f>IF(AG47&lt;&gt;"",IF(R24&lt;&gt;"",AG47/R24*100,""),"")</f>
        <v>0.23090909090909079</v>
      </c>
      <c r="AH48" s="173">
        <f>IF(AH47&lt;&gt;"",IF(S24&lt;&gt;"",AH47/S24*100,""),"")</f>
        <v>0.31749999999999995</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0.11</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0.51100000000000001</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1.1910000000000001</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2.2000000000000002</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3.2109999999999999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4.2439999999999998</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5.2750000000000004</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6.1619999999999999</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6.875</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9.5739999999999998</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11.885999999999999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13.981999999999999</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-3.6900000000000002E-2</v>
      </c>
      <c r="G74" s="75">
        <v>-0.12509999999999999</v>
      </c>
      <c r="J74" s="701"/>
      <c r="K74" s="702"/>
      <c r="L74" s="44"/>
      <c r="M74" s="44"/>
      <c r="N74" s="44"/>
    </row>
    <row r="75" spans="1:94" ht="26.25" customHeight="1" thickBot="1" x14ac:dyDescent="0.3">
      <c r="A75" s="11"/>
      <c r="B75" s="377" t="s">
        <v>113</v>
      </c>
      <c r="C75" s="377"/>
      <c r="D75" s="19"/>
      <c r="E75" s="54" t="s">
        <v>12</v>
      </c>
      <c r="F75" s="55">
        <v>0.61609999999999998</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-0.3836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0.51100000000000001</v>
      </c>
      <c r="AM76" s="3">
        <f t="shared" si="6"/>
        <v>0.26449275362318841</v>
      </c>
      <c r="AN76" s="5">
        <f>AA23</f>
        <v>0.311</v>
      </c>
      <c r="AO76" s="3">
        <f t="shared" ref="AO76:AO86" si="9">((AN76/19.32)*10)</f>
        <v>0.16097308488612835</v>
      </c>
      <c r="AP76" s="5">
        <f>AE23</f>
        <v>0.16700000000000001</v>
      </c>
      <c r="AQ76" s="161">
        <f t="shared" si="7"/>
        <v>8.643892339544515E-2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1.1910000000000001</v>
      </c>
      <c r="AM77" s="3">
        <f t="shared" si="6"/>
        <v>0.61645962732919257</v>
      </c>
      <c r="AN77" s="5">
        <f>AA24</f>
        <v>0.74905660377358485</v>
      </c>
      <c r="AO77" s="3">
        <f t="shared" si="9"/>
        <v>0.38771045743974375</v>
      </c>
      <c r="AP77" s="5">
        <f>AE24</f>
        <v>0.41198113207547171</v>
      </c>
      <c r="AQ77" s="161">
        <f t="shared" si="7"/>
        <v>0.21324075159185907</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2.2000000000000002</v>
      </c>
      <c r="AM78" s="3">
        <f t="shared" si="6"/>
        <v>1.1387163561076605</v>
      </c>
      <c r="AN78" s="5">
        <f>AA25</f>
        <v>1.3836477987421385</v>
      </c>
      <c r="AO78" s="3">
        <f t="shared" si="9"/>
        <v>0.71617380887274251</v>
      </c>
      <c r="AP78" s="5">
        <f>AE25</f>
        <v>0.76100628930817626</v>
      </c>
      <c r="AQ78" s="161">
        <f t="shared" si="7"/>
        <v>0.39389559488000836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3.2109999999999999</v>
      </c>
      <c r="AM79" s="4">
        <f t="shared" si="6"/>
        <v>1.6620082815734989</v>
      </c>
      <c r="AN79" s="5">
        <f>AA26</f>
        <v>2.0194968553459116</v>
      </c>
      <c r="AO79" s="4">
        <f t="shared" si="9"/>
        <v>1.0452882274047162</v>
      </c>
      <c r="AP79" s="5">
        <f>AE26</f>
        <v>1.1107232704402514</v>
      </c>
      <c r="AQ79" s="162">
        <f t="shared" si="7"/>
        <v>0.57490852507259393</v>
      </c>
      <c r="BB79" s="12">
        <v>17</v>
      </c>
      <c r="BC79" s="12">
        <v>18</v>
      </c>
    </row>
    <row r="80" spans="1:94" ht="42" customHeight="1" thickTop="1" thickBot="1" x14ac:dyDescent="0.3">
      <c r="D80" s="49"/>
      <c r="H80" s="711" t="s">
        <v>105</v>
      </c>
      <c r="I80" s="712"/>
      <c r="J80" s="58"/>
      <c r="AJ80" s="160">
        <f>U28</f>
        <v>0.125</v>
      </c>
      <c r="AK80" s="3">
        <f t="shared" si="8"/>
        <v>3.1749999999999998</v>
      </c>
      <c r="AL80" s="5">
        <f>W28</f>
        <v>4.2439999999999998</v>
      </c>
      <c r="AM80" s="3">
        <f t="shared" si="6"/>
        <v>2.1966873706004137</v>
      </c>
      <c r="AN80" s="5">
        <f>AA28</f>
        <v>2.6691823899371068</v>
      </c>
      <c r="AO80" s="3">
        <f t="shared" si="9"/>
        <v>1.3815643840254175</v>
      </c>
      <c r="AP80" s="5">
        <f>AE28</f>
        <v>1.4680503144654089</v>
      </c>
      <c r="AQ80" s="161">
        <f t="shared" si="7"/>
        <v>0.75986041121397974</v>
      </c>
      <c r="BC80" s="45">
        <v>0.99880400000000003</v>
      </c>
      <c r="BD80" s="45">
        <v>0.99862499999999998</v>
      </c>
    </row>
    <row r="81" spans="2:43" ht="15.75" customHeight="1" x14ac:dyDescent="0.25">
      <c r="AJ81" s="160">
        <f>U30</f>
        <v>0.15</v>
      </c>
      <c r="AK81" s="3">
        <f t="shared" si="8"/>
        <v>3.8099999999999996</v>
      </c>
      <c r="AL81" s="5">
        <f>W30</f>
        <v>5.2750000000000004</v>
      </c>
      <c r="AM81" s="3">
        <f t="shared" si="6"/>
        <v>2.7303312629399592</v>
      </c>
      <c r="AN81" s="5">
        <f>AA30</f>
        <v>3.317610062893082</v>
      </c>
      <c r="AO81" s="3">
        <f t="shared" si="9"/>
        <v>1.7171894735471438</v>
      </c>
      <c r="AP81" s="5">
        <f>AE30</f>
        <v>1.8246855345911952</v>
      </c>
      <c r="AQ81" s="161">
        <f t="shared" si="7"/>
        <v>0.94445421045092914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6.1619999999999999</v>
      </c>
      <c r="AM82" s="3">
        <f t="shared" si="6"/>
        <v>3.1894409937888195</v>
      </c>
      <c r="AN82" s="5">
        <f>AA31</f>
        <v>3.8754716981132074</v>
      </c>
      <c r="AO82" s="3">
        <f t="shared" si="9"/>
        <v>2.0059377319426539</v>
      </c>
      <c r="AP82" s="5">
        <f>AE31</f>
        <v>2.1315094339622642</v>
      </c>
      <c r="AQ82" s="161">
        <f t="shared" si="7"/>
        <v>1.1032657525684597</v>
      </c>
    </row>
    <row r="83" spans="2:43" ht="15" customHeight="1" x14ac:dyDescent="0.25">
      <c r="B83" s="49"/>
      <c r="C83" s="49"/>
      <c r="D83" s="49">
        <v>0</v>
      </c>
      <c r="E83" s="50">
        <f>M42</f>
        <v>8.3482384823848239</v>
      </c>
      <c r="F83" s="49"/>
      <c r="G83" s="43">
        <f>G84/10</f>
        <v>2.3862350011319902</v>
      </c>
      <c r="H83" s="43">
        <f>H84/10</f>
        <v>2.2785542569332353</v>
      </c>
      <c r="I83" s="43">
        <f>I84/10</f>
        <v>2.1693672493795599</v>
      </c>
      <c r="J83" s="43">
        <f>J84/10</f>
        <v>2.0654444343020852</v>
      </c>
      <c r="K83" s="43"/>
      <c r="L83" s="42">
        <v>0</v>
      </c>
      <c r="O83" s="706"/>
      <c r="P83" s="706"/>
      <c r="Q83" s="706"/>
      <c r="R83" s="706"/>
      <c r="S83" s="707"/>
      <c r="W83" s="112"/>
      <c r="AJ83" s="160">
        <f>U33</f>
        <v>0.2</v>
      </c>
      <c r="AK83" s="4">
        <f t="shared" si="8"/>
        <v>5.08</v>
      </c>
      <c r="AL83" s="5">
        <f>W33</f>
        <v>6.875</v>
      </c>
      <c r="AM83" s="4">
        <f t="shared" si="6"/>
        <v>3.558488612836439</v>
      </c>
      <c r="AN83" s="5">
        <f>AA33</f>
        <v>4.3238993710691824</v>
      </c>
      <c r="AO83" s="4">
        <f t="shared" si="9"/>
        <v>2.2380431527273199</v>
      </c>
      <c r="AP83" s="5">
        <f>AE33</f>
        <v>2.3781446540880506</v>
      </c>
      <c r="AQ83" s="162">
        <f t="shared" si="7"/>
        <v>1.2309237340000263</v>
      </c>
    </row>
    <row r="84" spans="2:43" ht="15" customHeight="1" x14ac:dyDescent="0.25">
      <c r="C84" s="94"/>
      <c r="D84" s="94"/>
      <c r="E84" s="94"/>
      <c r="F84" s="49"/>
      <c r="G84" s="43">
        <f>($M$34/(1+(E34*$M$34/100)))*($O$73)</f>
        <v>23.862350011319901</v>
      </c>
      <c r="H84" s="43">
        <f>($M$34/(1+(F34*$M$34/100)))*($O$73)</f>
        <v>22.785542569332353</v>
      </c>
      <c r="I84" s="43">
        <f>($M$34/(1+(G34*$M$34/100)))*($O$73)</f>
        <v>21.693672493795599</v>
      </c>
      <c r="J84" s="43">
        <f>($M$34/(1+(H34*$M$34/100)))*($O$73)</f>
        <v>20.654444343020852</v>
      </c>
      <c r="K84" s="43"/>
      <c r="O84" s="706" t="s">
        <v>146</v>
      </c>
      <c r="P84" s="706"/>
      <c r="Q84" s="706"/>
      <c r="R84" s="706"/>
      <c r="S84" s="707">
        <v>2240</v>
      </c>
      <c r="W84" s="112"/>
      <c r="AJ84" s="160">
        <f>U34</f>
        <v>0.3</v>
      </c>
      <c r="AK84" s="3">
        <f t="shared" si="8"/>
        <v>7.6199999999999992</v>
      </c>
      <c r="AL84" s="5">
        <f>W34</f>
        <v>9.5739999999999998</v>
      </c>
      <c r="AM84" s="3">
        <f t="shared" si="6"/>
        <v>4.9554865424430634</v>
      </c>
      <c r="AN84" s="5">
        <f>AA34</f>
        <v>6.0209999999999999</v>
      </c>
      <c r="AO84" s="3">
        <f t="shared" si="9"/>
        <v>3.116459627329192</v>
      </c>
      <c r="AP84" s="5">
        <f>AE34</f>
        <v>3.3117610062893084</v>
      </c>
      <c r="AQ84" s="161">
        <f t="shared" si="7"/>
        <v>1.7141620115369092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11.885999999999999</v>
      </c>
      <c r="AM85" s="3">
        <f t="shared" si="6"/>
        <v>6.1521739130434785</v>
      </c>
      <c r="AN85" s="5">
        <f>AA35</f>
        <v>7.475471698113207</v>
      </c>
      <c r="AO85" s="3">
        <f t="shared" si="9"/>
        <v>3.8692917692097346</v>
      </c>
      <c r="AP85" s="5">
        <f>AE35</f>
        <v>4.1115094339622642</v>
      </c>
      <c r="AQ85" s="161">
        <f>((AP85/19.32)*10)</f>
        <v>2.1281104730653539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13.981999999999999</v>
      </c>
      <c r="AM86" s="164">
        <f t="shared" si="6"/>
        <v>7.237060041407867</v>
      </c>
      <c r="AN86" s="165">
        <f>AA37</f>
        <v>8.5640000000000001</v>
      </c>
      <c r="AO86" s="164">
        <f t="shared" si="9"/>
        <v>4.4327122153209109</v>
      </c>
      <c r="AP86" s="165">
        <f>AE37</f>
        <v>4.6790000000000003</v>
      </c>
      <c r="AQ86" s="166">
        <f>((AP86/19.32)*10)</f>
        <v>2.4218426501035197</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2.1825140492067625</v>
      </c>
      <c r="AK91" s="9">
        <f>R31</f>
        <v>2.0380759413657086</v>
      </c>
      <c r="AL91" s="10">
        <f>S31</f>
        <v>1.8467423260002616</v>
      </c>
    </row>
    <row r="92" spans="2:43" ht="21" customHeight="1" thickBot="1" x14ac:dyDescent="0.3">
      <c r="B92" s="92"/>
      <c r="C92" s="93"/>
      <c r="D92" s="93"/>
      <c r="E92" s="93"/>
      <c r="F92" s="62"/>
      <c r="G92" s="63"/>
      <c r="H92" s="49"/>
      <c r="I92" s="49"/>
      <c r="O92" s="725" t="s">
        <v>147</v>
      </c>
      <c r="P92" s="726"/>
      <c r="Q92" s="726"/>
      <c r="R92" s="726"/>
      <c r="S92" s="61">
        <f>M42</f>
        <v>8.3482384823848239</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24.087076544543461</v>
      </c>
      <c r="AK94" s="158">
        <f>AA42</f>
        <v>15.149104744995887</v>
      </c>
      <c r="AL94" s="158">
        <f>AD42</f>
        <v>8.3320076097477376</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972" priority="47">
      <formula>LEN(TRIM(D6))=0</formula>
    </cfRule>
  </conditionalFormatting>
  <conditionalFormatting sqref="D6:H10">
    <cfRule type="containsBlanks" dxfId="971" priority="46">
      <formula>LEN(TRIM(D6))=0</formula>
    </cfRule>
  </conditionalFormatting>
  <conditionalFormatting sqref="M19">
    <cfRule type="containsBlanks" dxfId="970" priority="45">
      <formula>LEN(TRIM(M19))=0</formula>
    </cfRule>
  </conditionalFormatting>
  <conditionalFormatting sqref="CP70">
    <cfRule type="containsBlanks" dxfId="969" priority="44">
      <formula>LEN(TRIM(CP70))=0</formula>
    </cfRule>
  </conditionalFormatting>
  <conditionalFormatting sqref="M21">
    <cfRule type="containsBlanks" dxfId="968" priority="43">
      <formula>LEN(TRIM(M21))=0</formula>
    </cfRule>
  </conditionalFormatting>
  <conditionalFormatting sqref="D12:M12">
    <cfRule type="containsBlanks" dxfId="967" priority="42">
      <formula>LEN(TRIM(D12))=0</formula>
    </cfRule>
  </conditionalFormatting>
  <conditionalFormatting sqref="L9:M9">
    <cfRule type="containsBlanks" dxfId="966" priority="41">
      <formula>LEN(TRIM(L9))=0</formula>
    </cfRule>
  </conditionalFormatting>
  <conditionalFormatting sqref="L25">
    <cfRule type="containsBlanks" dxfId="965" priority="40">
      <formula>LEN(TRIM(L25))=0</formula>
    </cfRule>
  </conditionalFormatting>
  <conditionalFormatting sqref="Q20:S21">
    <cfRule type="containsBlanks" dxfId="964" priority="33">
      <formula>LEN(TRIM(Q20))=0</formula>
    </cfRule>
    <cfRule type="containsBlanks" dxfId="963" priority="39">
      <formula>LEN(TRIM(Q20))=0</formula>
    </cfRule>
  </conditionalFormatting>
  <conditionalFormatting sqref="U26:V27 AC33 AC26">
    <cfRule type="cellIs" dxfId="962" priority="38" operator="between">
      <formula>0</formula>
      <formula>500</formula>
    </cfRule>
  </conditionalFormatting>
  <conditionalFormatting sqref="U33:V33">
    <cfRule type="cellIs" dxfId="961" priority="37" operator="between">
      <formula>0</formula>
      <formula>500</formula>
    </cfRule>
  </conditionalFormatting>
  <conditionalFormatting sqref="AF45:AH46">
    <cfRule type="containsBlanks" dxfId="960" priority="36">
      <formula>LEN(TRIM(AF45))=0</formula>
    </cfRule>
  </conditionalFormatting>
  <conditionalFormatting sqref="AF51:AG53">
    <cfRule type="containsBlanks" dxfId="959" priority="35">
      <formula>LEN(TRIM(AF51))=0</formula>
    </cfRule>
  </conditionalFormatting>
  <conditionalFormatting sqref="E20:H24">
    <cfRule type="containsBlanks" dxfId="958" priority="34">
      <formula>LEN(TRIM(E20))=0</formula>
    </cfRule>
  </conditionalFormatting>
  <conditionalFormatting sqref="M25">
    <cfRule type="containsBlanks" dxfId="957" priority="32">
      <formula>LEN(TRIM(M25))=0</formula>
    </cfRule>
  </conditionalFormatting>
  <conditionalFormatting sqref="U26:V27 Y26:Z27 AC26:AD27 AG26:AG27">
    <cfRule type="containsBlanks" dxfId="956" priority="30">
      <formula>LEN(TRIM(U26))=0</formula>
    </cfRule>
    <cfRule type="cellIs" dxfId="955" priority="31" operator="between">
      <formula>0</formula>
      <formula>1000</formula>
    </cfRule>
  </conditionalFormatting>
  <conditionalFormatting sqref="W87:W88">
    <cfRule type="cellIs" dxfId="954" priority="29" operator="between">
      <formula>0</formula>
      <formula>500</formula>
    </cfRule>
  </conditionalFormatting>
  <conditionalFormatting sqref="W94">
    <cfRule type="cellIs" dxfId="953" priority="28" operator="between">
      <formula>0</formula>
      <formula>500</formula>
    </cfRule>
  </conditionalFormatting>
  <conditionalFormatting sqref="W87:W88">
    <cfRule type="containsBlanks" dxfId="952" priority="26">
      <formula>LEN(TRIM(W87))=0</formula>
    </cfRule>
    <cfRule type="cellIs" dxfId="951" priority="27" operator="between">
      <formula>0</formula>
      <formula>1000</formula>
    </cfRule>
  </conditionalFormatting>
  <conditionalFormatting sqref="U33:V33 Y33:Z33 AC33:AD33 AG33">
    <cfRule type="cellIs" dxfId="950" priority="25" operator="between">
      <formula>0</formula>
      <formula>1000</formula>
    </cfRule>
  </conditionalFormatting>
  <conditionalFormatting sqref="Q27:S27">
    <cfRule type="containsBlanks" dxfId="949" priority="23">
      <formula>LEN(TRIM(Q27))=0</formula>
    </cfRule>
    <cfRule type="containsBlanks" dxfId="948" priority="24">
      <formula>LEN(TRIM(Q27))=0</formula>
    </cfRule>
  </conditionalFormatting>
  <conditionalFormatting sqref="W30:W31 W33:W35 W37 W28 W22:W26">
    <cfRule type="containsBlanks" dxfId="947" priority="22">
      <formula>LEN(TRIM(W22))=0</formula>
    </cfRule>
  </conditionalFormatting>
  <conditionalFormatting sqref="W37 W30:W31 W33:W35 W28 W22:W26">
    <cfRule type="containsBlanks" dxfId="946" priority="21">
      <formula>LEN(TRIM(W22))=0</formula>
    </cfRule>
  </conditionalFormatting>
  <conditionalFormatting sqref="W33:X33">
    <cfRule type="cellIs" dxfId="945" priority="20" operator="between">
      <formula>0</formula>
      <formula>1000</formula>
    </cfRule>
  </conditionalFormatting>
  <conditionalFormatting sqref="W30:X37 W26 W28 W22:X25">
    <cfRule type="containsBlanks" dxfId="944" priority="19">
      <formula>LEN(TRIM(W22))=0</formula>
    </cfRule>
  </conditionalFormatting>
  <conditionalFormatting sqref="AA37 AA30:AA31 AA33 AA22:AA26 AA28 AA35">
    <cfRule type="containsBlanks" dxfId="943" priority="18">
      <formula>LEN(TRIM(AA22))=0</formula>
    </cfRule>
  </conditionalFormatting>
  <conditionalFormatting sqref="AA37 AA30:AA31 AA33 AA22:AA26 AA28 AA35">
    <cfRule type="containsBlanks" dxfId="942" priority="17">
      <formula>LEN(TRIM(AA22))=0</formula>
    </cfRule>
  </conditionalFormatting>
  <conditionalFormatting sqref="AA33:AB33">
    <cfRule type="cellIs" dxfId="941" priority="16" operator="between">
      <formula>0</formula>
      <formula>1000</formula>
    </cfRule>
  </conditionalFormatting>
  <conditionalFormatting sqref="AA30:AB30 AA31 AA33:AB33 AA22:AB25 AA26 AA28 AA35:AB37">
    <cfRule type="containsBlanks" dxfId="940" priority="15">
      <formula>LEN(TRIM(AA22))=0</formula>
    </cfRule>
  </conditionalFormatting>
  <conditionalFormatting sqref="AE37 AE28 AE30:AE31 AE33:AE35 AE22:AE26">
    <cfRule type="containsBlanks" dxfId="939" priority="14">
      <formula>LEN(TRIM(AE22))=0</formula>
    </cfRule>
  </conditionalFormatting>
  <conditionalFormatting sqref="AE37 AE28 AE30:AE31 AE33:AE35 AE22:AE26">
    <cfRule type="containsBlanks" dxfId="938" priority="13">
      <formula>LEN(TRIM(AE22))=0</formula>
    </cfRule>
  </conditionalFormatting>
  <conditionalFormatting sqref="AE33:AF33">
    <cfRule type="cellIs" dxfId="937" priority="12" operator="between">
      <formula>0</formula>
      <formula>1000</formula>
    </cfRule>
  </conditionalFormatting>
  <conditionalFormatting sqref="AE33:AF37 AE26 AE28 AE30:AE31 AE22:AF25">
    <cfRule type="containsBlanks" dxfId="936" priority="11">
      <formula>LEN(TRIM(AE22))=0</formula>
    </cfRule>
  </conditionalFormatting>
  <conditionalFormatting sqref="K6:M6">
    <cfRule type="containsBlanks" dxfId="935" priority="10">
      <formula>LEN(TRIM(K6))=0</formula>
    </cfRule>
  </conditionalFormatting>
  <conditionalFormatting sqref="K7:K8">
    <cfRule type="containsBlanks" dxfId="934" priority="9">
      <formula>LEN(TRIM(K7))=0</formula>
    </cfRule>
  </conditionalFormatting>
  <conditionalFormatting sqref="D13:M13">
    <cfRule type="containsBlanks" dxfId="933" priority="8">
      <formula>LEN(TRIM(D13))=0</formula>
    </cfRule>
  </conditionalFormatting>
  <conditionalFormatting sqref="B6:B10">
    <cfRule type="containsBlanks" dxfId="932" priority="7">
      <formula>LEN(TRIM(B6))=0</formula>
    </cfRule>
  </conditionalFormatting>
  <conditionalFormatting sqref="B12:B13">
    <cfRule type="containsBlanks" dxfId="931" priority="6">
      <formula>LEN(TRIM(B12))=0</formula>
    </cfRule>
  </conditionalFormatting>
  <conditionalFormatting sqref="E28:H33">
    <cfRule type="containsBlanks" dxfId="930" priority="5">
      <formula>LEN(TRIM(E28))=0</formula>
    </cfRule>
  </conditionalFormatting>
  <conditionalFormatting sqref="Q22:S26">
    <cfRule type="containsBlanks" dxfId="929" priority="3">
      <formula>LEN(TRIM(Q22))=0</formula>
    </cfRule>
    <cfRule type="containsBlanks" dxfId="928" priority="4">
      <formula>LEN(TRIM(Q22))=0</formula>
    </cfRule>
  </conditionalFormatting>
  <conditionalFormatting sqref="Q34:S39">
    <cfRule type="containsBlanks" dxfId="927" priority="2">
      <formula>LEN(TRIM(Q34))=0</formula>
    </cfRule>
  </conditionalFormatting>
  <conditionalFormatting sqref="Q42:S46">
    <cfRule type="containsBlanks" dxfId="926" priority="1">
      <formula>LEN(TRIM(Q42))=0</formula>
    </cfRule>
  </conditionalFormatting>
  <dataValidations count="5">
    <dataValidation type="list" allowBlank="1" showInputMessage="1" showErrorMessage="1" sqref="L25" xr:uid="{00000000-0002-0000-2700-000000000000}">
      <formula1>$D$101:$D$104</formula1>
    </dataValidation>
    <dataValidation type="list" allowBlank="1" showInputMessage="1" showErrorMessage="1" sqref="M21" xr:uid="{00000000-0002-0000-2700-000001000000}">
      <formula1>$AX$3:$AX$4</formula1>
    </dataValidation>
    <dataValidation type="list" allowBlank="1" showInputMessage="1" showErrorMessage="1" sqref="M19" xr:uid="{00000000-0002-0000-2700-000002000000}">
      <formula1>$AX$3:$AX$5</formula1>
    </dataValidation>
    <dataValidation type="list" allowBlank="1" showInputMessage="1" showErrorMessage="1" sqref="CP70" xr:uid="{00000000-0002-0000-2700-000003000000}">
      <formula1>$BA$3:$BA$5</formula1>
    </dataValidation>
    <dataValidation type="list" allowBlank="1" showInputMessage="1" showErrorMessage="1" sqref="D12:E12" xr:uid="{00000000-0002-0000-2700-000004000000}">
      <formula1>$B$87:$B$94</formula1>
    </dataValidation>
  </dataValidations>
  <hyperlinks>
    <hyperlink ref="D8" r:id="rId1" xr:uid="{00000000-0004-0000-27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68961"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68962"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68963"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6896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6896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68966"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68967"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6896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6896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6897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83">
    <tabColor theme="7" tint="0.79998168889431442"/>
  </sheetPr>
  <dimension ref="A1:CP153"/>
  <sheetViews>
    <sheetView view="pageBreakPreview" topLeftCell="S40" zoomScale="112" zoomScaleNormal="100" zoomScaleSheetLayoutView="112"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25-P-CERRITO AP1 -2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25-P-CERRITO AP1 -2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276</v>
      </c>
      <c r="G12" s="31" t="s">
        <v>4</v>
      </c>
      <c r="H12" s="146">
        <v>2</v>
      </c>
      <c r="I12" s="546" t="s">
        <v>5</v>
      </c>
      <c r="J12" s="546"/>
      <c r="K12" s="209">
        <v>1</v>
      </c>
      <c r="L12" s="32" t="s">
        <v>6</v>
      </c>
      <c r="M12" s="147">
        <v>1.5</v>
      </c>
      <c r="N12" s="78"/>
      <c r="O12" s="501" t="s">
        <v>3</v>
      </c>
      <c r="P12" s="501"/>
      <c r="Q12" s="225" t="s">
        <v>234</v>
      </c>
      <c r="R12" s="224" t="str">
        <f>F12</f>
        <v xml:space="preserve">P-CERRITO AP1 </v>
      </c>
      <c r="S12" s="224"/>
      <c r="T12" s="502" t="s">
        <v>4</v>
      </c>
      <c r="U12" s="502"/>
      <c r="V12" s="33">
        <f>+H12</f>
        <v>2</v>
      </c>
      <c r="W12" s="547" t="s">
        <v>5</v>
      </c>
      <c r="X12" s="547"/>
      <c r="Y12" s="547"/>
      <c r="Z12" s="547"/>
      <c r="AA12" s="547"/>
      <c r="AB12" s="547"/>
      <c r="AC12" s="34">
        <f>K12</f>
        <v>1</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278</v>
      </c>
      <c r="E13" s="479"/>
      <c r="F13" s="479"/>
      <c r="G13" s="479"/>
      <c r="H13" s="479"/>
      <c r="I13" s="479"/>
      <c r="J13" s="479"/>
      <c r="K13" s="479"/>
      <c r="L13" s="479"/>
      <c r="M13" s="480"/>
      <c r="N13" s="188"/>
      <c r="O13" s="526" t="s">
        <v>130</v>
      </c>
      <c r="P13" s="526"/>
      <c r="Q13" s="527" t="str">
        <f>D13</f>
        <v>GRAVAS CON ARCILLA Y ALGO DE ARENA,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560</v>
      </c>
      <c r="R20" s="156">
        <v>548</v>
      </c>
      <c r="S20" s="157">
        <v>596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7308</v>
      </c>
      <c r="F22" s="150">
        <v>7677</v>
      </c>
      <c r="G22" s="150">
        <v>7724</v>
      </c>
      <c r="H22" s="151">
        <v>7554</v>
      </c>
      <c r="I22" s="174"/>
      <c r="J22" s="578"/>
      <c r="K22" s="578"/>
      <c r="L22" s="578"/>
      <c r="M22" s="104"/>
      <c r="N22" s="103"/>
      <c r="O22" s="579" t="s">
        <v>132</v>
      </c>
      <c r="P22" s="580"/>
      <c r="Q22" s="219">
        <v>8644</v>
      </c>
      <c r="R22" s="219">
        <v>8644</v>
      </c>
      <c r="S22" s="208">
        <v>7936</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5.3999999999999999E-2</v>
      </c>
      <c r="AJ22" s="42">
        <f>AJ50/1.59</f>
        <v>3.3962264150943396E-2</v>
      </c>
      <c r="AK22" s="42">
        <f>AJ22*0.55</f>
        <v>1.8679245283018869E-2</v>
      </c>
      <c r="AL22" s="42">
        <v>5.2342105263157898E-2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3798</v>
      </c>
      <c r="R23" s="150">
        <v>3745</v>
      </c>
      <c r="S23" s="151">
        <v>3896</v>
      </c>
      <c r="T23" s="174"/>
      <c r="U23" s="112">
        <v>2.5000000000000001E-2</v>
      </c>
      <c r="V23" s="113">
        <f>U23*25.4</f>
        <v>0.63500000000000001</v>
      </c>
      <c r="W23" s="581">
        <f>AI23</f>
        <v>0.313</v>
      </c>
      <c r="X23" s="582"/>
      <c r="Y23" s="449">
        <f>((W23/19.32)*10)</f>
        <v>0.16200828157349897</v>
      </c>
      <c r="Z23" s="450"/>
      <c r="AA23" s="581">
        <f>AL23</f>
        <v>0.27826315789473688</v>
      </c>
      <c r="AB23" s="582"/>
      <c r="AC23" s="449">
        <f>((AA23/19.32)*10)</f>
        <v>0.14402854963495698</v>
      </c>
      <c r="AD23" s="450"/>
      <c r="AE23" s="581">
        <f>AK23</f>
        <v>0.10827044025157233</v>
      </c>
      <c r="AF23" s="582"/>
      <c r="AG23" s="114">
        <f>((AE23/19.32)*10)</f>
        <v>5.6040600544292093E-2</v>
      </c>
      <c r="AH23" s="104"/>
      <c r="AI23" s="42">
        <f t="shared" ref="AI23:AI33" si="2">AJ51</f>
        <v>0.313</v>
      </c>
      <c r="AJ23" s="42">
        <f t="shared" ref="AJ23:AJ33" si="3">AJ51/1.59</f>
        <v>0.19685534591194967</v>
      </c>
      <c r="AK23" s="42">
        <f t="shared" ref="AK23:AK33" si="4">AJ23*0.55</f>
        <v>0.10827044025157233</v>
      </c>
      <c r="AL23" s="42">
        <v>0.27826315789473688</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11.96</v>
      </c>
      <c r="S24" s="153">
        <v>10.98</v>
      </c>
      <c r="T24" s="174"/>
      <c r="U24" s="112">
        <v>0.05</v>
      </c>
      <c r="V24" s="113">
        <f>U24*25.4</f>
        <v>1.27</v>
      </c>
      <c r="W24" s="581">
        <f>AI24</f>
        <v>0.746</v>
      </c>
      <c r="X24" s="582"/>
      <c r="Y24" s="449">
        <f>((W24/19.32)*10)</f>
        <v>0.38612836438923392</v>
      </c>
      <c r="Z24" s="450"/>
      <c r="AA24" s="581">
        <f>AL24</f>
        <v>0.53863157894736835</v>
      </c>
      <c r="AB24" s="582"/>
      <c r="AC24" s="449">
        <f>((AA24/19.32)*10)</f>
        <v>0.27879481311975585</v>
      </c>
      <c r="AD24" s="450"/>
      <c r="AE24" s="581">
        <f>AK24</f>
        <v>0.25805031446540883</v>
      </c>
      <c r="AF24" s="582"/>
      <c r="AG24" s="114">
        <f>((AE24/19.32)*10)</f>
        <v>0.13356641535476646</v>
      </c>
      <c r="AH24" s="104"/>
      <c r="AI24" s="42">
        <f t="shared" si="2"/>
        <v>0.746</v>
      </c>
      <c r="AJ24" s="42">
        <f t="shared" si="3"/>
        <v>0.46918238993710687</v>
      </c>
      <c r="AK24" s="42">
        <f t="shared" si="4"/>
        <v>0.25805031446540883</v>
      </c>
      <c r="AL24" s="42">
        <v>0.53863157894736835</v>
      </c>
      <c r="AO24" s="42">
        <v>0.68400000000000005</v>
      </c>
      <c r="AS24" s="42">
        <f t="shared" si="5"/>
        <v>0.55609756097560981</v>
      </c>
    </row>
    <row r="25" spans="1:45" ht="24.95" customHeight="1" thickBot="1" x14ac:dyDescent="0.3">
      <c r="A25" s="103"/>
      <c r="B25" s="602" t="s">
        <v>69</v>
      </c>
      <c r="C25" s="603"/>
      <c r="D25" s="603"/>
      <c r="E25" s="115">
        <f>E22-E23</f>
        <v>4424</v>
      </c>
      <c r="F25" s="115">
        <f>F22-F23</f>
        <v>4793</v>
      </c>
      <c r="G25" s="115">
        <f>G22-G23</f>
        <v>4840</v>
      </c>
      <c r="H25" s="116">
        <f>H22-H23</f>
        <v>4670</v>
      </c>
      <c r="I25" s="174"/>
      <c r="J25" s="174" t="s">
        <v>127</v>
      </c>
      <c r="K25" s="174"/>
      <c r="L25" s="218" t="s">
        <v>128</v>
      </c>
      <c r="M25" s="155">
        <v>10.93</v>
      </c>
      <c r="N25" s="103"/>
      <c r="O25" s="604" t="s">
        <v>46</v>
      </c>
      <c r="P25" s="605"/>
      <c r="Q25" s="608">
        <v>15.2</v>
      </c>
      <c r="R25" s="608">
        <v>15.63</v>
      </c>
      <c r="S25" s="620">
        <v>15.41</v>
      </c>
      <c r="T25" s="174"/>
      <c r="U25" s="112">
        <v>7.4999999999999997E-2</v>
      </c>
      <c r="V25" s="113">
        <f>U25*25.4</f>
        <v>1.9049999999999998</v>
      </c>
      <c r="W25" s="581">
        <v>1.0920000000000001</v>
      </c>
      <c r="X25" s="582"/>
      <c r="Y25" s="449">
        <f>((W25/19.32)*10)</f>
        <v>0.56521739130434789</v>
      </c>
      <c r="Z25" s="450"/>
      <c r="AA25" s="581">
        <f>AL25</f>
        <v>0.69431578947368433</v>
      </c>
      <c r="AB25" s="582"/>
      <c r="AC25" s="449">
        <f>((AA25/19.32)*10)</f>
        <v>0.35937670262613064</v>
      </c>
      <c r="AD25" s="450"/>
      <c r="AE25" s="581">
        <f>AK25</f>
        <v>0.42512578616352209</v>
      </c>
      <c r="AF25" s="582"/>
      <c r="AG25" s="114">
        <f>((AE25/19.32)*10)</f>
        <v>0.22004440277615014</v>
      </c>
      <c r="AH25" s="104"/>
      <c r="AI25" s="42">
        <f t="shared" si="2"/>
        <v>1.2290000000000001</v>
      </c>
      <c r="AJ25" s="42">
        <f t="shared" si="3"/>
        <v>0.77295597484276735</v>
      </c>
      <c r="AK25" s="42">
        <f t="shared" si="4"/>
        <v>0.42512578616352209</v>
      </c>
      <c r="AL25" s="42">
        <v>0.69431578947368433</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10.93</v>
      </c>
      <c r="N26" s="103"/>
      <c r="O26" s="606"/>
      <c r="P26" s="607"/>
      <c r="Q26" s="609"/>
      <c r="R26" s="609"/>
      <c r="S26" s="621"/>
      <c r="T26" s="174"/>
      <c r="U26" s="600">
        <v>0.1</v>
      </c>
      <c r="V26" s="601">
        <f>U26*25.4</f>
        <v>2.54</v>
      </c>
      <c r="W26" s="778">
        <v>1.3785000000000001</v>
      </c>
      <c r="X26" s="779"/>
      <c r="Y26" s="461">
        <f>((W26/19.32)*10)</f>
        <v>0.71350931677018647</v>
      </c>
      <c r="Z26" s="462"/>
      <c r="AA26" s="746">
        <f>AL26</f>
        <v>0.8119736842105264</v>
      </c>
      <c r="AB26" s="747"/>
      <c r="AC26" s="461">
        <f>((AA26/19.32)*10)</f>
        <v>0.42027623406341946</v>
      </c>
      <c r="AD26" s="462"/>
      <c r="AE26" s="746">
        <f>AK26</f>
        <v>0.56349056603773584</v>
      </c>
      <c r="AF26" s="747"/>
      <c r="AG26" s="469">
        <f>((AE26/19.32)*10)</f>
        <v>0.29166178366342432</v>
      </c>
      <c r="AH26" s="104"/>
      <c r="AI26" s="42">
        <f t="shared" si="2"/>
        <v>1.629</v>
      </c>
      <c r="AJ26" s="42">
        <f t="shared" si="3"/>
        <v>1.0245283018867923</v>
      </c>
      <c r="AK26" s="42">
        <f t="shared" si="4"/>
        <v>0.56349056603773584</v>
      </c>
      <c r="AL26" s="42">
        <v>0.8119736842105264</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2294.7692255409338</v>
      </c>
      <c r="S27" s="153">
        <f>(PI()*((S25^2)/4)*S24)</f>
        <v>2047.8469654681878</v>
      </c>
      <c r="T27" s="174"/>
      <c r="U27" s="600"/>
      <c r="V27" s="601"/>
      <c r="W27" s="780"/>
      <c r="X27" s="781"/>
      <c r="Y27" s="463"/>
      <c r="Z27" s="464"/>
      <c r="AA27" s="748"/>
      <c r="AB27" s="749"/>
      <c r="AC27" s="463"/>
      <c r="AD27" s="464"/>
      <c r="AE27" s="748"/>
      <c r="AF27" s="749"/>
      <c r="AG27" s="470"/>
      <c r="AH27" s="193"/>
      <c r="AI27" s="42">
        <f t="shared" si="2"/>
        <v>1.9990000000000001</v>
      </c>
      <c r="AJ27" s="42">
        <f t="shared" si="3"/>
        <v>1.2572327044025158</v>
      </c>
      <c r="AK27" s="42">
        <f t="shared" si="4"/>
        <v>0.69147798742138378</v>
      </c>
      <c r="AL27" s="42">
        <v>0.91442105263157902</v>
      </c>
      <c r="AO27" s="42">
        <v>2.387</v>
      </c>
      <c r="AS27" s="42">
        <f t="shared" si="5"/>
        <v>1.9406504065040651</v>
      </c>
    </row>
    <row r="28" spans="1:45" ht="24.95" customHeight="1" thickBot="1" x14ac:dyDescent="0.3">
      <c r="A28" s="103"/>
      <c r="B28" s="560" t="s">
        <v>9</v>
      </c>
      <c r="C28" s="561"/>
      <c r="D28" s="561"/>
      <c r="E28" s="148">
        <v>32</v>
      </c>
      <c r="F28" s="148">
        <v>654</v>
      </c>
      <c r="G28" s="148">
        <v>753</v>
      </c>
      <c r="H28" s="149">
        <v>15</v>
      </c>
      <c r="I28" s="174"/>
      <c r="J28" s="597" t="s">
        <v>107</v>
      </c>
      <c r="K28" s="597"/>
      <c r="L28" s="562" t="s">
        <v>119</v>
      </c>
      <c r="M28" s="459">
        <f>IF(M26="","",(100-M26))</f>
        <v>89.07</v>
      </c>
      <c r="N28" s="103"/>
      <c r="O28" s="625" t="s">
        <v>136</v>
      </c>
      <c r="P28" s="626"/>
      <c r="Q28" s="220">
        <f>Q22-Q23</f>
        <v>4846</v>
      </c>
      <c r="R28" s="220">
        <f>R22-R23</f>
        <v>4899</v>
      </c>
      <c r="S28" s="220">
        <f>S22-S23</f>
        <v>4040</v>
      </c>
      <c r="T28" s="174"/>
      <c r="U28" s="627">
        <v>0.125</v>
      </c>
      <c r="V28" s="624">
        <f>U28*25.4</f>
        <v>3.1749999999999998</v>
      </c>
      <c r="W28" s="593">
        <v>1.556</v>
      </c>
      <c r="X28" s="594"/>
      <c r="Y28" s="439">
        <f>((W28/19.32)*10)</f>
        <v>0.80538302277432705</v>
      </c>
      <c r="Z28" s="440"/>
      <c r="AA28" s="593">
        <f>AL27</f>
        <v>0.91442105263157902</v>
      </c>
      <c r="AB28" s="594"/>
      <c r="AC28" s="439">
        <f>((AA28/19.32)*10)</f>
        <v>0.47330282227307402</v>
      </c>
      <c r="AD28" s="440"/>
      <c r="AE28" s="593">
        <f>AK27</f>
        <v>0.69147798742138378</v>
      </c>
      <c r="AF28" s="594"/>
      <c r="AG28" s="443">
        <f>((AE28/19.32)*10)</f>
        <v>0.35790786098415306</v>
      </c>
      <c r="AH28" s="104"/>
      <c r="AI28" s="42">
        <f t="shared" si="2"/>
        <v>2.3690000000000002</v>
      </c>
      <c r="AJ28" s="42">
        <f t="shared" si="3"/>
        <v>1.489937106918239</v>
      </c>
      <c r="AK28" s="42">
        <f t="shared" si="4"/>
        <v>0.81946540880503149</v>
      </c>
      <c r="AL28" s="42">
        <v>1.0101578947368421</v>
      </c>
      <c r="AO28" s="42">
        <v>2.8959999999999999</v>
      </c>
      <c r="AS28" s="42">
        <f t="shared" si="5"/>
        <v>2.3544715447154472</v>
      </c>
    </row>
    <row r="29" spans="1:45" ht="5.0999999999999996" customHeight="1" thickBot="1" x14ac:dyDescent="0.3">
      <c r="A29" s="103"/>
      <c r="B29" s="612" t="s">
        <v>73</v>
      </c>
      <c r="C29" s="613"/>
      <c r="D29" s="614"/>
      <c r="E29" s="618">
        <v>451.36</v>
      </c>
      <c r="F29" s="618">
        <v>523.65</v>
      </c>
      <c r="G29" s="618">
        <v>614.78</v>
      </c>
      <c r="H29" s="620">
        <v>503.32</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2.617</v>
      </c>
      <c r="AJ29" s="42">
        <f t="shared" si="3"/>
        <v>1.6459119496855346</v>
      </c>
      <c r="AK29" s="42">
        <f t="shared" si="4"/>
        <v>0.90525157232704412</v>
      </c>
      <c r="AL29" s="42">
        <v>1.0920263157894736</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20.347154843023258</v>
      </c>
      <c r="N30" s="103"/>
      <c r="O30" s="622" t="s">
        <v>134</v>
      </c>
      <c r="P30" s="623"/>
      <c r="Q30" s="229">
        <f>Q28/Q27</f>
        <v>2.3022281683521735</v>
      </c>
      <c r="R30" s="229">
        <f>R28/R27</f>
        <v>2.134855193922685</v>
      </c>
      <c r="S30" s="131">
        <f>S28/S27</f>
        <v>1.9728036655690029</v>
      </c>
      <c r="T30" s="174"/>
      <c r="U30" s="120">
        <v>0.15</v>
      </c>
      <c r="V30" s="113">
        <f>U30*25.4</f>
        <v>3.8099999999999996</v>
      </c>
      <c r="W30" s="581">
        <v>1.778</v>
      </c>
      <c r="X30" s="582"/>
      <c r="Y30" s="449">
        <f>((W30/19.32)*10)</f>
        <v>0.92028985507246375</v>
      </c>
      <c r="Z30" s="450"/>
      <c r="AA30" s="581">
        <f>AL28</f>
        <v>1.0101578947368421</v>
      </c>
      <c r="AB30" s="582"/>
      <c r="AC30" s="449">
        <f>((AA30/19.32)*10)</f>
        <v>0.52285605317641937</v>
      </c>
      <c r="AD30" s="450"/>
      <c r="AE30" s="581">
        <f>AK28</f>
        <v>0.81946540880503149</v>
      </c>
      <c r="AF30" s="582"/>
      <c r="AG30" s="114">
        <f>((AE30/19.32)*10)</f>
        <v>0.42415393830488174</v>
      </c>
      <c r="AH30" s="104"/>
      <c r="AI30" s="42">
        <f t="shared" si="2"/>
        <v>2.7749999999999999</v>
      </c>
      <c r="AJ30" s="42">
        <f t="shared" si="3"/>
        <v>1.7452830188679245</v>
      </c>
      <c r="AK30" s="42">
        <f t="shared" si="4"/>
        <v>0.95990566037735858</v>
      </c>
      <c r="AL30" s="42">
        <v>1.1604736842105263</v>
      </c>
      <c r="AO30" s="42">
        <v>3.8439999999999999</v>
      </c>
      <c r="AS30" s="42">
        <f t="shared" si="5"/>
        <v>3.1252032520325201</v>
      </c>
    </row>
    <row r="31" spans="1:45" ht="24.95" customHeight="1" thickBot="1" x14ac:dyDescent="0.3">
      <c r="A31" s="103"/>
      <c r="B31" s="576" t="s">
        <v>74</v>
      </c>
      <c r="C31" s="577"/>
      <c r="D31" s="577"/>
      <c r="E31" s="152">
        <v>425.38</v>
      </c>
      <c r="F31" s="152">
        <v>486</v>
      </c>
      <c r="G31" s="152">
        <v>559</v>
      </c>
      <c r="H31" s="153">
        <v>451</v>
      </c>
      <c r="I31" s="174"/>
      <c r="J31" s="597" t="s">
        <v>138</v>
      </c>
      <c r="K31" s="597"/>
      <c r="L31" s="562" t="s">
        <v>116</v>
      </c>
      <c r="M31" s="457">
        <f>IF(M25="","",S82)</f>
        <v>2.7120000000000002</v>
      </c>
      <c r="N31" s="121"/>
      <c r="O31" s="628" t="s">
        <v>135</v>
      </c>
      <c r="P31" s="629"/>
      <c r="Q31" s="122">
        <f>Q30/(1+Q40/100)</f>
        <v>2.107979043352338</v>
      </c>
      <c r="R31" s="122">
        <f>R30/(1+R40/100)</f>
        <v>1.9535357367475668</v>
      </c>
      <c r="S31" s="123">
        <f>S30/(1+S40/100)</f>
        <v>1.8004321805942183</v>
      </c>
      <c r="T31" s="174"/>
      <c r="U31" s="627">
        <v>0.17499999999999999</v>
      </c>
      <c r="V31" s="624">
        <f>U31*25.4</f>
        <v>4.4449999999999994</v>
      </c>
      <c r="W31" s="593">
        <v>1.915</v>
      </c>
      <c r="X31" s="594"/>
      <c r="Y31" s="439">
        <f>((W31/19.32)*10)</f>
        <v>0.99120082815734989</v>
      </c>
      <c r="Z31" s="440"/>
      <c r="AA31" s="593">
        <f>AL29</f>
        <v>1.0920263157894736</v>
      </c>
      <c r="AB31" s="594"/>
      <c r="AC31" s="439">
        <f>((AA31/19.32)*10)</f>
        <v>0.56523101231339212</v>
      </c>
      <c r="AD31" s="440"/>
      <c r="AE31" s="593">
        <f>AK29</f>
        <v>0.90525157232704412</v>
      </c>
      <c r="AF31" s="594"/>
      <c r="AG31" s="443">
        <f>((AE31/19.32)*10)</f>
        <v>0.46855671445499181</v>
      </c>
      <c r="AH31" s="104"/>
      <c r="AI31" s="42">
        <f t="shared" si="2"/>
        <v>2.774</v>
      </c>
      <c r="AJ31" s="42">
        <f t="shared" si="3"/>
        <v>1.7446540880503143</v>
      </c>
      <c r="AK31" s="42">
        <f t="shared" si="4"/>
        <v>0.95955974842767289</v>
      </c>
      <c r="AL31" s="42">
        <v>1.4177105263157896</v>
      </c>
      <c r="AO31" s="42">
        <v>5.516</v>
      </c>
      <c r="AS31" s="42">
        <f t="shared" si="5"/>
        <v>4.4845528455284551</v>
      </c>
    </row>
    <row r="32" spans="1:45" ht="5.0999999999999996" customHeight="1" thickBot="1" x14ac:dyDescent="0.3">
      <c r="A32" s="103"/>
      <c r="B32" s="612" t="s">
        <v>75</v>
      </c>
      <c r="C32" s="613"/>
      <c r="D32" s="614"/>
      <c r="E32" s="618">
        <v>45.12</v>
      </c>
      <c r="F32" s="618">
        <v>36.15</v>
      </c>
      <c r="G32" s="618">
        <v>38.74</v>
      </c>
      <c r="H32" s="620">
        <v>33.159999999999997</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2.59</v>
      </c>
      <c r="AJ32" s="42">
        <f t="shared" si="3"/>
        <v>1.6289308176100628</v>
      </c>
      <c r="AK32" s="42">
        <f t="shared" si="4"/>
        <v>0.89591194968553456</v>
      </c>
      <c r="AL32" s="42">
        <v>1.668684210526316</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v>2.0678000000000001</v>
      </c>
      <c r="X33" s="582"/>
      <c r="Y33" s="449">
        <f>((W33/19.32)*10)</f>
        <v>1.0702898550724638</v>
      </c>
      <c r="Z33" s="450"/>
      <c r="AA33" s="581">
        <f>AL30</f>
        <v>1.1604736842105263</v>
      </c>
      <c r="AB33" s="582"/>
      <c r="AC33" s="449">
        <f>((AA33/19.32)*10)</f>
        <v>0.60065925683774657</v>
      </c>
      <c r="AD33" s="450"/>
      <c r="AE33" s="581">
        <f>AK30</f>
        <v>0.95990566037735858</v>
      </c>
      <c r="AF33" s="582"/>
      <c r="AG33" s="144">
        <f>((AE33/19.32)*10)</f>
        <v>0.49684557990546507</v>
      </c>
      <c r="AH33" s="104"/>
      <c r="AI33" s="42">
        <f t="shared" si="2"/>
        <v>2.59</v>
      </c>
      <c r="AJ33" s="42">
        <f t="shared" si="3"/>
        <v>1.6289308176100628</v>
      </c>
      <c r="AK33" s="42">
        <f t="shared" si="4"/>
        <v>0.89591194968553456</v>
      </c>
      <c r="AL33" s="42">
        <v>1.9165263157894739</v>
      </c>
      <c r="AO33" s="42">
        <v>7.7720000000000002</v>
      </c>
      <c r="AS33" s="42">
        <f t="shared" si="5"/>
        <v>6.3186991869918705</v>
      </c>
    </row>
    <row r="34" spans="1:45" ht="24.95" customHeight="1" thickBot="1" x14ac:dyDescent="0.3">
      <c r="A34" s="103"/>
      <c r="B34" s="602" t="s">
        <v>10</v>
      </c>
      <c r="C34" s="603"/>
      <c r="D34" s="603"/>
      <c r="E34" s="125">
        <f>((E29-E31)/(E31-E32))*100</f>
        <v>6.8321674643664911</v>
      </c>
      <c r="F34" s="125">
        <f>((F29-F31)/(F31-F32))*100</f>
        <v>8.3694564854951601</v>
      </c>
      <c r="G34" s="125">
        <f>((G29-G31)/(G31-G32))*100</f>
        <v>10.721562295775184</v>
      </c>
      <c r="H34" s="126">
        <f>((H29-H31)/(H31-H32))*100</f>
        <v>12.521539345203902</v>
      </c>
      <c r="I34" s="174"/>
      <c r="J34" s="630" t="s">
        <v>125</v>
      </c>
      <c r="K34" s="630"/>
      <c r="L34" s="184" t="s">
        <v>126</v>
      </c>
      <c r="M34" s="245">
        <v>2.72</v>
      </c>
      <c r="N34" s="128"/>
      <c r="O34" s="631" t="s">
        <v>9</v>
      </c>
      <c r="P34" s="632"/>
      <c r="Q34" s="156">
        <v>340</v>
      </c>
      <c r="R34" s="156">
        <v>4563</v>
      </c>
      <c r="S34" s="157">
        <v>321</v>
      </c>
      <c r="T34" s="174"/>
      <c r="U34" s="120">
        <v>0.3</v>
      </c>
      <c r="V34" s="113">
        <f>U34*25.4</f>
        <v>7.6199999999999992</v>
      </c>
      <c r="W34" s="581">
        <v>2.3980000000000001</v>
      </c>
      <c r="X34" s="582"/>
      <c r="Y34" s="449">
        <f>((W34/19.32)*10)</f>
        <v>1.2412008281573499</v>
      </c>
      <c r="Z34" s="450"/>
      <c r="AA34" s="449">
        <v>1.4179999999999999</v>
      </c>
      <c r="AB34" s="450"/>
      <c r="AC34" s="449">
        <f>((AA34/19.32)*10)</f>
        <v>0.73395445134575565</v>
      </c>
      <c r="AD34" s="450"/>
      <c r="AE34" s="581">
        <f>AK31</f>
        <v>0.95955974842767289</v>
      </c>
      <c r="AF34" s="582"/>
      <c r="AG34" s="114">
        <f>((AE34/19.32)*10)</f>
        <v>0.49666653645324682</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850.93</v>
      </c>
      <c r="R35" s="608">
        <v>485.12</v>
      </c>
      <c r="S35" s="610">
        <v>506.21</v>
      </c>
      <c r="T35" s="174"/>
      <c r="U35" s="627">
        <v>0.4</v>
      </c>
      <c r="V35" s="624">
        <f>U35*25.4</f>
        <v>10.16</v>
      </c>
      <c r="W35" s="593">
        <v>2.649</v>
      </c>
      <c r="X35" s="594"/>
      <c r="Y35" s="439">
        <f>((W35/19.32)*10)</f>
        <v>1.3711180124223601</v>
      </c>
      <c r="Z35" s="440"/>
      <c r="AA35" s="593">
        <f>AL32</f>
        <v>1.668684210526316</v>
      </c>
      <c r="AB35" s="594"/>
      <c r="AC35" s="439">
        <f>(AA35/19.32)*10</f>
        <v>0.86370818350223399</v>
      </c>
      <c r="AD35" s="440"/>
      <c r="AE35" s="593">
        <f>AK32</f>
        <v>0.89591194968553456</v>
      </c>
      <c r="AF35" s="594"/>
      <c r="AG35" s="443">
        <f>((AE35/19.32)*10)</f>
        <v>0.46372254124510071</v>
      </c>
      <c r="AH35" s="104"/>
      <c r="AS35" s="42">
        <f t="shared" si="5"/>
        <v>0</v>
      </c>
    </row>
    <row r="36" spans="1:45" ht="20.100000000000001" customHeight="1" thickBot="1" x14ac:dyDescent="0.3">
      <c r="A36" s="103"/>
      <c r="B36" s="639" t="s">
        <v>71</v>
      </c>
      <c r="C36" s="640"/>
      <c r="D36" s="640"/>
      <c r="E36" s="130">
        <f>E25/E24</f>
        <v>2.0595903165735567</v>
      </c>
      <c r="F36" s="130">
        <f>F25/F24</f>
        <v>2.2313780260707636</v>
      </c>
      <c r="G36" s="130">
        <f>G25/G24</f>
        <v>2.2532588454376166</v>
      </c>
      <c r="H36" s="131">
        <f>H25/H24</f>
        <v>2.1741154562383613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1.9278746892976086</v>
      </c>
      <c r="F37" s="230">
        <f>F36/(1+F34/100)</f>
        <v>2.0590469846726833</v>
      </c>
      <c r="G37" s="230">
        <f>G36/(1+G34/100)</f>
        <v>2.035067785097171</v>
      </c>
      <c r="H37" s="123">
        <f>H36/(1+H34/100)</f>
        <v>1.932177135942311</v>
      </c>
      <c r="I37" s="174"/>
      <c r="J37" s="641" t="s">
        <v>139</v>
      </c>
      <c r="K37" s="641"/>
      <c r="L37" s="643" t="s">
        <v>121</v>
      </c>
      <c r="M37" s="433">
        <f>IF(F74="","",(M42^2*F74+M42*F75+F76))</f>
        <v>2.0741238372093025</v>
      </c>
      <c r="N37" s="101"/>
      <c r="O37" s="576" t="s">
        <v>28</v>
      </c>
      <c r="P37" s="577"/>
      <c r="Q37" s="150">
        <v>789.2</v>
      </c>
      <c r="R37" s="152">
        <v>446.89</v>
      </c>
      <c r="S37" s="153">
        <v>465.34</v>
      </c>
      <c r="T37" s="174"/>
      <c r="U37" s="132">
        <v>0.5</v>
      </c>
      <c r="V37" s="133">
        <f>U37*25.4</f>
        <v>12.7</v>
      </c>
      <c r="W37" s="637">
        <v>2.7888999999999999</v>
      </c>
      <c r="X37" s="638"/>
      <c r="Y37" s="431">
        <f>((W37/19.32)*10)</f>
        <v>1.4435300207039337</v>
      </c>
      <c r="Z37" s="432"/>
      <c r="AA37" s="637">
        <f>AL33</f>
        <v>1.9165263157894739</v>
      </c>
      <c r="AB37" s="638"/>
      <c r="AC37" s="431">
        <f>((AA37/19.32)*10)</f>
        <v>0.99199084668192228</v>
      </c>
      <c r="AD37" s="432"/>
      <c r="AE37" s="637">
        <f>AK33</f>
        <v>0.89591194968553456</v>
      </c>
      <c r="AF37" s="638"/>
      <c r="AG37" s="134">
        <f>((AE37/19.32)*10)</f>
        <v>0.46372254124510071</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119.31</v>
      </c>
      <c r="R38" s="618">
        <v>35</v>
      </c>
      <c r="S38" s="648">
        <v>38.450000000000003</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2.128852187599418</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20.347154843023258</v>
      </c>
      <c r="N40" s="103"/>
      <c r="O40" s="628" t="s">
        <v>10</v>
      </c>
      <c r="P40" s="629"/>
      <c r="Q40" s="125">
        <f>((Q35-Q37)/(Q37-Q38))*100</f>
        <v>9.2149457373598498</v>
      </c>
      <c r="R40" s="125">
        <f>((R35-R37)/(R37-R38))*100</f>
        <v>9.2816043118308329</v>
      </c>
      <c r="S40" s="126">
        <f>((S35-S37)/(S37-S38))*100</f>
        <v>9.5738949143807552</v>
      </c>
      <c r="T40" s="174"/>
      <c r="U40" s="645" t="s">
        <v>151</v>
      </c>
      <c r="V40" s="646"/>
      <c r="W40" s="423">
        <f>(AM79/6.9)*100</f>
        <v>10.340714735799803</v>
      </c>
      <c r="X40" s="423"/>
      <c r="Y40" s="423"/>
      <c r="Z40" s="424"/>
      <c r="AA40" s="425">
        <f>(AO79/6.9)*100</f>
        <v>6.0909599139626005</v>
      </c>
      <c r="AB40" s="426"/>
      <c r="AC40" s="427"/>
      <c r="AD40" s="425">
        <f>(AQ79/6.9)*100</f>
        <v>4.2269823719336861</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20.884039960350293</v>
      </c>
      <c r="N41" s="138"/>
      <c r="O41" s="565" t="s">
        <v>36</v>
      </c>
      <c r="P41" s="566"/>
      <c r="Q41" s="566"/>
      <c r="R41" s="566"/>
      <c r="S41" s="567"/>
      <c r="T41" s="174"/>
      <c r="U41" s="653" t="s">
        <v>152</v>
      </c>
      <c r="V41" s="654"/>
      <c r="W41" s="418">
        <f>(AM83/10.3)*100</f>
        <v>10.391163641480231</v>
      </c>
      <c r="X41" s="418"/>
      <c r="Y41" s="418"/>
      <c r="Z41" s="419"/>
      <c r="AA41" s="420">
        <f>(AO83/10.3)*100</f>
        <v>5.8316432702693834</v>
      </c>
      <c r="AB41" s="421"/>
      <c r="AC41" s="418"/>
      <c r="AD41" s="420">
        <f>(AQ83/10.3)*100</f>
        <v>4.8237434942278163</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9.6569767441860463</v>
      </c>
      <c r="N42" s="103"/>
      <c r="O42" s="639" t="s">
        <v>9</v>
      </c>
      <c r="P42" s="640"/>
      <c r="Q42" s="148">
        <v>374</v>
      </c>
      <c r="R42" s="148">
        <v>63</v>
      </c>
      <c r="S42" s="149">
        <v>126</v>
      </c>
      <c r="T42" s="174"/>
      <c r="U42" s="651" t="s">
        <v>42</v>
      </c>
      <c r="V42" s="652"/>
      <c r="W42" s="413">
        <f>IF(W40&lt;W41,W40,W41)</f>
        <v>10.340714735799803</v>
      </c>
      <c r="X42" s="414"/>
      <c r="Y42" s="414"/>
      <c r="Z42" s="415"/>
      <c r="AA42" s="416">
        <f>IF(AA40&lt;AA41,AA40,AA41)</f>
        <v>5.8316432702693834</v>
      </c>
      <c r="AB42" s="414"/>
      <c r="AC42" s="415"/>
      <c r="AD42" s="416">
        <f>IF(AD40&lt;AD41,AD40,AD41)</f>
        <v>4.2269823719336861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7.5927325581395344</v>
      </c>
      <c r="N43" s="103"/>
      <c r="O43" s="612" t="s">
        <v>49</v>
      </c>
      <c r="P43" s="614"/>
      <c r="Q43" s="618">
        <v>920.76</v>
      </c>
      <c r="R43" s="608">
        <v>541.23</v>
      </c>
      <c r="S43" s="610">
        <v>511.65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827.93</v>
      </c>
      <c r="R45" s="150">
        <v>476.92</v>
      </c>
      <c r="S45" s="153">
        <v>449.75</v>
      </c>
      <c r="T45" s="174"/>
      <c r="U45" s="656" t="s">
        <v>139</v>
      </c>
      <c r="V45" s="656"/>
      <c r="W45" s="179" t="s">
        <v>121</v>
      </c>
      <c r="X45" s="406">
        <f>MAX(M37:M39)</f>
        <v>2.128852187599418</v>
      </c>
      <c r="Y45" s="406"/>
      <c r="Z45" s="406"/>
      <c r="AA45" s="174"/>
      <c r="AB45" s="657" t="s">
        <v>31</v>
      </c>
      <c r="AC45" s="658"/>
      <c r="AD45" s="658"/>
      <c r="AE45" s="658"/>
      <c r="AF45" s="231">
        <v>0.33300000000000002</v>
      </c>
      <c r="AG45" s="231">
        <v>9.7500000000000003E-2</v>
      </c>
      <c r="AH45" s="233">
        <v>0.109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100.64</v>
      </c>
      <c r="R46" s="152">
        <v>36.450000000000003</v>
      </c>
      <c r="S46" s="153">
        <v>38.47</v>
      </c>
      <c r="T46" s="174"/>
      <c r="U46" s="555" t="s">
        <v>123</v>
      </c>
      <c r="V46" s="555"/>
      <c r="W46" s="179" t="s">
        <v>41</v>
      </c>
      <c r="X46" s="401">
        <f>MIN(M42:M44)</f>
        <v>7.5927325581395344</v>
      </c>
      <c r="Y46" s="401"/>
      <c r="Z46" s="401"/>
      <c r="AA46" s="174"/>
      <c r="AB46" s="660" t="s">
        <v>32</v>
      </c>
      <c r="AC46" s="661"/>
      <c r="AD46" s="661"/>
      <c r="AE46" s="661"/>
      <c r="AF46" s="234">
        <v>0.40450000000000003</v>
      </c>
      <c r="AG46" s="234">
        <v>0.18779999999999999</v>
      </c>
      <c r="AH46" s="235">
        <v>0.20799999999999999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12.76382185923085</v>
      </c>
      <c r="R47" s="125">
        <f>((R43-R45)/(R45-R46))*100</f>
        <v>14.600313301700456</v>
      </c>
      <c r="S47" s="126">
        <f>((S43-S45)/(S45-S46))*100</f>
        <v>15.050573818323279</v>
      </c>
      <c r="T47" s="174"/>
      <c r="U47" s="555" t="s">
        <v>162</v>
      </c>
      <c r="V47" s="555"/>
      <c r="W47" s="179" t="s">
        <v>41</v>
      </c>
      <c r="X47" s="402">
        <f>IF(L25=D103,"-",IF(L25=D102,"-",IF(L25=D101,M25)))</f>
        <v>10.93</v>
      </c>
      <c r="Y47" s="402"/>
      <c r="Z47" s="402"/>
      <c r="AA47" s="174"/>
      <c r="AB47" s="662" t="s">
        <v>33</v>
      </c>
      <c r="AC47" s="663"/>
      <c r="AD47" s="663"/>
      <c r="AE47" s="663"/>
      <c r="AF47" s="232">
        <f>(AF46-AF45)*2.54</f>
        <v>0.18161000000000002</v>
      </c>
      <c r="AG47" s="232">
        <f>(AG46-AG45)*2.54</f>
        <v>0.22936199999999998</v>
      </c>
      <c r="AH47" s="239">
        <f>(AH46-AH45)*2.54</f>
        <v>0.25145999999999996</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1.5656034482758625</v>
      </c>
      <c r="AG48" s="142">
        <f>IF(AG47&lt;&gt;"",IF(R24&lt;&gt;"",AG47/R24*100,""),"")</f>
        <v>1.9177424749163876</v>
      </c>
      <c r="AH48" s="173">
        <f>IF(AH47&lt;&gt;"",IF(S24&lt;&gt;"",AH47/S24*100,""),"")</f>
        <v>2.290163934426229</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5.3999999999999999E-2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0.313</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0.746</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1.2290000000000001</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1.629</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1.9990000000000001</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2.3690000000000002</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2.617</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2.7749999999999999</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2.774</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2.59</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2.59</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-1.72E-2</v>
      </c>
      <c r="G74" s="75">
        <v>-0.12509999999999999</v>
      </c>
      <c r="J74" s="701"/>
      <c r="K74" s="702"/>
      <c r="L74" s="44"/>
      <c r="M74" s="44"/>
      <c r="N74" s="44"/>
    </row>
    <row r="75" spans="1:94" ht="26.25" customHeight="1" thickBot="1" x14ac:dyDescent="0.3">
      <c r="A75" s="11"/>
      <c r="B75" s="377" t="s">
        <v>113</v>
      </c>
      <c r="C75" s="377"/>
      <c r="D75" s="19"/>
      <c r="E75" s="54" t="s">
        <v>12</v>
      </c>
      <c r="F75" s="55">
        <v>0.3322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0.47010000000000002</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0.313</v>
      </c>
      <c r="AM76" s="3">
        <f t="shared" si="6"/>
        <v>0.16200828157349897</v>
      </c>
      <c r="AN76" s="5">
        <f>AA23</f>
        <v>0.27826315789473688</v>
      </c>
      <c r="AO76" s="3">
        <f t="shared" ref="AO76:AO86" si="9">((AN76/19.32)*10)</f>
        <v>0.14402854963495698</v>
      </c>
      <c r="AP76" s="5">
        <f>AE23</f>
        <v>0.10827044025157233</v>
      </c>
      <c r="AQ76" s="161">
        <f t="shared" si="7"/>
        <v>5.6040600544292093E-2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0.746</v>
      </c>
      <c r="AM77" s="3">
        <f t="shared" si="6"/>
        <v>0.38612836438923392</v>
      </c>
      <c r="AN77" s="5">
        <f>AA24</f>
        <v>0.53863157894736835</v>
      </c>
      <c r="AO77" s="3">
        <f t="shared" si="9"/>
        <v>0.27879481311975585</v>
      </c>
      <c r="AP77" s="5">
        <f>AE24</f>
        <v>0.25805031446540883</v>
      </c>
      <c r="AQ77" s="161">
        <f t="shared" si="7"/>
        <v>0.13356641535476646</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1.0920000000000001</v>
      </c>
      <c r="AM78" s="3">
        <f t="shared" si="6"/>
        <v>0.56521739130434789</v>
      </c>
      <c r="AN78" s="5">
        <f>AA25</f>
        <v>0.69431578947368433</v>
      </c>
      <c r="AO78" s="3">
        <f t="shared" si="9"/>
        <v>0.35937670262613064</v>
      </c>
      <c r="AP78" s="5">
        <f>AE25</f>
        <v>0.42512578616352209</v>
      </c>
      <c r="AQ78" s="161">
        <f t="shared" si="7"/>
        <v>0.22004440277615014</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1.3785000000000001</v>
      </c>
      <c r="AM79" s="4">
        <f t="shared" si="6"/>
        <v>0.71350931677018647</v>
      </c>
      <c r="AN79" s="5">
        <f>AA26</f>
        <v>0.8119736842105264</v>
      </c>
      <c r="AO79" s="4">
        <f t="shared" si="9"/>
        <v>0.42027623406341946</v>
      </c>
      <c r="AP79" s="5">
        <f>AE26</f>
        <v>0.56349056603773584</v>
      </c>
      <c r="AQ79" s="162">
        <f t="shared" si="7"/>
        <v>0.29166178366342432</v>
      </c>
      <c r="BB79" s="12">
        <v>17</v>
      </c>
      <c r="BC79" s="12">
        <v>18</v>
      </c>
    </row>
    <row r="80" spans="1:94" ht="42" customHeight="1" thickTop="1" thickBot="1" x14ac:dyDescent="0.3">
      <c r="D80" s="49"/>
      <c r="H80" s="711" t="s">
        <v>105</v>
      </c>
      <c r="I80" s="712"/>
      <c r="J80" s="58"/>
      <c r="AJ80" s="160">
        <f>U28</f>
        <v>0.125</v>
      </c>
      <c r="AK80" s="3">
        <f t="shared" si="8"/>
        <v>3.1749999999999998</v>
      </c>
      <c r="AL80" s="5">
        <f>W28</f>
        <v>1.556</v>
      </c>
      <c r="AM80" s="3">
        <f t="shared" si="6"/>
        <v>0.80538302277432705</v>
      </c>
      <c r="AN80" s="5">
        <f>AA28</f>
        <v>0.91442105263157902</v>
      </c>
      <c r="AO80" s="3">
        <f t="shared" si="9"/>
        <v>0.47330282227307402</v>
      </c>
      <c r="AP80" s="5">
        <f>AE28</f>
        <v>0.69147798742138378</v>
      </c>
      <c r="AQ80" s="161">
        <f t="shared" si="7"/>
        <v>0.35790786098415306</v>
      </c>
      <c r="BC80" s="45">
        <v>0.99880400000000003</v>
      </c>
      <c r="BD80" s="45">
        <v>0.99862499999999998</v>
      </c>
    </row>
    <row r="81" spans="2:43" ht="15.75" customHeight="1" x14ac:dyDescent="0.25">
      <c r="AJ81" s="160">
        <f>U30</f>
        <v>0.15</v>
      </c>
      <c r="AK81" s="3">
        <f t="shared" si="8"/>
        <v>3.8099999999999996</v>
      </c>
      <c r="AL81" s="5">
        <f>W30</f>
        <v>1.778</v>
      </c>
      <c r="AM81" s="3">
        <f t="shared" si="6"/>
        <v>0.92028985507246375</v>
      </c>
      <c r="AN81" s="5">
        <f>AA30</f>
        <v>1.0101578947368421</v>
      </c>
      <c r="AO81" s="3">
        <f t="shared" si="9"/>
        <v>0.52285605317641937</v>
      </c>
      <c r="AP81" s="5">
        <f>AE30</f>
        <v>0.81946540880503149</v>
      </c>
      <c r="AQ81" s="161">
        <f t="shared" si="7"/>
        <v>0.42415393830488174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1.915</v>
      </c>
      <c r="AM82" s="3">
        <f t="shared" si="6"/>
        <v>0.99120082815734989</v>
      </c>
      <c r="AN82" s="5">
        <f>AA31</f>
        <v>1.0920263157894736</v>
      </c>
      <c r="AO82" s="3">
        <f t="shared" si="9"/>
        <v>0.56523101231339212</v>
      </c>
      <c r="AP82" s="5">
        <f>AE31</f>
        <v>0.90525157232704412</v>
      </c>
      <c r="AQ82" s="161">
        <f t="shared" si="7"/>
        <v>0.46855671445499181</v>
      </c>
    </row>
    <row r="83" spans="2:43" ht="15" customHeight="1" x14ac:dyDescent="0.25">
      <c r="B83" s="49"/>
      <c r="C83" s="49"/>
      <c r="D83" s="49">
        <v>0</v>
      </c>
      <c r="E83" s="50">
        <f>M42</f>
        <v>9.6569767441860463</v>
      </c>
      <c r="F83" s="49"/>
      <c r="G83" s="43">
        <f>G84/10</f>
        <v>2.250161364091992</v>
      </c>
      <c r="H83" s="43">
        <f>H84/10</f>
        <v>2.1735198983083999</v>
      </c>
      <c r="I83" s="43">
        <f>I84/10</f>
        <v>2.0658603795103914</v>
      </c>
      <c r="J83" s="43">
        <f>J84/10</f>
        <v>1.9904133404171453</v>
      </c>
      <c r="K83" s="43"/>
      <c r="L83" s="42">
        <v>0</v>
      </c>
      <c r="O83" s="706"/>
      <c r="P83" s="706"/>
      <c r="Q83" s="706"/>
      <c r="R83" s="706"/>
      <c r="S83" s="707"/>
      <c r="W83" s="112"/>
      <c r="AJ83" s="160">
        <f>U33</f>
        <v>0.2</v>
      </c>
      <c r="AK83" s="4">
        <f t="shared" si="8"/>
        <v>5.08</v>
      </c>
      <c r="AL83" s="5">
        <f>W33</f>
        <v>2.0678000000000001</v>
      </c>
      <c r="AM83" s="4">
        <f t="shared" si="6"/>
        <v>1.0702898550724638</v>
      </c>
      <c r="AN83" s="5">
        <f>AA33</f>
        <v>1.1604736842105263</v>
      </c>
      <c r="AO83" s="4">
        <f t="shared" si="9"/>
        <v>0.60065925683774657</v>
      </c>
      <c r="AP83" s="5">
        <f>AE33</f>
        <v>0.95990566037735858</v>
      </c>
      <c r="AQ83" s="162">
        <f t="shared" si="7"/>
        <v>0.49684557990546507</v>
      </c>
    </row>
    <row r="84" spans="2:43" ht="15" customHeight="1" x14ac:dyDescent="0.25">
      <c r="C84" s="94"/>
      <c r="D84" s="94"/>
      <c r="E84" s="94"/>
      <c r="F84" s="49"/>
      <c r="G84" s="43">
        <f>($M$34/(1+(E34*$M$34/100)))*($O$73)</f>
        <v>22.501613640919921</v>
      </c>
      <c r="H84" s="43">
        <f>($M$34/(1+(F34*$M$34/100)))*($O$73)</f>
        <v>21.735198983084</v>
      </c>
      <c r="I84" s="43">
        <f>($M$34/(1+(G34*$M$34/100)))*($O$73)</f>
        <v>20.658603795103915</v>
      </c>
      <c r="J84" s="43">
        <f>($M$34/(1+(H34*$M$34/100)))*($O$73)</f>
        <v>19.904133404171453</v>
      </c>
      <c r="K84" s="43"/>
      <c r="O84" s="706" t="s">
        <v>146</v>
      </c>
      <c r="P84" s="706"/>
      <c r="Q84" s="706"/>
      <c r="R84" s="706"/>
      <c r="S84" s="707">
        <v>2240</v>
      </c>
      <c r="W84" s="112"/>
      <c r="AJ84" s="160">
        <f>U34</f>
        <v>0.3</v>
      </c>
      <c r="AK84" s="3">
        <f t="shared" si="8"/>
        <v>7.6199999999999992</v>
      </c>
      <c r="AL84" s="5">
        <f>W34</f>
        <v>2.3980000000000001</v>
      </c>
      <c r="AM84" s="3">
        <f t="shared" si="6"/>
        <v>1.2412008281573499</v>
      </c>
      <c r="AN84" s="5">
        <f>AA34</f>
        <v>1.4179999999999999</v>
      </c>
      <c r="AO84" s="3">
        <f t="shared" si="9"/>
        <v>0.73395445134575565</v>
      </c>
      <c r="AP84" s="5">
        <f>AE34</f>
        <v>0.95955974842767289</v>
      </c>
      <c r="AQ84" s="161">
        <f t="shared" si="7"/>
        <v>0.49666653645324682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2.649</v>
      </c>
      <c r="AM85" s="3">
        <f t="shared" si="6"/>
        <v>1.3711180124223601</v>
      </c>
      <c r="AN85" s="5">
        <f>AA35</f>
        <v>1.668684210526316</v>
      </c>
      <c r="AO85" s="3">
        <f t="shared" si="9"/>
        <v>0.86370818350223399</v>
      </c>
      <c r="AP85" s="5">
        <f>AE35</f>
        <v>0.89591194968553456</v>
      </c>
      <c r="AQ85" s="161">
        <f>((AP85/19.32)*10)</f>
        <v>0.46372254124510071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2.7888999999999999</v>
      </c>
      <c r="AM86" s="164">
        <f t="shared" si="6"/>
        <v>1.4435300207039337</v>
      </c>
      <c r="AN86" s="165">
        <f>AA37</f>
        <v>1.9165263157894739</v>
      </c>
      <c r="AO86" s="164">
        <f t="shared" si="9"/>
        <v>0.99199084668192228</v>
      </c>
      <c r="AP86" s="165">
        <f>AE37</f>
        <v>0.89591194968553456</v>
      </c>
      <c r="AQ86" s="166">
        <f>((AP86/19.32)*10)</f>
        <v>0.46372254124510071</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2.107979043352338</v>
      </c>
      <c r="AK91" s="9">
        <f>R31</f>
        <v>1.9535357367475668</v>
      </c>
      <c r="AL91" s="10">
        <f>S31</f>
        <v>1.8004321805942183</v>
      </c>
    </row>
    <row r="92" spans="2:43" ht="21" customHeight="1" thickBot="1" x14ac:dyDescent="0.3">
      <c r="B92" s="92"/>
      <c r="C92" s="93"/>
      <c r="D92" s="93"/>
      <c r="E92" s="93"/>
      <c r="F92" s="62"/>
      <c r="G92" s="63"/>
      <c r="H92" s="49"/>
      <c r="I92" s="49"/>
      <c r="O92" s="725" t="s">
        <v>147</v>
      </c>
      <c r="P92" s="726"/>
      <c r="Q92" s="726"/>
      <c r="R92" s="726"/>
      <c r="S92" s="61">
        <f>M42</f>
        <v>9.6569767441860463</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10.340714735799803</v>
      </c>
      <c r="AK94" s="158">
        <f>AA42</f>
        <v>5.8316432702693834</v>
      </c>
      <c r="AL94" s="158">
        <f>AD42</f>
        <v>4.2269823719336861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925" priority="47">
      <formula>LEN(TRIM(D6))=0</formula>
    </cfRule>
  </conditionalFormatting>
  <conditionalFormatting sqref="D6:H10">
    <cfRule type="containsBlanks" dxfId="924" priority="46">
      <formula>LEN(TRIM(D6))=0</formula>
    </cfRule>
  </conditionalFormatting>
  <conditionalFormatting sqref="M19">
    <cfRule type="containsBlanks" dxfId="923" priority="45">
      <formula>LEN(TRIM(M19))=0</formula>
    </cfRule>
  </conditionalFormatting>
  <conditionalFormatting sqref="CP70">
    <cfRule type="containsBlanks" dxfId="922" priority="44">
      <formula>LEN(TRIM(CP70))=0</formula>
    </cfRule>
  </conditionalFormatting>
  <conditionalFormatting sqref="M21">
    <cfRule type="containsBlanks" dxfId="921" priority="43">
      <formula>LEN(TRIM(M21))=0</formula>
    </cfRule>
  </conditionalFormatting>
  <conditionalFormatting sqref="D12:M12">
    <cfRule type="containsBlanks" dxfId="920" priority="42">
      <formula>LEN(TRIM(D12))=0</formula>
    </cfRule>
  </conditionalFormatting>
  <conditionalFormatting sqref="L9:M9">
    <cfRule type="containsBlanks" dxfId="919" priority="41">
      <formula>LEN(TRIM(L9))=0</formula>
    </cfRule>
  </conditionalFormatting>
  <conditionalFormatting sqref="L25">
    <cfRule type="containsBlanks" dxfId="918" priority="40">
      <formula>LEN(TRIM(L25))=0</formula>
    </cfRule>
  </conditionalFormatting>
  <conditionalFormatting sqref="Q20:S21">
    <cfRule type="containsBlanks" dxfId="917" priority="33">
      <formula>LEN(TRIM(Q20))=0</formula>
    </cfRule>
    <cfRule type="containsBlanks" dxfId="916" priority="39">
      <formula>LEN(TRIM(Q20))=0</formula>
    </cfRule>
  </conditionalFormatting>
  <conditionalFormatting sqref="U26:V27 AC33 AC26">
    <cfRule type="cellIs" dxfId="915" priority="38" operator="between">
      <formula>0</formula>
      <formula>500</formula>
    </cfRule>
  </conditionalFormatting>
  <conditionalFormatting sqref="U33:V33">
    <cfRule type="cellIs" dxfId="914" priority="37" operator="between">
      <formula>0</formula>
      <formula>500</formula>
    </cfRule>
  </conditionalFormatting>
  <conditionalFormatting sqref="AF45:AH46">
    <cfRule type="containsBlanks" dxfId="913" priority="36">
      <formula>LEN(TRIM(AF45))=0</formula>
    </cfRule>
  </conditionalFormatting>
  <conditionalFormatting sqref="AF51:AG53">
    <cfRule type="containsBlanks" dxfId="912" priority="35">
      <formula>LEN(TRIM(AF51))=0</formula>
    </cfRule>
  </conditionalFormatting>
  <conditionalFormatting sqref="E20:H24">
    <cfRule type="containsBlanks" dxfId="911" priority="34">
      <formula>LEN(TRIM(E20))=0</formula>
    </cfRule>
  </conditionalFormatting>
  <conditionalFormatting sqref="M25">
    <cfRule type="containsBlanks" dxfId="910" priority="32">
      <formula>LEN(TRIM(M25))=0</formula>
    </cfRule>
  </conditionalFormatting>
  <conditionalFormatting sqref="U26:V27 Y26:Z27 AC26:AD27 AG26:AG27">
    <cfRule type="containsBlanks" dxfId="909" priority="30">
      <formula>LEN(TRIM(U26))=0</formula>
    </cfRule>
    <cfRule type="cellIs" dxfId="908" priority="31" operator="between">
      <formula>0</formula>
      <formula>1000</formula>
    </cfRule>
  </conditionalFormatting>
  <conditionalFormatting sqref="W87:W88">
    <cfRule type="cellIs" dxfId="907" priority="29" operator="between">
      <formula>0</formula>
      <formula>500</formula>
    </cfRule>
  </conditionalFormatting>
  <conditionalFormatting sqref="W94">
    <cfRule type="cellIs" dxfId="906" priority="28" operator="between">
      <formula>0</formula>
      <formula>500</formula>
    </cfRule>
  </conditionalFormatting>
  <conditionalFormatting sqref="W87:W88">
    <cfRule type="containsBlanks" dxfId="905" priority="26">
      <formula>LEN(TRIM(W87))=0</formula>
    </cfRule>
    <cfRule type="cellIs" dxfId="904" priority="27" operator="between">
      <formula>0</formula>
      <formula>1000</formula>
    </cfRule>
  </conditionalFormatting>
  <conditionalFormatting sqref="U33:V33 Y33:Z33 AC33:AD33 AG33">
    <cfRule type="cellIs" dxfId="903" priority="25" operator="between">
      <formula>0</formula>
      <formula>1000</formula>
    </cfRule>
  </conditionalFormatting>
  <conditionalFormatting sqref="Q27:S27">
    <cfRule type="containsBlanks" dxfId="902" priority="23">
      <formula>LEN(TRIM(Q27))=0</formula>
    </cfRule>
    <cfRule type="containsBlanks" dxfId="901" priority="24">
      <formula>LEN(TRIM(Q27))=0</formula>
    </cfRule>
  </conditionalFormatting>
  <conditionalFormatting sqref="W30:W31 W33:W35 W37 W28 W22:W26">
    <cfRule type="containsBlanks" dxfId="900" priority="22">
      <formula>LEN(TRIM(W22))=0</formula>
    </cfRule>
  </conditionalFormatting>
  <conditionalFormatting sqref="W37 W30:W31 W33:W35 W28 W22:W26">
    <cfRule type="containsBlanks" dxfId="899" priority="21">
      <formula>LEN(TRIM(W22))=0</formula>
    </cfRule>
  </conditionalFormatting>
  <conditionalFormatting sqref="W33:X33">
    <cfRule type="cellIs" dxfId="898" priority="20" operator="between">
      <formula>0</formula>
      <formula>1000</formula>
    </cfRule>
  </conditionalFormatting>
  <conditionalFormatting sqref="W30:X37 W26 W28 W22:X25">
    <cfRule type="containsBlanks" dxfId="897" priority="19">
      <formula>LEN(TRIM(W22))=0</formula>
    </cfRule>
  </conditionalFormatting>
  <conditionalFormatting sqref="AA37 AA30:AA31 AA33 AA28 AA22:AA26 AA35">
    <cfRule type="containsBlanks" dxfId="896" priority="18">
      <formula>LEN(TRIM(AA22))=0</formula>
    </cfRule>
  </conditionalFormatting>
  <conditionalFormatting sqref="AA37 AA30:AA31 AA33 AA28 AA22:AA26 AA35">
    <cfRule type="containsBlanks" dxfId="895" priority="17">
      <formula>LEN(TRIM(AA22))=0</formula>
    </cfRule>
  </conditionalFormatting>
  <conditionalFormatting sqref="AA33:AB33">
    <cfRule type="cellIs" dxfId="894" priority="16" operator="between">
      <formula>0</formula>
      <formula>1000</formula>
    </cfRule>
  </conditionalFormatting>
  <conditionalFormatting sqref="AA30:AB30 AA31 AA33:AB33 AA26 AA28 AA22:AB25 AA35:AB37">
    <cfRule type="containsBlanks" dxfId="893" priority="15">
      <formula>LEN(TRIM(AA22))=0</formula>
    </cfRule>
  </conditionalFormatting>
  <conditionalFormatting sqref="AE37 AE28 AE30:AE31 AE33:AE35 AE22:AE26">
    <cfRule type="containsBlanks" dxfId="892" priority="14">
      <formula>LEN(TRIM(AE22))=0</formula>
    </cfRule>
  </conditionalFormatting>
  <conditionalFormatting sqref="AE37 AE28 AE30:AE31 AE33:AE35 AE22:AE26">
    <cfRule type="containsBlanks" dxfId="891" priority="13">
      <formula>LEN(TRIM(AE22))=0</formula>
    </cfRule>
  </conditionalFormatting>
  <conditionalFormatting sqref="AE33:AF33">
    <cfRule type="cellIs" dxfId="890" priority="12" operator="between">
      <formula>0</formula>
      <formula>1000</formula>
    </cfRule>
  </conditionalFormatting>
  <conditionalFormatting sqref="AE33:AF37 AE26 AE28 AE30:AE31 AE22:AF25">
    <cfRule type="containsBlanks" dxfId="889" priority="11">
      <formula>LEN(TRIM(AE22))=0</formula>
    </cfRule>
  </conditionalFormatting>
  <conditionalFormatting sqref="K6:M6">
    <cfRule type="containsBlanks" dxfId="888" priority="10">
      <formula>LEN(TRIM(K6))=0</formula>
    </cfRule>
  </conditionalFormatting>
  <conditionalFormatting sqref="K7:K8">
    <cfRule type="containsBlanks" dxfId="887" priority="9">
      <formula>LEN(TRIM(K7))=0</formula>
    </cfRule>
  </conditionalFormatting>
  <conditionalFormatting sqref="D13:M13">
    <cfRule type="containsBlanks" dxfId="886" priority="8">
      <formula>LEN(TRIM(D13))=0</formula>
    </cfRule>
  </conditionalFormatting>
  <conditionalFormatting sqref="B6:B10">
    <cfRule type="containsBlanks" dxfId="885" priority="7">
      <formula>LEN(TRIM(B6))=0</formula>
    </cfRule>
  </conditionalFormatting>
  <conditionalFormatting sqref="B12:B13">
    <cfRule type="containsBlanks" dxfId="884" priority="6">
      <formula>LEN(TRIM(B12))=0</formula>
    </cfRule>
  </conditionalFormatting>
  <conditionalFormatting sqref="E28:H33">
    <cfRule type="containsBlanks" dxfId="883" priority="5">
      <formula>LEN(TRIM(E28))=0</formula>
    </cfRule>
  </conditionalFormatting>
  <conditionalFormatting sqref="Q22:S26">
    <cfRule type="containsBlanks" dxfId="882" priority="3">
      <formula>LEN(TRIM(Q22))=0</formula>
    </cfRule>
    <cfRule type="containsBlanks" dxfId="881" priority="4">
      <formula>LEN(TRIM(Q22))=0</formula>
    </cfRule>
  </conditionalFormatting>
  <conditionalFormatting sqref="Q34:S39">
    <cfRule type="containsBlanks" dxfId="880" priority="2">
      <formula>LEN(TRIM(Q34))=0</formula>
    </cfRule>
  </conditionalFormatting>
  <conditionalFormatting sqref="Q42:S46">
    <cfRule type="containsBlanks" dxfId="879" priority="1">
      <formula>LEN(TRIM(Q42))=0</formula>
    </cfRule>
  </conditionalFormatting>
  <dataValidations count="5">
    <dataValidation type="list" allowBlank="1" showInputMessage="1" showErrorMessage="1" sqref="D12:E12" xr:uid="{00000000-0002-0000-2800-000000000000}">
      <formula1>$B$87:$B$94</formula1>
    </dataValidation>
    <dataValidation type="list" allowBlank="1" showInputMessage="1" showErrorMessage="1" sqref="CP70" xr:uid="{00000000-0002-0000-2800-000001000000}">
      <formula1>$BA$3:$BA$5</formula1>
    </dataValidation>
    <dataValidation type="list" allowBlank="1" showInputMessage="1" showErrorMessage="1" sqref="M19" xr:uid="{00000000-0002-0000-2800-000002000000}">
      <formula1>$AX$3:$AX$5</formula1>
    </dataValidation>
    <dataValidation type="list" allowBlank="1" showInputMessage="1" showErrorMessage="1" sqref="M21" xr:uid="{00000000-0002-0000-2800-000003000000}">
      <formula1>$AX$3:$AX$4</formula1>
    </dataValidation>
    <dataValidation type="list" allowBlank="1" showInputMessage="1" showErrorMessage="1" sqref="L25" xr:uid="{00000000-0002-0000-2800-000004000000}">
      <formula1>$D$101:$D$104</formula1>
    </dataValidation>
  </dataValidations>
  <hyperlinks>
    <hyperlink ref="D8" r:id="rId1" xr:uid="{00000000-0004-0000-28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69985"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69986"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69987"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6998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6998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69990"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69991"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6999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6999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6999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84">
    <tabColor theme="7" tint="0.79998168889431442"/>
  </sheetPr>
  <dimension ref="A1:CP153"/>
  <sheetViews>
    <sheetView view="pageBreakPreview" topLeftCell="S29" zoomScale="112" zoomScaleNormal="100" zoomScaleSheetLayoutView="112"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25-P-CERRITO AP2 -3</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25-P-CERRITO AP2 -3</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277</v>
      </c>
      <c r="G12" s="31" t="s">
        <v>4</v>
      </c>
      <c r="H12" s="146">
        <v>3</v>
      </c>
      <c r="I12" s="546" t="s">
        <v>5</v>
      </c>
      <c r="J12" s="546"/>
      <c r="K12" s="209">
        <v>1.1000000000000001</v>
      </c>
      <c r="L12" s="32" t="s">
        <v>6</v>
      </c>
      <c r="M12" s="147">
        <v>1.55</v>
      </c>
      <c r="N12" s="78"/>
      <c r="O12" s="501" t="s">
        <v>3</v>
      </c>
      <c r="P12" s="501"/>
      <c r="Q12" s="225" t="s">
        <v>234</v>
      </c>
      <c r="R12" s="224" t="str">
        <f>F12</f>
        <v xml:space="preserve">P-CERRITO AP2 </v>
      </c>
      <c r="S12" s="224"/>
      <c r="T12" s="502" t="s">
        <v>4</v>
      </c>
      <c r="U12" s="502"/>
      <c r="V12" s="33">
        <f>+H12</f>
        <v>3</v>
      </c>
      <c r="W12" s="547" t="s">
        <v>5</v>
      </c>
      <c r="X12" s="547"/>
      <c r="Y12" s="547"/>
      <c r="Z12" s="547"/>
      <c r="AA12" s="547"/>
      <c r="AB12" s="547"/>
      <c r="AC12" s="34">
        <f>K12</f>
        <v>1.1000000000000001</v>
      </c>
      <c r="AD12" s="548" t="s">
        <v>6</v>
      </c>
      <c r="AE12" s="548"/>
      <c r="AF12" s="35">
        <f>+M12</f>
        <v>1.55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279</v>
      </c>
      <c r="E13" s="479"/>
      <c r="F13" s="479"/>
      <c r="G13" s="479"/>
      <c r="H13" s="479"/>
      <c r="I13" s="479"/>
      <c r="J13" s="479"/>
      <c r="K13" s="479"/>
      <c r="L13" s="479"/>
      <c r="M13" s="480"/>
      <c r="N13" s="188"/>
      <c r="O13" s="526" t="s">
        <v>130</v>
      </c>
      <c r="P13" s="526"/>
      <c r="Q13" s="527" t="str">
        <f>D13</f>
        <v>ARCILLA LIMOSA CON ALGUNAS GRAVAS, COLOR MARRÓN AMARILLENTO,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580</v>
      </c>
      <c r="R20" s="156">
        <v>561</v>
      </c>
      <c r="S20" s="157">
        <v>584</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6728</v>
      </c>
      <c r="F22" s="150">
        <v>6903</v>
      </c>
      <c r="G22" s="150">
        <v>7018</v>
      </c>
      <c r="H22" s="151">
        <v>6898</v>
      </c>
      <c r="I22" s="174"/>
      <c r="J22" s="578"/>
      <c r="K22" s="578"/>
      <c r="L22" s="578"/>
      <c r="M22" s="104"/>
      <c r="N22" s="103"/>
      <c r="O22" s="579" t="s">
        <v>132</v>
      </c>
      <c r="P22" s="580"/>
      <c r="Q22" s="219">
        <v>7794</v>
      </c>
      <c r="R22" s="219">
        <v>7756</v>
      </c>
      <c r="S22" s="208">
        <v>7832</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5.8999999999999997E-2</v>
      </c>
      <c r="AJ22" s="42">
        <f>AJ50/1.59</f>
        <v>3.7106918238993709E-2</v>
      </c>
      <c r="AK22" s="42">
        <f>AJ22*0.55</f>
        <v>2.0408805031446542E-2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3782</v>
      </c>
      <c r="R23" s="150">
        <v>3866</v>
      </c>
      <c r="S23" s="151">
        <v>3845</v>
      </c>
      <c r="T23" s="174"/>
      <c r="U23" s="112">
        <v>2.5000000000000001E-2</v>
      </c>
      <c r="V23" s="113">
        <f>U23*25.4</f>
        <v>0.63500000000000001</v>
      </c>
      <c r="W23" s="581">
        <f>AI23</f>
        <v>0.20699999999999999</v>
      </c>
      <c r="X23" s="582"/>
      <c r="Y23" s="449">
        <f>((W23/19.32)*10)</f>
        <v>0.10714285714285715</v>
      </c>
      <c r="Z23" s="450"/>
      <c r="AA23" s="581">
        <v>0.126</v>
      </c>
      <c r="AB23" s="582"/>
      <c r="AC23" s="449">
        <f>((AA23/19.32)*10)</f>
        <v>6.5217391304347824E-2</v>
      </c>
      <c r="AD23" s="450"/>
      <c r="AE23" s="581">
        <f>AK23</f>
        <v>7.1603773584905661E-2</v>
      </c>
      <c r="AF23" s="582"/>
      <c r="AG23" s="114">
        <f>((AE23/19.32)*10)</f>
        <v>3.7061994609164421E-2</v>
      </c>
      <c r="AH23" s="104"/>
      <c r="AI23" s="42">
        <f t="shared" ref="AI23:AI33" si="2">AJ51</f>
        <v>0.20699999999999999</v>
      </c>
      <c r="AJ23" s="42">
        <f t="shared" ref="AJ23:AJ33" si="3">AJ51/1.59</f>
        <v>0.13018867924528302</v>
      </c>
      <c r="AK23" s="42">
        <f t="shared" ref="AK23:AK33" si="4">AJ23*0.55</f>
        <v>7.1603773584905661E-2</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11.45</v>
      </c>
      <c r="S24" s="153">
        <v>11.77</v>
      </c>
      <c r="T24" s="174"/>
      <c r="U24" s="112">
        <v>0.05</v>
      </c>
      <c r="V24" s="113">
        <f>U24*25.4</f>
        <v>1.27</v>
      </c>
      <c r="W24" s="581">
        <f>AI24</f>
        <v>0.42</v>
      </c>
      <c r="X24" s="582"/>
      <c r="Y24" s="449">
        <f>((W24/19.32)*10)</f>
        <v>0.21739130434782608</v>
      </c>
      <c r="Z24" s="450"/>
      <c r="AA24" s="581">
        <v>0.25900000000000001</v>
      </c>
      <c r="AB24" s="582"/>
      <c r="AC24" s="449">
        <f>((AA24/19.32)*10)</f>
        <v>0.13405797101449274</v>
      </c>
      <c r="AD24" s="450"/>
      <c r="AE24" s="581">
        <f>AK24</f>
        <v>0.14528301886792455</v>
      </c>
      <c r="AF24" s="582"/>
      <c r="AG24" s="114">
        <f>((AE24/19.32)*10)</f>
        <v>7.519824993163797E-2</v>
      </c>
      <c r="AH24" s="104"/>
      <c r="AI24" s="42">
        <f t="shared" si="2"/>
        <v>0.42</v>
      </c>
      <c r="AJ24" s="42">
        <f t="shared" si="3"/>
        <v>0.26415094339622641</v>
      </c>
      <c r="AK24" s="42">
        <f t="shared" si="4"/>
        <v>0.14528301886792455</v>
      </c>
      <c r="AO24" s="42">
        <v>0.68400000000000005</v>
      </c>
      <c r="AS24" s="42">
        <f t="shared" si="5"/>
        <v>0.55609756097560981</v>
      </c>
    </row>
    <row r="25" spans="1:45" ht="24.95" customHeight="1" thickBot="1" x14ac:dyDescent="0.3">
      <c r="A25" s="103"/>
      <c r="B25" s="602" t="s">
        <v>69</v>
      </c>
      <c r="C25" s="603"/>
      <c r="D25" s="603"/>
      <c r="E25" s="115">
        <f>E22-E23</f>
        <v>3844</v>
      </c>
      <c r="F25" s="115">
        <f>F22-F23</f>
        <v>4019</v>
      </c>
      <c r="G25" s="115">
        <f>G22-G23</f>
        <v>4134</v>
      </c>
      <c r="H25" s="116">
        <f>H22-H23</f>
        <v>4014</v>
      </c>
      <c r="I25" s="174"/>
      <c r="J25" s="174" t="s">
        <v>127</v>
      </c>
      <c r="K25" s="174"/>
      <c r="L25" s="218" t="s">
        <v>128</v>
      </c>
      <c r="M25" s="155">
        <v>7.87</v>
      </c>
      <c r="N25" s="103"/>
      <c r="O25" s="604" t="s">
        <v>46</v>
      </c>
      <c r="P25" s="605"/>
      <c r="Q25" s="608">
        <v>15.25</v>
      </c>
      <c r="R25" s="608">
        <v>15.44</v>
      </c>
      <c r="S25" s="620">
        <v>15.87</v>
      </c>
      <c r="T25" s="174"/>
      <c r="U25" s="112">
        <v>7.4999999999999997E-2</v>
      </c>
      <c r="V25" s="113">
        <f>U25*25.4</f>
        <v>1.9049999999999998</v>
      </c>
      <c r="W25" s="581">
        <f>AI25</f>
        <v>0.63400000000000001</v>
      </c>
      <c r="X25" s="582"/>
      <c r="Y25" s="449">
        <f>((W25/19.32)*10)</f>
        <v>0.32815734989648038</v>
      </c>
      <c r="Z25" s="450"/>
      <c r="AA25" s="581">
        <f>AJ25</f>
        <v>0.39874213836477984</v>
      </c>
      <c r="AB25" s="582"/>
      <c r="AC25" s="449">
        <f>((AA25/19.32)*10)</f>
        <v>0.20638827037514484</v>
      </c>
      <c r="AD25" s="450"/>
      <c r="AE25" s="581">
        <f>AK25</f>
        <v>0.21930817610062894</v>
      </c>
      <c r="AF25" s="582"/>
      <c r="AG25" s="114">
        <f>((AE25/19.32)*10)</f>
        <v>0.11351354870632968</v>
      </c>
      <c r="AH25" s="104"/>
      <c r="AI25" s="42">
        <f t="shared" si="2"/>
        <v>0.63400000000000001</v>
      </c>
      <c r="AJ25" s="42">
        <f t="shared" si="3"/>
        <v>0.39874213836477984</v>
      </c>
      <c r="AK25" s="42">
        <f t="shared" si="4"/>
        <v>0.21930817610062894</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7.87</v>
      </c>
      <c r="N26" s="103"/>
      <c r="O26" s="606"/>
      <c r="P26" s="607"/>
      <c r="Q26" s="609"/>
      <c r="R26" s="609"/>
      <c r="S26" s="621"/>
      <c r="T26" s="174"/>
      <c r="U26" s="600">
        <v>0.1</v>
      </c>
      <c r="V26" s="601">
        <f>U26*25.4</f>
        <v>2.54</v>
      </c>
      <c r="W26" s="778">
        <f>AI26</f>
        <v>0.81899999999999995</v>
      </c>
      <c r="X26" s="779"/>
      <c r="Y26" s="461">
        <f>((W26/19.32)*10)</f>
        <v>0.42391304347826086</v>
      </c>
      <c r="Z26" s="462"/>
      <c r="AA26" s="746">
        <f>AJ26</f>
        <v>0.51509433962264151</v>
      </c>
      <c r="AB26" s="747"/>
      <c r="AC26" s="461">
        <f>((AA26/19.32)*10)</f>
        <v>0.26661197703035272</v>
      </c>
      <c r="AD26" s="462"/>
      <c r="AE26" s="746">
        <f>AK26</f>
        <v>0.28330188679245283</v>
      </c>
      <c r="AF26" s="747"/>
      <c r="AG26" s="469">
        <f>((AE26/19.32)*10)</f>
        <v>0.14663658736669399</v>
      </c>
      <c r="AH26" s="104"/>
      <c r="AI26" s="42">
        <f t="shared" si="2"/>
        <v>0.81899999999999995</v>
      </c>
      <c r="AJ26" s="42">
        <f t="shared" si="3"/>
        <v>0.51509433962264151</v>
      </c>
      <c r="AK26" s="42">
        <f t="shared" si="4"/>
        <v>0.28330188679245283</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2143.8281046853326</v>
      </c>
      <c r="S27" s="153">
        <f>(PI()*((S25^2)/4)*S24)</f>
        <v>2328.1995326469332</v>
      </c>
      <c r="T27" s="174"/>
      <c r="U27" s="600"/>
      <c r="V27" s="601"/>
      <c r="W27" s="780"/>
      <c r="X27" s="781"/>
      <c r="Y27" s="463"/>
      <c r="Z27" s="464"/>
      <c r="AA27" s="748"/>
      <c r="AB27" s="749"/>
      <c r="AC27" s="463"/>
      <c r="AD27" s="464"/>
      <c r="AE27" s="748"/>
      <c r="AF27" s="749"/>
      <c r="AG27" s="470"/>
      <c r="AH27" s="193"/>
      <c r="AI27" s="42">
        <f t="shared" si="2"/>
        <v>0.99399999999999999</v>
      </c>
      <c r="AJ27" s="42">
        <f t="shared" si="3"/>
        <v>0.62515723270440249</v>
      </c>
      <c r="AK27" s="42">
        <f t="shared" si="4"/>
        <v>0.3438364779874214</v>
      </c>
      <c r="AO27" s="42">
        <v>2.387</v>
      </c>
      <c r="AS27" s="42">
        <f t="shared" si="5"/>
        <v>1.9406504065040651</v>
      </c>
    </row>
    <row r="28" spans="1:45" ht="24.95" customHeight="1" thickBot="1" x14ac:dyDescent="0.3">
      <c r="A28" s="103"/>
      <c r="B28" s="560" t="s">
        <v>9</v>
      </c>
      <c r="C28" s="561"/>
      <c r="D28" s="561"/>
      <c r="E28" s="148">
        <v>854</v>
      </c>
      <c r="F28" s="148">
        <v>98</v>
      </c>
      <c r="G28" s="148">
        <v>32</v>
      </c>
      <c r="H28" s="149">
        <v>45</v>
      </c>
      <c r="I28" s="174"/>
      <c r="J28" s="597" t="s">
        <v>107</v>
      </c>
      <c r="K28" s="597"/>
      <c r="L28" s="562" t="s">
        <v>119</v>
      </c>
      <c r="M28" s="459">
        <f>IF(M26="","",(100-M26))</f>
        <v>92.13</v>
      </c>
      <c r="N28" s="103"/>
      <c r="O28" s="625" t="s">
        <v>136</v>
      </c>
      <c r="P28" s="626"/>
      <c r="Q28" s="220">
        <f>Q22-Q23</f>
        <v>4012</v>
      </c>
      <c r="R28" s="220">
        <f>R22-R23</f>
        <v>3890</v>
      </c>
      <c r="S28" s="220">
        <f>S22-S23</f>
        <v>3987</v>
      </c>
      <c r="T28" s="174"/>
      <c r="U28" s="627">
        <v>0.125</v>
      </c>
      <c r="V28" s="624">
        <f>U28*25.4</f>
        <v>3.1749999999999998</v>
      </c>
      <c r="W28" s="593">
        <f>AI27</f>
        <v>0.99399999999999999</v>
      </c>
      <c r="X28" s="594"/>
      <c r="Y28" s="439">
        <f>((W28/19.32)*10)</f>
        <v>0.51449275362318836</v>
      </c>
      <c r="Z28" s="440"/>
      <c r="AA28" s="593">
        <f>AJ27</f>
        <v>0.62515723270440249</v>
      </c>
      <c r="AB28" s="594"/>
      <c r="AC28" s="439">
        <f>((AA28/19.32)*10)</f>
        <v>0.32358034819068454</v>
      </c>
      <c r="AD28" s="440"/>
      <c r="AE28" s="593">
        <f>AK27</f>
        <v>0.3438364779874214</v>
      </c>
      <c r="AF28" s="594"/>
      <c r="AG28" s="443">
        <f>((AE28/19.32)*10)</f>
        <v>0.17796919150487647</v>
      </c>
      <c r="AH28" s="104"/>
      <c r="AI28" s="42">
        <f t="shared" si="2"/>
        <v>1.1579999999999999</v>
      </c>
      <c r="AJ28" s="42">
        <f t="shared" si="3"/>
        <v>0.72830188679245278</v>
      </c>
      <c r="AK28" s="42">
        <f t="shared" si="4"/>
        <v>0.40056603773584903</v>
      </c>
      <c r="AO28" s="42">
        <v>2.8959999999999999</v>
      </c>
      <c r="AS28" s="42">
        <f t="shared" si="5"/>
        <v>2.3544715447154472</v>
      </c>
    </row>
    <row r="29" spans="1:45" ht="5.0999999999999996" customHeight="1" thickBot="1" x14ac:dyDescent="0.3">
      <c r="A29" s="103"/>
      <c r="B29" s="612" t="s">
        <v>73</v>
      </c>
      <c r="C29" s="613"/>
      <c r="D29" s="614"/>
      <c r="E29" s="618">
        <v>560.32000000000005</v>
      </c>
      <c r="F29" s="618">
        <v>612.32000000000005</v>
      </c>
      <c r="G29" s="618">
        <v>647</v>
      </c>
      <c r="H29" s="620">
        <v>541.91999999999996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1.28</v>
      </c>
      <c r="AJ29" s="42">
        <f t="shared" si="3"/>
        <v>0.80503144654088044</v>
      </c>
      <c r="AK29" s="42">
        <f t="shared" si="4"/>
        <v>0.44276729559748429</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14.495287645161294</v>
      </c>
      <c r="N30" s="103"/>
      <c r="O30" s="622" t="s">
        <v>134</v>
      </c>
      <c r="P30" s="623"/>
      <c r="Q30" s="229">
        <f>Q28/Q27</f>
        <v>1.8935351281088593</v>
      </c>
      <c r="R30" s="229">
        <f>R28/R27</f>
        <v>1.8145111501703013</v>
      </c>
      <c r="S30" s="131">
        <f>S28/S27</f>
        <v>1.7124820893109511</v>
      </c>
      <c r="T30" s="174"/>
      <c r="U30" s="120">
        <v>0.15</v>
      </c>
      <c r="V30" s="113">
        <f>U30*25.4</f>
        <v>3.8099999999999996</v>
      </c>
      <c r="W30" s="581">
        <f>AI28</f>
        <v>1.1579999999999999</v>
      </c>
      <c r="X30" s="582"/>
      <c r="Y30" s="449">
        <f>((W30/19.32)*10)</f>
        <v>0.59937888198757761</v>
      </c>
      <c r="Z30" s="450"/>
      <c r="AA30" s="581">
        <f>AJ28</f>
        <v>0.72830188679245278</v>
      </c>
      <c r="AB30" s="582"/>
      <c r="AC30" s="449">
        <f>((AA30/19.32)*10)</f>
        <v>0.37696785030665259</v>
      </c>
      <c r="AD30" s="450"/>
      <c r="AE30" s="581">
        <f>AK28</f>
        <v>0.40056603773584903</v>
      </c>
      <c r="AF30" s="582"/>
      <c r="AG30" s="114">
        <f>((AE30/19.32)*10)</f>
        <v>0.20733231766865892</v>
      </c>
      <c r="AH30" s="104"/>
      <c r="AI30" s="42">
        <f t="shared" si="2"/>
        <v>1.381</v>
      </c>
      <c r="AJ30" s="42">
        <f t="shared" si="3"/>
        <v>0.86855345911949677</v>
      </c>
      <c r="AK30" s="42">
        <f t="shared" si="4"/>
        <v>0.47770440251572327</v>
      </c>
      <c r="AO30" s="42">
        <v>3.8439999999999999</v>
      </c>
      <c r="AS30" s="42">
        <f t="shared" si="5"/>
        <v>3.1252032520325201</v>
      </c>
    </row>
    <row r="31" spans="1:45" ht="24.95" customHeight="1" thickBot="1" x14ac:dyDescent="0.3">
      <c r="A31" s="103"/>
      <c r="B31" s="576" t="s">
        <v>74</v>
      </c>
      <c r="C31" s="577"/>
      <c r="D31" s="577"/>
      <c r="E31" s="152">
        <v>488.72</v>
      </c>
      <c r="F31" s="152">
        <v>522.38</v>
      </c>
      <c r="G31" s="152">
        <v>540.97</v>
      </c>
      <c r="H31" s="153">
        <v>446.35</v>
      </c>
      <c r="I31" s="174"/>
      <c r="J31" s="597" t="s">
        <v>138</v>
      </c>
      <c r="K31" s="597"/>
      <c r="L31" s="562" t="s">
        <v>116</v>
      </c>
      <c r="M31" s="457">
        <f>IF(M25="","",S82)</f>
        <v>2.7120000000000002</v>
      </c>
      <c r="N31" s="121"/>
      <c r="O31" s="628" t="s">
        <v>135</v>
      </c>
      <c r="P31" s="629"/>
      <c r="Q31" s="122">
        <f>Q30/(1+Q40/100)</f>
        <v>1.5488124519435635</v>
      </c>
      <c r="R31" s="122">
        <f>R30/(1+R40/100)</f>
        <v>1.4863968492047772</v>
      </c>
      <c r="S31" s="123">
        <f>S30/(1+S40/100)</f>
        <v>1.4053605964376128</v>
      </c>
      <c r="T31" s="174"/>
      <c r="U31" s="627">
        <v>0.17499999999999999</v>
      </c>
      <c r="V31" s="624">
        <f>U31*25.4</f>
        <v>4.4449999999999994</v>
      </c>
      <c r="W31" s="593">
        <f>AI29</f>
        <v>1.28</v>
      </c>
      <c r="X31" s="594"/>
      <c r="Y31" s="439">
        <f>((W31/19.32)*10)</f>
        <v>0.66252587991718426</v>
      </c>
      <c r="Z31" s="440"/>
      <c r="AA31" s="593">
        <f>AJ29</f>
        <v>0.80503144654088044</v>
      </c>
      <c r="AB31" s="594"/>
      <c r="AC31" s="439">
        <f>((AA31/19.32)*10)</f>
        <v>0.41668294334414102</v>
      </c>
      <c r="AD31" s="440"/>
      <c r="AE31" s="593">
        <f>AK29</f>
        <v>0.44276729559748429</v>
      </c>
      <c r="AF31" s="594"/>
      <c r="AG31" s="443">
        <f>((AE31/19.32)*10)</f>
        <v>0.22917561883927756</v>
      </c>
      <c r="AH31" s="104"/>
      <c r="AI31" s="42">
        <f t="shared" si="2"/>
        <v>1.8129999999999999</v>
      </c>
      <c r="AJ31" s="42">
        <f t="shared" si="3"/>
        <v>1.1402515723270439</v>
      </c>
      <c r="AK31" s="42">
        <f t="shared" si="4"/>
        <v>0.62713836477987417</v>
      </c>
      <c r="AO31" s="42">
        <v>5.516</v>
      </c>
      <c r="AS31" s="42">
        <f t="shared" si="5"/>
        <v>4.4845528455284551</v>
      </c>
    </row>
    <row r="32" spans="1:45" ht="5.0999999999999996" customHeight="1" thickBot="1" x14ac:dyDescent="0.3">
      <c r="A32" s="103"/>
      <c r="B32" s="612" t="s">
        <v>75</v>
      </c>
      <c r="C32" s="613"/>
      <c r="D32" s="614"/>
      <c r="E32" s="618">
        <v>101.44</v>
      </c>
      <c r="F32" s="618">
        <v>100.66</v>
      </c>
      <c r="G32" s="618">
        <v>100.74</v>
      </c>
      <c r="H32" s="620">
        <v>101.65</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2.3180000000000001</v>
      </c>
      <c r="AJ32" s="42">
        <f t="shared" si="3"/>
        <v>1.4578616352201257</v>
      </c>
      <c r="AK32" s="42">
        <f t="shared" si="4"/>
        <v>0.80182389937106924</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1.381</v>
      </c>
      <c r="X33" s="582"/>
      <c r="Y33" s="449">
        <f>((W33/19.32)*10)</f>
        <v>0.71480331262939956</v>
      </c>
      <c r="Z33" s="450"/>
      <c r="AA33" s="581">
        <v>0.86499999999999999</v>
      </c>
      <c r="AB33" s="582"/>
      <c r="AC33" s="449">
        <f>((AA33/19.32)*10)</f>
        <v>0.44772256728778465</v>
      </c>
      <c r="AD33" s="450"/>
      <c r="AE33" s="581">
        <f>AK30</f>
        <v>0.47770440251572327</v>
      </c>
      <c r="AF33" s="582"/>
      <c r="AG33" s="144">
        <f>((AE33/19.32)*10)</f>
        <v>0.24725900751331434</v>
      </c>
      <c r="AH33" s="104"/>
      <c r="AI33" s="42">
        <f t="shared" si="2"/>
        <v>3.0590000000000002</v>
      </c>
      <c r="AJ33" s="42">
        <f t="shared" si="3"/>
        <v>1.9238993710691823</v>
      </c>
      <c r="AK33" s="42">
        <f t="shared" si="4"/>
        <v>1.0581446540880504</v>
      </c>
      <c r="AO33" s="42">
        <v>7.7720000000000002</v>
      </c>
      <c r="AS33" s="42">
        <f t="shared" si="5"/>
        <v>6.3186991869918705</v>
      </c>
    </row>
    <row r="34" spans="1:45" ht="24.95" customHeight="1" thickBot="1" x14ac:dyDescent="0.3">
      <c r="A34" s="103"/>
      <c r="B34" s="602" t="s">
        <v>10</v>
      </c>
      <c r="C34" s="603"/>
      <c r="D34" s="603"/>
      <c r="E34" s="125">
        <f>((E29-E31)/(E31-E32))*100</f>
        <v>18.487915719892591</v>
      </c>
      <c r="F34" s="125">
        <f>((F29-F31)/(F31-F32))*100</f>
        <v>21.326946789338912</v>
      </c>
      <c r="G34" s="125">
        <f>((G29-G31)/(G31-G32))*100</f>
        <v>24.085137314585552</v>
      </c>
      <c r="H34" s="126">
        <f>((H29-H31)/(H31-H32))*100</f>
        <v>27.725558456628928</v>
      </c>
      <c r="I34" s="174"/>
      <c r="J34" s="630" t="s">
        <v>125</v>
      </c>
      <c r="K34" s="630"/>
      <c r="L34" s="184" t="s">
        <v>126</v>
      </c>
      <c r="M34" s="245">
        <v>2.67</v>
      </c>
      <c r="N34" s="128"/>
      <c r="O34" s="631" t="s">
        <v>9</v>
      </c>
      <c r="P34" s="632"/>
      <c r="Q34" s="156">
        <v>350</v>
      </c>
      <c r="R34" s="156">
        <v>896</v>
      </c>
      <c r="S34" s="157">
        <v>325</v>
      </c>
      <c r="T34" s="174"/>
      <c r="U34" s="120">
        <v>0.3</v>
      </c>
      <c r="V34" s="113">
        <f>U34*25.4</f>
        <v>7.6199999999999992</v>
      </c>
      <c r="W34" s="581">
        <f>AI31</f>
        <v>1.8129999999999999</v>
      </c>
      <c r="X34" s="582"/>
      <c r="Y34" s="449">
        <f>((W34/19.32)*10)</f>
        <v>0.93840579710144922</v>
      </c>
      <c r="Z34" s="450"/>
      <c r="AA34" s="449">
        <v>1.1399999999999999</v>
      </c>
      <c r="AB34" s="450"/>
      <c r="AC34" s="449">
        <f>((AA34/19.32)*10)</f>
        <v>0.59006211180124213</v>
      </c>
      <c r="AD34" s="450"/>
      <c r="AE34" s="581">
        <f>AK31</f>
        <v>0.62713836477987417</v>
      </c>
      <c r="AF34" s="582"/>
      <c r="AG34" s="114">
        <f>((AE34/19.32)*10)</f>
        <v>0.32460577887157049</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881.97</v>
      </c>
      <c r="R35" s="608">
        <v>569.52</v>
      </c>
      <c r="S35" s="610">
        <v>541.32000000000005</v>
      </c>
      <c r="T35" s="174"/>
      <c r="U35" s="627">
        <v>0.4</v>
      </c>
      <c r="V35" s="624">
        <f>U35*25.4</f>
        <v>10.16</v>
      </c>
      <c r="W35" s="593">
        <f>AI32</f>
        <v>2.3180000000000001</v>
      </c>
      <c r="X35" s="594"/>
      <c r="Y35" s="439">
        <f>((W35/19.32)*10)</f>
        <v>1.1997929606625259</v>
      </c>
      <c r="Z35" s="440"/>
      <c r="AA35" s="593">
        <f>AJ32</f>
        <v>1.4578616352201257</v>
      </c>
      <c r="AB35" s="594"/>
      <c r="AC35" s="439">
        <f>(AA35/19.32)*10</f>
        <v>0.75458676771228039</v>
      </c>
      <c r="AD35" s="440"/>
      <c r="AE35" s="593">
        <v>0.79800000000000004</v>
      </c>
      <c r="AF35" s="594"/>
      <c r="AG35" s="443">
        <f>((AE35/19.32)*10)</f>
        <v>0.41304347826086962</v>
      </c>
      <c r="AH35" s="104"/>
      <c r="AS35" s="42">
        <f t="shared" si="5"/>
        <v>0</v>
      </c>
    </row>
    <row r="36" spans="1:45" ht="20.100000000000001" customHeight="1" thickBot="1" x14ac:dyDescent="0.3">
      <c r="A36" s="103"/>
      <c r="B36" s="639" t="s">
        <v>71</v>
      </c>
      <c r="C36" s="640"/>
      <c r="D36" s="640"/>
      <c r="E36" s="130">
        <f>E25/E24</f>
        <v>1.7895716945996276</v>
      </c>
      <c r="F36" s="130">
        <f>F25/F24</f>
        <v>1.8710428305400373</v>
      </c>
      <c r="G36" s="130">
        <f>G25/G24</f>
        <v>1.9245810055865922</v>
      </c>
      <c r="H36" s="131">
        <f>H25/H24</f>
        <v>1.8687150837988826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1.5103411041765684</v>
      </c>
      <c r="F37" s="230">
        <f>F36/(1+F34/100)</f>
        <v>1.5421494400487521</v>
      </c>
      <c r="G37" s="230">
        <f>G36/(1+G34/100)</f>
        <v>1.5510165417372415</v>
      </c>
      <c r="H37" s="123">
        <f>H36/(1+H34/100)</f>
        <v>1.4630705916493854</v>
      </c>
      <c r="I37" s="174"/>
      <c r="J37" s="641" t="s">
        <v>139</v>
      </c>
      <c r="K37" s="641"/>
      <c r="L37" s="643" t="s">
        <v>121</v>
      </c>
      <c r="M37" s="433">
        <f>IF(F74="","",(M42^2*F74+M42*F75+F76))</f>
        <v>1.477603225806452</v>
      </c>
      <c r="N37" s="101"/>
      <c r="O37" s="576" t="s">
        <v>28</v>
      </c>
      <c r="P37" s="577"/>
      <c r="Q37" s="150">
        <v>739.96</v>
      </c>
      <c r="R37" s="152">
        <v>484.69</v>
      </c>
      <c r="S37" s="153">
        <v>462.28</v>
      </c>
      <c r="T37" s="174"/>
      <c r="U37" s="132">
        <v>0.5</v>
      </c>
      <c r="V37" s="133">
        <f>U37*25.4</f>
        <v>12.7</v>
      </c>
      <c r="W37" s="637">
        <f>AI33</f>
        <v>3.0590000000000002</v>
      </c>
      <c r="X37" s="638"/>
      <c r="Y37" s="431">
        <f>((W37/19.32)*10)</f>
        <v>1.5833333333333333</v>
      </c>
      <c r="Z37" s="432"/>
      <c r="AA37" s="637">
        <v>1.7350000000000001</v>
      </c>
      <c r="AB37" s="638"/>
      <c r="AC37" s="431">
        <f>((AA37/19.32)*10)</f>
        <v>0.89803312629399579</v>
      </c>
      <c r="AD37" s="432"/>
      <c r="AE37" s="637">
        <v>0.91400000000000003</v>
      </c>
      <c r="AF37" s="638"/>
      <c r="AG37" s="134">
        <f>((AE37/19.32)*10)</f>
        <v>0.47308488612836436</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101.92</v>
      </c>
      <c r="R38" s="618">
        <v>100.4</v>
      </c>
      <c r="S38" s="648">
        <v>100.6</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1.5324991456230301</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14.495287645161294</v>
      </c>
      <c r="N40" s="103"/>
      <c r="O40" s="628" t="s">
        <v>10</v>
      </c>
      <c r="P40" s="629"/>
      <c r="Q40" s="125">
        <f>((Q35-Q37)/(Q37-Q38))*100</f>
        <v>22.257225252335271</v>
      </c>
      <c r="R40" s="125">
        <f>((R35-R37)/(R37-R38))*100</f>
        <v>22.07447500585495</v>
      </c>
      <c r="S40" s="126">
        <f>((S35-S37)/(S37-S38))*100</f>
        <v>21.853572218535746</v>
      </c>
      <c r="T40" s="174"/>
      <c r="U40" s="645" t="s">
        <v>151</v>
      </c>
      <c r="V40" s="646"/>
      <c r="W40" s="423">
        <f>(AM79/6.9)*100</f>
        <v>6.143667296786389</v>
      </c>
      <c r="X40" s="423"/>
      <c r="Y40" s="423"/>
      <c r="Z40" s="424"/>
      <c r="AA40" s="425">
        <f>(AO79/6.9)*100</f>
        <v>3.8639416960920681</v>
      </c>
      <c r="AB40" s="426"/>
      <c r="AC40" s="427"/>
      <c r="AD40" s="425">
        <f>(AQ79/6.9)*100</f>
        <v>2.1251679328506374</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15.033816618561927</v>
      </c>
      <c r="N41" s="138"/>
      <c r="O41" s="565" t="s">
        <v>36</v>
      </c>
      <c r="P41" s="566"/>
      <c r="Q41" s="566"/>
      <c r="R41" s="566"/>
      <c r="S41" s="567"/>
      <c r="T41" s="174"/>
      <c r="U41" s="653" t="s">
        <v>152</v>
      </c>
      <c r="V41" s="654"/>
      <c r="W41" s="418">
        <f>(AM83/10.3)*100</f>
        <v>6.9398379866931998</v>
      </c>
      <c r="X41" s="418"/>
      <c r="Y41" s="418"/>
      <c r="Z41" s="419"/>
      <c r="AA41" s="420">
        <f>(AO83/10.3)*100</f>
        <v>4.346821041628977</v>
      </c>
      <c r="AB41" s="421"/>
      <c r="AC41" s="418"/>
      <c r="AD41" s="420">
        <f>(AQ83/10.3)*100</f>
        <v>2.4005728884787798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22.032258064516128</v>
      </c>
      <c r="N42" s="103"/>
      <c r="O42" s="639" t="s">
        <v>9</v>
      </c>
      <c r="P42" s="640"/>
      <c r="Q42" s="148">
        <v>326</v>
      </c>
      <c r="R42" s="148">
        <v>95</v>
      </c>
      <c r="S42" s="149">
        <v>75</v>
      </c>
      <c r="T42" s="174"/>
      <c r="U42" s="651" t="s">
        <v>42</v>
      </c>
      <c r="V42" s="652"/>
      <c r="W42" s="413">
        <f>IF(W40&lt;W41,W40,W41)</f>
        <v>6.143667296786389</v>
      </c>
      <c r="X42" s="414"/>
      <c r="Y42" s="414"/>
      <c r="Z42" s="415"/>
      <c r="AA42" s="416">
        <f>IF(AA40&lt;AA41,AA40,AA41)</f>
        <v>3.8639416960920681</v>
      </c>
      <c r="AB42" s="414"/>
      <c r="AC42" s="415"/>
      <c r="AD42" s="416">
        <f>IF(AD40&lt;AD41,AD40,AD41)</f>
        <v>2.1251679328506374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16.874193548387098</v>
      </c>
      <c r="N43" s="103"/>
      <c r="O43" s="612" t="s">
        <v>49</v>
      </c>
      <c r="P43" s="614"/>
      <c r="Q43" s="618">
        <v>981.98</v>
      </c>
      <c r="R43" s="608">
        <v>521.1</v>
      </c>
      <c r="S43" s="610">
        <v>523.6</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785.87</v>
      </c>
      <c r="R45" s="150">
        <v>425.38</v>
      </c>
      <c r="S45" s="153">
        <v>425</v>
      </c>
      <c r="T45" s="174"/>
      <c r="U45" s="656" t="s">
        <v>139</v>
      </c>
      <c r="V45" s="656"/>
      <c r="W45" s="179" t="s">
        <v>121</v>
      </c>
      <c r="X45" s="406">
        <f>MAX(M37:M39)</f>
        <v>1.5324991456230301</v>
      </c>
      <c r="Y45" s="406"/>
      <c r="Z45" s="406"/>
      <c r="AA45" s="174"/>
      <c r="AB45" s="657" t="s">
        <v>31</v>
      </c>
      <c r="AC45" s="658"/>
      <c r="AD45" s="658"/>
      <c r="AE45" s="658"/>
      <c r="AF45" s="231">
        <v>8.4500000000000006E-2</v>
      </c>
      <c r="AG45" s="231">
        <v>0.20300000000000001</v>
      </c>
      <c r="AH45" s="233">
        <v>0.17549999999999999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101.27</v>
      </c>
      <c r="R46" s="152">
        <v>100.32</v>
      </c>
      <c r="S46" s="153">
        <v>100.4</v>
      </c>
      <c r="T46" s="174"/>
      <c r="U46" s="555" t="s">
        <v>123</v>
      </c>
      <c r="V46" s="555"/>
      <c r="W46" s="179" t="s">
        <v>41</v>
      </c>
      <c r="X46" s="401">
        <f>MIN(M42:M44)</f>
        <v>16.874193548387098</v>
      </c>
      <c r="Y46" s="401"/>
      <c r="Z46" s="401"/>
      <c r="AA46" s="174"/>
      <c r="AB46" s="660" t="s">
        <v>32</v>
      </c>
      <c r="AC46" s="661"/>
      <c r="AD46" s="661"/>
      <c r="AE46" s="661"/>
      <c r="AF46" s="234">
        <v>0.17050000000000001</v>
      </c>
      <c r="AG46" s="234">
        <v>0.29899999999999999</v>
      </c>
      <c r="AH46" s="235">
        <v>0.29649999999999999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28.645924627519719</v>
      </c>
      <c r="R47" s="125">
        <f>((R43-R45)/(R45-R46))*100</f>
        <v>29.446871346828285</v>
      </c>
      <c r="S47" s="126">
        <f>((S43-S45)/(S45-S46))*100</f>
        <v>30.375847196549604</v>
      </c>
      <c r="T47" s="174"/>
      <c r="U47" s="555" t="s">
        <v>162</v>
      </c>
      <c r="V47" s="555"/>
      <c r="W47" s="179" t="s">
        <v>41</v>
      </c>
      <c r="X47" s="402">
        <f>IF(L25=D103,"-",IF(L25=D102,"-",IF(L25=D101,M25)))</f>
        <v>7.87</v>
      </c>
      <c r="Y47" s="402"/>
      <c r="Z47" s="402"/>
      <c r="AA47" s="174"/>
      <c r="AB47" s="662" t="s">
        <v>33</v>
      </c>
      <c r="AC47" s="663"/>
      <c r="AD47" s="663"/>
      <c r="AE47" s="663"/>
      <c r="AF47" s="232">
        <f>(AF46-AF45)*2.54</f>
        <v>0.21844000000000002</v>
      </c>
      <c r="AG47" s="232">
        <f>(AG46-AG45)*2.54</f>
        <v>0.24383999999999995</v>
      </c>
      <c r="AH47" s="239">
        <f>(AH46-AH45)*2.54</f>
        <v>0.30734</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1.8831034482758624</v>
      </c>
      <c r="AG48" s="142">
        <f>IF(AG47&lt;&gt;"",IF(R24&lt;&gt;"",AG47/R24*100,""),"")</f>
        <v>2.1296069868995628</v>
      </c>
      <c r="AH48" s="173">
        <f>IF(AH47&lt;&gt;"",IF(S24&lt;&gt;"",AH47/S24*100,""),"")</f>
        <v>2.6112149532710278</v>
      </c>
    </row>
    <row r="49" spans="1:36"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6"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5.8999999999999997E-2</v>
      </c>
    </row>
    <row r="51" spans="1:36"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0.20699999999999999</v>
      </c>
    </row>
    <row r="52" spans="1:36"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0.42</v>
      </c>
    </row>
    <row r="53" spans="1:36"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0.63400000000000001</v>
      </c>
    </row>
    <row r="54" spans="1:36"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0.81899999999999995</v>
      </c>
    </row>
    <row r="55" spans="1:36"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0.99399999999999999</v>
      </c>
    </row>
    <row r="56" spans="1:36"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1.1579999999999999</v>
      </c>
    </row>
    <row r="57" spans="1:36"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1.28</v>
      </c>
    </row>
    <row r="58" spans="1:36"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1.381</v>
      </c>
    </row>
    <row r="59" spans="1:36"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1.8129999999999999</v>
      </c>
    </row>
    <row r="60" spans="1:36"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2.3180000000000001</v>
      </c>
    </row>
    <row r="61" spans="1:36"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3.0590000000000002</v>
      </c>
    </row>
    <row r="62" spans="1:36"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6"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6"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-3.0999999999999999E-3</v>
      </c>
      <c r="G74" s="75">
        <v>-0.12509999999999999</v>
      </c>
      <c r="J74" s="701"/>
      <c r="K74" s="702"/>
      <c r="L74" s="44"/>
      <c r="M74" s="44"/>
      <c r="N74" s="44"/>
    </row>
    <row r="75" spans="1:94" ht="26.25" customHeight="1" thickBot="1" x14ac:dyDescent="0.3">
      <c r="A75" s="11"/>
      <c r="B75" s="377" t="s">
        <v>113</v>
      </c>
      <c r="C75" s="377"/>
      <c r="D75" s="19"/>
      <c r="E75" s="54" t="s">
        <v>12</v>
      </c>
      <c r="F75" s="55">
        <v>0.1366</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-2.7199999999999998E-2</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0.20699999999999999</v>
      </c>
      <c r="AM76" s="3">
        <f t="shared" si="6"/>
        <v>0.10714285714285715</v>
      </c>
      <c r="AN76" s="5">
        <f>AA23</f>
        <v>0.126</v>
      </c>
      <c r="AO76" s="3">
        <f t="shared" ref="AO76:AO86" si="9">((AN76/19.32)*10)</f>
        <v>6.5217391304347824E-2</v>
      </c>
      <c r="AP76" s="5">
        <f>AE23</f>
        <v>7.1603773584905661E-2</v>
      </c>
      <c r="AQ76" s="161">
        <f t="shared" si="7"/>
        <v>3.7061994609164421E-2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0.42</v>
      </c>
      <c r="AM77" s="3">
        <f t="shared" si="6"/>
        <v>0.21739130434782608</v>
      </c>
      <c r="AN77" s="5">
        <f>AA24</f>
        <v>0.25900000000000001</v>
      </c>
      <c r="AO77" s="3">
        <f t="shared" si="9"/>
        <v>0.13405797101449274</v>
      </c>
      <c r="AP77" s="5">
        <f>AE24</f>
        <v>0.14528301886792455</v>
      </c>
      <c r="AQ77" s="161">
        <f t="shared" si="7"/>
        <v>7.519824993163797E-2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0.63400000000000001</v>
      </c>
      <c r="AM78" s="3">
        <f t="shared" si="6"/>
        <v>0.32815734989648038</v>
      </c>
      <c r="AN78" s="5">
        <f>AA25</f>
        <v>0.39874213836477984</v>
      </c>
      <c r="AO78" s="3">
        <f t="shared" si="9"/>
        <v>0.20638827037514484</v>
      </c>
      <c r="AP78" s="5">
        <f>AE25</f>
        <v>0.21930817610062894</v>
      </c>
      <c r="AQ78" s="161">
        <f t="shared" si="7"/>
        <v>0.11351354870632968</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0.81899999999999995</v>
      </c>
      <c r="AM79" s="4">
        <f t="shared" si="6"/>
        <v>0.42391304347826086</v>
      </c>
      <c r="AN79" s="5">
        <f>AA26</f>
        <v>0.51509433962264151</v>
      </c>
      <c r="AO79" s="4">
        <f t="shared" si="9"/>
        <v>0.26661197703035272</v>
      </c>
      <c r="AP79" s="5">
        <f>AE26</f>
        <v>0.28330188679245283</v>
      </c>
      <c r="AQ79" s="162">
        <f t="shared" si="7"/>
        <v>0.14663658736669399</v>
      </c>
      <c r="BB79" s="12">
        <v>17</v>
      </c>
      <c r="BC79" s="12">
        <v>18</v>
      </c>
    </row>
    <row r="80" spans="1:94" ht="42" customHeight="1" thickTop="1" thickBot="1" x14ac:dyDescent="0.3">
      <c r="D80" s="49"/>
      <c r="H80" s="711" t="s">
        <v>105</v>
      </c>
      <c r="I80" s="712"/>
      <c r="J80" s="58"/>
      <c r="AJ80" s="160">
        <f>U28</f>
        <v>0.125</v>
      </c>
      <c r="AK80" s="3">
        <f t="shared" si="8"/>
        <v>3.1749999999999998</v>
      </c>
      <c r="AL80" s="5">
        <f>W28</f>
        <v>0.99399999999999999</v>
      </c>
      <c r="AM80" s="3">
        <f t="shared" si="6"/>
        <v>0.51449275362318836</v>
      </c>
      <c r="AN80" s="5">
        <f>AA28</f>
        <v>0.62515723270440249</v>
      </c>
      <c r="AO80" s="3">
        <f t="shared" si="9"/>
        <v>0.32358034819068454</v>
      </c>
      <c r="AP80" s="5">
        <f>AE28</f>
        <v>0.3438364779874214</v>
      </c>
      <c r="AQ80" s="161">
        <f t="shared" si="7"/>
        <v>0.17796919150487647</v>
      </c>
      <c r="BC80" s="45">
        <v>0.99880400000000003</v>
      </c>
      <c r="BD80" s="45">
        <v>0.99862499999999998</v>
      </c>
    </row>
    <row r="81" spans="2:43" ht="15.75" customHeight="1" x14ac:dyDescent="0.25">
      <c r="AJ81" s="160">
        <f>U30</f>
        <v>0.15</v>
      </c>
      <c r="AK81" s="3">
        <f t="shared" si="8"/>
        <v>3.8099999999999996</v>
      </c>
      <c r="AL81" s="5">
        <f>W30</f>
        <v>1.1579999999999999</v>
      </c>
      <c r="AM81" s="3">
        <f t="shared" si="6"/>
        <v>0.59937888198757761</v>
      </c>
      <c r="AN81" s="5">
        <f>AA30</f>
        <v>0.72830188679245278</v>
      </c>
      <c r="AO81" s="3">
        <f t="shared" si="9"/>
        <v>0.37696785030665259</v>
      </c>
      <c r="AP81" s="5">
        <f>AE30</f>
        <v>0.40056603773584903</v>
      </c>
      <c r="AQ81" s="161">
        <f t="shared" si="7"/>
        <v>0.20733231766865892</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1.28</v>
      </c>
      <c r="AM82" s="3">
        <f t="shared" si="6"/>
        <v>0.66252587991718426</v>
      </c>
      <c r="AN82" s="5">
        <f>AA31</f>
        <v>0.80503144654088044</v>
      </c>
      <c r="AO82" s="3">
        <f t="shared" si="9"/>
        <v>0.41668294334414102</v>
      </c>
      <c r="AP82" s="5">
        <f>AE31</f>
        <v>0.44276729559748429</v>
      </c>
      <c r="AQ82" s="161">
        <f t="shared" si="7"/>
        <v>0.22917561883927756</v>
      </c>
    </row>
    <row r="83" spans="2:43" ht="15" customHeight="1" x14ac:dyDescent="0.25">
      <c r="B83" s="49"/>
      <c r="C83" s="49"/>
      <c r="D83" s="49">
        <v>0</v>
      </c>
      <c r="E83" s="50">
        <f>M42</f>
        <v>22.032258064516128</v>
      </c>
      <c r="F83" s="49"/>
      <c r="G83" s="43">
        <f>G84/10</f>
        <v>1.7536301812423503</v>
      </c>
      <c r="H83" s="43">
        <f>H84/10</f>
        <v>1.6689313120391958</v>
      </c>
      <c r="I83" s="43">
        <f>I84/10</f>
        <v>1.594128644860763</v>
      </c>
      <c r="J83" s="43">
        <f>J84/10</f>
        <v>1.5050919521317809</v>
      </c>
      <c r="K83" s="43"/>
      <c r="L83" s="42">
        <v>0</v>
      </c>
      <c r="O83" s="706"/>
      <c r="P83" s="706"/>
      <c r="Q83" s="706"/>
      <c r="R83" s="706"/>
      <c r="S83" s="707"/>
      <c r="W83" s="112"/>
      <c r="AJ83" s="160">
        <f>U33</f>
        <v>0.2</v>
      </c>
      <c r="AK83" s="4">
        <f t="shared" si="8"/>
        <v>5.08</v>
      </c>
      <c r="AL83" s="5">
        <f>W33</f>
        <v>1.381</v>
      </c>
      <c r="AM83" s="4">
        <f t="shared" si="6"/>
        <v>0.71480331262939956</v>
      </c>
      <c r="AN83" s="5">
        <f>AA33</f>
        <v>0.86499999999999999</v>
      </c>
      <c r="AO83" s="4">
        <f t="shared" si="9"/>
        <v>0.44772256728778465</v>
      </c>
      <c r="AP83" s="5">
        <f>AE33</f>
        <v>0.47770440251572327</v>
      </c>
      <c r="AQ83" s="162">
        <f t="shared" si="7"/>
        <v>0.24725900751331434</v>
      </c>
    </row>
    <row r="84" spans="2:43" ht="15" customHeight="1" x14ac:dyDescent="0.25">
      <c r="C84" s="94"/>
      <c r="D84" s="94"/>
      <c r="E84" s="94"/>
      <c r="F84" s="49"/>
      <c r="G84" s="43">
        <f>($M$34/(1+(E34*$M$34/100)))*($O$73)</f>
        <v>17.536301812423503</v>
      </c>
      <c r="H84" s="43">
        <f>($M$34/(1+(F34*$M$34/100)))*($O$73)</f>
        <v>16.689313120391958</v>
      </c>
      <c r="I84" s="43">
        <f>($M$34/(1+(G34*$M$34/100)))*($O$73)</f>
        <v>15.941286448607631</v>
      </c>
      <c r="J84" s="43">
        <f>($M$34/(1+(H34*$M$34/100)))*($O$73)</f>
        <v>15.050919521317809</v>
      </c>
      <c r="K84" s="43"/>
      <c r="O84" s="706" t="s">
        <v>146</v>
      </c>
      <c r="P84" s="706"/>
      <c r="Q84" s="706"/>
      <c r="R84" s="706"/>
      <c r="S84" s="707">
        <v>2240</v>
      </c>
      <c r="W84" s="112"/>
      <c r="AJ84" s="160">
        <f>U34</f>
        <v>0.3</v>
      </c>
      <c r="AK84" s="3">
        <f t="shared" si="8"/>
        <v>7.6199999999999992</v>
      </c>
      <c r="AL84" s="5">
        <f>W34</f>
        <v>1.8129999999999999</v>
      </c>
      <c r="AM84" s="3">
        <f t="shared" si="6"/>
        <v>0.93840579710144922</v>
      </c>
      <c r="AN84" s="5">
        <f>AA34</f>
        <v>1.1399999999999999</v>
      </c>
      <c r="AO84" s="3">
        <f t="shared" si="9"/>
        <v>0.59006211180124213</v>
      </c>
      <c r="AP84" s="5">
        <f>AE34</f>
        <v>0.62713836477987417</v>
      </c>
      <c r="AQ84" s="161">
        <f t="shared" si="7"/>
        <v>0.32460577887157049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2.3180000000000001</v>
      </c>
      <c r="AM85" s="3">
        <f t="shared" si="6"/>
        <v>1.1997929606625259</v>
      </c>
      <c r="AN85" s="5">
        <f>AA35</f>
        <v>1.4578616352201257</v>
      </c>
      <c r="AO85" s="3">
        <f t="shared" si="9"/>
        <v>0.75458676771228039</v>
      </c>
      <c r="AP85" s="5">
        <f>AE35</f>
        <v>0.79800000000000004</v>
      </c>
      <c r="AQ85" s="161">
        <f>((AP85/19.32)*10)</f>
        <v>0.41304347826086962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3.0590000000000002</v>
      </c>
      <c r="AM86" s="164">
        <f t="shared" si="6"/>
        <v>1.5833333333333333</v>
      </c>
      <c r="AN86" s="165">
        <f>AA37</f>
        <v>1.7350000000000001</v>
      </c>
      <c r="AO86" s="164">
        <f t="shared" si="9"/>
        <v>0.89803312629399579</v>
      </c>
      <c r="AP86" s="165">
        <f>AE37</f>
        <v>0.91400000000000003</v>
      </c>
      <c r="AQ86" s="166">
        <f>((AP86/19.32)*10)</f>
        <v>0.47308488612836436</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1.5488124519435635</v>
      </c>
      <c r="AK91" s="9">
        <f>R31</f>
        <v>1.4863968492047772</v>
      </c>
      <c r="AL91" s="10">
        <f>S31</f>
        <v>1.4053605964376128</v>
      </c>
    </row>
    <row r="92" spans="2:43" ht="21" customHeight="1" thickBot="1" x14ac:dyDescent="0.3">
      <c r="B92" s="92"/>
      <c r="C92" s="93"/>
      <c r="D92" s="93"/>
      <c r="E92" s="93"/>
      <c r="F92" s="62"/>
      <c r="G92" s="63"/>
      <c r="H92" s="49"/>
      <c r="I92" s="49"/>
      <c r="O92" s="725" t="s">
        <v>147</v>
      </c>
      <c r="P92" s="726"/>
      <c r="Q92" s="726"/>
      <c r="R92" s="726"/>
      <c r="S92" s="61">
        <f>M42</f>
        <v>22.032258064516128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6.143667296786389</v>
      </c>
      <c r="AK94" s="158">
        <f>AA42</f>
        <v>3.8639416960920681</v>
      </c>
      <c r="AL94" s="158">
        <f>AD42</f>
        <v>2.1251679328506374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878" priority="47">
      <formula>LEN(TRIM(D6))=0</formula>
    </cfRule>
  </conditionalFormatting>
  <conditionalFormatting sqref="D6:H10">
    <cfRule type="containsBlanks" dxfId="877" priority="46">
      <formula>LEN(TRIM(D6))=0</formula>
    </cfRule>
  </conditionalFormatting>
  <conditionalFormatting sqref="M19">
    <cfRule type="containsBlanks" dxfId="876" priority="45">
      <formula>LEN(TRIM(M19))=0</formula>
    </cfRule>
  </conditionalFormatting>
  <conditionalFormatting sqref="CP70">
    <cfRule type="containsBlanks" dxfId="875" priority="44">
      <formula>LEN(TRIM(CP70))=0</formula>
    </cfRule>
  </conditionalFormatting>
  <conditionalFormatting sqref="M21">
    <cfRule type="containsBlanks" dxfId="874" priority="43">
      <formula>LEN(TRIM(M21))=0</formula>
    </cfRule>
  </conditionalFormatting>
  <conditionalFormatting sqref="D12:M12">
    <cfRule type="containsBlanks" dxfId="873" priority="42">
      <formula>LEN(TRIM(D12))=0</formula>
    </cfRule>
  </conditionalFormatting>
  <conditionalFormatting sqref="L9:M9">
    <cfRule type="containsBlanks" dxfId="872" priority="41">
      <formula>LEN(TRIM(L9))=0</formula>
    </cfRule>
  </conditionalFormatting>
  <conditionalFormatting sqref="L25">
    <cfRule type="containsBlanks" dxfId="871" priority="40">
      <formula>LEN(TRIM(L25))=0</formula>
    </cfRule>
  </conditionalFormatting>
  <conditionalFormatting sqref="Q20:S21">
    <cfRule type="containsBlanks" dxfId="870" priority="33">
      <formula>LEN(TRIM(Q20))=0</formula>
    </cfRule>
    <cfRule type="containsBlanks" dxfId="869" priority="39">
      <formula>LEN(TRIM(Q20))=0</formula>
    </cfRule>
  </conditionalFormatting>
  <conditionalFormatting sqref="U26:V27 AC33 AC26">
    <cfRule type="cellIs" dxfId="868" priority="38" operator="between">
      <formula>0</formula>
      <formula>500</formula>
    </cfRule>
  </conditionalFormatting>
  <conditionalFormatting sqref="U33:V33">
    <cfRule type="cellIs" dxfId="867" priority="37" operator="between">
      <formula>0</formula>
      <formula>500</formula>
    </cfRule>
  </conditionalFormatting>
  <conditionalFormatting sqref="AF45:AH46">
    <cfRule type="containsBlanks" dxfId="866" priority="36">
      <formula>LEN(TRIM(AF45))=0</formula>
    </cfRule>
  </conditionalFormatting>
  <conditionalFormatting sqref="AF51:AG53">
    <cfRule type="containsBlanks" dxfId="865" priority="35">
      <formula>LEN(TRIM(AF51))=0</formula>
    </cfRule>
  </conditionalFormatting>
  <conditionalFormatting sqref="E20:H24">
    <cfRule type="containsBlanks" dxfId="864" priority="34">
      <formula>LEN(TRIM(E20))=0</formula>
    </cfRule>
  </conditionalFormatting>
  <conditionalFormatting sqref="M25">
    <cfRule type="containsBlanks" dxfId="863" priority="32">
      <formula>LEN(TRIM(M25))=0</formula>
    </cfRule>
  </conditionalFormatting>
  <conditionalFormatting sqref="U26:V27 Y26:Z27 AC26:AD27 AG26:AG27">
    <cfRule type="containsBlanks" dxfId="862" priority="30">
      <formula>LEN(TRIM(U26))=0</formula>
    </cfRule>
    <cfRule type="cellIs" dxfId="861" priority="31" operator="between">
      <formula>0</formula>
      <formula>1000</formula>
    </cfRule>
  </conditionalFormatting>
  <conditionalFormatting sqref="W87:W88">
    <cfRule type="cellIs" dxfId="860" priority="29" operator="between">
      <formula>0</formula>
      <formula>500</formula>
    </cfRule>
  </conditionalFormatting>
  <conditionalFormatting sqref="W94">
    <cfRule type="cellIs" dxfId="859" priority="28" operator="between">
      <formula>0</formula>
      <formula>500</formula>
    </cfRule>
  </conditionalFormatting>
  <conditionalFormatting sqref="W87:W88">
    <cfRule type="containsBlanks" dxfId="858" priority="26">
      <formula>LEN(TRIM(W87))=0</formula>
    </cfRule>
    <cfRule type="cellIs" dxfId="857" priority="27" operator="between">
      <formula>0</formula>
      <formula>1000</formula>
    </cfRule>
  </conditionalFormatting>
  <conditionalFormatting sqref="U33:V33 Y33:Z33 AC33:AD33 AG33">
    <cfRule type="cellIs" dxfId="856" priority="25" operator="between">
      <formula>0</formula>
      <formula>1000</formula>
    </cfRule>
  </conditionalFormatting>
  <conditionalFormatting sqref="Q27:S27">
    <cfRule type="containsBlanks" dxfId="855" priority="23">
      <formula>LEN(TRIM(Q27))=0</formula>
    </cfRule>
    <cfRule type="containsBlanks" dxfId="854" priority="24">
      <formula>LEN(TRIM(Q27))=0</formula>
    </cfRule>
  </conditionalFormatting>
  <conditionalFormatting sqref="W30:W31 W33:W35 W37 W28 W22:W26">
    <cfRule type="containsBlanks" dxfId="853" priority="22">
      <formula>LEN(TRIM(W22))=0</formula>
    </cfRule>
  </conditionalFormatting>
  <conditionalFormatting sqref="W37 W30:W31 W33:W35 W28 W22:W26">
    <cfRule type="containsBlanks" dxfId="852" priority="21">
      <formula>LEN(TRIM(W22))=0</formula>
    </cfRule>
  </conditionalFormatting>
  <conditionalFormatting sqref="W33:X33">
    <cfRule type="cellIs" dxfId="851" priority="20" operator="between">
      <formula>0</formula>
      <formula>1000</formula>
    </cfRule>
  </conditionalFormatting>
  <conditionalFormatting sqref="W30:X37 W26 W28 W22:X25">
    <cfRule type="containsBlanks" dxfId="850" priority="19">
      <formula>LEN(TRIM(W22))=0</formula>
    </cfRule>
  </conditionalFormatting>
  <conditionalFormatting sqref="AA37 AA30:AA31 AA33 AA22:AA26 AA28 AA35">
    <cfRule type="containsBlanks" dxfId="849" priority="18">
      <formula>LEN(TRIM(AA22))=0</formula>
    </cfRule>
  </conditionalFormatting>
  <conditionalFormatting sqref="AA37 AA30:AA31 AA33 AA22:AA26 AA28 AA35">
    <cfRule type="containsBlanks" dxfId="848" priority="17">
      <formula>LEN(TRIM(AA22))=0</formula>
    </cfRule>
  </conditionalFormatting>
  <conditionalFormatting sqref="AA33:AB33">
    <cfRule type="cellIs" dxfId="847" priority="16" operator="between">
      <formula>0</formula>
      <formula>1000</formula>
    </cfRule>
  </conditionalFormatting>
  <conditionalFormatting sqref="AA30:AB30 AA31 AA33:AB33 AA22:AB25 AA26 AA28 AA35:AB37">
    <cfRule type="containsBlanks" dxfId="846" priority="15">
      <formula>LEN(TRIM(AA22))=0</formula>
    </cfRule>
  </conditionalFormatting>
  <conditionalFormatting sqref="AE37 AE28 AE30:AE31 AE33:AE35 AE22:AE26">
    <cfRule type="containsBlanks" dxfId="845" priority="14">
      <formula>LEN(TRIM(AE22))=0</formula>
    </cfRule>
  </conditionalFormatting>
  <conditionalFormatting sqref="AE37 AE28 AE30:AE31 AE33:AE35 AE22:AE26">
    <cfRule type="containsBlanks" dxfId="844" priority="13">
      <formula>LEN(TRIM(AE22))=0</formula>
    </cfRule>
  </conditionalFormatting>
  <conditionalFormatting sqref="AE33:AF33">
    <cfRule type="cellIs" dxfId="843" priority="12" operator="between">
      <formula>0</formula>
      <formula>1000</formula>
    </cfRule>
  </conditionalFormatting>
  <conditionalFormatting sqref="AE33:AF37 AE26 AE28 AE30:AE31 AE22:AF25">
    <cfRule type="containsBlanks" dxfId="842" priority="11">
      <formula>LEN(TRIM(AE22))=0</formula>
    </cfRule>
  </conditionalFormatting>
  <conditionalFormatting sqref="K6:M6">
    <cfRule type="containsBlanks" dxfId="841" priority="10">
      <formula>LEN(TRIM(K6))=0</formula>
    </cfRule>
  </conditionalFormatting>
  <conditionalFormatting sqref="K7:K8">
    <cfRule type="containsBlanks" dxfId="840" priority="9">
      <formula>LEN(TRIM(K7))=0</formula>
    </cfRule>
  </conditionalFormatting>
  <conditionalFormatting sqref="D13:M13">
    <cfRule type="containsBlanks" dxfId="839" priority="8">
      <formula>LEN(TRIM(D13))=0</formula>
    </cfRule>
  </conditionalFormatting>
  <conditionalFormatting sqref="B6:B10">
    <cfRule type="containsBlanks" dxfId="838" priority="7">
      <formula>LEN(TRIM(B6))=0</formula>
    </cfRule>
  </conditionalFormatting>
  <conditionalFormatting sqref="B12:B13">
    <cfRule type="containsBlanks" dxfId="837" priority="6">
      <formula>LEN(TRIM(B12))=0</formula>
    </cfRule>
  </conditionalFormatting>
  <conditionalFormatting sqref="E28:H33">
    <cfRule type="containsBlanks" dxfId="836" priority="5">
      <formula>LEN(TRIM(E28))=0</formula>
    </cfRule>
  </conditionalFormatting>
  <conditionalFormatting sqref="Q22:S26">
    <cfRule type="containsBlanks" dxfId="835" priority="3">
      <formula>LEN(TRIM(Q22))=0</formula>
    </cfRule>
    <cfRule type="containsBlanks" dxfId="834" priority="4">
      <formula>LEN(TRIM(Q22))=0</formula>
    </cfRule>
  </conditionalFormatting>
  <conditionalFormatting sqref="Q34:S39">
    <cfRule type="containsBlanks" dxfId="833" priority="2">
      <formula>LEN(TRIM(Q34))=0</formula>
    </cfRule>
  </conditionalFormatting>
  <conditionalFormatting sqref="Q42:S46">
    <cfRule type="containsBlanks" dxfId="832" priority="1">
      <formula>LEN(TRIM(Q42))=0</formula>
    </cfRule>
  </conditionalFormatting>
  <dataValidations count="5">
    <dataValidation type="list" allowBlank="1" showInputMessage="1" showErrorMessage="1" sqref="L25" xr:uid="{00000000-0002-0000-2900-000000000000}">
      <formula1>$D$101:$D$104</formula1>
    </dataValidation>
    <dataValidation type="list" allowBlank="1" showInputMessage="1" showErrorMessage="1" sqref="M21" xr:uid="{00000000-0002-0000-2900-000001000000}">
      <formula1>$AX$3:$AX$4</formula1>
    </dataValidation>
    <dataValidation type="list" allowBlank="1" showInputMessage="1" showErrorMessage="1" sqref="M19" xr:uid="{00000000-0002-0000-2900-000002000000}">
      <formula1>$AX$3:$AX$5</formula1>
    </dataValidation>
    <dataValidation type="list" allowBlank="1" showInputMessage="1" showErrorMessage="1" sqref="CP70" xr:uid="{00000000-0002-0000-2900-000003000000}">
      <formula1>$BA$3:$BA$5</formula1>
    </dataValidation>
    <dataValidation type="list" allowBlank="1" showInputMessage="1" showErrorMessage="1" sqref="D12:E12" xr:uid="{00000000-0002-0000-2900-000004000000}">
      <formula1>$B$87:$B$94</formula1>
    </dataValidation>
  </dataValidations>
  <hyperlinks>
    <hyperlink ref="D8" r:id="rId1" xr:uid="{00000000-0004-0000-29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7305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7305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73059"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7306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7306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7306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7306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7306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7306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7306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85">
    <tabColor theme="7" tint="0.79998168889431442"/>
  </sheetPr>
  <dimension ref="A1:CP153"/>
  <sheetViews>
    <sheetView view="pageBreakPreview" topLeftCell="U19" zoomScale="112" zoomScaleNormal="100" zoomScaleSheetLayoutView="112"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25-P-CERRITO 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25-P-CERRITO 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280</v>
      </c>
      <c r="G12" s="31" t="s">
        <v>4</v>
      </c>
      <c r="H12" s="146">
        <v>2</v>
      </c>
      <c r="I12" s="546" t="s">
        <v>5</v>
      </c>
      <c r="J12" s="546"/>
      <c r="K12" s="209">
        <v>1.3</v>
      </c>
      <c r="L12" s="32" t="s">
        <v>6</v>
      </c>
      <c r="M12" s="147">
        <v>1.5</v>
      </c>
      <c r="N12" s="78"/>
      <c r="O12" s="501" t="s">
        <v>3</v>
      </c>
      <c r="P12" s="501"/>
      <c r="Q12" s="225" t="s">
        <v>234</v>
      </c>
      <c r="R12" s="224" t="str">
        <f>F12</f>
        <v>P-CERRITO AP3</v>
      </c>
      <c r="S12" s="224"/>
      <c r="T12" s="502" t="s">
        <v>4</v>
      </c>
      <c r="U12" s="502"/>
      <c r="V12" s="33">
        <f>+H12</f>
        <v>2</v>
      </c>
      <c r="W12" s="547" t="s">
        <v>5</v>
      </c>
      <c r="X12" s="547"/>
      <c r="Y12" s="547"/>
      <c r="Z12" s="547"/>
      <c r="AA12" s="547"/>
      <c r="AB12" s="547"/>
      <c r="AC12" s="34">
        <f>K12</f>
        <v>1.3</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281</v>
      </c>
      <c r="E13" s="479"/>
      <c r="F13" s="479"/>
      <c r="G13" s="479"/>
      <c r="H13" s="479"/>
      <c r="I13" s="479"/>
      <c r="J13" s="479"/>
      <c r="K13" s="479"/>
      <c r="L13" s="479"/>
      <c r="M13" s="480"/>
      <c r="N13" s="188"/>
      <c r="O13" s="526" t="s">
        <v>130</v>
      </c>
      <c r="P13" s="526"/>
      <c r="Q13" s="527" t="str">
        <f>D13</f>
        <v>ARENA LIMOSA, COLOR MARRÓN CEMENTACIÓN FUERTE,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547</v>
      </c>
      <c r="R20" s="156">
        <v>546</v>
      </c>
      <c r="S20" s="157">
        <v>533</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7601</v>
      </c>
      <c r="F22" s="150">
        <v>7806</v>
      </c>
      <c r="G22" s="150">
        <v>7912</v>
      </c>
      <c r="H22" s="151">
        <v>7669</v>
      </c>
      <c r="I22" s="174"/>
      <c r="J22" s="578"/>
      <c r="K22" s="578"/>
      <c r="L22" s="578"/>
      <c r="M22" s="104"/>
      <c r="N22" s="103"/>
      <c r="O22" s="579" t="s">
        <v>132</v>
      </c>
      <c r="P22" s="580"/>
      <c r="Q22" s="219">
        <v>8802</v>
      </c>
      <c r="R22" s="219">
        <v>8182</v>
      </c>
      <c r="S22" s="208">
        <v>7895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0.126</v>
      </c>
      <c r="AJ22" s="42">
        <f>AJ50/1.59</f>
        <v>7.9245283018867921E-2</v>
      </c>
      <c r="AK22" s="42">
        <f>AJ22*0.55</f>
        <v>4.3584905660377357E-2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3836</v>
      </c>
      <c r="R23" s="150">
        <v>3655</v>
      </c>
      <c r="S23" s="151">
        <v>3512</v>
      </c>
      <c r="T23" s="174"/>
      <c r="U23" s="112">
        <v>2.5000000000000001E-2</v>
      </c>
      <c r="V23" s="113">
        <f>U23*25.4</f>
        <v>0.63500000000000001</v>
      </c>
      <c r="W23" s="581">
        <v>0.87</v>
      </c>
      <c r="X23" s="582"/>
      <c r="Y23" s="449">
        <f>((W23/19.32)*10)</f>
        <v>0.4503105590062112</v>
      </c>
      <c r="Z23" s="450"/>
      <c r="AA23" s="581">
        <f>AJ23</f>
        <v>0.40628930817610059</v>
      </c>
      <c r="AB23" s="582"/>
      <c r="AC23" s="449">
        <f>((AA23/19.32)*10)</f>
        <v>0.21029467296899615</v>
      </c>
      <c r="AD23" s="450"/>
      <c r="AE23" s="581">
        <v>0.20399999999999999</v>
      </c>
      <c r="AF23" s="582"/>
      <c r="AG23" s="114">
        <f>((AE23/19.32)*10)</f>
        <v>0.10559006211180123</v>
      </c>
      <c r="AH23" s="104"/>
      <c r="AI23" s="42">
        <f t="shared" ref="AI23:AI33" si="2">AJ51</f>
        <v>0.64600000000000002</v>
      </c>
      <c r="AJ23" s="42">
        <f t="shared" ref="AJ23:AJ33" si="3">AJ51/1.59</f>
        <v>0.40628930817610059</v>
      </c>
      <c r="AK23" s="42">
        <f t="shared" ref="AK23:AK33" si="4">AJ23*0.55</f>
        <v>0.22345911949685535</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11.45</v>
      </c>
      <c r="S24" s="153">
        <v>11.66</v>
      </c>
      <c r="T24" s="174"/>
      <c r="U24" s="112">
        <v>0.05</v>
      </c>
      <c r="V24" s="113">
        <f>U24*25.4</f>
        <v>1.27</v>
      </c>
      <c r="W24" s="581">
        <v>2.5670000000000002</v>
      </c>
      <c r="X24" s="582"/>
      <c r="Y24" s="449">
        <f>((W24/19.32)*10)</f>
        <v>1.3286749482401659</v>
      </c>
      <c r="Z24" s="450"/>
      <c r="AA24" s="581">
        <f>AJ24</f>
        <v>1.4440251572327043</v>
      </c>
      <c r="AB24" s="582"/>
      <c r="AC24" s="449">
        <f>((AA24/19.32)*10)</f>
        <v>0.74742502962355295</v>
      </c>
      <c r="AD24" s="450"/>
      <c r="AE24" s="581">
        <v>0.71499999999999997</v>
      </c>
      <c r="AF24" s="582"/>
      <c r="AG24" s="114">
        <f>((AE24/19.32)*10)</f>
        <v>0.37008281573498958</v>
      </c>
      <c r="AH24" s="104"/>
      <c r="AI24" s="42">
        <f t="shared" si="2"/>
        <v>2.2959999999999998</v>
      </c>
      <c r="AJ24" s="42">
        <f t="shared" si="3"/>
        <v>1.4440251572327043</v>
      </c>
      <c r="AK24" s="42">
        <f t="shared" si="4"/>
        <v>0.79421383647798738</v>
      </c>
      <c r="AO24" s="42">
        <v>0.68400000000000005</v>
      </c>
      <c r="AS24" s="42">
        <f t="shared" si="5"/>
        <v>0.55609756097560981</v>
      </c>
    </row>
    <row r="25" spans="1:45" ht="24.95" customHeight="1" thickBot="1" x14ac:dyDescent="0.3">
      <c r="A25" s="103"/>
      <c r="B25" s="602" t="s">
        <v>69</v>
      </c>
      <c r="C25" s="603"/>
      <c r="D25" s="603"/>
      <c r="E25" s="115">
        <f>E22-E23</f>
        <v>4717</v>
      </c>
      <c r="F25" s="115">
        <f>F22-F23</f>
        <v>4922</v>
      </c>
      <c r="G25" s="115">
        <f>G22-G23</f>
        <v>5028</v>
      </c>
      <c r="H25" s="116">
        <f>H22-H23</f>
        <v>4785</v>
      </c>
      <c r="I25" s="174"/>
      <c r="J25" s="174" t="s">
        <v>127</v>
      </c>
      <c r="K25" s="174"/>
      <c r="L25" s="218" t="s">
        <v>128</v>
      </c>
      <c r="M25" s="155">
        <v>38.79</v>
      </c>
      <c r="N25" s="103"/>
      <c r="O25" s="604" t="s">
        <v>46</v>
      </c>
      <c r="P25" s="605"/>
      <c r="Q25" s="608">
        <v>15.2</v>
      </c>
      <c r="R25" s="608">
        <v>15.32</v>
      </c>
      <c r="S25" s="620">
        <v>15.44</v>
      </c>
      <c r="T25" s="174"/>
      <c r="U25" s="112">
        <v>7.4999999999999997E-2</v>
      </c>
      <c r="V25" s="113">
        <f>U25*25.4</f>
        <v>1.9049999999999998</v>
      </c>
      <c r="W25" s="581">
        <f>AI25</f>
        <v>3.9569999999999999</v>
      </c>
      <c r="X25" s="582"/>
      <c r="Y25" s="449">
        <f>((W25/19.32)*10)</f>
        <v>2.048136645962733</v>
      </c>
      <c r="Z25" s="450"/>
      <c r="AA25" s="581">
        <f>AJ25</f>
        <v>2.4886792452830186</v>
      </c>
      <c r="AB25" s="582"/>
      <c r="AC25" s="449">
        <f>((AA25/19.32)*10)</f>
        <v>1.2881362553224736</v>
      </c>
      <c r="AD25" s="450"/>
      <c r="AE25" s="581">
        <v>1.298</v>
      </c>
      <c r="AF25" s="582"/>
      <c r="AG25" s="114">
        <f>((AE25/19.32)*10)</f>
        <v>0.67184265010351962</v>
      </c>
      <c r="AH25" s="104"/>
      <c r="AI25" s="42">
        <f t="shared" si="2"/>
        <v>3.9569999999999999</v>
      </c>
      <c r="AJ25" s="42">
        <f t="shared" si="3"/>
        <v>2.4886792452830186</v>
      </c>
      <c r="AK25" s="42">
        <f t="shared" si="4"/>
        <v>1.3687735849056604</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38.79</v>
      </c>
      <c r="N26" s="103"/>
      <c r="O26" s="606"/>
      <c r="P26" s="607"/>
      <c r="Q26" s="609"/>
      <c r="R26" s="609"/>
      <c r="S26" s="621"/>
      <c r="T26" s="174"/>
      <c r="U26" s="600">
        <v>0.1</v>
      </c>
      <c r="V26" s="601">
        <f>U26*25.4</f>
        <v>2.54</v>
      </c>
      <c r="W26" s="778">
        <f>AI26</f>
        <v>4.8979999999999997</v>
      </c>
      <c r="X26" s="779"/>
      <c r="Y26" s="461">
        <f>((W26/19.32)*10)</f>
        <v>2.5351966873706</v>
      </c>
      <c r="Z26" s="462"/>
      <c r="AA26" s="746">
        <f>AJ26</f>
        <v>3.0805031446540876</v>
      </c>
      <c r="AB26" s="747"/>
      <c r="AC26" s="461">
        <f>((AA26/19.32)*10)</f>
        <v>1.5944633253903144</v>
      </c>
      <c r="AD26" s="462"/>
      <c r="AE26" s="746">
        <f>AK26</f>
        <v>1.6942767295597483</v>
      </c>
      <c r="AF26" s="747"/>
      <c r="AG26" s="469">
        <f>((AE26/19.32)*10)</f>
        <v>0.87695482896467292</v>
      </c>
      <c r="AH26" s="104"/>
      <c r="AI26" s="42">
        <f t="shared" si="2"/>
        <v>4.8979999999999997</v>
      </c>
      <c r="AJ26" s="42">
        <f t="shared" si="3"/>
        <v>3.0805031446540876</v>
      </c>
      <c r="AK26" s="42">
        <f t="shared" si="4"/>
        <v>1.6942767295597483</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2110.6338482119436</v>
      </c>
      <c r="S27" s="153">
        <f>(PI()*((S25^2)/4)*S24)</f>
        <v>2183.1472227625313</v>
      </c>
      <c r="T27" s="174"/>
      <c r="U27" s="600"/>
      <c r="V27" s="601"/>
      <c r="W27" s="780"/>
      <c r="X27" s="781"/>
      <c r="Y27" s="463"/>
      <c r="Z27" s="464"/>
      <c r="AA27" s="748"/>
      <c r="AB27" s="749"/>
      <c r="AC27" s="463"/>
      <c r="AD27" s="464"/>
      <c r="AE27" s="748"/>
      <c r="AF27" s="749"/>
      <c r="AG27" s="470"/>
      <c r="AH27" s="193"/>
      <c r="AI27" s="42">
        <f t="shared" si="2"/>
        <v>5.649</v>
      </c>
      <c r="AJ27" s="42">
        <f t="shared" si="3"/>
        <v>3.5528301886792453</v>
      </c>
      <c r="AK27" s="42">
        <f t="shared" si="4"/>
        <v>1.9540566037735851</v>
      </c>
      <c r="AO27" s="42">
        <v>2.387</v>
      </c>
      <c r="AS27" s="42">
        <f t="shared" si="5"/>
        <v>1.9406504065040651</v>
      </c>
    </row>
    <row r="28" spans="1:45" ht="24.95" customHeight="1" thickBot="1" x14ac:dyDescent="0.3">
      <c r="A28" s="103"/>
      <c r="B28" s="560" t="s">
        <v>9</v>
      </c>
      <c r="C28" s="561"/>
      <c r="D28" s="561"/>
      <c r="E28" s="148">
        <v>45</v>
      </c>
      <c r="F28" s="148">
        <v>451</v>
      </c>
      <c r="G28" s="148">
        <v>632</v>
      </c>
      <c r="H28" s="149">
        <v>789</v>
      </c>
      <c r="I28" s="174"/>
      <c r="J28" s="597" t="s">
        <v>107</v>
      </c>
      <c r="K28" s="597"/>
      <c r="L28" s="562" t="s">
        <v>119</v>
      </c>
      <c r="M28" s="459">
        <f>IF(M26="","",(100-M26))</f>
        <v>61.21</v>
      </c>
      <c r="N28" s="103"/>
      <c r="O28" s="625" t="s">
        <v>136</v>
      </c>
      <c r="P28" s="626"/>
      <c r="Q28" s="220">
        <f>Q22-Q23</f>
        <v>4966</v>
      </c>
      <c r="R28" s="220">
        <f>R22-R23</f>
        <v>4527</v>
      </c>
      <c r="S28" s="220">
        <f>S22-S23</f>
        <v>4383</v>
      </c>
      <c r="T28" s="174"/>
      <c r="U28" s="627">
        <v>0.125</v>
      </c>
      <c r="V28" s="624">
        <f>U28*25.4</f>
        <v>3.1749999999999998</v>
      </c>
      <c r="W28" s="593">
        <f>AI27</f>
        <v>5.649</v>
      </c>
      <c r="X28" s="594"/>
      <c r="Y28" s="439">
        <f>((W28/19.32)*10)</f>
        <v>2.9239130434782608</v>
      </c>
      <c r="Z28" s="440"/>
      <c r="AA28" s="593">
        <f>AJ27</f>
        <v>3.5528301886792453</v>
      </c>
      <c r="AB28" s="594"/>
      <c r="AC28" s="439">
        <f>((AA28/19.32)*10)</f>
        <v>1.8389390210555099</v>
      </c>
      <c r="AD28" s="440"/>
      <c r="AE28" s="593">
        <f>AK27</f>
        <v>1.9540566037735851</v>
      </c>
      <c r="AF28" s="594"/>
      <c r="AG28" s="443">
        <f>((AE28/19.32)*10)</f>
        <v>1.0114164615805306</v>
      </c>
      <c r="AH28" s="104"/>
      <c r="AI28" s="42">
        <f t="shared" si="2"/>
        <v>6.3659999999999997</v>
      </c>
      <c r="AJ28" s="42">
        <f t="shared" si="3"/>
        <v>4.0037735849056597</v>
      </c>
      <c r="AK28" s="42">
        <f t="shared" si="4"/>
        <v>2.2020754716981132</v>
      </c>
      <c r="AO28" s="42">
        <v>2.8959999999999999</v>
      </c>
      <c r="AS28" s="42">
        <f t="shared" si="5"/>
        <v>2.3544715447154472</v>
      </c>
    </row>
    <row r="29" spans="1:45" ht="5.0999999999999996" customHeight="1" thickBot="1" x14ac:dyDescent="0.3">
      <c r="A29" s="103"/>
      <c r="B29" s="612" t="s">
        <v>73</v>
      </c>
      <c r="C29" s="613"/>
      <c r="D29" s="614"/>
      <c r="E29" s="618">
        <v>652.5</v>
      </c>
      <c r="F29" s="618">
        <v>567.44000000000005</v>
      </c>
      <c r="G29" s="618">
        <v>598.1</v>
      </c>
      <c r="H29" s="620">
        <v>485.23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7.0650000000000004</v>
      </c>
      <c r="AJ29" s="42">
        <f t="shared" si="3"/>
        <v>4.4433962264150946</v>
      </c>
      <c r="AK29" s="42">
        <f t="shared" si="4"/>
        <v>2.4438679245283024</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20.875872866504857</v>
      </c>
      <c r="N30" s="103"/>
      <c r="O30" s="622" t="s">
        <v>134</v>
      </c>
      <c r="P30" s="623"/>
      <c r="Q30" s="229">
        <f>Q28/Q27</f>
        <v>2.3592375328181787</v>
      </c>
      <c r="R30" s="229">
        <f>R28/R27</f>
        <v>2.1448533121152771</v>
      </c>
      <c r="S30" s="131">
        <f>S28/S27</f>
        <v>2.0076520512683511</v>
      </c>
      <c r="T30" s="174"/>
      <c r="U30" s="120">
        <v>0.15</v>
      </c>
      <c r="V30" s="113">
        <f>U30*25.4</f>
        <v>3.8099999999999996</v>
      </c>
      <c r="W30" s="581">
        <f>AI28</f>
        <v>6.3659999999999997</v>
      </c>
      <c r="X30" s="582"/>
      <c r="Y30" s="449">
        <f>((W30/19.32)*10)</f>
        <v>3.2950310559006208</v>
      </c>
      <c r="Z30" s="450"/>
      <c r="AA30" s="581">
        <f>AJ28</f>
        <v>4.0037735849056597</v>
      </c>
      <c r="AB30" s="582"/>
      <c r="AC30" s="449">
        <f>((AA30/19.32)*10)</f>
        <v>2.0723465760381261</v>
      </c>
      <c r="AD30" s="450"/>
      <c r="AE30" s="581">
        <f>AK28</f>
        <v>2.2020754716981132</v>
      </c>
      <c r="AF30" s="582"/>
      <c r="AG30" s="114">
        <f>((AE30/19.32)*10)</f>
        <v>1.1397906168209695</v>
      </c>
      <c r="AH30" s="104"/>
      <c r="AI30" s="42">
        <f t="shared" si="2"/>
        <v>7.7169999999999996</v>
      </c>
      <c r="AJ30" s="42">
        <f t="shared" si="3"/>
        <v>4.853459119496855</v>
      </c>
      <c r="AK30" s="42">
        <f t="shared" si="4"/>
        <v>2.6694025157232706</v>
      </c>
      <c r="AO30" s="42">
        <v>3.8439999999999999</v>
      </c>
      <c r="AS30" s="42">
        <f t="shared" si="5"/>
        <v>3.1252032520325201</v>
      </c>
    </row>
    <row r="31" spans="1:45" ht="24.95" customHeight="1" thickBot="1" x14ac:dyDescent="0.3">
      <c r="A31" s="103"/>
      <c r="B31" s="576" t="s">
        <v>74</v>
      </c>
      <c r="C31" s="577"/>
      <c r="D31" s="577"/>
      <c r="E31" s="152">
        <v>619.35</v>
      </c>
      <c r="F31" s="152">
        <v>530.07000000000005</v>
      </c>
      <c r="G31" s="152">
        <v>550.72</v>
      </c>
      <c r="H31" s="153">
        <v>442.15</v>
      </c>
      <c r="I31" s="174"/>
      <c r="J31" s="597" t="s">
        <v>138</v>
      </c>
      <c r="K31" s="597"/>
      <c r="L31" s="562" t="s">
        <v>116</v>
      </c>
      <c r="M31" s="457">
        <f>IF(M25="","",S82)</f>
        <v>2.7120000000000002</v>
      </c>
      <c r="N31" s="121"/>
      <c r="O31" s="628" t="s">
        <v>135</v>
      </c>
      <c r="P31" s="629"/>
      <c r="Q31" s="122">
        <f>Q30/(1+Q40/100)</f>
        <v>2.152427031387715</v>
      </c>
      <c r="R31" s="122">
        <f>R30/(1+R40/100)</f>
        <v>1.9560633617683294</v>
      </c>
      <c r="S31" s="123">
        <f>S30/(1+S40/100)</f>
        <v>1.833389916000624</v>
      </c>
      <c r="T31" s="174"/>
      <c r="U31" s="627">
        <v>0.17499999999999999</v>
      </c>
      <c r="V31" s="624">
        <f>U31*25.4</f>
        <v>4.4449999999999994</v>
      </c>
      <c r="W31" s="593">
        <f>AI29</f>
        <v>7.0650000000000004</v>
      </c>
      <c r="X31" s="594"/>
      <c r="Y31" s="439">
        <f>((W31/19.32)*10)</f>
        <v>3.6568322981366466</v>
      </c>
      <c r="Z31" s="440"/>
      <c r="AA31" s="593">
        <f>AJ29</f>
        <v>4.4433962264150946</v>
      </c>
      <c r="AB31" s="594"/>
      <c r="AC31" s="439">
        <f>((AA31/19.32)*10)</f>
        <v>2.299894527129966</v>
      </c>
      <c r="AD31" s="440"/>
      <c r="AE31" s="593">
        <f>AK29</f>
        <v>2.4438679245283024</v>
      </c>
      <c r="AF31" s="594"/>
      <c r="AG31" s="443">
        <f>((AE31/19.32)*10)</f>
        <v>1.2649419899214815</v>
      </c>
      <c r="AH31" s="104"/>
      <c r="AI31" s="42">
        <f t="shared" si="2"/>
        <v>10.023</v>
      </c>
      <c r="AJ31" s="42">
        <f t="shared" si="3"/>
        <v>6.3037735849056595</v>
      </c>
      <c r="AK31" s="42">
        <f t="shared" si="4"/>
        <v>3.4670754716981129</v>
      </c>
      <c r="AO31" s="42">
        <v>5.516</v>
      </c>
      <c r="AS31" s="42">
        <f t="shared" si="5"/>
        <v>4.4845528455284551</v>
      </c>
    </row>
    <row r="32" spans="1:45" ht="5.0999999999999996" customHeight="1" thickBot="1" x14ac:dyDescent="0.3">
      <c r="A32" s="103"/>
      <c r="B32" s="612" t="s">
        <v>75</v>
      </c>
      <c r="C32" s="613"/>
      <c r="D32" s="614"/>
      <c r="E32" s="618">
        <v>100.6</v>
      </c>
      <c r="F32" s="618">
        <v>100.65</v>
      </c>
      <c r="G32" s="618">
        <v>101.45</v>
      </c>
      <c r="H32" s="620">
        <v>101.77</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12.007</v>
      </c>
      <c r="AJ32" s="42">
        <f t="shared" si="3"/>
        <v>7.5515723270440249</v>
      </c>
      <c r="AK32" s="42">
        <f t="shared" si="4"/>
        <v>4.1533647798742139</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7.7169999999999996</v>
      </c>
      <c r="X33" s="582"/>
      <c r="Y33" s="449">
        <f>((W33/19.32)*10)</f>
        <v>3.9943064182194616</v>
      </c>
      <c r="Z33" s="450"/>
      <c r="AA33" s="581">
        <f>AJ30</f>
        <v>4.853459119496855</v>
      </c>
      <c r="AB33" s="582"/>
      <c r="AC33" s="449">
        <f>((AA33/19.32)*10)</f>
        <v>2.5121424013958875</v>
      </c>
      <c r="AD33" s="450"/>
      <c r="AE33" s="581">
        <f>AK30</f>
        <v>2.6694025157232706</v>
      </c>
      <c r="AF33" s="582"/>
      <c r="AG33" s="144">
        <f>((AE33/19.32)*10)</f>
        <v>1.3816783207677383</v>
      </c>
      <c r="AH33" s="104"/>
      <c r="AI33" s="42">
        <f t="shared" si="2"/>
        <v>13.811</v>
      </c>
      <c r="AJ33" s="42">
        <f t="shared" si="3"/>
        <v>8.6861635220125777</v>
      </c>
      <c r="AK33" s="42">
        <f t="shared" si="4"/>
        <v>4.7773899371069177</v>
      </c>
      <c r="AO33" s="42">
        <v>7.7720000000000002</v>
      </c>
      <c r="AS33" s="42">
        <f t="shared" si="5"/>
        <v>6.3186991869918705</v>
      </c>
    </row>
    <row r="34" spans="1:45" ht="24.95" customHeight="1" thickBot="1" x14ac:dyDescent="0.3">
      <c r="A34" s="103"/>
      <c r="B34" s="602" t="s">
        <v>10</v>
      </c>
      <c r="C34" s="603"/>
      <c r="D34" s="603"/>
      <c r="E34" s="125">
        <f>((E29-E31)/(E31-E32))*100</f>
        <v>6.3903614457831281</v>
      </c>
      <c r="F34" s="125">
        <f>((F29-F31)/(F31-F32))*100</f>
        <v>8.7024358436961471</v>
      </c>
      <c r="G34" s="125">
        <f>((G29-G31)/(G31-G32))*100</f>
        <v>10.545996839317112</v>
      </c>
      <c r="H34" s="126">
        <f>((H29-H31)/(H31-H32))*100</f>
        <v>12.656442799224408</v>
      </c>
      <c r="I34" s="174"/>
      <c r="J34" s="630" t="s">
        <v>125</v>
      </c>
      <c r="K34" s="630"/>
      <c r="L34" s="184" t="s">
        <v>126</v>
      </c>
      <c r="M34" s="245">
        <v>2.74</v>
      </c>
      <c r="N34" s="128"/>
      <c r="O34" s="631" t="s">
        <v>9</v>
      </c>
      <c r="P34" s="632"/>
      <c r="Q34" s="156">
        <v>310</v>
      </c>
      <c r="R34" s="156">
        <v>471</v>
      </c>
      <c r="S34" s="157">
        <v>213</v>
      </c>
      <c r="T34" s="174"/>
      <c r="U34" s="120">
        <v>0.3</v>
      </c>
      <c r="V34" s="113">
        <f>U34*25.4</f>
        <v>7.6199999999999992</v>
      </c>
      <c r="W34" s="581">
        <f>AI31</f>
        <v>10.023</v>
      </c>
      <c r="X34" s="582"/>
      <c r="Y34" s="449">
        <f>((W34/19.32)*10)</f>
        <v>5.1878881987577641</v>
      </c>
      <c r="Z34" s="450"/>
      <c r="AA34" s="449">
        <v>6.3040000000000003</v>
      </c>
      <c r="AB34" s="450"/>
      <c r="AC34" s="449">
        <f>((AA34/19.32)*10)</f>
        <v>3.2629399585921326</v>
      </c>
      <c r="AD34" s="450"/>
      <c r="AE34" s="581">
        <f>AK31</f>
        <v>3.4670754716981129</v>
      </c>
      <c r="AF34" s="582"/>
      <c r="AG34" s="114">
        <f>((AE34/19.32)*10)</f>
        <v>1.7945525215828741</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831.44</v>
      </c>
      <c r="R35" s="608">
        <v>851.23</v>
      </c>
      <c r="S35" s="610">
        <v>754.6</v>
      </c>
      <c r="T35" s="174"/>
      <c r="U35" s="627">
        <v>0.4</v>
      </c>
      <c r="V35" s="624">
        <f>U35*25.4</f>
        <v>10.16</v>
      </c>
      <c r="W35" s="593">
        <f>AI32</f>
        <v>12.007</v>
      </c>
      <c r="X35" s="594"/>
      <c r="Y35" s="439">
        <f>((W35/19.32)*10)</f>
        <v>6.2148033126293987</v>
      </c>
      <c r="Z35" s="440"/>
      <c r="AA35" s="593">
        <f>AJ32</f>
        <v>7.5515723270440249</v>
      </c>
      <c r="AB35" s="594"/>
      <c r="AC35" s="439">
        <f>(AA35/19.32)*10</f>
        <v>3.9086813286977358</v>
      </c>
      <c r="AD35" s="440"/>
      <c r="AE35" s="593">
        <v>3.8780000000000001</v>
      </c>
      <c r="AF35" s="594"/>
      <c r="AG35" s="443">
        <f>((AE35/19.32)*10)</f>
        <v>2.0072463768115942</v>
      </c>
      <c r="AH35" s="104"/>
      <c r="AS35" s="42">
        <f t="shared" si="5"/>
        <v>0</v>
      </c>
    </row>
    <row r="36" spans="1:45" ht="20.100000000000001" customHeight="1" thickBot="1" x14ac:dyDescent="0.3">
      <c r="A36" s="103"/>
      <c r="B36" s="639" t="s">
        <v>71</v>
      </c>
      <c r="C36" s="640"/>
      <c r="D36" s="640"/>
      <c r="E36" s="130">
        <f>E25/E24</f>
        <v>2.1959962756052143</v>
      </c>
      <c r="F36" s="130">
        <f>F25/F24</f>
        <v>2.2914338919925514</v>
      </c>
      <c r="G36" s="130">
        <f>G25/G24</f>
        <v>2.3407821229050279</v>
      </c>
      <c r="H36" s="131">
        <f>H25/H24</f>
        <v>2.227653631284916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2.0640932559706555</v>
      </c>
      <c r="F37" s="230">
        <f>F36/(1+F34/100)</f>
        <v>2.1079876216273732</v>
      </c>
      <c r="G37" s="230">
        <f>G36/(1+G34/100)</f>
        <v>2.1174734407682307</v>
      </c>
      <c r="H37" s="123">
        <f>H36/(1+H34/100)</f>
        <v>1.9773868017961709</v>
      </c>
      <c r="I37" s="174"/>
      <c r="J37" s="641" t="s">
        <v>139</v>
      </c>
      <c r="K37" s="641"/>
      <c r="L37" s="643" t="s">
        <v>121</v>
      </c>
      <c r="M37" s="433">
        <f>IF(F74="","",(M42^2*F74+M42*F75+F76))</f>
        <v>2.128019660194175</v>
      </c>
      <c r="N37" s="101"/>
      <c r="O37" s="576" t="s">
        <v>28</v>
      </c>
      <c r="P37" s="577"/>
      <c r="Q37" s="150">
        <v>767.5</v>
      </c>
      <c r="R37" s="152">
        <v>784.98</v>
      </c>
      <c r="S37" s="153">
        <v>697.83</v>
      </c>
      <c r="T37" s="174"/>
      <c r="U37" s="132">
        <v>0.5</v>
      </c>
      <c r="V37" s="133">
        <f>U37*25.4</f>
        <v>12.7</v>
      </c>
      <c r="W37" s="637">
        <f>AI33</f>
        <v>13.811</v>
      </c>
      <c r="X37" s="638"/>
      <c r="Y37" s="431">
        <f>((W37/19.32)*10)</f>
        <v>7.1485507246376816</v>
      </c>
      <c r="Z37" s="432"/>
      <c r="AA37" s="637">
        <f>AJ33</f>
        <v>8.6861635220125777</v>
      </c>
      <c r="AB37" s="638"/>
      <c r="AC37" s="431">
        <f>((AA37/19.32)*10)</f>
        <v>4.4959438519733839</v>
      </c>
      <c r="AD37" s="432"/>
      <c r="AE37" s="637">
        <v>4.2089999999999996</v>
      </c>
      <c r="AF37" s="638"/>
      <c r="AG37" s="134">
        <f>((AE37/19.32)*10)</f>
        <v>2.1785714285714284</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102.03</v>
      </c>
      <c r="R38" s="618">
        <v>98.56</v>
      </c>
      <c r="S38" s="648">
        <v>100.56</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2.3367122701080687</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20.875872866504857</v>
      </c>
      <c r="N40" s="103"/>
      <c r="O40" s="628" t="s">
        <v>10</v>
      </c>
      <c r="P40" s="629"/>
      <c r="Q40" s="125">
        <f>((Q35-Q37)/(Q37-Q38))*100</f>
        <v>9.6082468030114132</v>
      </c>
      <c r="R40" s="125">
        <f>((R35-R37)/(R37-R38))*100</f>
        <v>9.6515253052067234</v>
      </c>
      <c r="S40" s="126">
        <f>((S35-S37)/(S37-S38))*100</f>
        <v>9.5049140254826092</v>
      </c>
      <c r="T40" s="174"/>
      <c r="U40" s="645" t="s">
        <v>151</v>
      </c>
      <c r="V40" s="646"/>
      <c r="W40" s="423">
        <f>(AM79/6.9)*100</f>
        <v>36.741980976385506</v>
      </c>
      <c r="X40" s="423"/>
      <c r="Y40" s="423"/>
      <c r="Z40" s="424"/>
      <c r="AA40" s="425">
        <f>(AO79/6.9)*100</f>
        <v>23.108164136091514</v>
      </c>
      <c r="AB40" s="426"/>
      <c r="AC40" s="427"/>
      <c r="AD40" s="425">
        <f>(AQ79/6.9)*100</f>
        <v>12.709490274850332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22.923147369760155</v>
      </c>
      <c r="N41" s="138"/>
      <c r="O41" s="565" t="s">
        <v>36</v>
      </c>
      <c r="P41" s="566"/>
      <c r="Q41" s="566"/>
      <c r="R41" s="566"/>
      <c r="S41" s="567"/>
      <c r="T41" s="174"/>
      <c r="U41" s="653" t="s">
        <v>152</v>
      </c>
      <c r="V41" s="654"/>
      <c r="W41" s="418">
        <f>(AM83/10.3)*100</f>
        <v>38.779673963295743</v>
      </c>
      <c r="X41" s="418"/>
      <c r="Y41" s="418"/>
      <c r="Z41" s="419"/>
      <c r="AA41" s="420">
        <f>(AO83/10.3)*100</f>
        <v>24.389732052387256</v>
      </c>
      <c r="AB41" s="421"/>
      <c r="AC41" s="418"/>
      <c r="AD41" s="420">
        <f>(AQ83/10.3)*100</f>
        <v>13.414352628812992</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8.9563106796116507</v>
      </c>
      <c r="N42" s="103"/>
      <c r="O42" s="639" t="s">
        <v>9</v>
      </c>
      <c r="P42" s="640"/>
      <c r="Q42" s="148">
        <v>367</v>
      </c>
      <c r="R42" s="148">
        <v>120</v>
      </c>
      <c r="S42" s="149">
        <v>32</v>
      </c>
      <c r="T42" s="174"/>
      <c r="U42" s="651" t="s">
        <v>42</v>
      </c>
      <c r="V42" s="652"/>
      <c r="W42" s="413">
        <f>IF(W40&lt;W41,W40,W41)</f>
        <v>36.741980976385506</v>
      </c>
      <c r="X42" s="414"/>
      <c r="Y42" s="414"/>
      <c r="Z42" s="415"/>
      <c r="AA42" s="416">
        <f>IF(AA40&lt;AA41,AA40,AA41)</f>
        <v>23.108164136091514</v>
      </c>
      <c r="AB42" s="414"/>
      <c r="AC42" s="415"/>
      <c r="AD42" s="416">
        <f>IF(AD40&lt;AD41,AD40,AD41)</f>
        <v>12.709490274850332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7.0672330097087377</v>
      </c>
      <c r="N43" s="103"/>
      <c r="O43" s="612" t="s">
        <v>49</v>
      </c>
      <c r="P43" s="614"/>
      <c r="Q43" s="618">
        <v>1067.27</v>
      </c>
      <c r="R43" s="608">
        <v>987.49</v>
      </c>
      <c r="S43" s="610">
        <v>1003.54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967.3</v>
      </c>
      <c r="R45" s="150">
        <v>882.07</v>
      </c>
      <c r="S45" s="153">
        <v>879.36</v>
      </c>
      <c r="T45" s="174"/>
      <c r="U45" s="656" t="s">
        <v>139</v>
      </c>
      <c r="V45" s="656"/>
      <c r="W45" s="179" t="s">
        <v>121</v>
      </c>
      <c r="X45" s="406">
        <f>MAX(M37:M39)</f>
        <v>2.3367122701080687</v>
      </c>
      <c r="Y45" s="406"/>
      <c r="Z45" s="406"/>
      <c r="AA45" s="174"/>
      <c r="AB45" s="657" t="s">
        <v>31</v>
      </c>
      <c r="AC45" s="658"/>
      <c r="AD45" s="658"/>
      <c r="AE45" s="658"/>
      <c r="AF45" s="231">
        <v>1.8499999999999999E-2</v>
      </c>
      <c r="AG45" s="231">
        <v>0.1055</v>
      </c>
      <c r="AH45" s="233">
        <v>0.218</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99.42</v>
      </c>
      <c r="R46" s="152">
        <v>100.1</v>
      </c>
      <c r="S46" s="153">
        <v>100.3</v>
      </c>
      <c r="T46" s="174"/>
      <c r="U46" s="555" t="s">
        <v>123</v>
      </c>
      <c r="V46" s="555"/>
      <c r="W46" s="179" t="s">
        <v>41</v>
      </c>
      <c r="X46" s="401">
        <f>MIN(M42:M44)</f>
        <v>7.0672330097087377</v>
      </c>
      <c r="Y46" s="401"/>
      <c r="Z46" s="401"/>
      <c r="AA46" s="174"/>
      <c r="AB46" s="660" t="s">
        <v>32</v>
      </c>
      <c r="AC46" s="661"/>
      <c r="AD46" s="661"/>
      <c r="AE46" s="661"/>
      <c r="AF46" s="234">
        <v>2.8500000000000001E-2</v>
      </c>
      <c r="AG46" s="234">
        <v>0.14849999999999999</v>
      </c>
      <c r="AH46" s="235">
        <v>0.26950000000000002</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11.518873576992213</v>
      </c>
      <c r="R47" s="125">
        <f>((R43-R45)/(R45-R46))*100</f>
        <v>13.481335601110011</v>
      </c>
      <c r="S47" s="126">
        <f>((S43-S45)/(S45-S46))*100</f>
        <v>15.939722229353315</v>
      </c>
      <c r="T47" s="174"/>
      <c r="U47" s="555" t="s">
        <v>162</v>
      </c>
      <c r="V47" s="555"/>
      <c r="W47" s="179" t="s">
        <v>41</v>
      </c>
      <c r="X47" s="402">
        <f>IF(L25=D103,"-",IF(L25=D102,"-",IF(L25=D101,M25)))</f>
        <v>38.79</v>
      </c>
      <c r="Y47" s="402"/>
      <c r="Z47" s="402"/>
      <c r="AA47" s="174"/>
      <c r="AB47" s="662" t="s">
        <v>33</v>
      </c>
      <c r="AC47" s="663"/>
      <c r="AD47" s="663"/>
      <c r="AE47" s="663"/>
      <c r="AF47" s="232">
        <f>(AF46-AF45)*2.54</f>
        <v>2.5400000000000006E-2</v>
      </c>
      <c r="AG47" s="232">
        <f>(AG46-AG45)*2.54</f>
        <v>0.10922</v>
      </c>
      <c r="AH47" s="239">
        <f>(AH46-AH45)*2.54</f>
        <v>0.13081000000000004</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0.21896551724137936</v>
      </c>
      <c r="AG48" s="142">
        <f>IF(AG47&lt;&gt;"",IF(R24&lt;&gt;"",AG47/R24*100,""),"")</f>
        <v>0.95388646288209622</v>
      </c>
      <c r="AH48" s="173">
        <f>IF(AH47&lt;&gt;"",IF(S24&lt;&gt;"",AH47/S24*100,""),"")</f>
        <v>1.1218696397941683</v>
      </c>
    </row>
    <row r="49" spans="1:38"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8"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0.126</v>
      </c>
      <c r="AK50" s="42">
        <v>2.0408805031446542E-2</v>
      </c>
      <c r="AL50" s="42">
        <f>AK50*13.81/0.126</f>
        <v>2.2368698213037836</v>
      </c>
    </row>
    <row r="51" spans="1:38"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4554</v>
      </c>
      <c r="AG51" s="647">
        <v>4</v>
      </c>
      <c r="AH51" s="648"/>
      <c r="AJ51" s="42">
        <v>0.64600000000000002</v>
      </c>
      <c r="AK51" s="42">
        <v>7.1603773584905661E-2</v>
      </c>
      <c r="AL51" s="42">
        <f t="shared" ref="AL51:AL61" si="6">AK51*13.81/0.126</f>
        <v>7.8480008984725966</v>
      </c>
    </row>
    <row r="52" spans="1:38"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4555</v>
      </c>
      <c r="AG52" s="647">
        <v>4</v>
      </c>
      <c r="AH52" s="648"/>
      <c r="AJ52" s="42">
        <v>2.2959999999999998</v>
      </c>
      <c r="AK52" s="42">
        <v>0.14528301886792455</v>
      </c>
      <c r="AL52" s="42">
        <f t="shared" si="6"/>
        <v>15.923480083857445</v>
      </c>
    </row>
    <row r="53" spans="1:38"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4555</v>
      </c>
      <c r="AG53" s="763">
        <v>4</v>
      </c>
      <c r="AH53" s="764"/>
      <c r="AJ53" s="42">
        <v>3.9569999999999999</v>
      </c>
      <c r="AK53" s="42">
        <v>0.21930817610062894</v>
      </c>
      <c r="AL53" s="42">
        <f t="shared" si="6"/>
        <v>24.036872317061</v>
      </c>
    </row>
    <row r="54" spans="1:38"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4.8979999999999997</v>
      </c>
      <c r="AK54" s="42">
        <v>0.28330188679245283</v>
      </c>
      <c r="AL54" s="42">
        <f t="shared" si="6"/>
        <v>31.050786163522016</v>
      </c>
    </row>
    <row r="55" spans="1:38"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5.649</v>
      </c>
      <c r="AK55" s="42">
        <v>0.3438364779874214</v>
      </c>
      <c r="AL55" s="42">
        <f t="shared" si="6"/>
        <v>37.685569531795949</v>
      </c>
    </row>
    <row r="56" spans="1:38"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6.3659999999999997</v>
      </c>
      <c r="AK56" s="42">
        <v>0.40056603773584903</v>
      </c>
      <c r="AL56" s="42">
        <f t="shared" si="6"/>
        <v>43.903309374064087</v>
      </c>
    </row>
    <row r="57" spans="1:38"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7.0650000000000004</v>
      </c>
      <c r="AK57" s="42">
        <v>0.44276729559748429</v>
      </c>
      <c r="AL57" s="42">
        <f t="shared" si="6"/>
        <v>48.52870120794649</v>
      </c>
    </row>
    <row r="58" spans="1:38"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7.7169999999999996</v>
      </c>
      <c r="AK58" s="42">
        <v>0.47770440251572327</v>
      </c>
      <c r="AL58" s="42">
        <f t="shared" si="6"/>
        <v>52.357919037636023</v>
      </c>
    </row>
    <row r="59" spans="1:38"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10.023</v>
      </c>
      <c r="AK59" s="42">
        <v>0.62713836477987417</v>
      </c>
      <c r="AL59" s="42">
        <f t="shared" si="6"/>
        <v>68.736355695317954</v>
      </c>
    </row>
    <row r="60" spans="1:38"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12.007</v>
      </c>
      <c r="AK60" s="42">
        <v>0.80182389937106924</v>
      </c>
      <c r="AL60" s="42">
        <f t="shared" si="6"/>
        <v>87.882444843765612</v>
      </c>
    </row>
    <row r="61" spans="1:38"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13.811</v>
      </c>
      <c r="AK61" s="42">
        <v>1.0581446540880504</v>
      </c>
      <c r="AL61" s="42">
        <f t="shared" si="6"/>
        <v>115.97601327742838</v>
      </c>
    </row>
    <row r="62" spans="1:38"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8"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8"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-1.03E-2</v>
      </c>
      <c r="G74" s="75">
        <v>-0.12509999999999999</v>
      </c>
      <c r="J74" s="701"/>
      <c r="K74" s="702"/>
      <c r="L74" s="44"/>
      <c r="M74" s="44"/>
      <c r="N74" s="44"/>
    </row>
    <row r="75" spans="1:94" ht="26.25" customHeight="1" thickBot="1" x14ac:dyDescent="0.3">
      <c r="A75" s="11"/>
      <c r="B75" s="377" t="s">
        <v>113</v>
      </c>
      <c r="C75" s="377"/>
      <c r="D75" s="19"/>
      <c r="E75" s="54" t="s">
        <v>12</v>
      </c>
      <c r="F75" s="55">
        <v>0.1845</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7">((AL75/19.32)*10)</f>
        <v>0</v>
      </c>
      <c r="AN75" s="5">
        <f>AA22</f>
        <v>0</v>
      </c>
      <c r="AO75" s="3">
        <f>((AN75/19.32)*10)</f>
        <v>0</v>
      </c>
      <c r="AP75" s="5">
        <f>AE22</f>
        <v>0</v>
      </c>
      <c r="AQ75" s="161">
        <f t="shared" ref="AQ75:AQ84" si="8">((AP75/19.32)*10)</f>
        <v>0</v>
      </c>
    </row>
    <row r="76" spans="1:94" ht="26.25" customHeight="1" thickBot="1" x14ac:dyDescent="0.3">
      <c r="A76" s="11"/>
      <c r="B76" s="377" t="s">
        <v>114</v>
      </c>
      <c r="C76" s="377"/>
      <c r="D76" s="20"/>
      <c r="E76" s="56" t="s">
        <v>13</v>
      </c>
      <c r="F76" s="57">
        <v>1.3018000000000001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9">AJ76*25.4</f>
        <v>0.63500000000000001</v>
      </c>
      <c r="AL76" s="5">
        <f>W23</f>
        <v>0.87</v>
      </c>
      <c r="AM76" s="3">
        <f t="shared" si="7"/>
        <v>0.4503105590062112</v>
      </c>
      <c r="AN76" s="5">
        <f>AA23</f>
        <v>0.40628930817610059</v>
      </c>
      <c r="AO76" s="3">
        <f t="shared" ref="AO76:AO86" si="10">((AN76/19.32)*10)</f>
        <v>0.21029467296899615</v>
      </c>
      <c r="AP76" s="5">
        <f>AE23</f>
        <v>0.20399999999999999</v>
      </c>
      <c r="AQ76" s="161">
        <f t="shared" si="8"/>
        <v>0.10559006211180123</v>
      </c>
    </row>
    <row r="77" spans="1:94" ht="26.25" customHeight="1" thickTop="1" thickBot="1" x14ac:dyDescent="0.3">
      <c r="A77" s="11"/>
      <c r="B77" s="377" t="s">
        <v>115</v>
      </c>
      <c r="C77" s="377"/>
      <c r="D77" s="15"/>
      <c r="J77" s="380"/>
      <c r="K77" s="381"/>
      <c r="U77" s="44"/>
      <c r="AB77" s="44"/>
      <c r="AC77" s="44"/>
      <c r="AD77" s="44"/>
      <c r="AE77" s="44"/>
      <c r="AJ77" s="160">
        <f>U24</f>
        <v>0.05</v>
      </c>
      <c r="AK77" s="3">
        <f t="shared" si="9"/>
        <v>1.27</v>
      </c>
      <c r="AL77" s="5">
        <f>W24</f>
        <v>2.5670000000000002</v>
      </c>
      <c r="AM77" s="3">
        <f t="shared" si="7"/>
        <v>1.3286749482401659</v>
      </c>
      <c r="AN77" s="5">
        <f>AA24</f>
        <v>1.4440251572327043</v>
      </c>
      <c r="AO77" s="3">
        <f t="shared" si="10"/>
        <v>0.74742502962355295</v>
      </c>
      <c r="AP77" s="5">
        <f>AE24</f>
        <v>0.71499999999999997</v>
      </c>
      <c r="AQ77" s="161">
        <f t="shared" si="8"/>
        <v>0.37008281573498958</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9"/>
        <v>1.9049999999999998</v>
      </c>
      <c r="AL78" s="5">
        <f>W25</f>
        <v>3.9569999999999999</v>
      </c>
      <c r="AM78" s="3">
        <f t="shared" si="7"/>
        <v>2.048136645962733</v>
      </c>
      <c r="AN78" s="5">
        <f>AA25</f>
        <v>2.4886792452830186</v>
      </c>
      <c r="AO78" s="3">
        <f t="shared" si="10"/>
        <v>1.2881362553224736</v>
      </c>
      <c r="AP78" s="5">
        <f>AE25</f>
        <v>1.298</v>
      </c>
      <c r="AQ78" s="161">
        <f t="shared" si="8"/>
        <v>0.67184265010351962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9"/>
        <v>2.54</v>
      </c>
      <c r="AL79" s="5">
        <f>W26</f>
        <v>4.8979999999999997</v>
      </c>
      <c r="AM79" s="4">
        <f t="shared" si="7"/>
        <v>2.5351966873706</v>
      </c>
      <c r="AN79" s="5">
        <f>AA26</f>
        <v>3.0805031446540876</v>
      </c>
      <c r="AO79" s="4">
        <f t="shared" si="10"/>
        <v>1.5944633253903144</v>
      </c>
      <c r="AP79" s="5">
        <f>AE26</f>
        <v>1.6942767295597483</v>
      </c>
      <c r="AQ79" s="162">
        <f t="shared" si="8"/>
        <v>0.87695482896467292</v>
      </c>
      <c r="BB79" s="12">
        <v>17</v>
      </c>
      <c r="BC79" s="12">
        <v>18</v>
      </c>
    </row>
    <row r="80" spans="1:94" ht="42" customHeight="1" thickTop="1" thickBot="1" x14ac:dyDescent="0.3">
      <c r="D80" s="49"/>
      <c r="H80" s="711" t="s">
        <v>105</v>
      </c>
      <c r="I80" s="712"/>
      <c r="J80" s="58"/>
      <c r="AJ80" s="160">
        <f>U28</f>
        <v>0.125</v>
      </c>
      <c r="AK80" s="3">
        <f t="shared" si="9"/>
        <v>3.1749999999999998</v>
      </c>
      <c r="AL80" s="5">
        <f>W28</f>
        <v>5.649</v>
      </c>
      <c r="AM80" s="3">
        <f t="shared" si="7"/>
        <v>2.9239130434782608</v>
      </c>
      <c r="AN80" s="5">
        <f>AA28</f>
        <v>3.5528301886792453</v>
      </c>
      <c r="AO80" s="3">
        <f t="shared" si="10"/>
        <v>1.8389390210555099</v>
      </c>
      <c r="AP80" s="5">
        <f>AE28</f>
        <v>1.9540566037735851</v>
      </c>
      <c r="AQ80" s="161">
        <f t="shared" si="8"/>
        <v>1.0114164615805306</v>
      </c>
      <c r="BC80" s="45">
        <v>0.99880400000000003</v>
      </c>
      <c r="BD80" s="45">
        <v>0.99862499999999998</v>
      </c>
    </row>
    <row r="81" spans="2:43" ht="15.75" customHeight="1" x14ac:dyDescent="0.25">
      <c r="AJ81" s="160">
        <f>U30</f>
        <v>0.15</v>
      </c>
      <c r="AK81" s="3">
        <f t="shared" si="9"/>
        <v>3.8099999999999996</v>
      </c>
      <c r="AL81" s="5">
        <f>W30</f>
        <v>6.3659999999999997</v>
      </c>
      <c r="AM81" s="3">
        <f t="shared" si="7"/>
        <v>3.2950310559006208</v>
      </c>
      <c r="AN81" s="5">
        <f>AA30</f>
        <v>4.0037735849056597</v>
      </c>
      <c r="AO81" s="3">
        <f t="shared" si="10"/>
        <v>2.0723465760381261</v>
      </c>
      <c r="AP81" s="5">
        <f>AE30</f>
        <v>2.2020754716981132</v>
      </c>
      <c r="AQ81" s="161">
        <f t="shared" si="8"/>
        <v>1.1397906168209695</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9"/>
        <v>4.4449999999999994</v>
      </c>
      <c r="AL82" s="5">
        <f>W31</f>
        <v>7.0650000000000004</v>
      </c>
      <c r="AM82" s="3">
        <f t="shared" si="7"/>
        <v>3.6568322981366466</v>
      </c>
      <c r="AN82" s="5">
        <f>AA31</f>
        <v>4.4433962264150946</v>
      </c>
      <c r="AO82" s="3">
        <f t="shared" si="10"/>
        <v>2.299894527129966</v>
      </c>
      <c r="AP82" s="5">
        <f>AE31</f>
        <v>2.4438679245283024</v>
      </c>
      <c r="AQ82" s="161">
        <f t="shared" si="8"/>
        <v>1.2649419899214815</v>
      </c>
    </row>
    <row r="83" spans="2:43" ht="15" customHeight="1" x14ac:dyDescent="0.25">
      <c r="B83" s="49"/>
      <c r="C83" s="49"/>
      <c r="D83" s="49">
        <v>0</v>
      </c>
      <c r="E83" s="50">
        <f>M42</f>
        <v>8.9563106796116507</v>
      </c>
      <c r="F83" s="49"/>
      <c r="G83" s="43">
        <f>G84/10</f>
        <v>2.3317245780298275</v>
      </c>
      <c r="H83" s="43">
        <f>H84/10</f>
        <v>2.2124487931678343</v>
      </c>
      <c r="I83" s="43">
        <f>I84/10</f>
        <v>2.1257442696418116</v>
      </c>
      <c r="J83" s="43">
        <f>J84/10</f>
        <v>2.034472378120288</v>
      </c>
      <c r="K83" s="43"/>
      <c r="L83" s="42">
        <v>0</v>
      </c>
      <c r="O83" s="706"/>
      <c r="P83" s="706"/>
      <c r="Q83" s="706"/>
      <c r="R83" s="706"/>
      <c r="S83" s="707"/>
      <c r="W83" s="112"/>
      <c r="AJ83" s="160">
        <f>U33</f>
        <v>0.2</v>
      </c>
      <c r="AK83" s="4">
        <f t="shared" si="9"/>
        <v>5.08</v>
      </c>
      <c r="AL83" s="5">
        <f>W33</f>
        <v>7.7169999999999996</v>
      </c>
      <c r="AM83" s="4">
        <f t="shared" si="7"/>
        <v>3.9943064182194616</v>
      </c>
      <c r="AN83" s="5">
        <f>AA33</f>
        <v>4.853459119496855</v>
      </c>
      <c r="AO83" s="4">
        <f t="shared" si="10"/>
        <v>2.5121424013958875</v>
      </c>
      <c r="AP83" s="5">
        <f>AE33</f>
        <v>2.6694025157232706</v>
      </c>
      <c r="AQ83" s="162">
        <f t="shared" si="8"/>
        <v>1.3816783207677383</v>
      </c>
    </row>
    <row r="84" spans="2:43" ht="15" customHeight="1" x14ac:dyDescent="0.25">
      <c r="C84" s="94"/>
      <c r="D84" s="94"/>
      <c r="E84" s="94"/>
      <c r="F84" s="49"/>
      <c r="G84" s="43">
        <f>($M$34/(1+(E34*$M$34/100)))*($O$73)</f>
        <v>23.317245780298276</v>
      </c>
      <c r="H84" s="43">
        <f>($M$34/(1+(F34*$M$34/100)))*($O$73)</f>
        <v>22.124487931678342</v>
      </c>
      <c r="I84" s="43">
        <f>($M$34/(1+(G34*$M$34/100)))*($O$73)</f>
        <v>21.257442696418117</v>
      </c>
      <c r="J84" s="43">
        <f>($M$34/(1+(H34*$M$34/100)))*($O$73)</f>
        <v>20.34472378120288</v>
      </c>
      <c r="K84" s="43"/>
      <c r="O84" s="706" t="s">
        <v>146</v>
      </c>
      <c r="P84" s="706"/>
      <c r="Q84" s="706"/>
      <c r="R84" s="706"/>
      <c r="S84" s="707">
        <v>2240</v>
      </c>
      <c r="W84" s="112"/>
      <c r="AJ84" s="160">
        <f>U34</f>
        <v>0.3</v>
      </c>
      <c r="AK84" s="3">
        <f t="shared" si="9"/>
        <v>7.6199999999999992</v>
      </c>
      <c r="AL84" s="5">
        <f>W34</f>
        <v>10.023</v>
      </c>
      <c r="AM84" s="3">
        <f t="shared" si="7"/>
        <v>5.1878881987577641</v>
      </c>
      <c r="AN84" s="5">
        <f>AA34</f>
        <v>6.3040000000000003</v>
      </c>
      <c r="AO84" s="3">
        <f t="shared" si="10"/>
        <v>3.2629399585921326</v>
      </c>
      <c r="AP84" s="5">
        <f>AE34</f>
        <v>3.4670754716981129</v>
      </c>
      <c r="AQ84" s="161">
        <f t="shared" si="8"/>
        <v>1.7945525215828741</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12.007</v>
      </c>
      <c r="AM85" s="3">
        <f t="shared" si="7"/>
        <v>6.2148033126293987</v>
      </c>
      <c r="AN85" s="5">
        <f>AA35</f>
        <v>7.5515723270440249</v>
      </c>
      <c r="AO85" s="3">
        <f t="shared" si="10"/>
        <v>3.9086813286977358</v>
      </c>
      <c r="AP85" s="5">
        <f>AE35</f>
        <v>3.8780000000000001</v>
      </c>
      <c r="AQ85" s="161">
        <f>((AP85/19.32)*10)</f>
        <v>2.0072463768115942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13.811</v>
      </c>
      <c r="AM86" s="164">
        <f t="shared" si="7"/>
        <v>7.1485507246376816</v>
      </c>
      <c r="AN86" s="165">
        <f>AA37</f>
        <v>8.6861635220125777</v>
      </c>
      <c r="AO86" s="164">
        <f t="shared" si="10"/>
        <v>4.4959438519733839</v>
      </c>
      <c r="AP86" s="165">
        <f>AE37</f>
        <v>4.2089999999999996</v>
      </c>
      <c r="AQ86" s="166">
        <f>((AP86/19.32)*10)</f>
        <v>2.1785714285714284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2.152427031387715</v>
      </c>
      <c r="AK91" s="9">
        <f>R31</f>
        <v>1.9560633617683294</v>
      </c>
      <c r="AL91" s="10">
        <f>S31</f>
        <v>1.833389916000624</v>
      </c>
    </row>
    <row r="92" spans="2:43" ht="21" customHeight="1" thickBot="1" x14ac:dyDescent="0.3">
      <c r="B92" s="92"/>
      <c r="C92" s="93"/>
      <c r="D92" s="93"/>
      <c r="E92" s="93"/>
      <c r="F92" s="62"/>
      <c r="G92" s="63"/>
      <c r="H92" s="49"/>
      <c r="I92" s="49"/>
      <c r="O92" s="725" t="s">
        <v>147</v>
      </c>
      <c r="P92" s="726"/>
      <c r="Q92" s="726"/>
      <c r="R92" s="726"/>
      <c r="S92" s="61">
        <f>M42</f>
        <v>8.9563106796116507</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36.741980976385506</v>
      </c>
      <c r="AK94" s="158">
        <f>AA42</f>
        <v>23.108164136091514</v>
      </c>
      <c r="AL94" s="158">
        <f>AD42</f>
        <v>12.709490274850332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831" priority="47">
      <formula>LEN(TRIM(D6))=0</formula>
    </cfRule>
  </conditionalFormatting>
  <conditionalFormatting sqref="D6:H10">
    <cfRule type="containsBlanks" dxfId="830" priority="46">
      <formula>LEN(TRIM(D6))=0</formula>
    </cfRule>
  </conditionalFormatting>
  <conditionalFormatting sqref="M19">
    <cfRule type="containsBlanks" dxfId="829" priority="45">
      <formula>LEN(TRIM(M19))=0</formula>
    </cfRule>
  </conditionalFormatting>
  <conditionalFormatting sqref="CP70">
    <cfRule type="containsBlanks" dxfId="828" priority="44">
      <formula>LEN(TRIM(CP70))=0</formula>
    </cfRule>
  </conditionalFormatting>
  <conditionalFormatting sqref="M21">
    <cfRule type="containsBlanks" dxfId="827" priority="43">
      <formula>LEN(TRIM(M21))=0</formula>
    </cfRule>
  </conditionalFormatting>
  <conditionalFormatting sqref="D12:M12">
    <cfRule type="containsBlanks" dxfId="826" priority="42">
      <formula>LEN(TRIM(D12))=0</formula>
    </cfRule>
  </conditionalFormatting>
  <conditionalFormatting sqref="L9:M9">
    <cfRule type="containsBlanks" dxfId="825" priority="41">
      <formula>LEN(TRIM(L9))=0</formula>
    </cfRule>
  </conditionalFormatting>
  <conditionalFormatting sqref="L25">
    <cfRule type="containsBlanks" dxfId="824" priority="40">
      <formula>LEN(TRIM(L25))=0</formula>
    </cfRule>
  </conditionalFormatting>
  <conditionalFormatting sqref="Q20:S21">
    <cfRule type="containsBlanks" dxfId="823" priority="33">
      <formula>LEN(TRIM(Q20))=0</formula>
    </cfRule>
    <cfRule type="containsBlanks" dxfId="822" priority="39">
      <formula>LEN(TRIM(Q20))=0</formula>
    </cfRule>
  </conditionalFormatting>
  <conditionalFormatting sqref="U26:V27 AC33 AC26">
    <cfRule type="cellIs" dxfId="821" priority="38" operator="between">
      <formula>0</formula>
      <formula>500</formula>
    </cfRule>
  </conditionalFormatting>
  <conditionalFormatting sqref="U33:V33">
    <cfRule type="cellIs" dxfId="820" priority="37" operator="between">
      <formula>0</formula>
      <formula>500</formula>
    </cfRule>
  </conditionalFormatting>
  <conditionalFormatting sqref="AF45:AH46">
    <cfRule type="containsBlanks" dxfId="819" priority="36">
      <formula>LEN(TRIM(AF45))=0</formula>
    </cfRule>
  </conditionalFormatting>
  <conditionalFormatting sqref="AF51:AG53">
    <cfRule type="containsBlanks" dxfId="818" priority="35">
      <formula>LEN(TRIM(AF51))=0</formula>
    </cfRule>
  </conditionalFormatting>
  <conditionalFormatting sqref="E20:H24">
    <cfRule type="containsBlanks" dxfId="817" priority="34">
      <formula>LEN(TRIM(E20))=0</formula>
    </cfRule>
  </conditionalFormatting>
  <conditionalFormatting sqref="M25">
    <cfRule type="containsBlanks" dxfId="816" priority="32">
      <formula>LEN(TRIM(M25))=0</formula>
    </cfRule>
  </conditionalFormatting>
  <conditionalFormatting sqref="U26:V27 Y26:Z27 AC26:AD27 AG26:AG27">
    <cfRule type="containsBlanks" dxfId="815" priority="30">
      <formula>LEN(TRIM(U26))=0</formula>
    </cfRule>
    <cfRule type="cellIs" dxfId="814" priority="31" operator="between">
      <formula>0</formula>
      <formula>1000</formula>
    </cfRule>
  </conditionalFormatting>
  <conditionalFormatting sqref="W87:W88">
    <cfRule type="cellIs" dxfId="813" priority="29" operator="between">
      <formula>0</formula>
      <formula>500</formula>
    </cfRule>
  </conditionalFormatting>
  <conditionalFormatting sqref="W94">
    <cfRule type="cellIs" dxfId="812" priority="28" operator="between">
      <formula>0</formula>
      <formula>500</formula>
    </cfRule>
  </conditionalFormatting>
  <conditionalFormatting sqref="W87:W88">
    <cfRule type="containsBlanks" dxfId="811" priority="26">
      <formula>LEN(TRIM(W87))=0</formula>
    </cfRule>
    <cfRule type="cellIs" dxfId="810" priority="27" operator="between">
      <formula>0</formula>
      <formula>1000</formula>
    </cfRule>
  </conditionalFormatting>
  <conditionalFormatting sqref="U33:V33 Y33:Z33 AC33:AD33 AG33">
    <cfRule type="cellIs" dxfId="809" priority="25" operator="between">
      <formula>0</formula>
      <formula>1000</formula>
    </cfRule>
  </conditionalFormatting>
  <conditionalFormatting sqref="Q27:S27">
    <cfRule type="containsBlanks" dxfId="808" priority="23">
      <formula>LEN(TRIM(Q27))=0</formula>
    </cfRule>
    <cfRule type="containsBlanks" dxfId="807" priority="24">
      <formula>LEN(TRIM(Q27))=0</formula>
    </cfRule>
  </conditionalFormatting>
  <conditionalFormatting sqref="W30:W31 W33:W35 W37 W28 W22:W26">
    <cfRule type="containsBlanks" dxfId="806" priority="22">
      <formula>LEN(TRIM(W22))=0</formula>
    </cfRule>
  </conditionalFormatting>
  <conditionalFormatting sqref="W37 W30:W31 W33:W35 W28 W22:W26">
    <cfRule type="containsBlanks" dxfId="805" priority="21">
      <formula>LEN(TRIM(W22))=0</formula>
    </cfRule>
  </conditionalFormatting>
  <conditionalFormatting sqref="W33:X33">
    <cfRule type="cellIs" dxfId="804" priority="20" operator="between">
      <formula>0</formula>
      <formula>1000</formula>
    </cfRule>
  </conditionalFormatting>
  <conditionalFormatting sqref="W30:X37 W26 W28 W22:X25">
    <cfRule type="containsBlanks" dxfId="803" priority="19">
      <formula>LEN(TRIM(W22))=0</formula>
    </cfRule>
  </conditionalFormatting>
  <conditionalFormatting sqref="AA37 AA30:AA31 AA33 AA22:AA26 AA28 AA35">
    <cfRule type="containsBlanks" dxfId="802" priority="18">
      <formula>LEN(TRIM(AA22))=0</formula>
    </cfRule>
  </conditionalFormatting>
  <conditionalFormatting sqref="AA37 AA30:AA31 AA33 AA22:AA26 AA28 AA35">
    <cfRule type="containsBlanks" dxfId="801" priority="17">
      <formula>LEN(TRIM(AA22))=0</formula>
    </cfRule>
  </conditionalFormatting>
  <conditionalFormatting sqref="AA33:AB33">
    <cfRule type="cellIs" dxfId="800" priority="16" operator="between">
      <formula>0</formula>
      <formula>1000</formula>
    </cfRule>
  </conditionalFormatting>
  <conditionalFormatting sqref="AA30:AB30 AA31 AA33:AB33 AA22:AB25 AA26 AA28 AA35:AB37">
    <cfRule type="containsBlanks" dxfId="799" priority="15">
      <formula>LEN(TRIM(AA22))=0</formula>
    </cfRule>
  </conditionalFormatting>
  <conditionalFormatting sqref="AE37 AE28 AE30:AE31 AE33:AE35 AE22:AE26">
    <cfRule type="containsBlanks" dxfId="798" priority="14">
      <formula>LEN(TRIM(AE22))=0</formula>
    </cfRule>
  </conditionalFormatting>
  <conditionalFormatting sqref="AE37 AE28 AE30:AE31 AE33:AE35 AE22:AE26">
    <cfRule type="containsBlanks" dxfId="797" priority="13">
      <formula>LEN(TRIM(AE22))=0</formula>
    </cfRule>
  </conditionalFormatting>
  <conditionalFormatting sqref="AE33:AF33">
    <cfRule type="cellIs" dxfId="796" priority="12" operator="between">
      <formula>0</formula>
      <formula>1000</formula>
    </cfRule>
  </conditionalFormatting>
  <conditionalFormatting sqref="AE33:AF37 AE26 AE28 AE30:AE31 AE22:AF25">
    <cfRule type="containsBlanks" dxfId="795" priority="11">
      <formula>LEN(TRIM(AE22))=0</formula>
    </cfRule>
  </conditionalFormatting>
  <conditionalFormatting sqref="K6:M6">
    <cfRule type="containsBlanks" dxfId="794" priority="10">
      <formula>LEN(TRIM(K6))=0</formula>
    </cfRule>
  </conditionalFormatting>
  <conditionalFormatting sqref="K7:K8">
    <cfRule type="containsBlanks" dxfId="793" priority="9">
      <formula>LEN(TRIM(K7))=0</formula>
    </cfRule>
  </conditionalFormatting>
  <conditionalFormatting sqref="D13:M13">
    <cfRule type="containsBlanks" dxfId="792" priority="8">
      <formula>LEN(TRIM(D13))=0</formula>
    </cfRule>
  </conditionalFormatting>
  <conditionalFormatting sqref="B6:B10">
    <cfRule type="containsBlanks" dxfId="791" priority="7">
      <formula>LEN(TRIM(B6))=0</formula>
    </cfRule>
  </conditionalFormatting>
  <conditionalFormatting sqref="B12:B13">
    <cfRule type="containsBlanks" dxfId="790" priority="6">
      <formula>LEN(TRIM(B12))=0</formula>
    </cfRule>
  </conditionalFormatting>
  <conditionalFormatting sqref="E28:H33">
    <cfRule type="containsBlanks" dxfId="789" priority="5">
      <formula>LEN(TRIM(E28))=0</formula>
    </cfRule>
  </conditionalFormatting>
  <conditionalFormatting sqref="Q22:S26">
    <cfRule type="containsBlanks" dxfId="788" priority="3">
      <formula>LEN(TRIM(Q22))=0</formula>
    </cfRule>
    <cfRule type="containsBlanks" dxfId="787" priority="4">
      <formula>LEN(TRIM(Q22))=0</formula>
    </cfRule>
  </conditionalFormatting>
  <conditionalFormatting sqref="Q34:S39">
    <cfRule type="containsBlanks" dxfId="786" priority="2">
      <formula>LEN(TRIM(Q34))=0</formula>
    </cfRule>
  </conditionalFormatting>
  <conditionalFormatting sqref="Q42:S46">
    <cfRule type="containsBlanks" dxfId="785" priority="1">
      <formula>LEN(TRIM(Q42))=0</formula>
    </cfRule>
  </conditionalFormatting>
  <dataValidations count="5">
    <dataValidation type="list" allowBlank="1" showInputMessage="1" showErrorMessage="1" sqref="D12:E12" xr:uid="{00000000-0002-0000-2A00-000000000000}">
      <formula1>$B$87:$B$94</formula1>
    </dataValidation>
    <dataValidation type="list" allowBlank="1" showInputMessage="1" showErrorMessage="1" sqref="CP70" xr:uid="{00000000-0002-0000-2A00-000001000000}">
      <formula1>$BA$3:$BA$5</formula1>
    </dataValidation>
    <dataValidation type="list" allowBlank="1" showInputMessage="1" showErrorMessage="1" sqref="M19" xr:uid="{00000000-0002-0000-2A00-000002000000}">
      <formula1>$AX$3:$AX$5</formula1>
    </dataValidation>
    <dataValidation type="list" allowBlank="1" showInputMessage="1" showErrorMessage="1" sqref="M21" xr:uid="{00000000-0002-0000-2A00-000003000000}">
      <formula1>$AX$3:$AX$4</formula1>
    </dataValidation>
    <dataValidation type="list" allowBlank="1" showInputMessage="1" showErrorMessage="1" sqref="L25" xr:uid="{00000000-0002-0000-2A00-000004000000}">
      <formula1>$D$101:$D$104</formula1>
    </dataValidation>
  </dataValidations>
  <hyperlinks>
    <hyperlink ref="D8" r:id="rId1" xr:uid="{00000000-0004-0000-2A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74081"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74082"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74083"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7408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7408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74086"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74087"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7408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7408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7409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86">
    <tabColor theme="7" tint="0.79998168889431442"/>
  </sheetPr>
  <dimension ref="A1:CP153"/>
  <sheetViews>
    <sheetView view="pageBreakPreview" topLeftCell="K22" zoomScale="86" zoomScaleNormal="100" zoomScaleSheetLayoutView="86"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25-P-CERRITO AP4-2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25-P-CERRITO AP4-2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283</v>
      </c>
      <c r="G12" s="31" t="s">
        <v>4</v>
      </c>
      <c r="H12" s="146">
        <v>2</v>
      </c>
      <c r="I12" s="546" t="s">
        <v>5</v>
      </c>
      <c r="J12" s="546"/>
      <c r="K12" s="209">
        <v>1.2</v>
      </c>
      <c r="L12" s="32" t="s">
        <v>6</v>
      </c>
      <c r="M12" s="147">
        <v>1.5</v>
      </c>
      <c r="N12" s="78"/>
      <c r="O12" s="501" t="s">
        <v>3</v>
      </c>
      <c r="P12" s="501"/>
      <c r="Q12" s="225" t="s">
        <v>234</v>
      </c>
      <c r="R12" s="224" t="str">
        <f>F12</f>
        <v>P-CERRITO AP4</v>
      </c>
      <c r="S12" s="224"/>
      <c r="T12" s="502" t="s">
        <v>4</v>
      </c>
      <c r="U12" s="502"/>
      <c r="V12" s="33">
        <f>+H12</f>
        <v>2</v>
      </c>
      <c r="W12" s="547" t="s">
        <v>5</v>
      </c>
      <c r="X12" s="547"/>
      <c r="Y12" s="547"/>
      <c r="Z12" s="547"/>
      <c r="AA12" s="547"/>
      <c r="AB12" s="547"/>
      <c r="AC12" s="34">
        <f>K12</f>
        <v>1.2</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282</v>
      </c>
      <c r="E13" s="479"/>
      <c r="F13" s="479"/>
      <c r="G13" s="479"/>
      <c r="H13" s="479"/>
      <c r="I13" s="479"/>
      <c r="J13" s="479"/>
      <c r="K13" s="479"/>
      <c r="L13" s="479"/>
      <c r="M13" s="480"/>
      <c r="N13" s="188"/>
      <c r="O13" s="526" t="s">
        <v>130</v>
      </c>
      <c r="P13" s="526"/>
      <c r="Q13" s="527" t="str">
        <f>D13</f>
        <v>LIMO  ORGÁNICO CON ALGO DE ARENA, COLOR MARRÓN OSCURO, CONSISTENCIA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610</v>
      </c>
      <c r="R20" s="156">
        <v>449</v>
      </c>
      <c r="S20" s="157">
        <v>352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7134</v>
      </c>
      <c r="F22" s="150">
        <v>7349</v>
      </c>
      <c r="G22" s="150">
        <v>7558</v>
      </c>
      <c r="H22" s="151">
        <v>7165</v>
      </c>
      <c r="I22" s="174"/>
      <c r="J22" s="578"/>
      <c r="K22" s="578"/>
      <c r="L22" s="578"/>
      <c r="M22" s="104"/>
      <c r="N22" s="103"/>
      <c r="O22" s="579" t="s">
        <v>132</v>
      </c>
      <c r="P22" s="580"/>
      <c r="Q22" s="219">
        <v>8424</v>
      </c>
      <c r="R22" s="219">
        <v>7995</v>
      </c>
      <c r="S22" s="208">
        <v>7845</v>
      </c>
      <c r="T22" s="174"/>
      <c r="U22" s="112">
        <v>5.0000000000000001E-3</v>
      </c>
      <c r="V22" s="113">
        <f>U22*25.4</f>
        <v>0.127</v>
      </c>
      <c r="W22" s="581">
        <f>AJ2</f>
        <v>0</v>
      </c>
      <c r="X22" s="582"/>
      <c r="Y22" s="449">
        <f>((W22/19.32)*10)</f>
        <v>0</v>
      </c>
      <c r="Z22" s="450"/>
      <c r="AA22" s="581">
        <f>AJ22</f>
        <v>0</v>
      </c>
      <c r="AB22" s="582"/>
      <c r="AC22" s="449">
        <f>((AA22/19.32)*10)</f>
        <v>0</v>
      </c>
      <c r="AD22" s="450"/>
      <c r="AE22" s="581">
        <f>AK22</f>
        <v>0</v>
      </c>
      <c r="AF22" s="582"/>
      <c r="AG22" s="114">
        <f>((AE22/19.32)*10)</f>
        <v>0</v>
      </c>
      <c r="AH22" s="104"/>
      <c r="AI22" s="42">
        <v>4.5511524822695028E-2</v>
      </c>
      <c r="AJ22" s="42">
        <v>0</v>
      </c>
      <c r="AK22" s="42">
        <v>0</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3842</v>
      </c>
      <c r="R23" s="150">
        <v>3577</v>
      </c>
      <c r="S23" s="151">
        <v>3684</v>
      </c>
      <c r="T23" s="174"/>
      <c r="U23" s="112">
        <v>2.5000000000000001E-2</v>
      </c>
      <c r="V23" s="113">
        <f>U23*25.4</f>
        <v>0.63500000000000001</v>
      </c>
      <c r="W23" s="581">
        <v>0.215</v>
      </c>
      <c r="X23" s="582"/>
      <c r="Y23" s="449">
        <f>((W23/19.32)*10)</f>
        <v>0.11128364389233954</v>
      </c>
      <c r="Z23" s="450"/>
      <c r="AA23" s="581">
        <f>AJ23</f>
        <v>3.5220125786163521E-2</v>
      </c>
      <c r="AB23" s="582"/>
      <c r="AC23" s="449">
        <f>((AA23/19.32)*10)</f>
        <v>1.822987877130617E-2</v>
      </c>
      <c r="AD23" s="450"/>
      <c r="AE23" s="581">
        <f>AK23</f>
        <v>1.7610062893081761E-2</v>
      </c>
      <c r="AF23" s="582"/>
      <c r="AG23" s="114">
        <f>((AE23/19.32)*10)</f>
        <v>9.1149393856530848E-3</v>
      </c>
      <c r="AH23" s="104"/>
      <c r="AI23" s="42">
        <v>0.30887367021276596</v>
      </c>
      <c r="AJ23" s="42">
        <v>3.5220125786163521E-2</v>
      </c>
      <c r="AK23" s="42">
        <v>1.7610062893081761E-2</v>
      </c>
      <c r="AO23" s="42">
        <v>0.247</v>
      </c>
      <c r="AS23" s="42">
        <f t="shared" ref="AS23:AS37" si="2">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11.78</v>
      </c>
      <c r="S24" s="153">
        <v>11.13</v>
      </c>
      <c r="T24" s="174"/>
      <c r="U24" s="112">
        <v>0.05</v>
      </c>
      <c r="V24" s="113">
        <f>U24*25.4</f>
        <v>1.27</v>
      </c>
      <c r="W24" s="581">
        <v>0.60599999999999998</v>
      </c>
      <c r="X24" s="582"/>
      <c r="Y24" s="449">
        <f>((W24/19.32)*10)</f>
        <v>0.31366459627329191</v>
      </c>
      <c r="Z24" s="450"/>
      <c r="AA24" s="581">
        <f>AJ24</f>
        <v>6.7924528301886791E-2</v>
      </c>
      <c r="AB24" s="582"/>
      <c r="AC24" s="449">
        <f>((AA24/19.32)*10)</f>
        <v>3.5157623344661902E-2</v>
      </c>
      <c r="AD24" s="450"/>
      <c r="AE24" s="581">
        <f>AK24</f>
        <v>3.3962264150943396E-2</v>
      </c>
      <c r="AF24" s="582"/>
      <c r="AG24" s="114">
        <f>((AE24/19.32)*10)</f>
        <v>1.7578811672330951E-2</v>
      </c>
      <c r="AH24" s="104"/>
      <c r="AI24" s="42">
        <v>0.87983643617021279</v>
      </c>
      <c r="AJ24" s="42">
        <v>6.7924528301886791E-2</v>
      </c>
      <c r="AK24" s="42">
        <v>3.3962264150943396E-2</v>
      </c>
      <c r="AO24" s="42">
        <v>0.68400000000000005</v>
      </c>
      <c r="AS24" s="42">
        <f t="shared" si="2"/>
        <v>0.55609756097560981</v>
      </c>
    </row>
    <row r="25" spans="1:45" ht="24.95" customHeight="1" thickBot="1" x14ac:dyDescent="0.3">
      <c r="A25" s="103"/>
      <c r="B25" s="602" t="s">
        <v>69</v>
      </c>
      <c r="C25" s="603"/>
      <c r="D25" s="603"/>
      <c r="E25" s="115">
        <f>E22-E23</f>
        <v>4250</v>
      </c>
      <c r="F25" s="115">
        <f>F22-F23</f>
        <v>4465</v>
      </c>
      <c r="G25" s="115">
        <f>G22-G23</f>
        <v>4674</v>
      </c>
      <c r="H25" s="116">
        <f>H22-H23</f>
        <v>4281</v>
      </c>
      <c r="I25" s="174"/>
      <c r="J25" s="174" t="s">
        <v>127</v>
      </c>
      <c r="K25" s="174"/>
      <c r="L25" s="218" t="s">
        <v>128</v>
      </c>
      <c r="M25" s="155">
        <v>0</v>
      </c>
      <c r="N25" s="103"/>
      <c r="O25" s="604" t="s">
        <v>46</v>
      </c>
      <c r="P25" s="605"/>
      <c r="Q25" s="608">
        <v>15.2</v>
      </c>
      <c r="R25" s="608">
        <v>15.26</v>
      </c>
      <c r="S25" s="620">
        <v>15.48</v>
      </c>
      <c r="T25" s="174"/>
      <c r="U25" s="112">
        <v>7.4999999999999997E-2</v>
      </c>
      <c r="V25" s="113">
        <f>U25*25.4</f>
        <v>1.9049999999999998</v>
      </c>
      <c r="W25" s="581">
        <v>1.0980000000000001</v>
      </c>
      <c r="X25" s="582"/>
      <c r="Y25" s="449">
        <f>((W25/19.32)*10)</f>
        <v>0.56832298136645965</v>
      </c>
      <c r="Z25" s="450"/>
      <c r="AA25" s="581">
        <f>AJ25</f>
        <v>0.13836477987421383</v>
      </c>
      <c r="AB25" s="582"/>
      <c r="AC25" s="449">
        <f>((AA25/19.32)*10)</f>
        <v>7.1617380887274235E-2</v>
      </c>
      <c r="AD25" s="450"/>
      <c r="AE25" s="581">
        <f>AK25</f>
        <v>6.9182389937106917E-2</v>
      </c>
      <c r="AF25" s="582"/>
      <c r="AG25" s="114">
        <f>((AE25/19.32)*10)</f>
        <v>3.5808690443637117E-2</v>
      </c>
      <c r="AH25" s="104"/>
      <c r="AI25" s="42">
        <v>1.2778235815602836</v>
      </c>
      <c r="AJ25" s="42">
        <v>0.13836477987421383</v>
      </c>
      <c r="AK25" s="42">
        <v>6.9182389937106917E-2</v>
      </c>
      <c r="AO25" s="42">
        <v>1.3149999999999999</v>
      </c>
      <c r="AS25" s="42">
        <f t="shared" si="2"/>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21"/>
      <c r="T26" s="174"/>
      <c r="U26" s="600">
        <v>0.1</v>
      </c>
      <c r="V26" s="601">
        <f>U26*25.4</f>
        <v>2.54</v>
      </c>
      <c r="W26" s="778">
        <f>AI26</f>
        <v>1.5402309397163123</v>
      </c>
      <c r="X26" s="779"/>
      <c r="Y26" s="461">
        <f>((W26/19.32)*10)</f>
        <v>0.79722098329001667</v>
      </c>
      <c r="Z26" s="462"/>
      <c r="AA26" s="746">
        <f>AJ26</f>
        <v>0.2440251572327044</v>
      </c>
      <c r="AB26" s="747"/>
      <c r="AC26" s="461">
        <f>((AA26/19.32)*10)</f>
        <v>0.12630701720119275</v>
      </c>
      <c r="AD26" s="462"/>
      <c r="AE26" s="746">
        <f>AK26</f>
        <v>0.1220125786163522</v>
      </c>
      <c r="AF26" s="747"/>
      <c r="AG26" s="469">
        <f>((AE26/19.32)*10)</f>
        <v>6.3153508600596375E-2</v>
      </c>
      <c r="AH26" s="104"/>
      <c r="AI26" s="42">
        <v>1.5402309397163123</v>
      </c>
      <c r="AJ26" s="42">
        <v>0.2440251572327044</v>
      </c>
      <c r="AK26" s="42">
        <v>0.1220125786163522</v>
      </c>
      <c r="AO26" s="42">
        <v>1.875</v>
      </c>
      <c r="AS26" s="42">
        <f t="shared" si="2"/>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2154.4887914792093</v>
      </c>
      <c r="S27" s="153">
        <f>(PI()*((S25^2)/4)*S24)</f>
        <v>2094.7247224832004</v>
      </c>
      <c r="T27" s="174"/>
      <c r="U27" s="600"/>
      <c r="V27" s="601"/>
      <c r="W27" s="780"/>
      <c r="X27" s="781"/>
      <c r="Y27" s="463"/>
      <c r="Z27" s="464"/>
      <c r="AA27" s="748"/>
      <c r="AB27" s="749"/>
      <c r="AC27" s="463"/>
      <c r="AD27" s="464"/>
      <c r="AE27" s="748"/>
      <c r="AF27" s="749"/>
      <c r="AG27" s="470"/>
      <c r="AH27" s="193"/>
      <c r="AI27" s="42">
        <v>1.7899078014184397</v>
      </c>
      <c r="AJ27" s="42">
        <v>0.37044025157232702</v>
      </c>
      <c r="AK27" s="42">
        <v>0.18522012578616351</v>
      </c>
      <c r="AO27" s="42">
        <v>2.387</v>
      </c>
      <c r="AS27" s="42">
        <f t="shared" si="2"/>
        <v>1.9406504065040651</v>
      </c>
    </row>
    <row r="28" spans="1:45" ht="24.95" customHeight="1" thickBot="1" x14ac:dyDescent="0.3">
      <c r="A28" s="103"/>
      <c r="B28" s="560" t="s">
        <v>9</v>
      </c>
      <c r="C28" s="561"/>
      <c r="D28" s="561"/>
      <c r="E28" s="148">
        <v>451</v>
      </c>
      <c r="F28" s="148">
        <v>685</v>
      </c>
      <c r="G28" s="148">
        <v>793</v>
      </c>
      <c r="H28" s="149">
        <v>36</v>
      </c>
      <c r="I28" s="174"/>
      <c r="J28" s="597" t="s">
        <v>107</v>
      </c>
      <c r="K28" s="597"/>
      <c r="L28" s="562" t="s">
        <v>119</v>
      </c>
      <c r="M28" s="459">
        <f>IF(M26="","",(100-M26))</f>
        <v>100</v>
      </c>
      <c r="N28" s="103"/>
      <c r="O28" s="625" t="s">
        <v>136</v>
      </c>
      <c r="P28" s="626"/>
      <c r="Q28" s="220">
        <f>Q22-Q23</f>
        <v>4582</v>
      </c>
      <c r="R28" s="220">
        <f>R22-R23</f>
        <v>4418</v>
      </c>
      <c r="S28" s="220">
        <f>S22-S23</f>
        <v>4161</v>
      </c>
      <c r="T28" s="174"/>
      <c r="U28" s="627">
        <v>0.125</v>
      </c>
      <c r="V28" s="624">
        <f>U28*25.4</f>
        <v>3.1749999999999998</v>
      </c>
      <c r="W28" s="593">
        <f>AI27</f>
        <v>1.7899078014184397</v>
      </c>
      <c r="X28" s="594"/>
      <c r="Y28" s="439">
        <f>((W28/19.32)*10)</f>
        <v>0.92645331336358161</v>
      </c>
      <c r="Z28" s="440"/>
      <c r="AA28" s="593">
        <f>AJ27</f>
        <v>0.37044025157232702</v>
      </c>
      <c r="AB28" s="594"/>
      <c r="AC28" s="439">
        <f>((AA28/19.32)*10)</f>
        <v>0.1917392606482024</v>
      </c>
      <c r="AD28" s="440"/>
      <c r="AE28" s="593">
        <f>AK27</f>
        <v>0.18522012578616351</v>
      </c>
      <c r="AF28" s="594"/>
      <c r="AG28" s="443">
        <f>((AE28/19.32)*10)</f>
        <v>9.5869630324101202E-2</v>
      </c>
      <c r="AH28" s="104"/>
      <c r="AI28" s="42">
        <v>2.0021888297872343</v>
      </c>
      <c r="AJ28" s="42">
        <v>0.49685534591194969</v>
      </c>
      <c r="AK28" s="42">
        <v>0.24842767295597484</v>
      </c>
      <c r="AO28" s="42">
        <v>2.8959999999999999</v>
      </c>
      <c r="AS28" s="42">
        <f t="shared" si="2"/>
        <v>2.3544715447154472</v>
      </c>
    </row>
    <row r="29" spans="1:45" ht="5.0999999999999996" customHeight="1" thickBot="1" x14ac:dyDescent="0.3">
      <c r="A29" s="103"/>
      <c r="B29" s="612" t="s">
        <v>73</v>
      </c>
      <c r="C29" s="613"/>
      <c r="D29" s="614"/>
      <c r="E29" s="618">
        <v>565.23</v>
      </c>
      <c r="F29" s="618">
        <v>475.75</v>
      </c>
      <c r="G29" s="618">
        <v>577.92999999999995</v>
      </c>
      <c r="H29" s="620">
        <v>656.98</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v>2.1738914007092198</v>
      </c>
      <c r="AJ29" s="42">
        <v>0.67106918238993707</v>
      </c>
      <c r="AK29" s="42">
        <v>0.33553459119496853</v>
      </c>
      <c r="AO29" s="42">
        <v>3.3879999999999999</v>
      </c>
      <c r="AS29" s="42">
        <f t="shared" si="2"/>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19.513181297619045</v>
      </c>
      <c r="N30" s="103"/>
      <c r="O30" s="622" t="s">
        <v>134</v>
      </c>
      <c r="P30" s="623"/>
      <c r="Q30" s="229">
        <f>Q28/Q27</f>
        <v>2.1768075665269624</v>
      </c>
      <c r="R30" s="229">
        <f>R28/R27</f>
        <v>2.0506024526434086</v>
      </c>
      <c r="S30" s="131">
        <f>S28/S27</f>
        <v>1.9864185280953408</v>
      </c>
      <c r="T30" s="174"/>
      <c r="U30" s="120">
        <v>0.15</v>
      </c>
      <c r="V30" s="113">
        <f>U30*25.4</f>
        <v>3.8099999999999996</v>
      </c>
      <c r="W30" s="581">
        <f>AI28</f>
        <v>2.0021888297872343</v>
      </c>
      <c r="X30" s="582"/>
      <c r="Y30" s="449">
        <f>((W30/19.32)*10)</f>
        <v>1.036329622043082</v>
      </c>
      <c r="Z30" s="450"/>
      <c r="AA30" s="581">
        <f>AJ28</f>
        <v>0.49685534591194969</v>
      </c>
      <c r="AB30" s="582"/>
      <c r="AC30" s="449">
        <f>((AA30/19.32)*10)</f>
        <v>0.25717150409521206</v>
      </c>
      <c r="AD30" s="450"/>
      <c r="AE30" s="581">
        <f>AK28</f>
        <v>0.24842767295597484</v>
      </c>
      <c r="AF30" s="582"/>
      <c r="AG30" s="114">
        <f>((AE30/19.32)*10)</f>
        <v>0.12858575204760603</v>
      </c>
      <c r="AH30" s="104"/>
      <c r="AI30" s="42">
        <v>2.3163138297872337</v>
      </c>
      <c r="AJ30" s="42">
        <v>0.85220125786163514</v>
      </c>
      <c r="AK30" s="42">
        <v>0.42610062893081757</v>
      </c>
      <c r="AO30" s="42">
        <v>3.8439999999999999</v>
      </c>
      <c r="AS30" s="42">
        <f t="shared" si="2"/>
        <v>3.1252032520325201</v>
      </c>
    </row>
    <row r="31" spans="1:45" ht="24.95" customHeight="1" thickBot="1" x14ac:dyDescent="0.3">
      <c r="A31" s="103"/>
      <c r="B31" s="576" t="s">
        <v>74</v>
      </c>
      <c r="C31" s="577"/>
      <c r="D31" s="577"/>
      <c r="E31" s="152">
        <v>527.83000000000004</v>
      </c>
      <c r="F31" s="152">
        <v>439.11</v>
      </c>
      <c r="G31" s="152">
        <v>520.64</v>
      </c>
      <c r="H31" s="153">
        <v>583.79999999999995</v>
      </c>
      <c r="I31" s="174"/>
      <c r="J31" s="597" t="s">
        <v>138</v>
      </c>
      <c r="K31" s="597"/>
      <c r="L31" s="562" t="s">
        <v>116</v>
      </c>
      <c r="M31" s="457">
        <f>IF(M25="","",S82)</f>
        <v>2.7120000000000002</v>
      </c>
      <c r="N31" s="121"/>
      <c r="O31" s="628" t="s">
        <v>135</v>
      </c>
      <c r="P31" s="629"/>
      <c r="Q31" s="122">
        <f>Q30/(1+Q40/100)</f>
        <v>1.9678040463241577</v>
      </c>
      <c r="R31" s="122">
        <f>R30/(1+R40/100)</f>
        <v>1.8572770342556335</v>
      </c>
      <c r="S31" s="123">
        <f>S30/(1+S40/100)</f>
        <v>1.7957935290653451</v>
      </c>
      <c r="T31" s="174"/>
      <c r="U31" s="627">
        <v>0.17499999999999999</v>
      </c>
      <c r="V31" s="624">
        <f>U31*25.4</f>
        <v>4.4449999999999994</v>
      </c>
      <c r="W31" s="593">
        <f>AI29</f>
        <v>2.1738914007092198</v>
      </c>
      <c r="X31" s="594"/>
      <c r="Y31" s="439">
        <f>((W31/19.32)*10)</f>
        <v>1.1252025883588095</v>
      </c>
      <c r="Z31" s="440"/>
      <c r="AA31" s="593">
        <f>AJ29</f>
        <v>0.67106918238993707</v>
      </c>
      <c r="AB31" s="594"/>
      <c r="AC31" s="439">
        <f>((AA31/19.32)*10)</f>
        <v>0.34734429730328004</v>
      </c>
      <c r="AD31" s="440"/>
      <c r="AE31" s="593">
        <f>AK29</f>
        <v>0.33553459119496853</v>
      </c>
      <c r="AF31" s="594"/>
      <c r="AG31" s="443">
        <f>((AE31/19.32)*10)</f>
        <v>0.17367214865164002</v>
      </c>
      <c r="AH31" s="104"/>
      <c r="AI31" s="42">
        <v>2.8334902482269508</v>
      </c>
      <c r="AJ31" s="42">
        <v>1.4081761006289306</v>
      </c>
      <c r="AK31" s="42">
        <v>0.70408805031446531</v>
      </c>
      <c r="AO31" s="42">
        <v>5.516</v>
      </c>
      <c r="AS31" s="42">
        <f t="shared" si="2"/>
        <v>4.4845528455284551</v>
      </c>
    </row>
    <row r="32" spans="1:45" ht="5.0999999999999996" customHeight="1" thickBot="1" x14ac:dyDescent="0.3">
      <c r="A32" s="103"/>
      <c r="B32" s="612" t="s">
        <v>75</v>
      </c>
      <c r="C32" s="613"/>
      <c r="D32" s="614"/>
      <c r="E32" s="618">
        <v>32.229999999999997</v>
      </c>
      <c r="F32" s="618">
        <v>36.450000000000003</v>
      </c>
      <c r="G32" s="618">
        <v>34.56</v>
      </c>
      <c r="H32" s="620">
        <v>37.86</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v>3.245480939716312</v>
      </c>
      <c r="AJ32" s="42">
        <v>1.8446540880503142</v>
      </c>
      <c r="AK32" s="42">
        <v>0.92232704402515708</v>
      </c>
      <c r="AO32" s="42">
        <v>6.7220000000000004</v>
      </c>
      <c r="AS32" s="42">
        <f t="shared" si="2"/>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2.3163138297872337</v>
      </c>
      <c r="X33" s="582"/>
      <c r="Y33" s="449">
        <f>((W33/19.32)*10)</f>
        <v>1.1989202017532266</v>
      </c>
      <c r="Z33" s="450"/>
      <c r="AA33" s="581">
        <f>AJ30</f>
        <v>0.85220125786163514</v>
      </c>
      <c r="AB33" s="582"/>
      <c r="AC33" s="449">
        <f>((AA33/19.32)*10)</f>
        <v>0.44109795955571179</v>
      </c>
      <c r="AD33" s="450"/>
      <c r="AE33" s="581">
        <f>AK30</f>
        <v>0.42610062893081757</v>
      </c>
      <c r="AF33" s="582"/>
      <c r="AG33" s="144">
        <f>((AE33/19.32)*10)</f>
        <v>0.2205489797778559</v>
      </c>
      <c r="AH33" s="104"/>
      <c r="AI33" s="42">
        <v>3.5911139184397163</v>
      </c>
      <c r="AJ33" s="42">
        <v>2.2591194968553459</v>
      </c>
      <c r="AK33" s="42">
        <v>1.1295597484276729</v>
      </c>
      <c r="AO33" s="42">
        <v>7.7720000000000002</v>
      </c>
      <c r="AS33" s="42">
        <f t="shared" si="2"/>
        <v>6.3186991869918705</v>
      </c>
    </row>
    <row r="34" spans="1:45" ht="24.95" customHeight="1" thickBot="1" x14ac:dyDescent="0.3">
      <c r="A34" s="103"/>
      <c r="B34" s="602" t="s">
        <v>10</v>
      </c>
      <c r="C34" s="603"/>
      <c r="D34" s="603"/>
      <c r="E34" s="125">
        <f>((E29-E31)/(E31-E32))*100</f>
        <v>7.5464083938660167</v>
      </c>
      <c r="F34" s="125">
        <f>((F29-F31)/(F31-F32))*100</f>
        <v>9.0994884021258589</v>
      </c>
      <c r="G34" s="125">
        <f>((G29-G31)/(G31-G32))*100</f>
        <v>11.78612574061882</v>
      </c>
      <c r="H34" s="126">
        <f>((H29-H31)/(H31-H32))*100</f>
        <v>13.404403414294624</v>
      </c>
      <c r="I34" s="174"/>
      <c r="J34" s="630" t="s">
        <v>125</v>
      </c>
      <c r="K34" s="630"/>
      <c r="L34" s="184" t="s">
        <v>126</v>
      </c>
      <c r="M34" s="245">
        <v>2.63</v>
      </c>
      <c r="N34" s="128"/>
      <c r="O34" s="631" t="s">
        <v>9</v>
      </c>
      <c r="P34" s="632"/>
      <c r="Q34" s="156">
        <v>374</v>
      </c>
      <c r="R34" s="156">
        <v>7</v>
      </c>
      <c r="S34" s="157">
        <v>79</v>
      </c>
      <c r="T34" s="174"/>
      <c r="U34" s="120">
        <v>0.3</v>
      </c>
      <c r="V34" s="113">
        <f>U34*25.4</f>
        <v>7.6199999999999992</v>
      </c>
      <c r="W34" s="581">
        <f>AI31</f>
        <v>2.8334902482269508</v>
      </c>
      <c r="X34" s="582"/>
      <c r="Y34" s="449">
        <f>((W34/19.32)*10)</f>
        <v>1.4666098593307197</v>
      </c>
      <c r="Z34" s="450"/>
      <c r="AA34" s="449">
        <v>1.4079999999999999</v>
      </c>
      <c r="AB34" s="450"/>
      <c r="AC34" s="449">
        <f>((AA34/19.32)*10)</f>
        <v>0.72877846790890266</v>
      </c>
      <c r="AD34" s="450"/>
      <c r="AE34" s="581">
        <f>AK31</f>
        <v>0.70408805031446531</v>
      </c>
      <c r="AF34" s="582"/>
      <c r="AG34" s="114">
        <f>((AE34/19.32)*10)</f>
        <v>0.36443480865137956</v>
      </c>
      <c r="AH34" s="104"/>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785.75</v>
      </c>
      <c r="R35" s="608">
        <v>652.32000000000005</v>
      </c>
      <c r="S35" s="610">
        <v>752.23</v>
      </c>
      <c r="T35" s="174"/>
      <c r="U35" s="627">
        <v>0.4</v>
      </c>
      <c r="V35" s="624">
        <f>U35*25.4</f>
        <v>10.16</v>
      </c>
      <c r="W35" s="593">
        <f>AI32</f>
        <v>3.245480939716312</v>
      </c>
      <c r="X35" s="594"/>
      <c r="Y35" s="439">
        <f>((W35/19.32)*10)</f>
        <v>1.6798555588593747</v>
      </c>
      <c r="Z35" s="440"/>
      <c r="AA35" s="593">
        <f>AJ32</f>
        <v>1.8446540880503142</v>
      </c>
      <c r="AB35" s="594"/>
      <c r="AC35" s="439">
        <f>(AA35/19.32)*10</f>
        <v>0.95478990064716052</v>
      </c>
      <c r="AD35" s="440"/>
      <c r="AE35" s="593">
        <v>0.89700000000000002</v>
      </c>
      <c r="AF35" s="594"/>
      <c r="AG35" s="443">
        <f>((AE35/19.32)*10)</f>
        <v>0.4642857142857143</v>
      </c>
      <c r="AH35" s="104"/>
      <c r="AS35" s="42">
        <f t="shared" si="2"/>
        <v>0</v>
      </c>
    </row>
    <row r="36" spans="1:45" ht="20.100000000000001" customHeight="1" thickBot="1" x14ac:dyDescent="0.3">
      <c r="A36" s="103"/>
      <c r="B36" s="639" t="s">
        <v>71</v>
      </c>
      <c r="C36" s="640"/>
      <c r="D36" s="640"/>
      <c r="E36" s="130">
        <f>E25/E24</f>
        <v>1.9785847299813781</v>
      </c>
      <c r="F36" s="130">
        <f>F25/F24</f>
        <v>2.0786778398510242</v>
      </c>
      <c r="G36" s="130">
        <f>G25/G24</f>
        <v>2.1759776536312847</v>
      </c>
      <c r="H36" s="131">
        <f>H25/H24</f>
        <v>1.9930167597765363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2"/>
        <v>0</v>
      </c>
    </row>
    <row r="37" spans="1:45" ht="24.95" customHeight="1" thickBot="1" x14ac:dyDescent="0.3">
      <c r="A37" s="103"/>
      <c r="B37" s="602" t="s">
        <v>72</v>
      </c>
      <c r="C37" s="603"/>
      <c r="D37" s="603"/>
      <c r="E37" s="122">
        <f>E36/(1+E34/100)</f>
        <v>1.8397497039001331</v>
      </c>
      <c r="F37" s="230">
        <f>F36/(1+F34/100)</f>
        <v>1.9053048463337432</v>
      </c>
      <c r="G37" s="230">
        <f>G36/(1+G34/100)</f>
        <v>1.946554314513306</v>
      </c>
      <c r="H37" s="123">
        <f>H36/(1+H34/100)</f>
        <v>1.7574421272651537</v>
      </c>
      <c r="I37" s="174"/>
      <c r="J37" s="641" t="s">
        <v>139</v>
      </c>
      <c r="K37" s="641"/>
      <c r="L37" s="643" t="s">
        <v>121</v>
      </c>
      <c r="M37" s="433">
        <f>IF(F74="","",(M42^2*F74+M42*F75+F76))</f>
        <v>1.989111243386243</v>
      </c>
      <c r="N37" s="101"/>
      <c r="O37" s="576" t="s">
        <v>28</v>
      </c>
      <c r="P37" s="577"/>
      <c r="Q37" s="150">
        <v>719.97</v>
      </c>
      <c r="R37" s="152">
        <v>600.30999999999995</v>
      </c>
      <c r="S37" s="153">
        <v>689.67</v>
      </c>
      <c r="T37" s="174"/>
      <c r="U37" s="132">
        <v>0.5</v>
      </c>
      <c r="V37" s="133">
        <f>U37*25.4</f>
        <v>12.7</v>
      </c>
      <c r="W37" s="637">
        <f>AI33</f>
        <v>3.5911139184397163</v>
      </c>
      <c r="X37" s="638"/>
      <c r="Y37" s="431">
        <f>((W37/19.32)*10)</f>
        <v>1.8587546161696253</v>
      </c>
      <c r="Z37" s="432"/>
      <c r="AA37" s="637">
        <f>AJ33</f>
        <v>2.2591194968553459</v>
      </c>
      <c r="AB37" s="638"/>
      <c r="AC37" s="431">
        <f>((AA37/19.32)*10)</f>
        <v>1.1693165097594957</v>
      </c>
      <c r="AD37" s="432"/>
      <c r="AE37" s="637">
        <v>0.995</v>
      </c>
      <c r="AF37" s="638"/>
      <c r="AG37" s="134">
        <f>((AE37/19.32)*10)</f>
        <v>0.51501035196687373</v>
      </c>
      <c r="AH37" s="104"/>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100.64</v>
      </c>
      <c r="R38" s="618">
        <v>100.65</v>
      </c>
      <c r="S38" s="648">
        <v>100.32</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19.513181297619045</v>
      </c>
      <c r="N40" s="103"/>
      <c r="O40" s="628" t="s">
        <v>10</v>
      </c>
      <c r="P40" s="629"/>
      <c r="Q40" s="125">
        <f>((Q35-Q37)/(Q37-Q38))*100</f>
        <v>10.621155119241756</v>
      </c>
      <c r="R40" s="125">
        <f>((R35-R37)/(R37-R38))*100</f>
        <v>10.40907817315777</v>
      </c>
      <c r="S40" s="126">
        <f>((S35-S37)/(S37-S38))*100</f>
        <v>10.615084415033524</v>
      </c>
      <c r="T40" s="174"/>
      <c r="U40" s="645" t="s">
        <v>151</v>
      </c>
      <c r="V40" s="646"/>
      <c r="W40" s="423">
        <f>(AM79/6.9)*100</f>
        <v>11.553927294058212</v>
      </c>
      <c r="X40" s="423"/>
      <c r="Y40" s="423"/>
      <c r="Z40" s="424"/>
      <c r="AA40" s="425">
        <f>(AO79/6.9)*100</f>
        <v>1.8305364811767064</v>
      </c>
      <c r="AB40" s="426"/>
      <c r="AC40" s="427"/>
      <c r="AD40" s="425">
        <f>(AQ79/6.9)*100</f>
        <v>0.91526824058835321</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11.640001958769188</v>
      </c>
      <c r="X41" s="418"/>
      <c r="Y41" s="418"/>
      <c r="Z41" s="419"/>
      <c r="AA41" s="420">
        <f>(AO83/10.3)*100</f>
        <v>4.2825044617059396</v>
      </c>
      <c r="AB41" s="421"/>
      <c r="AC41" s="418"/>
      <c r="AD41" s="420">
        <f>(AQ83/10.3)*100</f>
        <v>2.1412522308529698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10.219576719576718</v>
      </c>
      <c r="N42" s="103"/>
      <c r="O42" s="639" t="s">
        <v>9</v>
      </c>
      <c r="P42" s="640"/>
      <c r="Q42" s="148">
        <v>310</v>
      </c>
      <c r="R42" s="148">
        <v>651</v>
      </c>
      <c r="S42" s="149">
        <v>2</v>
      </c>
      <c r="T42" s="174"/>
      <c r="U42" s="651" t="s">
        <v>42</v>
      </c>
      <c r="V42" s="652"/>
      <c r="W42" s="413">
        <f>IF(W40&lt;W41,W40,W41)</f>
        <v>11.553927294058212</v>
      </c>
      <c r="X42" s="414"/>
      <c r="Y42" s="414"/>
      <c r="Z42" s="415"/>
      <c r="AA42" s="416">
        <f>IF(AA40&lt;AA41,AA40,AA41)</f>
        <v>1.8305364811767064</v>
      </c>
      <c r="AB42" s="414"/>
      <c r="AC42" s="415"/>
      <c r="AD42" s="416">
        <f>IF(AD40&lt;AD41,AD40,AD41)</f>
        <v>0.91526824058835321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18">
        <v>911.47</v>
      </c>
      <c r="R43" s="608">
        <v>838.69</v>
      </c>
      <c r="S43" s="610">
        <v>1087.6500000000001</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794.86</v>
      </c>
      <c r="R45" s="150">
        <v>725.08</v>
      </c>
      <c r="S45" s="153">
        <v>921.19</v>
      </c>
      <c r="T45" s="174"/>
      <c r="U45" s="656" t="s">
        <v>139</v>
      </c>
      <c r="V45" s="656"/>
      <c r="W45" s="179" t="s">
        <v>121</v>
      </c>
      <c r="X45" s="406">
        <f>MAX(M37:M39)</f>
        <v>1.989111243386243</v>
      </c>
      <c r="Y45" s="406"/>
      <c r="Z45" s="406"/>
      <c r="AA45" s="174"/>
      <c r="AB45" s="657" t="s">
        <v>31</v>
      </c>
      <c r="AC45" s="658"/>
      <c r="AD45" s="658"/>
      <c r="AE45" s="658"/>
      <c r="AF45" s="231">
        <v>0.1825</v>
      </c>
      <c r="AG45" s="231">
        <v>9.7500000000000003E-2</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102.03</v>
      </c>
      <c r="R46" s="152">
        <v>101.65</v>
      </c>
      <c r="S46" s="153">
        <v>101.45</v>
      </c>
      <c r="T46" s="174"/>
      <c r="U46" s="555" t="s">
        <v>123</v>
      </c>
      <c r="V46" s="555"/>
      <c r="W46" s="179" t="s">
        <v>41</v>
      </c>
      <c r="X46" s="401">
        <f>MIN(M42:M44)</f>
        <v>10.219576719576718</v>
      </c>
      <c r="Y46" s="401"/>
      <c r="Z46" s="401"/>
      <c r="AA46" s="174"/>
      <c r="AB46" s="660" t="s">
        <v>32</v>
      </c>
      <c r="AC46" s="661"/>
      <c r="AD46" s="661"/>
      <c r="AE46" s="661"/>
      <c r="AF46" s="234">
        <v>0.317</v>
      </c>
      <c r="AG46" s="234">
        <v>0.23749999999999999</v>
      </c>
      <c r="AH46" s="235">
        <v>0.35899999999999999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16.830968635884705</v>
      </c>
      <c r="R47" s="125">
        <f>((R43-R45)/(R45-R46))*100</f>
        <v>18.223377123333815</v>
      </c>
      <c r="S47" s="126">
        <f>((S43-S45)/(S45-S46))*100</f>
        <v>20.306438626881697</v>
      </c>
      <c r="T47" s="174"/>
      <c r="U47" s="555" t="s">
        <v>162</v>
      </c>
      <c r="V47" s="555"/>
      <c r="W47" s="179" t="s">
        <v>41</v>
      </c>
      <c r="X47" s="402">
        <f>IF(L25=D103,"-",IF(L25=D102,"-",IF(L25=D101,M25)))</f>
        <v>0</v>
      </c>
      <c r="Y47" s="402"/>
      <c r="Z47" s="402"/>
      <c r="AA47" s="174"/>
      <c r="AB47" s="662" t="s">
        <v>33</v>
      </c>
      <c r="AC47" s="663"/>
      <c r="AD47" s="663"/>
      <c r="AE47" s="663"/>
      <c r="AF47" s="232">
        <f>(AF46-AF45)*2.54</f>
        <v>0.34163000000000004</v>
      </c>
      <c r="AG47" s="232">
        <f>(AG46-AG45)*2.54</f>
        <v>0.35559999999999997</v>
      </c>
      <c r="AH47" s="239">
        <f>(AH46-AH45)*2.54</f>
        <v>0.37845999999999996</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2.9450862068965522</v>
      </c>
      <c r="AG48" s="142">
        <f>IF(AG47&lt;&gt;"",IF(R24&lt;&gt;"",AG47/R24*100,""),"")</f>
        <v>3.0186757215619693</v>
      </c>
      <c r="AH48" s="173">
        <f>IF(AH47&lt;&gt;"",IF(S24&lt;&gt;"",AH47/S24*100,""),"")</f>
        <v>3.4003593890386341</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v>
      </c>
      <c r="AK50" s="42">
        <v>0.11</v>
      </c>
      <c r="AL50" s="42">
        <v>0.28599999999999998</v>
      </c>
      <c r="AM50" s="42">
        <f>3.59*AL50/22.56</f>
        <v>4.5511524822695028E-2</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5.6000000000000001E-2</v>
      </c>
      <c r="AK51" s="42">
        <v>0.51100000000000001</v>
      </c>
      <c r="AL51" s="42">
        <v>1.9410000000000001</v>
      </c>
      <c r="AM51" s="42">
        <f t="shared" ref="AM51:AM61" si="3">3.59*AL51/22.56</f>
        <v>0.30887367021276596</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0.108</v>
      </c>
      <c r="AK52" s="42">
        <v>1.1910000000000001</v>
      </c>
      <c r="AL52" s="42">
        <v>5.5289999999999999</v>
      </c>
      <c r="AM52" s="42">
        <f t="shared" si="3"/>
        <v>0.87983643617021279</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0.22</v>
      </c>
      <c r="AK53" s="42">
        <v>2.2000000000000002</v>
      </c>
      <c r="AL53" s="42">
        <v>8.0299999999999994</v>
      </c>
      <c r="AM53" s="42">
        <f t="shared" si="3"/>
        <v>1.2778235815602836</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0.38800000000000001</v>
      </c>
      <c r="AK54" s="42">
        <v>3.2109999999999999</v>
      </c>
      <c r="AL54" s="42">
        <v>9.6790000000000003</v>
      </c>
      <c r="AM54" s="42">
        <f t="shared" si="3"/>
        <v>1.5402309397163123</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0.58899999999999997</v>
      </c>
      <c r="AK55" s="42">
        <v>4.2439999999999998</v>
      </c>
      <c r="AL55" s="42">
        <v>11.247999999999999</v>
      </c>
      <c r="AM55" s="42">
        <f t="shared" si="3"/>
        <v>1.7899078014184397</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0.79</v>
      </c>
      <c r="AK56" s="42">
        <v>5.2750000000000004</v>
      </c>
      <c r="AL56" s="42">
        <v>12.582000000000001</v>
      </c>
      <c r="AM56" s="42">
        <f t="shared" si="3"/>
        <v>2.0021888297872343</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1.0669999999999999</v>
      </c>
      <c r="AK57" s="42">
        <v>6.1619999999999999</v>
      </c>
      <c r="AL57" s="42">
        <v>13.661</v>
      </c>
      <c r="AM57" s="42">
        <f t="shared" si="3"/>
        <v>2.1738914007092198</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1.355</v>
      </c>
      <c r="AK58" s="42">
        <v>6.875</v>
      </c>
      <c r="AL58" s="42">
        <v>14.555999999999999</v>
      </c>
      <c r="AM58" s="42">
        <f t="shared" si="3"/>
        <v>2.3163138297872337</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2.2389999999999999</v>
      </c>
      <c r="AK59" s="42">
        <v>9.5739999999999998</v>
      </c>
      <c r="AL59" s="42">
        <v>17.806000000000001</v>
      </c>
      <c r="AM59" s="42">
        <f t="shared" si="3"/>
        <v>2.8334902482269508</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2.9329999999999998</v>
      </c>
      <c r="AK60" s="42">
        <v>11.885999999999999</v>
      </c>
      <c r="AL60" s="42">
        <v>20.395</v>
      </c>
      <c r="AM60" s="42">
        <f t="shared" si="3"/>
        <v>3.245480939716312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3.5920000000000001</v>
      </c>
      <c r="AK61" s="42">
        <v>13.981999999999999</v>
      </c>
      <c r="AL61" s="42">
        <v>22.567</v>
      </c>
      <c r="AM61" s="42">
        <f t="shared" si="3"/>
        <v>3.5911139184397163</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-1.89E-2</v>
      </c>
      <c r="G74" s="75">
        <v>-0.12509999999999999</v>
      </c>
      <c r="J74" s="701"/>
      <c r="K74" s="702"/>
      <c r="L74" s="44"/>
      <c r="M74" s="44"/>
      <c r="N74" s="44"/>
    </row>
    <row r="75" spans="1:94" ht="26.25" customHeight="1" thickBot="1" x14ac:dyDescent="0.3">
      <c r="A75" s="11"/>
      <c r="B75" s="377" t="s">
        <v>113</v>
      </c>
      <c r="C75" s="377"/>
      <c r="D75" s="19"/>
      <c r="E75" s="54" t="s">
        <v>12</v>
      </c>
      <c r="F75" s="55">
        <v>0.38629999999999998</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1.52E-2</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0.215</v>
      </c>
      <c r="AM76" s="3">
        <f t="shared" si="4"/>
        <v>0.11128364389233954</v>
      </c>
      <c r="AN76" s="5">
        <f>AA23</f>
        <v>3.5220125786163521E-2</v>
      </c>
      <c r="AO76" s="3">
        <f t="shared" ref="AO76:AO86" si="7">((AN76/19.32)*10)</f>
        <v>1.822987877130617E-2</v>
      </c>
      <c r="AP76" s="5">
        <f>AE23</f>
        <v>1.7610062893081761E-2</v>
      </c>
      <c r="AQ76" s="161">
        <f t="shared" si="5"/>
        <v>9.1149393856530848E-3</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0.60599999999999998</v>
      </c>
      <c r="AM77" s="3">
        <f t="shared" si="4"/>
        <v>0.31366459627329191</v>
      </c>
      <c r="AN77" s="5">
        <f>AA24</f>
        <v>6.7924528301886791E-2</v>
      </c>
      <c r="AO77" s="3">
        <f t="shared" si="7"/>
        <v>3.5157623344661902E-2</v>
      </c>
      <c r="AP77" s="5">
        <f>AE24</f>
        <v>3.3962264150943396E-2</v>
      </c>
      <c r="AQ77" s="161">
        <f t="shared" si="5"/>
        <v>1.7578811672330951E-2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1.0980000000000001</v>
      </c>
      <c r="AM78" s="3">
        <f t="shared" si="4"/>
        <v>0.56832298136645965</v>
      </c>
      <c r="AN78" s="5">
        <f>AA25</f>
        <v>0.13836477987421383</v>
      </c>
      <c r="AO78" s="3">
        <f t="shared" si="7"/>
        <v>7.1617380887274235E-2</v>
      </c>
      <c r="AP78" s="5">
        <f>AE25</f>
        <v>6.9182389937106917E-2</v>
      </c>
      <c r="AQ78" s="161">
        <f t="shared" si="5"/>
        <v>3.5808690443637117E-2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1.5402309397163123</v>
      </c>
      <c r="AM79" s="4">
        <f t="shared" si="4"/>
        <v>0.79722098329001667</v>
      </c>
      <c r="AN79" s="5">
        <f>AA26</f>
        <v>0.2440251572327044</v>
      </c>
      <c r="AO79" s="4">
        <f t="shared" si="7"/>
        <v>0.12630701720119275</v>
      </c>
      <c r="AP79" s="5">
        <f>AE26</f>
        <v>0.1220125786163522</v>
      </c>
      <c r="AQ79" s="162">
        <f t="shared" si="5"/>
        <v>6.3153508600596375E-2</v>
      </c>
      <c r="BB79" s="12">
        <v>17</v>
      </c>
      <c r="BC79" s="12">
        <v>18</v>
      </c>
    </row>
    <row r="80" spans="1:94" ht="42" customHeight="1" thickTop="1" thickBot="1" x14ac:dyDescent="0.3">
      <c r="D80" s="49"/>
      <c r="H80" s="711" t="s">
        <v>105</v>
      </c>
      <c r="I80" s="712"/>
      <c r="J80" s="58"/>
      <c r="AJ80" s="160">
        <f>U28</f>
        <v>0.125</v>
      </c>
      <c r="AK80" s="3">
        <f t="shared" si="6"/>
        <v>3.1749999999999998</v>
      </c>
      <c r="AL80" s="5">
        <f>W28</f>
        <v>1.7899078014184397</v>
      </c>
      <c r="AM80" s="3">
        <f t="shared" si="4"/>
        <v>0.92645331336358161</v>
      </c>
      <c r="AN80" s="5">
        <f>AA28</f>
        <v>0.37044025157232702</v>
      </c>
      <c r="AO80" s="3">
        <f t="shared" si="7"/>
        <v>0.1917392606482024</v>
      </c>
      <c r="AP80" s="5">
        <f>AE28</f>
        <v>0.18522012578616351</v>
      </c>
      <c r="AQ80" s="161">
        <f t="shared" si="5"/>
        <v>9.5869630324101202E-2</v>
      </c>
      <c r="BC80" s="45">
        <v>0.99880400000000003</v>
      </c>
      <c r="BD80" s="45">
        <v>0.99862499999999998</v>
      </c>
    </row>
    <row r="81" spans="2:43" ht="15.75" customHeight="1" x14ac:dyDescent="0.25">
      <c r="AJ81" s="160">
        <f>U30</f>
        <v>0.15</v>
      </c>
      <c r="AK81" s="3">
        <f t="shared" si="6"/>
        <v>3.8099999999999996</v>
      </c>
      <c r="AL81" s="5">
        <f>W30</f>
        <v>2.0021888297872343</v>
      </c>
      <c r="AM81" s="3">
        <f t="shared" si="4"/>
        <v>1.036329622043082</v>
      </c>
      <c r="AN81" s="5">
        <f>AA30</f>
        <v>0.49685534591194969</v>
      </c>
      <c r="AO81" s="3">
        <f t="shared" si="7"/>
        <v>0.25717150409521206</v>
      </c>
      <c r="AP81" s="5">
        <f>AE30</f>
        <v>0.24842767295597484</v>
      </c>
      <c r="AQ81" s="161">
        <f t="shared" si="5"/>
        <v>0.12858575204760603</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2.1738914007092198</v>
      </c>
      <c r="AM82" s="3">
        <f t="shared" si="4"/>
        <v>1.1252025883588095</v>
      </c>
      <c r="AN82" s="5">
        <f>AA31</f>
        <v>0.67106918238993707</v>
      </c>
      <c r="AO82" s="3">
        <f t="shared" si="7"/>
        <v>0.34734429730328004</v>
      </c>
      <c r="AP82" s="5">
        <f>AE31</f>
        <v>0.33553459119496853</v>
      </c>
      <c r="AQ82" s="161">
        <f t="shared" si="5"/>
        <v>0.17367214865164002</v>
      </c>
    </row>
    <row r="83" spans="2:43" ht="15" customHeight="1" x14ac:dyDescent="0.25">
      <c r="B83" s="49"/>
      <c r="C83" s="49"/>
      <c r="D83" s="49">
        <v>0</v>
      </c>
      <c r="E83" s="50">
        <f>M42</f>
        <v>10.219576719576718</v>
      </c>
      <c r="F83" s="49"/>
      <c r="G83" s="43">
        <f>G84/10</f>
        <v>2.1527688101259006</v>
      </c>
      <c r="H83" s="43">
        <f>H84/10</f>
        <v>2.081816796894413</v>
      </c>
      <c r="I83" s="43">
        <f>I84/10</f>
        <v>1.9695259751548757</v>
      </c>
      <c r="J83" s="43">
        <f>J84/10</f>
        <v>1.9075502336527699</v>
      </c>
      <c r="K83" s="43"/>
      <c r="L83" s="42">
        <v>0</v>
      </c>
      <c r="O83" s="706"/>
      <c r="P83" s="706"/>
      <c r="Q83" s="706"/>
      <c r="R83" s="706"/>
      <c r="S83" s="707"/>
      <c r="W83" s="112"/>
      <c r="AJ83" s="160">
        <f>U33</f>
        <v>0.2</v>
      </c>
      <c r="AK83" s="4">
        <f t="shared" si="6"/>
        <v>5.08</v>
      </c>
      <c r="AL83" s="5">
        <f>W33</f>
        <v>2.3163138297872337</v>
      </c>
      <c r="AM83" s="4">
        <f t="shared" si="4"/>
        <v>1.1989202017532266</v>
      </c>
      <c r="AN83" s="5">
        <f>AA33</f>
        <v>0.85220125786163514</v>
      </c>
      <c r="AO83" s="4">
        <f t="shared" si="7"/>
        <v>0.44109795955571179</v>
      </c>
      <c r="AP83" s="5">
        <f>AE33</f>
        <v>0.42610062893081757</v>
      </c>
      <c r="AQ83" s="162">
        <f t="shared" si="5"/>
        <v>0.2205489797778559</v>
      </c>
    </row>
    <row r="84" spans="2:43" ht="15" customHeight="1" x14ac:dyDescent="0.25">
      <c r="C84" s="94"/>
      <c r="D84" s="94"/>
      <c r="E84" s="94"/>
      <c r="F84" s="49"/>
      <c r="G84" s="43">
        <f>($M$34/(1+(E34*$M$34/100)))*($O$73)</f>
        <v>21.527688101259006</v>
      </c>
      <c r="H84" s="43">
        <f>($M$34/(1+(F34*$M$34/100)))*($O$73)</f>
        <v>20.818167968944131</v>
      </c>
      <c r="I84" s="43">
        <f>($M$34/(1+(G34*$M$34/100)))*($O$73)</f>
        <v>19.695259751548758</v>
      </c>
      <c r="J84" s="43">
        <f>($M$34/(1+(H34*$M$34/100)))*($O$73)</f>
        <v>19.075502336527698</v>
      </c>
      <c r="K84" s="43"/>
      <c r="O84" s="706" t="s">
        <v>146</v>
      </c>
      <c r="P84" s="706"/>
      <c r="Q84" s="706"/>
      <c r="R84" s="706"/>
      <c r="S84" s="707">
        <v>2240</v>
      </c>
      <c r="W84" s="112"/>
      <c r="AJ84" s="160">
        <f>U34</f>
        <v>0.3</v>
      </c>
      <c r="AK84" s="3">
        <f t="shared" si="6"/>
        <v>7.6199999999999992</v>
      </c>
      <c r="AL84" s="5">
        <f>W34</f>
        <v>2.8334902482269508</v>
      </c>
      <c r="AM84" s="3">
        <f t="shared" si="4"/>
        <v>1.4666098593307197</v>
      </c>
      <c r="AN84" s="5">
        <f>AA34</f>
        <v>1.4079999999999999</v>
      </c>
      <c r="AO84" s="3">
        <f t="shared" si="7"/>
        <v>0.72877846790890266</v>
      </c>
      <c r="AP84" s="5">
        <f>AE34</f>
        <v>0.70408805031446531</v>
      </c>
      <c r="AQ84" s="161">
        <f t="shared" si="5"/>
        <v>0.36443480865137956</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3.245480939716312</v>
      </c>
      <c r="AM85" s="3">
        <f t="shared" si="4"/>
        <v>1.6798555588593747</v>
      </c>
      <c r="AN85" s="5">
        <f>AA35</f>
        <v>1.8446540880503142</v>
      </c>
      <c r="AO85" s="3">
        <f t="shared" si="7"/>
        <v>0.95478990064716052</v>
      </c>
      <c r="AP85" s="5">
        <f>AE35</f>
        <v>0.89700000000000002</v>
      </c>
      <c r="AQ85" s="161">
        <f>((AP85/19.32)*10)</f>
        <v>0.4642857142857143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3.5911139184397163</v>
      </c>
      <c r="AM86" s="164">
        <f t="shared" si="4"/>
        <v>1.8587546161696253</v>
      </c>
      <c r="AN86" s="165">
        <f>AA37</f>
        <v>2.2591194968553459</v>
      </c>
      <c r="AO86" s="164">
        <f t="shared" si="7"/>
        <v>1.1693165097594957</v>
      </c>
      <c r="AP86" s="165">
        <f>AE37</f>
        <v>0.995</v>
      </c>
      <c r="AQ86" s="166">
        <f>((AP86/19.32)*10)</f>
        <v>0.51501035196687373</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1.9678040463241577</v>
      </c>
      <c r="AK91" s="9">
        <f>R31</f>
        <v>1.8572770342556335</v>
      </c>
      <c r="AL91" s="10">
        <f>S31</f>
        <v>1.7957935290653451</v>
      </c>
    </row>
    <row r="92" spans="2:43" ht="21" customHeight="1" thickBot="1" x14ac:dyDescent="0.3">
      <c r="B92" s="92"/>
      <c r="C92" s="93"/>
      <c r="D92" s="93"/>
      <c r="E92" s="93"/>
      <c r="F92" s="62"/>
      <c r="G92" s="63"/>
      <c r="H92" s="49"/>
      <c r="I92" s="49"/>
      <c r="O92" s="725" t="s">
        <v>147</v>
      </c>
      <c r="P92" s="726"/>
      <c r="Q92" s="726"/>
      <c r="R92" s="726"/>
      <c r="S92" s="61">
        <f>M42</f>
        <v>10.219576719576718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11.553927294058212</v>
      </c>
      <c r="AK94" s="158">
        <f>AA42</f>
        <v>1.8305364811767064</v>
      </c>
      <c r="AL94" s="158">
        <f>AD42</f>
        <v>0.91526824058835321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784" priority="47">
      <formula>LEN(TRIM(D6))=0</formula>
    </cfRule>
  </conditionalFormatting>
  <conditionalFormatting sqref="D6:H10">
    <cfRule type="containsBlanks" dxfId="783" priority="46">
      <formula>LEN(TRIM(D6))=0</formula>
    </cfRule>
  </conditionalFormatting>
  <conditionalFormatting sqref="M19">
    <cfRule type="containsBlanks" dxfId="782" priority="45">
      <formula>LEN(TRIM(M19))=0</formula>
    </cfRule>
  </conditionalFormatting>
  <conditionalFormatting sqref="CP70">
    <cfRule type="containsBlanks" dxfId="781" priority="44">
      <formula>LEN(TRIM(CP70))=0</formula>
    </cfRule>
  </conditionalFormatting>
  <conditionalFormatting sqref="M21">
    <cfRule type="containsBlanks" dxfId="780" priority="43">
      <formula>LEN(TRIM(M21))=0</formula>
    </cfRule>
  </conditionalFormatting>
  <conditionalFormatting sqref="D12:M12">
    <cfRule type="containsBlanks" dxfId="779" priority="42">
      <formula>LEN(TRIM(D12))=0</formula>
    </cfRule>
  </conditionalFormatting>
  <conditionalFormatting sqref="L9:M9">
    <cfRule type="containsBlanks" dxfId="778" priority="41">
      <formula>LEN(TRIM(L9))=0</formula>
    </cfRule>
  </conditionalFormatting>
  <conditionalFormatting sqref="L25">
    <cfRule type="containsBlanks" dxfId="777" priority="40">
      <formula>LEN(TRIM(L25))=0</formula>
    </cfRule>
  </conditionalFormatting>
  <conditionalFormatting sqref="Q20:S21">
    <cfRule type="containsBlanks" dxfId="776" priority="33">
      <formula>LEN(TRIM(Q20))=0</formula>
    </cfRule>
    <cfRule type="containsBlanks" dxfId="775" priority="39">
      <formula>LEN(TRIM(Q20))=0</formula>
    </cfRule>
  </conditionalFormatting>
  <conditionalFormatting sqref="U26:V27 AC33 AC26">
    <cfRule type="cellIs" dxfId="774" priority="38" operator="between">
      <formula>0</formula>
      <formula>500</formula>
    </cfRule>
  </conditionalFormatting>
  <conditionalFormatting sqref="U33:V33">
    <cfRule type="cellIs" dxfId="773" priority="37" operator="between">
      <formula>0</formula>
      <formula>500</formula>
    </cfRule>
  </conditionalFormatting>
  <conditionalFormatting sqref="AF45:AH46">
    <cfRule type="containsBlanks" dxfId="772" priority="36">
      <formula>LEN(TRIM(AF45))=0</formula>
    </cfRule>
  </conditionalFormatting>
  <conditionalFormatting sqref="AF51:AG53">
    <cfRule type="containsBlanks" dxfId="771" priority="35">
      <formula>LEN(TRIM(AF51))=0</formula>
    </cfRule>
  </conditionalFormatting>
  <conditionalFormatting sqref="E20:H24">
    <cfRule type="containsBlanks" dxfId="770" priority="34">
      <formula>LEN(TRIM(E20))=0</formula>
    </cfRule>
  </conditionalFormatting>
  <conditionalFormatting sqref="M25">
    <cfRule type="containsBlanks" dxfId="769" priority="32">
      <formula>LEN(TRIM(M25))=0</formula>
    </cfRule>
  </conditionalFormatting>
  <conditionalFormatting sqref="U26:V27 Y26:Z27 AC26:AD27 AG26:AG27">
    <cfRule type="containsBlanks" dxfId="768" priority="30">
      <formula>LEN(TRIM(U26))=0</formula>
    </cfRule>
    <cfRule type="cellIs" dxfId="767" priority="31" operator="between">
      <formula>0</formula>
      <formula>1000</formula>
    </cfRule>
  </conditionalFormatting>
  <conditionalFormatting sqref="W87:W88">
    <cfRule type="cellIs" dxfId="766" priority="29" operator="between">
      <formula>0</formula>
      <formula>500</formula>
    </cfRule>
  </conditionalFormatting>
  <conditionalFormatting sqref="W94">
    <cfRule type="cellIs" dxfId="765" priority="28" operator="between">
      <formula>0</formula>
      <formula>500</formula>
    </cfRule>
  </conditionalFormatting>
  <conditionalFormatting sqref="W87:W88">
    <cfRule type="containsBlanks" dxfId="764" priority="26">
      <formula>LEN(TRIM(W87))=0</formula>
    </cfRule>
    <cfRule type="cellIs" dxfId="763" priority="27" operator="between">
      <formula>0</formula>
      <formula>1000</formula>
    </cfRule>
  </conditionalFormatting>
  <conditionalFormatting sqref="U33:V33 Y33:Z33 AC33:AD33 AG33">
    <cfRule type="cellIs" dxfId="762" priority="25" operator="between">
      <formula>0</formula>
      <formula>1000</formula>
    </cfRule>
  </conditionalFormatting>
  <conditionalFormatting sqref="Q27:S27">
    <cfRule type="containsBlanks" dxfId="761" priority="23">
      <formula>LEN(TRIM(Q27))=0</formula>
    </cfRule>
    <cfRule type="containsBlanks" dxfId="760" priority="24">
      <formula>LEN(TRIM(Q27))=0</formula>
    </cfRule>
  </conditionalFormatting>
  <conditionalFormatting sqref="W30:W31 W33:W35 W37 W28 W22:W26">
    <cfRule type="containsBlanks" dxfId="759" priority="22">
      <formula>LEN(TRIM(W22))=0</formula>
    </cfRule>
  </conditionalFormatting>
  <conditionalFormatting sqref="W37 W30:W31 W33:W35 W28 W22:W26">
    <cfRule type="containsBlanks" dxfId="758" priority="21">
      <formula>LEN(TRIM(W22))=0</formula>
    </cfRule>
  </conditionalFormatting>
  <conditionalFormatting sqref="W33:X33">
    <cfRule type="cellIs" dxfId="757" priority="20" operator="between">
      <formula>0</formula>
      <formula>1000</formula>
    </cfRule>
  </conditionalFormatting>
  <conditionalFormatting sqref="W30:X37 W26 W28 W22:X25">
    <cfRule type="containsBlanks" dxfId="756" priority="19">
      <formula>LEN(TRIM(W22))=0</formula>
    </cfRule>
  </conditionalFormatting>
  <conditionalFormatting sqref="AA37 AA30:AA31 AA33 AA22:AA26 AA28 AA35">
    <cfRule type="containsBlanks" dxfId="755" priority="18">
      <formula>LEN(TRIM(AA22))=0</formula>
    </cfRule>
  </conditionalFormatting>
  <conditionalFormatting sqref="AA37 AA30:AA31 AA33 AA22:AA26 AA28 AA35">
    <cfRule type="containsBlanks" dxfId="754" priority="17">
      <formula>LEN(TRIM(AA22))=0</formula>
    </cfRule>
  </conditionalFormatting>
  <conditionalFormatting sqref="AA33:AB33">
    <cfRule type="cellIs" dxfId="753" priority="16" operator="between">
      <formula>0</formula>
      <formula>1000</formula>
    </cfRule>
  </conditionalFormatting>
  <conditionalFormatting sqref="AA30:AB30 AA31 AA33:AB33 AA22:AB25 AA26 AA28 AA35:AB37">
    <cfRule type="containsBlanks" dxfId="752" priority="15">
      <formula>LEN(TRIM(AA22))=0</formula>
    </cfRule>
  </conditionalFormatting>
  <conditionalFormatting sqref="AE37 AE28 AE30:AE31 AE33:AE35 AE22:AE26">
    <cfRule type="containsBlanks" dxfId="751" priority="14">
      <formula>LEN(TRIM(AE22))=0</formula>
    </cfRule>
  </conditionalFormatting>
  <conditionalFormatting sqref="AE37 AE28 AE30:AE31 AE33:AE35 AE22:AE26">
    <cfRule type="containsBlanks" dxfId="750" priority="13">
      <formula>LEN(TRIM(AE22))=0</formula>
    </cfRule>
  </conditionalFormatting>
  <conditionalFormatting sqref="AE33:AF33">
    <cfRule type="cellIs" dxfId="749" priority="12" operator="between">
      <formula>0</formula>
      <formula>1000</formula>
    </cfRule>
  </conditionalFormatting>
  <conditionalFormatting sqref="AE33:AF37 AE26 AE28 AE30:AE31 AE22:AF25">
    <cfRule type="containsBlanks" dxfId="748" priority="11">
      <formula>LEN(TRIM(AE22))=0</formula>
    </cfRule>
  </conditionalFormatting>
  <conditionalFormatting sqref="K6:M6">
    <cfRule type="containsBlanks" dxfId="747" priority="10">
      <formula>LEN(TRIM(K6))=0</formula>
    </cfRule>
  </conditionalFormatting>
  <conditionalFormatting sqref="K7:K8">
    <cfRule type="containsBlanks" dxfId="746" priority="9">
      <formula>LEN(TRIM(K7))=0</formula>
    </cfRule>
  </conditionalFormatting>
  <conditionalFormatting sqref="D13:M13">
    <cfRule type="containsBlanks" dxfId="745" priority="8">
      <formula>LEN(TRIM(D13))=0</formula>
    </cfRule>
  </conditionalFormatting>
  <conditionalFormatting sqref="B6:B10">
    <cfRule type="containsBlanks" dxfId="744" priority="7">
      <formula>LEN(TRIM(B6))=0</formula>
    </cfRule>
  </conditionalFormatting>
  <conditionalFormatting sqref="B12:B13">
    <cfRule type="containsBlanks" dxfId="743" priority="6">
      <formula>LEN(TRIM(B12))=0</formula>
    </cfRule>
  </conditionalFormatting>
  <conditionalFormatting sqref="E28:H33">
    <cfRule type="containsBlanks" dxfId="742" priority="5">
      <formula>LEN(TRIM(E28))=0</formula>
    </cfRule>
  </conditionalFormatting>
  <conditionalFormatting sqref="Q22:S26">
    <cfRule type="containsBlanks" dxfId="741" priority="3">
      <formula>LEN(TRIM(Q22))=0</formula>
    </cfRule>
    <cfRule type="containsBlanks" dxfId="740" priority="4">
      <formula>LEN(TRIM(Q22))=0</formula>
    </cfRule>
  </conditionalFormatting>
  <conditionalFormatting sqref="Q34:S39">
    <cfRule type="containsBlanks" dxfId="739" priority="2">
      <formula>LEN(TRIM(Q34))=0</formula>
    </cfRule>
  </conditionalFormatting>
  <conditionalFormatting sqref="Q42:S46">
    <cfRule type="containsBlanks" dxfId="738" priority="1">
      <formula>LEN(TRIM(Q42))=0</formula>
    </cfRule>
  </conditionalFormatting>
  <dataValidations count="5">
    <dataValidation type="list" allowBlank="1" showInputMessage="1" showErrorMessage="1" sqref="L25" xr:uid="{00000000-0002-0000-2B00-000000000000}">
      <formula1>$D$101:$D$104</formula1>
    </dataValidation>
    <dataValidation type="list" allowBlank="1" showInputMessage="1" showErrorMessage="1" sqref="M21" xr:uid="{00000000-0002-0000-2B00-000001000000}">
      <formula1>$AX$3:$AX$4</formula1>
    </dataValidation>
    <dataValidation type="list" allowBlank="1" showInputMessage="1" showErrorMessage="1" sqref="M19" xr:uid="{00000000-0002-0000-2B00-000002000000}">
      <formula1>$AX$3:$AX$5</formula1>
    </dataValidation>
    <dataValidation type="list" allowBlank="1" showInputMessage="1" showErrorMessage="1" sqref="CP70" xr:uid="{00000000-0002-0000-2B00-000003000000}">
      <formula1>$BA$3:$BA$5</formula1>
    </dataValidation>
    <dataValidation type="list" allowBlank="1" showInputMessage="1" showErrorMessage="1" sqref="D12:E12" xr:uid="{00000000-0002-0000-2B00-000004000000}">
      <formula1>$B$87:$B$94</formula1>
    </dataValidation>
  </dataValidations>
  <hyperlinks>
    <hyperlink ref="D8" r:id="rId1" xr:uid="{00000000-0004-0000-2B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75105"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75106"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75107"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7510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7510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75110"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75111"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7511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7511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7511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87">
    <tabColor theme="4" tint="0.79998168889431442"/>
  </sheetPr>
  <dimension ref="A1:CP153"/>
  <sheetViews>
    <sheetView view="pageBreakPreview" topLeftCell="N24" zoomScale="86" zoomScaleNormal="100" zoomScaleSheetLayoutView="86"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25-P-CENCAR AP1-1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25-P-CENCAR AP1-1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284</v>
      </c>
      <c r="G12" s="31" t="s">
        <v>4</v>
      </c>
      <c r="H12" s="146">
        <v>1</v>
      </c>
      <c r="I12" s="546" t="s">
        <v>5</v>
      </c>
      <c r="J12" s="546"/>
      <c r="K12" s="209">
        <v>0.2</v>
      </c>
      <c r="L12" s="32" t="s">
        <v>6</v>
      </c>
      <c r="M12" s="147">
        <v>1</v>
      </c>
      <c r="N12" s="78"/>
      <c r="O12" s="501" t="s">
        <v>3</v>
      </c>
      <c r="P12" s="501"/>
      <c r="Q12" s="225" t="s">
        <v>234</v>
      </c>
      <c r="R12" s="224" t="str">
        <f>F12</f>
        <v>P-CENCAR AP1</v>
      </c>
      <c r="S12" s="224"/>
      <c r="T12" s="502" t="s">
        <v>4</v>
      </c>
      <c r="U12" s="502"/>
      <c r="V12" s="33">
        <f>+H12</f>
        <v>1</v>
      </c>
      <c r="W12" s="547" t="s">
        <v>5</v>
      </c>
      <c r="X12" s="547"/>
      <c r="Y12" s="547"/>
      <c r="Z12" s="547"/>
      <c r="AA12" s="547"/>
      <c r="AB12" s="547"/>
      <c r="AC12" s="34">
        <f>K12</f>
        <v>0.2</v>
      </c>
      <c r="AD12" s="548" t="s">
        <v>6</v>
      </c>
      <c r="AE12" s="548"/>
      <c r="AF12" s="35">
        <f>+M12</f>
        <v>1</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285</v>
      </c>
      <c r="E13" s="479"/>
      <c r="F13" s="479"/>
      <c r="G13" s="479"/>
      <c r="H13" s="479"/>
      <c r="I13" s="479"/>
      <c r="J13" s="479"/>
      <c r="K13" s="479"/>
      <c r="L13" s="479"/>
      <c r="M13" s="480"/>
      <c r="N13" s="188"/>
      <c r="O13" s="526" t="s">
        <v>130</v>
      </c>
      <c r="P13" s="526"/>
      <c r="Q13" s="527" t="str">
        <f>D13</f>
        <v>GRAVAS ANGULARES CON ARCILLA Y ARENA,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554</v>
      </c>
      <c r="R20" s="156">
        <v>405</v>
      </c>
      <c r="S20" s="157">
        <v>526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7234</v>
      </c>
      <c r="F22" s="150">
        <v>7559</v>
      </c>
      <c r="G22" s="150">
        <v>7768</v>
      </c>
      <c r="H22" s="151">
        <v>7365</v>
      </c>
      <c r="I22" s="174"/>
      <c r="J22" s="578"/>
      <c r="K22" s="578"/>
      <c r="L22" s="578"/>
      <c r="M22" s="104"/>
      <c r="N22" s="103"/>
      <c r="O22" s="579" t="s">
        <v>132</v>
      </c>
      <c r="P22" s="580"/>
      <c r="Q22" s="219">
        <v>8602</v>
      </c>
      <c r="R22" s="219">
        <v>7785</v>
      </c>
      <c r="S22" s="208">
        <v>8156</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v>5.0088235294117656E-2</v>
      </c>
      <c r="AJ22" s="42">
        <v>4.0880503144654086E-2</v>
      </c>
      <c r="AK22" s="42">
        <v>4.9885550786838333E-3</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3816</v>
      </c>
      <c r="R23" s="150">
        <v>3645</v>
      </c>
      <c r="S23" s="151">
        <v>3674</v>
      </c>
      <c r="T23" s="174"/>
      <c r="U23" s="112">
        <v>2.5000000000000001E-2</v>
      </c>
      <c r="V23" s="113">
        <f>U23*25.4</f>
        <v>0.63500000000000001</v>
      </c>
      <c r="W23" s="581">
        <f>AI23</f>
        <v>0.26628104575163403</v>
      </c>
      <c r="X23" s="582"/>
      <c r="Y23" s="449">
        <f>((W23/19.32)*10)</f>
        <v>0.13782662823583541</v>
      </c>
      <c r="Z23" s="450"/>
      <c r="AA23" s="581">
        <f>AJ23</f>
        <v>8.9937106918238988E-2</v>
      </c>
      <c r="AB23" s="582"/>
      <c r="AC23" s="449">
        <f>((AA23/19.32)*10)</f>
        <v>4.6551297576728254E-2</v>
      </c>
      <c r="AD23" s="450"/>
      <c r="AE23" s="581">
        <f>AK23</f>
        <v>2.3174105865522172E-2</v>
      </c>
      <c r="AF23" s="582"/>
      <c r="AG23" s="114">
        <f>((AE23/19.32)*10)</f>
        <v>1.1994878812382075E-2</v>
      </c>
      <c r="AH23" s="104"/>
      <c r="AI23" s="42">
        <v>0.26628104575163403</v>
      </c>
      <c r="AJ23" s="42">
        <v>8.9937106918238988E-2</v>
      </c>
      <c r="AK23" s="42">
        <v>2.3174105865522172E-2</v>
      </c>
      <c r="AO23" s="42">
        <v>0.247</v>
      </c>
      <c r="AS23" s="42">
        <f t="shared" ref="AS23:AS37" si="2">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11.01</v>
      </c>
      <c r="S24" s="153">
        <v>11.65</v>
      </c>
      <c r="T24" s="174"/>
      <c r="U24" s="112">
        <v>0.05</v>
      </c>
      <c r="V24" s="113">
        <f>U24*25.4</f>
        <v>1.27</v>
      </c>
      <c r="W24" s="581">
        <f>AI24</f>
        <v>0.5154379084967321</v>
      </c>
      <c r="X24" s="582"/>
      <c r="Y24" s="449">
        <f>((W24/19.32)*10)</f>
        <v>0.26678980771052385</v>
      </c>
      <c r="Z24" s="450"/>
      <c r="AA24" s="581">
        <f>AJ24</f>
        <v>0.14402515723270401</v>
      </c>
      <c r="AB24" s="582"/>
      <c r="AC24" s="449">
        <f>((AA24/19.32)*10)</f>
        <v>7.454718283266254E-2</v>
      </c>
      <c r="AD24" s="450"/>
      <c r="AE24" s="581">
        <f>AK24</f>
        <v>5.401244635193133E-2</v>
      </c>
      <c r="AF24" s="582"/>
      <c r="AG24" s="114">
        <f>((AE24/19.32)*10)</f>
        <v>2.7956752770150792E-2</v>
      </c>
      <c r="AH24" s="104"/>
      <c r="AI24" s="42">
        <v>0.5154379084967321</v>
      </c>
      <c r="AJ24" s="42">
        <v>0.14402515723270401</v>
      </c>
      <c r="AK24" s="42">
        <v>5.401244635193133E-2</v>
      </c>
      <c r="AO24" s="42">
        <v>0.68400000000000005</v>
      </c>
      <c r="AS24" s="42">
        <f t="shared" si="2"/>
        <v>0.55609756097560981</v>
      </c>
    </row>
    <row r="25" spans="1:45" ht="24.95" customHeight="1" thickBot="1" x14ac:dyDescent="0.3">
      <c r="A25" s="103"/>
      <c r="B25" s="602" t="s">
        <v>69</v>
      </c>
      <c r="C25" s="603"/>
      <c r="D25" s="603"/>
      <c r="E25" s="115">
        <f>E22-E23</f>
        <v>4350</v>
      </c>
      <c r="F25" s="115">
        <f>F22-F23</f>
        <v>4675</v>
      </c>
      <c r="G25" s="115">
        <f>G22-G23</f>
        <v>4884</v>
      </c>
      <c r="H25" s="116">
        <f>H22-H23</f>
        <v>4481</v>
      </c>
      <c r="I25" s="174"/>
      <c r="J25" s="174" t="s">
        <v>127</v>
      </c>
      <c r="K25" s="174"/>
      <c r="L25" s="218" t="s">
        <v>128</v>
      </c>
      <c r="M25" s="155">
        <v>24.12</v>
      </c>
      <c r="N25" s="103"/>
      <c r="O25" s="604" t="s">
        <v>46</v>
      </c>
      <c r="P25" s="605"/>
      <c r="Q25" s="608">
        <v>15.2</v>
      </c>
      <c r="R25" s="608">
        <v>15.01</v>
      </c>
      <c r="S25" s="620">
        <v>15.63</v>
      </c>
      <c r="T25" s="174"/>
      <c r="U25" s="112">
        <v>7.4999999999999997E-2</v>
      </c>
      <c r="V25" s="113">
        <f>U25*25.4</f>
        <v>1.9049999999999998</v>
      </c>
      <c r="W25" s="581">
        <f>AI25</f>
        <v>0.66441830065359475</v>
      </c>
      <c r="X25" s="582"/>
      <c r="Y25" s="449">
        <f>((W25/19.32)*10)</f>
        <v>0.34390181193250247</v>
      </c>
      <c r="Z25" s="450"/>
      <c r="AA25" s="581">
        <f>AJ25</f>
        <v>0.19937106918238992</v>
      </c>
      <c r="AB25" s="582"/>
      <c r="AC25" s="449">
        <f>((AA25/19.32)*10)</f>
        <v>0.10319413518757242</v>
      </c>
      <c r="AD25" s="450"/>
      <c r="AE25" s="581">
        <f>AK25</f>
        <v>9.9771101573676677E-2</v>
      </c>
      <c r="AF25" s="582"/>
      <c r="AG25" s="114">
        <f>((AE25/19.32)*10)</f>
        <v>5.1641356922192898E-2</v>
      </c>
      <c r="AH25" s="104"/>
      <c r="AI25" s="42">
        <v>0.66441830065359475</v>
      </c>
      <c r="AJ25" s="42">
        <v>0.19937106918238992</v>
      </c>
      <c r="AK25" s="42">
        <v>9.9771101573676677E-2</v>
      </c>
      <c r="AO25" s="42">
        <v>1.3149999999999999</v>
      </c>
      <c r="AS25" s="42">
        <f t="shared" si="2"/>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24.12</v>
      </c>
      <c r="N26" s="103"/>
      <c r="O26" s="606"/>
      <c r="P26" s="607"/>
      <c r="Q26" s="609"/>
      <c r="R26" s="609"/>
      <c r="S26" s="621"/>
      <c r="T26" s="174"/>
      <c r="U26" s="600">
        <v>0.1</v>
      </c>
      <c r="V26" s="601">
        <f>U26*25.4</f>
        <v>2.54</v>
      </c>
      <c r="W26" s="778">
        <f>AI26</f>
        <v>0.77700980392156871</v>
      </c>
      <c r="X26" s="779"/>
      <c r="Y26" s="461">
        <f>((W26/19.32)*10)</f>
        <v>0.40217898753704384</v>
      </c>
      <c r="Z26" s="462"/>
      <c r="AA26" s="746">
        <f>AJ26</f>
        <v>0.24905660377358491</v>
      </c>
      <c r="AB26" s="747"/>
      <c r="AC26" s="461">
        <f>((AA26/19.32)*10)</f>
        <v>0.12891128559709364</v>
      </c>
      <c r="AD26" s="462"/>
      <c r="AE26" s="746">
        <f>AK26</f>
        <v>0.14562045779685265</v>
      </c>
      <c r="AF26" s="747"/>
      <c r="AG26" s="469">
        <f>((AE26/19.32)*10)</f>
        <v>7.5372907762346092E-2</v>
      </c>
      <c r="AH26" s="104"/>
      <c r="AI26" s="42">
        <v>0.77700980392156871</v>
      </c>
      <c r="AJ26" s="42">
        <v>0.24905660377358491</v>
      </c>
      <c r="AK26" s="42">
        <v>0.14562045779685265</v>
      </c>
      <c r="AO26" s="42">
        <v>1.875</v>
      </c>
      <c r="AS26" s="42">
        <f t="shared" si="2"/>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1948.2226351334082</v>
      </c>
      <c r="S27" s="153">
        <f>(PI()*((S25^2)/4)*S24)</f>
        <v>2235.2894211999896</v>
      </c>
      <c r="T27" s="174"/>
      <c r="U27" s="600"/>
      <c r="V27" s="601"/>
      <c r="W27" s="780"/>
      <c r="X27" s="781"/>
      <c r="Y27" s="463"/>
      <c r="Z27" s="464"/>
      <c r="AA27" s="748"/>
      <c r="AB27" s="749"/>
      <c r="AC27" s="463"/>
      <c r="AD27" s="464"/>
      <c r="AE27" s="748"/>
      <c r="AF27" s="749"/>
      <c r="AG27" s="470"/>
      <c r="AH27" s="193"/>
      <c r="AI27" s="42">
        <v>0.87504575163398701</v>
      </c>
      <c r="AJ27" s="42">
        <v>0.29937106918238993</v>
      </c>
      <c r="AK27" s="42">
        <v>0.19246752503576536</v>
      </c>
      <c r="AO27" s="42">
        <v>2.387</v>
      </c>
      <c r="AS27" s="42">
        <f t="shared" si="2"/>
        <v>1.9406504065040651</v>
      </c>
    </row>
    <row r="28" spans="1:45" ht="24.95" customHeight="1" thickBot="1" x14ac:dyDescent="0.3">
      <c r="A28" s="103"/>
      <c r="B28" s="560" t="s">
        <v>9</v>
      </c>
      <c r="C28" s="561"/>
      <c r="D28" s="561"/>
      <c r="E28" s="148">
        <v>213</v>
      </c>
      <c r="F28" s="148">
        <v>215</v>
      </c>
      <c r="G28" s="148">
        <v>265</v>
      </c>
      <c r="H28" s="149">
        <v>45</v>
      </c>
      <c r="I28" s="174"/>
      <c r="J28" s="597" t="s">
        <v>107</v>
      </c>
      <c r="K28" s="597"/>
      <c r="L28" s="562" t="s">
        <v>119</v>
      </c>
      <c r="M28" s="459">
        <f>IF(M26="","",(100-M26))</f>
        <v>75.88</v>
      </c>
      <c r="N28" s="103"/>
      <c r="O28" s="625" t="s">
        <v>136</v>
      </c>
      <c r="P28" s="626"/>
      <c r="Q28" s="220">
        <f>Q22-Q23</f>
        <v>4786</v>
      </c>
      <c r="R28" s="220">
        <f>R22-R23</f>
        <v>4140</v>
      </c>
      <c r="S28" s="220">
        <f>S22-S23</f>
        <v>4482</v>
      </c>
      <c r="T28" s="174"/>
      <c r="U28" s="627">
        <v>0.125</v>
      </c>
      <c r="V28" s="624">
        <f>U28*25.4</f>
        <v>3.1749999999999998</v>
      </c>
      <c r="W28" s="593">
        <f>AI27</f>
        <v>0.87504575163398701</v>
      </c>
      <c r="X28" s="594"/>
      <c r="Y28" s="439">
        <f>((W28/19.32)*10)</f>
        <v>0.45292223169461027</v>
      </c>
      <c r="Z28" s="440"/>
      <c r="AA28" s="593">
        <f>AJ27</f>
        <v>0.29937106918238993</v>
      </c>
      <c r="AB28" s="594"/>
      <c r="AC28" s="439">
        <f>((AA28/19.32)*10)</f>
        <v>0.15495396955610244</v>
      </c>
      <c r="AD28" s="440"/>
      <c r="AE28" s="593">
        <f>AK27</f>
        <v>0.19246752503576536</v>
      </c>
      <c r="AF28" s="594"/>
      <c r="AG28" s="443">
        <f>((AE28/19.32)*10)</f>
        <v>9.9620872171721206E-2</v>
      </c>
      <c r="AH28" s="104"/>
      <c r="AI28" s="42">
        <v>0.96666013071895429</v>
      </c>
      <c r="AJ28" s="42">
        <v>0.35094339622641513</v>
      </c>
      <c r="AK28" s="42">
        <v>0.23922389127324753</v>
      </c>
      <c r="AO28" s="42">
        <v>2.8959999999999999</v>
      </c>
      <c r="AS28" s="42">
        <f t="shared" si="2"/>
        <v>2.3544715447154472</v>
      </c>
    </row>
    <row r="29" spans="1:45" ht="5.0999999999999996" customHeight="1" thickBot="1" x14ac:dyDescent="0.3">
      <c r="A29" s="103"/>
      <c r="B29" s="612" t="s">
        <v>73</v>
      </c>
      <c r="C29" s="613"/>
      <c r="D29" s="614"/>
      <c r="E29" s="618">
        <v>455.23</v>
      </c>
      <c r="F29" s="618">
        <v>465.74</v>
      </c>
      <c r="G29" s="618">
        <v>445.33</v>
      </c>
      <c r="H29" s="620">
        <v>446.98</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v>1.0450032679738563</v>
      </c>
      <c r="AJ29" s="42">
        <v>0.40691823899371066</v>
      </c>
      <c r="AK29" s="42">
        <v>0.2794497854077253</v>
      </c>
      <c r="AO29" s="42">
        <v>3.3879999999999999</v>
      </c>
      <c r="AS29" s="42">
        <f t="shared" si="2"/>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19.97621917105263</v>
      </c>
      <c r="N30" s="103"/>
      <c r="O30" s="622" t="s">
        <v>134</v>
      </c>
      <c r="P30" s="623"/>
      <c r="Q30" s="229">
        <f>Q28/Q27</f>
        <v>2.2737234861191711</v>
      </c>
      <c r="R30" s="229">
        <f>R28/R27</f>
        <v>2.1250138076321581</v>
      </c>
      <c r="S30" s="131">
        <f>S28/S27</f>
        <v>2.0051094759773389</v>
      </c>
      <c r="T30" s="174"/>
      <c r="U30" s="120">
        <v>0.15</v>
      </c>
      <c r="V30" s="113">
        <f>U30*25.4</f>
        <v>3.8099999999999996</v>
      </c>
      <c r="W30" s="581">
        <f>AI28</f>
        <v>0.96666013071895429</v>
      </c>
      <c r="X30" s="582"/>
      <c r="Y30" s="449">
        <f>((W30/19.32)*10)</f>
        <v>0.50034168256674649</v>
      </c>
      <c r="Z30" s="450"/>
      <c r="AA30" s="581">
        <f>AJ28</f>
        <v>0.35094339622641513</v>
      </c>
      <c r="AB30" s="582"/>
      <c r="AC30" s="449">
        <f>((AA30/19.32)*10)</f>
        <v>0.18164772061408652</v>
      </c>
      <c r="AD30" s="450"/>
      <c r="AE30" s="581">
        <f>AK28</f>
        <v>0.23922389127324753</v>
      </c>
      <c r="AF30" s="582"/>
      <c r="AG30" s="114">
        <f>((AE30/19.32)*10)</f>
        <v>0.12382188989298526</v>
      </c>
      <c r="AH30" s="104"/>
      <c r="AI30" s="42">
        <v>1.1105032679738562</v>
      </c>
      <c r="AJ30" s="42">
        <v>0.46540880503144649</v>
      </c>
      <c r="AK30" s="42">
        <v>0.3117846924177396</v>
      </c>
      <c r="AO30" s="42">
        <v>3.8439999999999999</v>
      </c>
      <c r="AS30" s="42">
        <f t="shared" si="2"/>
        <v>3.1252032520325201</v>
      </c>
    </row>
    <row r="31" spans="1:45" ht="24.95" customHeight="1" thickBot="1" x14ac:dyDescent="0.3">
      <c r="A31" s="103"/>
      <c r="B31" s="576" t="s">
        <v>74</v>
      </c>
      <c r="C31" s="577"/>
      <c r="D31" s="577"/>
      <c r="E31" s="152">
        <v>431.21</v>
      </c>
      <c r="F31" s="152">
        <v>430.81</v>
      </c>
      <c r="G31" s="152">
        <v>401.74</v>
      </c>
      <c r="H31" s="153">
        <v>391.3</v>
      </c>
      <c r="I31" s="174"/>
      <c r="J31" s="597" t="s">
        <v>138</v>
      </c>
      <c r="K31" s="597"/>
      <c r="L31" s="562" t="s">
        <v>116</v>
      </c>
      <c r="M31" s="457">
        <f>IF(M25="","",S82)</f>
        <v>2.7120000000000002</v>
      </c>
      <c r="N31" s="121"/>
      <c r="O31" s="628" t="s">
        <v>135</v>
      </c>
      <c r="P31" s="629"/>
      <c r="Q31" s="122">
        <f>Q30/(1+Q40/100)</f>
        <v>2.0640000372002407</v>
      </c>
      <c r="R31" s="122">
        <f>R30/(1+R40/100)</f>
        <v>1.9189027041158062</v>
      </c>
      <c r="S31" s="123">
        <f>S30/(1+S40/100)</f>
        <v>1.8179212287743647</v>
      </c>
      <c r="T31" s="174"/>
      <c r="U31" s="627">
        <v>0.17499999999999999</v>
      </c>
      <c r="V31" s="624">
        <f>U31*25.4</f>
        <v>4.4449999999999994</v>
      </c>
      <c r="W31" s="593">
        <f>AI29</f>
        <v>1.0450032679738563</v>
      </c>
      <c r="X31" s="594"/>
      <c r="Y31" s="439">
        <f>((W31/19.32)*10)</f>
        <v>0.54089196064899392</v>
      </c>
      <c r="Z31" s="440"/>
      <c r="AA31" s="593">
        <f>AJ29</f>
        <v>0.40691823899371066</v>
      </c>
      <c r="AB31" s="594"/>
      <c r="AC31" s="439">
        <f>((AA31/19.32)*10)</f>
        <v>0.21062020651848379</v>
      </c>
      <c r="AD31" s="440"/>
      <c r="AE31" s="593">
        <f>AK29</f>
        <v>0.2794497854077253</v>
      </c>
      <c r="AF31" s="594"/>
      <c r="AG31" s="443">
        <f>((AE31/19.32)*10)</f>
        <v>0.14464274607025118</v>
      </c>
      <c r="AH31" s="104"/>
      <c r="AI31" s="42">
        <v>1.3566633986928107</v>
      </c>
      <c r="AJ31" s="42">
        <v>0.68867924528301883</v>
      </c>
      <c r="AK31" s="42">
        <v>0.43418569384835476</v>
      </c>
      <c r="AO31" s="42">
        <v>5.516</v>
      </c>
      <c r="AS31" s="42">
        <f t="shared" si="2"/>
        <v>4.4845528455284551</v>
      </c>
    </row>
    <row r="32" spans="1:45" ht="5.0999999999999996" customHeight="1" thickBot="1" x14ac:dyDescent="0.3">
      <c r="A32" s="103"/>
      <c r="B32" s="612" t="s">
        <v>75</v>
      </c>
      <c r="C32" s="613"/>
      <c r="D32" s="614"/>
      <c r="E32" s="618">
        <v>45.12</v>
      </c>
      <c r="F32" s="618">
        <v>43.32</v>
      </c>
      <c r="G32" s="618">
        <v>44.65</v>
      </c>
      <c r="H32" s="620">
        <v>40.119999999999997</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v>1.5968300653594771</v>
      </c>
      <c r="AJ32" s="42">
        <v>0.97861635220125787</v>
      </c>
      <c r="AK32" s="42">
        <v>0.53903605150214584</v>
      </c>
      <c r="AO32" s="42">
        <v>6.7220000000000004</v>
      </c>
      <c r="AS32" s="42">
        <f t="shared" si="2"/>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1.1105032679738562</v>
      </c>
      <c r="X33" s="582"/>
      <c r="Y33" s="449">
        <f>((W33/19.32)*10)</f>
        <v>0.57479465216038106</v>
      </c>
      <c r="Z33" s="450"/>
      <c r="AA33" s="581">
        <f>AJ30</f>
        <v>0.46540880503144649</v>
      </c>
      <c r="AB33" s="582"/>
      <c r="AC33" s="449">
        <f>((AA33/19.32)*10)</f>
        <v>0.2408948266208315</v>
      </c>
      <c r="AD33" s="450"/>
      <c r="AE33" s="581">
        <f>AK30</f>
        <v>0.3117846924177396</v>
      </c>
      <c r="AF33" s="582"/>
      <c r="AG33" s="144">
        <f>((AE33/19.32)*10)</f>
        <v>0.16137924038185281</v>
      </c>
      <c r="AH33" s="104"/>
      <c r="AI33" s="42">
        <v>1.8340000000000001</v>
      </c>
      <c r="AJ33" s="42">
        <v>1.1534591194968553</v>
      </c>
      <c r="AK33" s="42">
        <v>0.63409070100143061</v>
      </c>
      <c r="AO33" s="42">
        <v>7.7720000000000002</v>
      </c>
      <c r="AS33" s="42">
        <f t="shared" si="2"/>
        <v>6.3186991869918705</v>
      </c>
    </row>
    <row r="34" spans="1:45" ht="24.95" customHeight="1" thickBot="1" x14ac:dyDescent="0.3">
      <c r="A34" s="103"/>
      <c r="B34" s="602" t="s">
        <v>10</v>
      </c>
      <c r="C34" s="603"/>
      <c r="D34" s="603"/>
      <c r="E34" s="125">
        <f>((E29-E31)/(E31-E32))*100</f>
        <v>6.2213473542438402</v>
      </c>
      <c r="F34" s="125">
        <f>((F29-F31)/(F31-F32))*100</f>
        <v>9.0144261787400985</v>
      </c>
      <c r="G34" s="125">
        <f>((G29-G31)/(G31-G32))*100</f>
        <v>12.207006636982264</v>
      </c>
      <c r="H34" s="126">
        <f>((H29-H31)/(H31-H32))*100</f>
        <v>15.85511703399966</v>
      </c>
      <c r="I34" s="174"/>
      <c r="J34" s="630" t="s">
        <v>125</v>
      </c>
      <c r="K34" s="630"/>
      <c r="L34" s="184" t="s">
        <v>126</v>
      </c>
      <c r="M34" s="245">
        <v>2.7</v>
      </c>
      <c r="N34" s="128"/>
      <c r="O34" s="631" t="s">
        <v>9</v>
      </c>
      <c r="P34" s="632"/>
      <c r="Q34" s="156">
        <v>347</v>
      </c>
      <c r="R34" s="156">
        <v>216</v>
      </c>
      <c r="S34" s="157">
        <v>217</v>
      </c>
      <c r="T34" s="174"/>
      <c r="U34" s="120">
        <v>0.3</v>
      </c>
      <c r="V34" s="113">
        <f>U34*25.4</f>
        <v>7.6199999999999992</v>
      </c>
      <c r="W34" s="581">
        <f>AI31</f>
        <v>1.3566633986928107</v>
      </c>
      <c r="X34" s="582"/>
      <c r="Y34" s="449">
        <f>((W34/19.32)*10)</f>
        <v>0.7022067281018689</v>
      </c>
      <c r="Z34" s="450"/>
      <c r="AA34" s="449">
        <v>0.68899999999999995</v>
      </c>
      <c r="AB34" s="450"/>
      <c r="AC34" s="449">
        <f>((AA34/19.32)*10)</f>
        <v>0.35662525879917184</v>
      </c>
      <c r="AD34" s="450"/>
      <c r="AE34" s="581">
        <f>AK31</f>
        <v>0.43418569384835476</v>
      </c>
      <c r="AF34" s="582"/>
      <c r="AG34" s="114">
        <f>((AE34/19.32)*10)</f>
        <v>0.22473379598776128</v>
      </c>
      <c r="AH34" s="104"/>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1007.05</v>
      </c>
      <c r="R35" s="608">
        <v>1012.35</v>
      </c>
      <c r="S35" s="610">
        <v>965.45</v>
      </c>
      <c r="T35" s="174"/>
      <c r="U35" s="627">
        <v>0.4</v>
      </c>
      <c r="V35" s="624">
        <f>U35*25.4</f>
        <v>10.16</v>
      </c>
      <c r="W35" s="593">
        <f>AI32</f>
        <v>1.5968300653594771</v>
      </c>
      <c r="X35" s="594"/>
      <c r="Y35" s="439">
        <f>((W35/19.32)*10)</f>
        <v>0.82651659697695501</v>
      </c>
      <c r="Z35" s="440"/>
      <c r="AA35" s="593">
        <f>AJ32</f>
        <v>0.97861635220125787</v>
      </c>
      <c r="AB35" s="594"/>
      <c r="AC35" s="439">
        <f>(AA35/19.32)*10</f>
        <v>0.50653020300272145</v>
      </c>
      <c r="AD35" s="440"/>
      <c r="AE35" s="593">
        <f>AK32</f>
        <v>0.53903605150214584</v>
      </c>
      <c r="AF35" s="594"/>
      <c r="AG35" s="443">
        <f>((AE35/19.32)*10)</f>
        <v>0.27900416744417489</v>
      </c>
      <c r="AH35" s="104"/>
      <c r="AS35" s="42">
        <f t="shared" si="2"/>
        <v>0</v>
      </c>
    </row>
    <row r="36" spans="1:45" ht="20.100000000000001" customHeight="1" thickBot="1" x14ac:dyDescent="0.3">
      <c r="A36" s="103"/>
      <c r="B36" s="639" t="s">
        <v>71</v>
      </c>
      <c r="C36" s="640"/>
      <c r="D36" s="640"/>
      <c r="E36" s="130">
        <f>E25/E24</f>
        <v>2.0251396648044691</v>
      </c>
      <c r="F36" s="130">
        <f>F25/F24</f>
        <v>2.1764432029795158</v>
      </c>
      <c r="G36" s="130">
        <f>G25/G24</f>
        <v>2.2737430167597767</v>
      </c>
      <c r="H36" s="131">
        <f>H25/H24</f>
        <v>2.086126629422719</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2"/>
        <v>0</v>
      </c>
    </row>
    <row r="37" spans="1:45" ht="24.95" customHeight="1" thickBot="1" x14ac:dyDescent="0.3">
      <c r="A37" s="103"/>
      <c r="B37" s="602" t="s">
        <v>72</v>
      </c>
      <c r="C37" s="603"/>
      <c r="D37" s="603"/>
      <c r="E37" s="122">
        <f>E36/(1+E34/100)</f>
        <v>1.906527939295207</v>
      </c>
      <c r="F37" s="230">
        <f>F36/(1+F34/100)</f>
        <v>1.9964726497858352</v>
      </c>
      <c r="G37" s="230">
        <f>G36/(1+G34/100)</f>
        <v>2.0263823845830804</v>
      </c>
      <c r="H37" s="123">
        <f>H36/(1+H34/100)</f>
        <v>1.8006340011814148</v>
      </c>
      <c r="I37" s="174"/>
      <c r="J37" s="641" t="s">
        <v>139</v>
      </c>
      <c r="K37" s="641"/>
      <c r="L37" s="643" t="s">
        <v>121</v>
      </c>
      <c r="M37" s="433">
        <f>IF(F74="","",(M42^2*F74+M42*F75+F76))</f>
        <v>2.0363118421052633</v>
      </c>
      <c r="N37" s="101"/>
      <c r="O37" s="576" t="s">
        <v>28</v>
      </c>
      <c r="P37" s="577"/>
      <c r="Q37" s="150">
        <v>923.5</v>
      </c>
      <c r="R37" s="152">
        <v>918.33</v>
      </c>
      <c r="S37" s="153">
        <v>885.04</v>
      </c>
      <c r="T37" s="174"/>
      <c r="U37" s="132">
        <v>0.5</v>
      </c>
      <c r="V37" s="133">
        <f>U37*25.4</f>
        <v>12.7</v>
      </c>
      <c r="W37" s="637">
        <f>AI33</f>
        <v>1.8340000000000001</v>
      </c>
      <c r="X37" s="638"/>
      <c r="Y37" s="431">
        <f>((W37/19.32)*10)</f>
        <v>0.94927536231884058</v>
      </c>
      <c r="Z37" s="432"/>
      <c r="AA37" s="637">
        <f>AJ33</f>
        <v>1.1534591194968553</v>
      </c>
      <c r="AB37" s="638"/>
      <c r="AC37" s="431">
        <f>((AA37/19.32)*10)</f>
        <v>0.59702852976027709</v>
      </c>
      <c r="AD37" s="432"/>
      <c r="AE37" s="637">
        <f>AK33</f>
        <v>0.63409070100143061</v>
      </c>
      <c r="AF37" s="638"/>
      <c r="AG37" s="134">
        <f>((AE37/19.32)*10)</f>
        <v>0.32820429658459138</v>
      </c>
      <c r="AH37" s="104"/>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101.24</v>
      </c>
      <c r="R38" s="618">
        <v>43</v>
      </c>
      <c r="S38" s="648">
        <v>104.12</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2.1744674952160707</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19.97621917105263</v>
      </c>
      <c r="N40" s="103"/>
      <c r="O40" s="628" t="s">
        <v>10</v>
      </c>
      <c r="P40" s="629"/>
      <c r="Q40" s="125">
        <f>((Q35-Q37)/(Q37-Q38))*100</f>
        <v>10.161019628827859</v>
      </c>
      <c r="R40" s="125">
        <f>((R35-R37)/(R37-R38))*100</f>
        <v>10.741091931043147</v>
      </c>
      <c r="S40" s="126">
        <f>((S35-S37)/(S37-S38))*100</f>
        <v>10.296829380730431</v>
      </c>
      <c r="T40" s="174"/>
      <c r="U40" s="645" t="s">
        <v>151</v>
      </c>
      <c r="V40" s="646"/>
      <c r="W40" s="423">
        <f>(AM79/6.9)*100</f>
        <v>5.8286809787977365</v>
      </c>
      <c r="X40" s="423"/>
      <c r="Y40" s="423"/>
      <c r="Z40" s="424"/>
      <c r="AA40" s="425">
        <f>(AO79/6.9)*100</f>
        <v>1.868279501407154</v>
      </c>
      <c r="AB40" s="426"/>
      <c r="AC40" s="427"/>
      <c r="AD40" s="425">
        <f>(AQ79/6.9)*100</f>
        <v>1.0923609820629869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21.331526128069655</v>
      </c>
      <c r="N41" s="138"/>
      <c r="O41" s="565" t="s">
        <v>36</v>
      </c>
      <c r="P41" s="566"/>
      <c r="Q41" s="566"/>
      <c r="R41" s="566"/>
      <c r="S41" s="567"/>
      <c r="T41" s="174"/>
      <c r="U41" s="653" t="s">
        <v>152</v>
      </c>
      <c r="V41" s="654"/>
      <c r="W41" s="418">
        <f>(AM83/10.3)*100</f>
        <v>5.5805306034988451</v>
      </c>
      <c r="X41" s="418"/>
      <c r="Y41" s="418"/>
      <c r="Z41" s="419"/>
      <c r="AA41" s="420">
        <f>(AO83/10.3)*100</f>
        <v>2.3387847244740922</v>
      </c>
      <c r="AB41" s="421"/>
      <c r="AC41" s="418"/>
      <c r="AD41" s="420">
        <f>(AQ83/10.3)*100</f>
        <v>1.5667887415713864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10.460526315789474</v>
      </c>
      <c r="N42" s="103"/>
      <c r="O42" s="639" t="s">
        <v>9</v>
      </c>
      <c r="P42" s="640"/>
      <c r="Q42" s="148">
        <v>340</v>
      </c>
      <c r="R42" s="148">
        <v>48</v>
      </c>
      <c r="S42" s="149">
        <v>987</v>
      </c>
      <c r="T42" s="174"/>
      <c r="U42" s="651" t="s">
        <v>42</v>
      </c>
      <c r="V42" s="652"/>
      <c r="W42" s="413">
        <f>IF(W40&lt;W41,W40,W41)</f>
        <v>5.5805306034988451</v>
      </c>
      <c r="X42" s="414"/>
      <c r="Y42" s="414"/>
      <c r="Z42" s="415"/>
      <c r="AA42" s="416">
        <f>IF(AA40&lt;AA41,AA40,AA41)</f>
        <v>1.868279501407154</v>
      </c>
      <c r="AB42" s="414"/>
      <c r="AC42" s="415"/>
      <c r="AD42" s="416">
        <f>IF(AD40&lt;AD41,AD40,AD41)</f>
        <v>1.0923609820629869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8.1953947368421058</v>
      </c>
      <c r="N43" s="103"/>
      <c r="O43" s="612" t="s">
        <v>49</v>
      </c>
      <c r="P43" s="614"/>
      <c r="Q43" s="618">
        <v>1011.88</v>
      </c>
      <c r="R43" s="608">
        <v>869.64</v>
      </c>
      <c r="S43" s="610">
        <v>1002.14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885.22</v>
      </c>
      <c r="R45" s="150">
        <v>750.31</v>
      </c>
      <c r="S45" s="153">
        <v>850.11</v>
      </c>
      <c r="T45" s="174"/>
      <c r="U45" s="656" t="s">
        <v>139</v>
      </c>
      <c r="V45" s="656"/>
      <c r="W45" s="179" t="s">
        <v>121</v>
      </c>
      <c r="X45" s="406">
        <f>MAX(M37:M39)</f>
        <v>2.1744674952160707</v>
      </c>
      <c r="Y45" s="406"/>
      <c r="Z45" s="406"/>
      <c r="AA45" s="174"/>
      <c r="AB45" s="657" t="s">
        <v>31</v>
      </c>
      <c r="AC45" s="658"/>
      <c r="AD45" s="658"/>
      <c r="AE45" s="658"/>
      <c r="AF45" s="231">
        <v>8.7999999999999995E-2</v>
      </c>
      <c r="AG45" s="231">
        <v>0.2455</v>
      </c>
      <c r="AH45" s="233">
        <v>0.17649999999999999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119.31</v>
      </c>
      <c r="R46" s="152">
        <v>100.1</v>
      </c>
      <c r="S46" s="153">
        <v>100.32</v>
      </c>
      <c r="T46" s="174"/>
      <c r="U46" s="555" t="s">
        <v>123</v>
      </c>
      <c r="V46" s="555"/>
      <c r="W46" s="179" t="s">
        <v>41</v>
      </c>
      <c r="X46" s="401">
        <f>MIN(M42:M44)</f>
        <v>8.1953947368421058</v>
      </c>
      <c r="Y46" s="401"/>
      <c r="Z46" s="401"/>
      <c r="AA46" s="174"/>
      <c r="AB46" s="660" t="s">
        <v>32</v>
      </c>
      <c r="AC46" s="661"/>
      <c r="AD46" s="661"/>
      <c r="AE46" s="661"/>
      <c r="AF46" s="234">
        <v>0.25850000000000001</v>
      </c>
      <c r="AG46" s="234">
        <v>0.42</v>
      </c>
      <c r="AH46" s="235">
        <v>0.36749999999999999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16.537191053779161</v>
      </c>
      <c r="R47" s="125">
        <f>((R43-R45)/(R45-R46))*100</f>
        <v>18.352532258808701</v>
      </c>
      <c r="S47" s="126">
        <f>((S43-S45)/(S45-S46))*100</f>
        <v>20.276344042998705</v>
      </c>
      <c r="T47" s="174"/>
      <c r="U47" s="555" t="s">
        <v>162</v>
      </c>
      <c r="V47" s="555"/>
      <c r="W47" s="179" t="s">
        <v>41</v>
      </c>
      <c r="X47" s="402">
        <f>IF(L25=D103,"-",IF(L25=D102,"-",IF(L25=D101,M25)))</f>
        <v>24.12</v>
      </c>
      <c r="Y47" s="402"/>
      <c r="Z47" s="402"/>
      <c r="AA47" s="174"/>
      <c r="AB47" s="662" t="s">
        <v>33</v>
      </c>
      <c r="AC47" s="663"/>
      <c r="AD47" s="663"/>
      <c r="AE47" s="663"/>
      <c r="AF47" s="232">
        <f>(AF46-AF45)*2.54</f>
        <v>0.43307000000000001</v>
      </c>
      <c r="AG47" s="232">
        <f>(AG46-AG45)*2.54</f>
        <v>0.44322999999999996</v>
      </c>
      <c r="AH47" s="239">
        <f>(AH46-AH45)*2.54</f>
        <v>0.48514000000000002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3.7333620689655169</v>
      </c>
      <c r="AG48" s="142">
        <f>IF(AG47&lt;&gt;"",IF(R24&lt;&gt;"",AG47/R24*100,""),"")</f>
        <v>4.0257039055404178</v>
      </c>
      <c r="AH48" s="173">
        <f>IF(AH47&lt;&gt;"",IF(S24&lt;&gt;"",AH47/S24*100,""),"")</f>
        <v>4.1642918454935627</v>
      </c>
    </row>
    <row r="49" spans="1:40"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40"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6.5000000000000002E-2</v>
      </c>
      <c r="AK50" s="42">
        <v>0.11</v>
      </c>
      <c r="AL50" s="42">
        <f>0.634*AK50/13.98</f>
        <v>4.9885550786838333E-3</v>
      </c>
      <c r="AM50" s="42">
        <v>0.11700000000000001</v>
      </c>
      <c r="AN50" s="42">
        <f>1.834*AM50/4.284</f>
        <v>5.0088235294117656E-2</v>
      </c>
    </row>
    <row r="51" spans="1:40"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0.14299999999999999</v>
      </c>
      <c r="AK51" s="42">
        <v>0.51100000000000001</v>
      </c>
      <c r="AL51" s="42">
        <f t="shared" ref="AL51:AL61" si="3">0.634*AK51/13.98</f>
        <v>2.3174105865522172E-2</v>
      </c>
      <c r="AM51" s="42">
        <v>0.622</v>
      </c>
      <c r="AN51" s="42">
        <f t="shared" ref="AN51:AN61" si="4">1.834*AM51/4.284</f>
        <v>0.26628104575163403</v>
      </c>
    </row>
    <row r="52" spans="1:40"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0.22900000000000001</v>
      </c>
      <c r="AK52" s="42">
        <v>1.1910000000000001</v>
      </c>
      <c r="AL52" s="42">
        <f t="shared" si="3"/>
        <v>5.401244635193133E-2</v>
      </c>
      <c r="AM52" s="42">
        <v>1.204</v>
      </c>
      <c r="AN52" s="42">
        <f t="shared" si="4"/>
        <v>0.5154379084967321</v>
      </c>
    </row>
    <row r="53" spans="1:40"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0.317</v>
      </c>
      <c r="AK53" s="42">
        <v>2.2000000000000002</v>
      </c>
      <c r="AL53" s="42">
        <f t="shared" si="3"/>
        <v>9.9771101573676677E-2</v>
      </c>
      <c r="AM53" s="42">
        <v>1.552</v>
      </c>
      <c r="AN53" s="42">
        <f t="shared" si="4"/>
        <v>0.66441830065359475</v>
      </c>
    </row>
    <row r="54" spans="1:40"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0.39600000000000002</v>
      </c>
      <c r="AK54" s="42">
        <v>3.2109999999999999</v>
      </c>
      <c r="AL54" s="42">
        <f t="shared" si="3"/>
        <v>0.14562045779685265</v>
      </c>
      <c r="AM54" s="42">
        <v>1.8149999999999999</v>
      </c>
      <c r="AN54" s="42">
        <f t="shared" si="4"/>
        <v>0.77700980392156871</v>
      </c>
    </row>
    <row r="55" spans="1:40"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0.47599999999999998</v>
      </c>
      <c r="AK55" s="42">
        <v>4.2439999999999998</v>
      </c>
      <c r="AL55" s="42">
        <f t="shared" si="3"/>
        <v>0.19246752503576536</v>
      </c>
      <c r="AM55" s="42">
        <v>2.044</v>
      </c>
      <c r="AN55" s="42">
        <f t="shared" si="4"/>
        <v>0.87504575163398701</v>
      </c>
    </row>
    <row r="56" spans="1:40"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0.55800000000000005</v>
      </c>
      <c r="AK56" s="42">
        <v>5.2750000000000004</v>
      </c>
      <c r="AL56" s="42">
        <f t="shared" si="3"/>
        <v>0.23922389127324753</v>
      </c>
      <c r="AM56" s="42">
        <v>2.258</v>
      </c>
      <c r="AN56" s="42">
        <f t="shared" si="4"/>
        <v>0.96666013071895429</v>
      </c>
    </row>
    <row r="57" spans="1:40"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0.64700000000000002</v>
      </c>
      <c r="AK57" s="42">
        <v>6.1619999999999999</v>
      </c>
      <c r="AL57" s="42">
        <f t="shared" si="3"/>
        <v>0.2794497854077253</v>
      </c>
      <c r="AM57" s="42">
        <v>2.4409999999999998</v>
      </c>
      <c r="AN57" s="42">
        <f t="shared" si="4"/>
        <v>1.0450032679738563</v>
      </c>
    </row>
    <row r="58" spans="1:40"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0.74</v>
      </c>
      <c r="AK58" s="42">
        <v>6.875</v>
      </c>
      <c r="AL58" s="42">
        <f t="shared" si="3"/>
        <v>0.3117846924177396</v>
      </c>
      <c r="AM58" s="42">
        <v>2.5939999999999999</v>
      </c>
      <c r="AN58" s="42">
        <f t="shared" si="4"/>
        <v>1.1105032679738562</v>
      </c>
    </row>
    <row r="59" spans="1:40"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1.095</v>
      </c>
      <c r="AK59" s="42">
        <v>9.5739999999999998</v>
      </c>
      <c r="AL59" s="42">
        <f t="shared" si="3"/>
        <v>0.43418569384835476</v>
      </c>
      <c r="AM59" s="42">
        <v>3.169</v>
      </c>
      <c r="AN59" s="42">
        <f t="shared" si="4"/>
        <v>1.3566633986928107</v>
      </c>
    </row>
    <row r="60" spans="1:40"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1.556</v>
      </c>
      <c r="AK60" s="42">
        <v>11.885999999999999</v>
      </c>
      <c r="AL60" s="42">
        <f t="shared" si="3"/>
        <v>0.53903605150214584</v>
      </c>
      <c r="AM60" s="42">
        <v>3.73</v>
      </c>
      <c r="AN60" s="42">
        <f t="shared" si="4"/>
        <v>1.5968300653594771</v>
      </c>
    </row>
    <row r="61" spans="1:40"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1.8340000000000001</v>
      </c>
      <c r="AK61" s="42">
        <v>13.981999999999999</v>
      </c>
      <c r="AL61" s="42">
        <f t="shared" si="3"/>
        <v>0.63409070100143061</v>
      </c>
      <c r="AM61" s="42">
        <v>4.2839999999999998</v>
      </c>
      <c r="AN61" s="42">
        <f t="shared" si="4"/>
        <v>1.8340000000000001</v>
      </c>
    </row>
    <row r="62" spans="1:40"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40"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40"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-7.6E-3</v>
      </c>
      <c r="G74" s="75">
        <v>-0.12509999999999999</v>
      </c>
      <c r="J74" s="701"/>
      <c r="K74" s="702"/>
      <c r="L74" s="44"/>
      <c r="M74" s="44"/>
      <c r="N74" s="44"/>
    </row>
    <row r="75" spans="1:94" ht="26.25" customHeight="1" thickBot="1" x14ac:dyDescent="0.3">
      <c r="A75" s="11"/>
      <c r="B75" s="377" t="s">
        <v>113</v>
      </c>
      <c r="C75" s="377"/>
      <c r="D75" s="19"/>
      <c r="E75" s="54" t="s">
        <v>12</v>
      </c>
      <c r="F75" s="55">
        <v>0.159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5">((AL75/19.32)*10)</f>
        <v>0</v>
      </c>
      <c r="AN75" s="5">
        <f>AA22</f>
        <v>0</v>
      </c>
      <c r="AO75" s="3">
        <f>((AN75/19.32)*10)</f>
        <v>0</v>
      </c>
      <c r="AP75" s="5">
        <f>AE22</f>
        <v>0</v>
      </c>
      <c r="AQ75" s="161">
        <f t="shared" ref="AQ75:AQ84" si="6">((AP75/19.32)*10)</f>
        <v>0</v>
      </c>
    </row>
    <row r="76" spans="1:94" ht="26.25" customHeight="1" thickBot="1" x14ac:dyDescent="0.3">
      <c r="A76" s="11"/>
      <c r="B76" s="377" t="s">
        <v>114</v>
      </c>
      <c r="C76" s="377"/>
      <c r="D76" s="20"/>
      <c r="E76" s="56" t="s">
        <v>13</v>
      </c>
      <c r="F76" s="57">
        <v>1.2047000000000001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7">AJ76*25.4</f>
        <v>0.63500000000000001</v>
      </c>
      <c r="AL76" s="5">
        <f>W23</f>
        <v>0.26628104575163403</v>
      </c>
      <c r="AM76" s="3">
        <f t="shared" si="5"/>
        <v>0.13782662823583541</v>
      </c>
      <c r="AN76" s="5">
        <f>AA23</f>
        <v>8.9937106918238988E-2</v>
      </c>
      <c r="AO76" s="3">
        <f t="shared" ref="AO76:AO86" si="8">((AN76/19.32)*10)</f>
        <v>4.6551297576728254E-2</v>
      </c>
      <c r="AP76" s="5">
        <f>AE23</f>
        <v>2.3174105865522172E-2</v>
      </c>
      <c r="AQ76" s="161">
        <f t="shared" si="6"/>
        <v>1.1994878812382075E-2</v>
      </c>
    </row>
    <row r="77" spans="1:94" ht="26.25" customHeight="1" thickTop="1" thickBot="1" x14ac:dyDescent="0.3">
      <c r="A77" s="11"/>
      <c r="B77" s="377" t="s">
        <v>115</v>
      </c>
      <c r="C77" s="377"/>
      <c r="D77" s="15"/>
      <c r="J77" s="380"/>
      <c r="K77" s="381"/>
      <c r="U77" s="44"/>
      <c r="AB77" s="44"/>
      <c r="AC77" s="44"/>
      <c r="AD77" s="44"/>
      <c r="AE77" s="44"/>
      <c r="AJ77" s="160">
        <f>U24</f>
        <v>0.05</v>
      </c>
      <c r="AK77" s="3">
        <f t="shared" si="7"/>
        <v>1.27</v>
      </c>
      <c r="AL77" s="5">
        <f>W24</f>
        <v>0.5154379084967321</v>
      </c>
      <c r="AM77" s="3">
        <f t="shared" si="5"/>
        <v>0.26678980771052385</v>
      </c>
      <c r="AN77" s="5">
        <f>AA24</f>
        <v>0.14402515723270401</v>
      </c>
      <c r="AO77" s="3">
        <f t="shared" si="8"/>
        <v>7.454718283266254E-2</v>
      </c>
      <c r="AP77" s="5">
        <f>AE24</f>
        <v>5.401244635193133E-2</v>
      </c>
      <c r="AQ77" s="161">
        <f t="shared" si="6"/>
        <v>2.7956752770150792E-2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7"/>
        <v>1.9049999999999998</v>
      </c>
      <c r="AL78" s="5">
        <f>W25</f>
        <v>0.66441830065359475</v>
      </c>
      <c r="AM78" s="3">
        <f t="shared" si="5"/>
        <v>0.34390181193250247</v>
      </c>
      <c r="AN78" s="5">
        <f>AA25</f>
        <v>0.19937106918238992</v>
      </c>
      <c r="AO78" s="3">
        <f t="shared" si="8"/>
        <v>0.10319413518757242</v>
      </c>
      <c r="AP78" s="5">
        <f>AE25</f>
        <v>9.9771101573676677E-2</v>
      </c>
      <c r="AQ78" s="161">
        <f t="shared" si="6"/>
        <v>5.1641356922192898E-2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7"/>
        <v>2.54</v>
      </c>
      <c r="AL79" s="5">
        <f>W26</f>
        <v>0.77700980392156871</v>
      </c>
      <c r="AM79" s="4">
        <f t="shared" si="5"/>
        <v>0.40217898753704384</v>
      </c>
      <c r="AN79" s="5">
        <f>AA26</f>
        <v>0.24905660377358491</v>
      </c>
      <c r="AO79" s="4">
        <f t="shared" si="8"/>
        <v>0.12891128559709364</v>
      </c>
      <c r="AP79" s="5">
        <f>AE26</f>
        <v>0.14562045779685265</v>
      </c>
      <c r="AQ79" s="162">
        <f t="shared" si="6"/>
        <v>7.5372907762346092E-2</v>
      </c>
      <c r="BB79" s="12">
        <v>17</v>
      </c>
      <c r="BC79" s="12">
        <v>18</v>
      </c>
    </row>
    <row r="80" spans="1:94" ht="42" customHeight="1" thickTop="1" thickBot="1" x14ac:dyDescent="0.3">
      <c r="D80" s="49"/>
      <c r="H80" s="711" t="s">
        <v>105</v>
      </c>
      <c r="I80" s="712"/>
      <c r="J80" s="58"/>
      <c r="AJ80" s="160">
        <f>U28</f>
        <v>0.125</v>
      </c>
      <c r="AK80" s="3">
        <f t="shared" si="7"/>
        <v>3.1749999999999998</v>
      </c>
      <c r="AL80" s="5">
        <f>W28</f>
        <v>0.87504575163398701</v>
      </c>
      <c r="AM80" s="3">
        <f t="shared" si="5"/>
        <v>0.45292223169461027</v>
      </c>
      <c r="AN80" s="5">
        <f>AA28</f>
        <v>0.29937106918238993</v>
      </c>
      <c r="AO80" s="3">
        <f t="shared" si="8"/>
        <v>0.15495396955610244</v>
      </c>
      <c r="AP80" s="5">
        <f>AE28</f>
        <v>0.19246752503576536</v>
      </c>
      <c r="AQ80" s="161">
        <f t="shared" si="6"/>
        <v>9.9620872171721206E-2</v>
      </c>
      <c r="BC80" s="45">
        <v>0.99880400000000003</v>
      </c>
      <c r="BD80" s="45">
        <v>0.99862499999999998</v>
      </c>
    </row>
    <row r="81" spans="2:43" ht="15.75" customHeight="1" x14ac:dyDescent="0.25">
      <c r="AJ81" s="160">
        <f>U30</f>
        <v>0.15</v>
      </c>
      <c r="AK81" s="3">
        <f t="shared" si="7"/>
        <v>3.8099999999999996</v>
      </c>
      <c r="AL81" s="5">
        <f>W30</f>
        <v>0.96666013071895429</v>
      </c>
      <c r="AM81" s="3">
        <f t="shared" si="5"/>
        <v>0.50034168256674649</v>
      </c>
      <c r="AN81" s="5">
        <f>AA30</f>
        <v>0.35094339622641513</v>
      </c>
      <c r="AO81" s="3">
        <f t="shared" si="8"/>
        <v>0.18164772061408652</v>
      </c>
      <c r="AP81" s="5">
        <f>AE30</f>
        <v>0.23922389127324753</v>
      </c>
      <c r="AQ81" s="161">
        <f t="shared" si="6"/>
        <v>0.12382188989298526</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7"/>
        <v>4.4449999999999994</v>
      </c>
      <c r="AL82" s="5">
        <f>W31</f>
        <v>1.0450032679738563</v>
      </c>
      <c r="AM82" s="3">
        <f t="shared" si="5"/>
        <v>0.54089196064899392</v>
      </c>
      <c r="AN82" s="5">
        <f>AA31</f>
        <v>0.40691823899371066</v>
      </c>
      <c r="AO82" s="3">
        <f t="shared" si="8"/>
        <v>0.21062020651848379</v>
      </c>
      <c r="AP82" s="5">
        <f>AE31</f>
        <v>0.2794497854077253</v>
      </c>
      <c r="AQ82" s="161">
        <f t="shared" si="6"/>
        <v>0.14464274607025118</v>
      </c>
    </row>
    <row r="83" spans="2:43" ht="15" customHeight="1" x14ac:dyDescent="0.25">
      <c r="B83" s="49"/>
      <c r="C83" s="49"/>
      <c r="D83" s="49">
        <v>0</v>
      </c>
      <c r="E83" s="50">
        <f>M42</f>
        <v>10.460526315789474</v>
      </c>
      <c r="F83" s="49"/>
      <c r="G83" s="43">
        <f>G84/10</f>
        <v>2.3116905868577913</v>
      </c>
      <c r="H83" s="43">
        <f>H84/10</f>
        <v>2.1714836623419216</v>
      </c>
      <c r="I83" s="43">
        <f>I84/10</f>
        <v>2.0307024472232582</v>
      </c>
      <c r="J83" s="43">
        <f>J84/10</f>
        <v>1.8906395807910417</v>
      </c>
      <c r="K83" s="43"/>
      <c r="L83" s="42">
        <v>0</v>
      </c>
      <c r="O83" s="706"/>
      <c r="P83" s="706"/>
      <c r="Q83" s="706"/>
      <c r="R83" s="706"/>
      <c r="S83" s="707"/>
      <c r="W83" s="112"/>
      <c r="AJ83" s="160">
        <f>U33</f>
        <v>0.2</v>
      </c>
      <c r="AK83" s="4">
        <f t="shared" si="7"/>
        <v>5.08</v>
      </c>
      <c r="AL83" s="5">
        <f>W33</f>
        <v>1.1105032679738562</v>
      </c>
      <c r="AM83" s="4">
        <f t="shared" si="5"/>
        <v>0.57479465216038106</v>
      </c>
      <c r="AN83" s="5">
        <f>AA33</f>
        <v>0.46540880503144649</v>
      </c>
      <c r="AO83" s="4">
        <f t="shared" si="8"/>
        <v>0.2408948266208315</v>
      </c>
      <c r="AP83" s="5">
        <f>AE33</f>
        <v>0.3117846924177396</v>
      </c>
      <c r="AQ83" s="162">
        <f t="shared" si="6"/>
        <v>0.16137924038185281</v>
      </c>
    </row>
    <row r="84" spans="2:43" ht="15" customHeight="1" x14ac:dyDescent="0.25">
      <c r="C84" s="94"/>
      <c r="D84" s="94"/>
      <c r="E84" s="94"/>
      <c r="F84" s="49"/>
      <c r="G84" s="43">
        <f>($M$34/(1+(E34*$M$34/100)))*($O$73)</f>
        <v>23.116905868577913</v>
      </c>
      <c r="H84" s="43">
        <f>($M$34/(1+(F34*$M$34/100)))*($O$73)</f>
        <v>21.714836623419217</v>
      </c>
      <c r="I84" s="43">
        <f>($M$34/(1+(G34*$M$34/100)))*($O$73)</f>
        <v>20.307024472232584</v>
      </c>
      <c r="J84" s="43">
        <f>($M$34/(1+(H34*$M$34/100)))*($O$73)</f>
        <v>18.906395807910418</v>
      </c>
      <c r="K84" s="43"/>
      <c r="O84" s="706" t="s">
        <v>146</v>
      </c>
      <c r="P84" s="706"/>
      <c r="Q84" s="706"/>
      <c r="R84" s="706"/>
      <c r="S84" s="707">
        <v>2240</v>
      </c>
      <c r="W84" s="112"/>
      <c r="AJ84" s="160">
        <f>U34</f>
        <v>0.3</v>
      </c>
      <c r="AK84" s="3">
        <f t="shared" si="7"/>
        <v>7.6199999999999992</v>
      </c>
      <c r="AL84" s="5">
        <f>W34</f>
        <v>1.3566633986928107</v>
      </c>
      <c r="AM84" s="3">
        <f t="shared" si="5"/>
        <v>0.7022067281018689</v>
      </c>
      <c r="AN84" s="5">
        <f>AA34</f>
        <v>0.68899999999999995</v>
      </c>
      <c r="AO84" s="3">
        <f t="shared" si="8"/>
        <v>0.35662525879917184</v>
      </c>
      <c r="AP84" s="5">
        <f>AE34</f>
        <v>0.43418569384835476</v>
      </c>
      <c r="AQ84" s="161">
        <f t="shared" si="6"/>
        <v>0.22473379598776128</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1.5968300653594771</v>
      </c>
      <c r="AM85" s="3">
        <f t="shared" si="5"/>
        <v>0.82651659697695501</v>
      </c>
      <c r="AN85" s="5">
        <f>AA35</f>
        <v>0.97861635220125787</v>
      </c>
      <c r="AO85" s="3">
        <f t="shared" si="8"/>
        <v>0.50653020300272145</v>
      </c>
      <c r="AP85" s="5">
        <f>AE35</f>
        <v>0.53903605150214584</v>
      </c>
      <c r="AQ85" s="161">
        <f>((AP85/19.32)*10)</f>
        <v>0.27900416744417489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1.8340000000000001</v>
      </c>
      <c r="AM86" s="164">
        <f t="shared" si="5"/>
        <v>0.94927536231884058</v>
      </c>
      <c r="AN86" s="165">
        <f>AA37</f>
        <v>1.1534591194968553</v>
      </c>
      <c r="AO86" s="164">
        <f t="shared" si="8"/>
        <v>0.59702852976027709</v>
      </c>
      <c r="AP86" s="165">
        <f>AE37</f>
        <v>0.63409070100143061</v>
      </c>
      <c r="AQ86" s="166">
        <f>((AP86/19.32)*10)</f>
        <v>0.32820429658459138</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2.0640000372002407</v>
      </c>
      <c r="AK91" s="9">
        <f>R31</f>
        <v>1.9189027041158062</v>
      </c>
      <c r="AL91" s="10">
        <f>S31</f>
        <v>1.8179212287743647</v>
      </c>
    </row>
    <row r="92" spans="2:43" ht="21" customHeight="1" thickBot="1" x14ac:dyDescent="0.3">
      <c r="B92" s="92"/>
      <c r="C92" s="93"/>
      <c r="D92" s="93"/>
      <c r="E92" s="93"/>
      <c r="F92" s="62"/>
      <c r="G92" s="63"/>
      <c r="H92" s="49"/>
      <c r="I92" s="49"/>
      <c r="O92" s="725" t="s">
        <v>147</v>
      </c>
      <c r="P92" s="726"/>
      <c r="Q92" s="726"/>
      <c r="R92" s="726"/>
      <c r="S92" s="61">
        <f>M42</f>
        <v>10.460526315789474</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5.5805306034988451</v>
      </c>
      <c r="AK94" s="158">
        <f>AA42</f>
        <v>1.868279501407154</v>
      </c>
      <c r="AL94" s="158">
        <f>AD42</f>
        <v>1.0923609820629869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737" priority="47">
      <formula>LEN(TRIM(D6))=0</formula>
    </cfRule>
  </conditionalFormatting>
  <conditionalFormatting sqref="D6:H10">
    <cfRule type="containsBlanks" dxfId="736" priority="46">
      <formula>LEN(TRIM(D6))=0</formula>
    </cfRule>
  </conditionalFormatting>
  <conditionalFormatting sqref="M19">
    <cfRule type="containsBlanks" dxfId="735" priority="45">
      <formula>LEN(TRIM(M19))=0</formula>
    </cfRule>
  </conditionalFormatting>
  <conditionalFormatting sqref="CP70">
    <cfRule type="containsBlanks" dxfId="734" priority="44">
      <formula>LEN(TRIM(CP70))=0</formula>
    </cfRule>
  </conditionalFormatting>
  <conditionalFormatting sqref="M21">
    <cfRule type="containsBlanks" dxfId="733" priority="43">
      <formula>LEN(TRIM(M21))=0</formula>
    </cfRule>
  </conditionalFormatting>
  <conditionalFormatting sqref="D12:M12">
    <cfRule type="containsBlanks" dxfId="732" priority="42">
      <formula>LEN(TRIM(D12))=0</formula>
    </cfRule>
  </conditionalFormatting>
  <conditionalFormatting sqref="L9:M9">
    <cfRule type="containsBlanks" dxfId="731" priority="41">
      <formula>LEN(TRIM(L9))=0</formula>
    </cfRule>
  </conditionalFormatting>
  <conditionalFormatting sqref="L25">
    <cfRule type="containsBlanks" dxfId="730" priority="40">
      <formula>LEN(TRIM(L25))=0</formula>
    </cfRule>
  </conditionalFormatting>
  <conditionalFormatting sqref="Q20:S21">
    <cfRule type="containsBlanks" dxfId="729" priority="33">
      <formula>LEN(TRIM(Q20))=0</formula>
    </cfRule>
    <cfRule type="containsBlanks" dxfId="728" priority="39">
      <formula>LEN(TRIM(Q20))=0</formula>
    </cfRule>
  </conditionalFormatting>
  <conditionalFormatting sqref="U26:V27 AC33 AC26">
    <cfRule type="cellIs" dxfId="727" priority="38" operator="between">
      <formula>0</formula>
      <formula>500</formula>
    </cfRule>
  </conditionalFormatting>
  <conditionalFormatting sqref="U33:V33">
    <cfRule type="cellIs" dxfId="726" priority="37" operator="between">
      <formula>0</formula>
      <formula>500</formula>
    </cfRule>
  </conditionalFormatting>
  <conditionalFormatting sqref="AF45:AH46">
    <cfRule type="containsBlanks" dxfId="725" priority="36">
      <formula>LEN(TRIM(AF45))=0</formula>
    </cfRule>
  </conditionalFormatting>
  <conditionalFormatting sqref="AF51:AG53">
    <cfRule type="containsBlanks" dxfId="724" priority="35">
      <formula>LEN(TRIM(AF51))=0</formula>
    </cfRule>
  </conditionalFormatting>
  <conditionalFormatting sqref="E20:H24">
    <cfRule type="containsBlanks" dxfId="723" priority="34">
      <formula>LEN(TRIM(E20))=0</formula>
    </cfRule>
  </conditionalFormatting>
  <conditionalFormatting sqref="M25">
    <cfRule type="containsBlanks" dxfId="722" priority="32">
      <formula>LEN(TRIM(M25))=0</formula>
    </cfRule>
  </conditionalFormatting>
  <conditionalFormatting sqref="U26:V27 Y26:Z27 AC26:AD27 AG26:AG27">
    <cfRule type="containsBlanks" dxfId="721" priority="30">
      <formula>LEN(TRIM(U26))=0</formula>
    </cfRule>
    <cfRule type="cellIs" dxfId="720" priority="31" operator="between">
      <formula>0</formula>
      <formula>1000</formula>
    </cfRule>
  </conditionalFormatting>
  <conditionalFormatting sqref="W87:W88">
    <cfRule type="cellIs" dxfId="719" priority="29" operator="between">
      <formula>0</formula>
      <formula>500</formula>
    </cfRule>
  </conditionalFormatting>
  <conditionalFormatting sqref="W94">
    <cfRule type="cellIs" dxfId="718" priority="28" operator="between">
      <formula>0</formula>
      <formula>500</formula>
    </cfRule>
  </conditionalFormatting>
  <conditionalFormatting sqref="W87:W88">
    <cfRule type="containsBlanks" dxfId="717" priority="26">
      <formula>LEN(TRIM(W87))=0</formula>
    </cfRule>
    <cfRule type="cellIs" dxfId="716" priority="27" operator="between">
      <formula>0</formula>
      <formula>1000</formula>
    </cfRule>
  </conditionalFormatting>
  <conditionalFormatting sqref="U33:V33 Y33:Z33 AC33:AD33 AG33">
    <cfRule type="cellIs" dxfId="715" priority="25" operator="between">
      <formula>0</formula>
      <formula>1000</formula>
    </cfRule>
  </conditionalFormatting>
  <conditionalFormatting sqref="Q27:S27">
    <cfRule type="containsBlanks" dxfId="714" priority="23">
      <formula>LEN(TRIM(Q27))=0</formula>
    </cfRule>
    <cfRule type="containsBlanks" dxfId="713" priority="24">
      <formula>LEN(TRIM(Q27))=0</formula>
    </cfRule>
  </conditionalFormatting>
  <conditionalFormatting sqref="W30:W31 W33:W35 W37 W28 W22:W26">
    <cfRule type="containsBlanks" dxfId="712" priority="22">
      <formula>LEN(TRIM(W22))=0</formula>
    </cfRule>
  </conditionalFormatting>
  <conditionalFormatting sqref="W37 W30:W31 W33:W35 W28 W22:W26">
    <cfRule type="containsBlanks" dxfId="711" priority="21">
      <formula>LEN(TRIM(W22))=0</formula>
    </cfRule>
  </conditionalFormatting>
  <conditionalFormatting sqref="W33:X33">
    <cfRule type="cellIs" dxfId="710" priority="20" operator="between">
      <formula>0</formula>
      <formula>1000</formula>
    </cfRule>
  </conditionalFormatting>
  <conditionalFormatting sqref="W30:X37 W26 W28 W22:X25">
    <cfRule type="containsBlanks" dxfId="709" priority="19">
      <formula>LEN(TRIM(W22))=0</formula>
    </cfRule>
  </conditionalFormatting>
  <conditionalFormatting sqref="AA37 AA30:AA31 AA33 AA22:AA26 AA28 AA35">
    <cfRule type="containsBlanks" dxfId="708" priority="18">
      <formula>LEN(TRIM(AA22))=0</formula>
    </cfRule>
  </conditionalFormatting>
  <conditionalFormatting sqref="AA37 AA30:AA31 AA33 AA22:AA26 AA28 AA35">
    <cfRule type="containsBlanks" dxfId="707" priority="17">
      <formula>LEN(TRIM(AA22))=0</formula>
    </cfRule>
  </conditionalFormatting>
  <conditionalFormatting sqref="AA33:AB33">
    <cfRule type="cellIs" dxfId="706" priority="16" operator="between">
      <formula>0</formula>
      <formula>1000</formula>
    </cfRule>
  </conditionalFormatting>
  <conditionalFormatting sqref="AA30:AB30 AA31 AA33:AB33 AA22:AB25 AA26 AA28 AA35:AB37">
    <cfRule type="containsBlanks" dxfId="705" priority="15">
      <formula>LEN(TRIM(AA22))=0</formula>
    </cfRule>
  </conditionalFormatting>
  <conditionalFormatting sqref="AE37 AE28 AE30:AE31 AE33:AE35 AE22:AE26">
    <cfRule type="containsBlanks" dxfId="704" priority="14">
      <formula>LEN(TRIM(AE22))=0</formula>
    </cfRule>
  </conditionalFormatting>
  <conditionalFormatting sqref="AE37 AE28 AE30:AE31 AE33:AE35 AE22:AE26">
    <cfRule type="containsBlanks" dxfId="703" priority="13">
      <formula>LEN(TRIM(AE22))=0</formula>
    </cfRule>
  </conditionalFormatting>
  <conditionalFormatting sqref="AE33:AF33">
    <cfRule type="cellIs" dxfId="702" priority="12" operator="between">
      <formula>0</formula>
      <formula>1000</formula>
    </cfRule>
  </conditionalFormatting>
  <conditionalFormatting sqref="AE33:AF37 AE26 AE28 AE30:AE31 AE22:AF25">
    <cfRule type="containsBlanks" dxfId="701" priority="11">
      <formula>LEN(TRIM(AE22))=0</formula>
    </cfRule>
  </conditionalFormatting>
  <conditionalFormatting sqref="K6:M6">
    <cfRule type="containsBlanks" dxfId="700" priority="10">
      <formula>LEN(TRIM(K6))=0</formula>
    </cfRule>
  </conditionalFormatting>
  <conditionalFormatting sqref="K7:K8">
    <cfRule type="containsBlanks" dxfId="699" priority="9">
      <formula>LEN(TRIM(K7))=0</formula>
    </cfRule>
  </conditionalFormatting>
  <conditionalFormatting sqref="D13:M13">
    <cfRule type="containsBlanks" dxfId="698" priority="8">
      <formula>LEN(TRIM(D13))=0</formula>
    </cfRule>
  </conditionalFormatting>
  <conditionalFormatting sqref="B6:B10">
    <cfRule type="containsBlanks" dxfId="697" priority="7">
      <formula>LEN(TRIM(B6))=0</formula>
    </cfRule>
  </conditionalFormatting>
  <conditionalFormatting sqref="B12:B13">
    <cfRule type="containsBlanks" dxfId="696" priority="6">
      <formula>LEN(TRIM(B12))=0</formula>
    </cfRule>
  </conditionalFormatting>
  <conditionalFormatting sqref="E28:H33">
    <cfRule type="containsBlanks" dxfId="695" priority="5">
      <formula>LEN(TRIM(E28))=0</formula>
    </cfRule>
  </conditionalFormatting>
  <conditionalFormatting sqref="Q22:S26">
    <cfRule type="containsBlanks" dxfId="694" priority="3">
      <formula>LEN(TRIM(Q22))=0</formula>
    </cfRule>
    <cfRule type="containsBlanks" dxfId="693" priority="4">
      <formula>LEN(TRIM(Q22))=0</formula>
    </cfRule>
  </conditionalFormatting>
  <conditionalFormatting sqref="Q34:S39">
    <cfRule type="containsBlanks" dxfId="692" priority="2">
      <formula>LEN(TRIM(Q34))=0</formula>
    </cfRule>
  </conditionalFormatting>
  <conditionalFormatting sqref="Q42:S46">
    <cfRule type="containsBlanks" dxfId="691" priority="1">
      <formula>LEN(TRIM(Q42))=0</formula>
    </cfRule>
  </conditionalFormatting>
  <dataValidations count="5">
    <dataValidation type="list" allowBlank="1" showInputMessage="1" showErrorMessage="1" sqref="D12:E12" xr:uid="{00000000-0002-0000-2C00-000000000000}">
      <formula1>$B$87:$B$94</formula1>
    </dataValidation>
    <dataValidation type="list" allowBlank="1" showInputMessage="1" showErrorMessage="1" sqref="CP70" xr:uid="{00000000-0002-0000-2C00-000001000000}">
      <formula1>$BA$3:$BA$5</formula1>
    </dataValidation>
    <dataValidation type="list" allowBlank="1" showInputMessage="1" showErrorMessage="1" sqref="M19" xr:uid="{00000000-0002-0000-2C00-000002000000}">
      <formula1>$AX$3:$AX$5</formula1>
    </dataValidation>
    <dataValidation type="list" allowBlank="1" showInputMessage="1" showErrorMessage="1" sqref="M21" xr:uid="{00000000-0002-0000-2C00-000003000000}">
      <formula1>$AX$3:$AX$4</formula1>
    </dataValidation>
    <dataValidation type="list" allowBlank="1" showInputMessage="1" showErrorMessage="1" sqref="L25" xr:uid="{00000000-0002-0000-2C00-000004000000}">
      <formula1>$D$101:$D$104</formula1>
    </dataValidation>
  </dataValidations>
  <hyperlinks>
    <hyperlink ref="D8" r:id="rId1" xr:uid="{00000000-0004-0000-2C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76129"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76130"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76131" r:id="rId7" name="Check Box 3">
              <controlPr defaultSize="0" autoFill="0" autoLine="0" autoPict="0">
                <anchor moveWithCells="1">
                  <from>
                    <xdr:col>1</xdr:col>
                    <xdr:colOff>1038225</xdr:colOff>
                    <xdr:row>16</xdr:row>
                    <xdr:rowOff>9525</xdr:rowOff>
                  </from>
                  <to>
                    <xdr:col>1</xdr:col>
                    <xdr:colOff>1524000</xdr:colOff>
                    <xdr:row>17</xdr:row>
                    <xdr:rowOff>0</xdr:rowOff>
                  </to>
                </anchor>
              </controlPr>
            </control>
          </mc:Choice>
        </mc:AlternateContent>
        <mc:AlternateContent xmlns:mc="http://schemas.openxmlformats.org/markup-compatibility/2006">
          <mc:Choice Requires="x14">
            <control shapeId="17613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7613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76134"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76135"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7613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7613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7613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88">
    <tabColor theme="4" tint="0.79998168889431442"/>
  </sheetPr>
  <dimension ref="A1:CP153"/>
  <sheetViews>
    <sheetView view="pageBreakPreview" topLeftCell="S33" zoomScale="98" zoomScaleNormal="100" zoomScaleSheetLayoutView="98"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25-P-CENCAR AP2-1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25-P-CENCAR AP2-1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286</v>
      </c>
      <c r="G12" s="31" t="s">
        <v>4</v>
      </c>
      <c r="H12" s="146">
        <v>1</v>
      </c>
      <c r="I12" s="546" t="s">
        <v>5</v>
      </c>
      <c r="J12" s="546"/>
      <c r="K12" s="209">
        <v>0</v>
      </c>
      <c r="L12" s="32" t="s">
        <v>6</v>
      </c>
      <c r="M12" s="147">
        <v>0.5</v>
      </c>
      <c r="N12" s="78"/>
      <c r="O12" s="501" t="s">
        <v>3</v>
      </c>
      <c r="P12" s="501"/>
      <c r="Q12" s="225" t="s">
        <v>234</v>
      </c>
      <c r="R12" s="224" t="str">
        <f>F12</f>
        <v>P-CENCAR AP2</v>
      </c>
      <c r="S12" s="224"/>
      <c r="T12" s="502" t="s">
        <v>4</v>
      </c>
      <c r="U12" s="502"/>
      <c r="V12" s="33">
        <f>+H12</f>
        <v>1</v>
      </c>
      <c r="W12" s="547" t="s">
        <v>5</v>
      </c>
      <c r="X12" s="547"/>
      <c r="Y12" s="547"/>
      <c r="Z12" s="547"/>
      <c r="AA12" s="547"/>
      <c r="AB12" s="547"/>
      <c r="AC12" s="34">
        <f>K12</f>
        <v>0</v>
      </c>
      <c r="AD12" s="548" t="s">
        <v>6</v>
      </c>
      <c r="AE12" s="548"/>
      <c r="AF12" s="35">
        <f>+M12</f>
        <v>0.5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287</v>
      </c>
      <c r="E13" s="479"/>
      <c r="F13" s="479"/>
      <c r="G13" s="479"/>
      <c r="H13" s="479"/>
      <c r="I13" s="479"/>
      <c r="J13" s="479"/>
      <c r="K13" s="479"/>
      <c r="L13" s="479"/>
      <c r="M13" s="480"/>
      <c r="N13" s="188"/>
      <c r="O13" s="526" t="s">
        <v>130</v>
      </c>
      <c r="P13" s="526"/>
      <c r="Q13" s="527" t="str">
        <f>D13</f>
        <v>ARENA LIMOSA CON GRAVAS ANGULARES, COLOR MARRÓN AMARILLENTO,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537</v>
      </c>
      <c r="R20" s="156">
        <v>550</v>
      </c>
      <c r="S20" s="157">
        <v>551</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7014</v>
      </c>
      <c r="F22" s="150">
        <v>7422</v>
      </c>
      <c r="G22" s="150">
        <v>7618</v>
      </c>
      <c r="H22" s="151">
        <v>7269</v>
      </c>
      <c r="I22" s="174"/>
      <c r="J22" s="578"/>
      <c r="K22" s="578"/>
      <c r="L22" s="578"/>
      <c r="M22" s="104"/>
      <c r="N22" s="103"/>
      <c r="O22" s="579" t="s">
        <v>132</v>
      </c>
      <c r="P22" s="580"/>
      <c r="Q22" s="219">
        <v>8404</v>
      </c>
      <c r="R22" s="219">
        <v>8053</v>
      </c>
      <c r="S22" s="208">
        <v>8045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v>0.10798739495798321</v>
      </c>
      <c r="AJ22" s="42">
        <v>1.9565870404806184E-2</v>
      </c>
      <c r="AK22" s="42">
        <v>2.1792452830188679E-2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3772</v>
      </c>
      <c r="R23" s="150">
        <v>3845</v>
      </c>
      <c r="S23" s="151">
        <v>3862</v>
      </c>
      <c r="T23" s="174"/>
      <c r="U23" s="112">
        <v>2.5000000000000001E-2</v>
      </c>
      <c r="V23" s="113">
        <f>U23*25.4</f>
        <v>0.63500000000000001</v>
      </c>
      <c r="W23" s="581">
        <f>AI23</f>
        <v>0.57408683473389366</v>
      </c>
      <c r="X23" s="582"/>
      <c r="Y23" s="449">
        <f>((W23/19.32)*10)</f>
        <v>0.29714639478980004</v>
      </c>
      <c r="Z23" s="450"/>
      <c r="AA23" s="581">
        <f>AJ23</f>
        <v>9.0892361607781441E-2</v>
      </c>
      <c r="AB23" s="582"/>
      <c r="AC23" s="449">
        <f>((AA23/19.32)*10)</f>
        <v>4.7045735821833044E-2</v>
      </c>
      <c r="AD23" s="450"/>
      <c r="AE23" s="581">
        <f>AK23</f>
        <v>5.8805031446540888E-2</v>
      </c>
      <c r="AF23" s="582"/>
      <c r="AG23" s="114">
        <f>((AE23/19.32)*10)</f>
        <v>3.0437386877091556E-2</v>
      </c>
      <c r="AH23" s="104"/>
      <c r="AI23" s="42">
        <v>0.57408683473389366</v>
      </c>
      <c r="AJ23" s="42">
        <v>9.0892361607781441E-2</v>
      </c>
      <c r="AK23" s="42">
        <v>5.8805031446540888E-2</v>
      </c>
      <c r="AO23" s="42">
        <v>0.247</v>
      </c>
      <c r="AS23" s="42">
        <f t="shared" ref="AS23:AS37" si="2">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11.45</v>
      </c>
      <c r="S24" s="153">
        <v>11.1</v>
      </c>
      <c r="T24" s="174"/>
      <c r="U24" s="112">
        <v>0.05</v>
      </c>
      <c r="V24" s="113">
        <f>U24*25.4</f>
        <v>1.27</v>
      </c>
      <c r="W24" s="581">
        <f>AI24</f>
        <v>1.1112549019607842</v>
      </c>
      <c r="X24" s="582"/>
      <c r="Y24" s="449">
        <f>((W24/19.32)*10)</f>
        <v>0.57518369666707259</v>
      </c>
      <c r="Z24" s="450"/>
      <c r="AA24" s="581">
        <f>AJ24</f>
        <v>0.21184501501931099</v>
      </c>
      <c r="AB24" s="582"/>
      <c r="AC24" s="449">
        <f>((AA24/19.32)*10)</f>
        <v>0.1096506288919829</v>
      </c>
      <c r="AD24" s="450"/>
      <c r="AE24" s="581">
        <f>AK24</f>
        <v>0.12452830188679199</v>
      </c>
      <c r="AF24" s="582"/>
      <c r="AG24" s="114">
        <f>((AE24/19.32)*10)</f>
        <v>6.445564279854657E-2</v>
      </c>
      <c r="AH24" s="104"/>
      <c r="AI24" s="42">
        <v>1.1112549019607842</v>
      </c>
      <c r="AJ24" s="42">
        <v>0.21184501501931099</v>
      </c>
      <c r="AK24" s="42">
        <v>0.12452830188679199</v>
      </c>
      <c r="AO24" s="42">
        <v>0.68400000000000005</v>
      </c>
      <c r="AS24" s="42">
        <f t="shared" si="2"/>
        <v>0.55609756097560981</v>
      </c>
    </row>
    <row r="25" spans="1:45" ht="24.95" customHeight="1" thickBot="1" x14ac:dyDescent="0.3">
      <c r="A25" s="103"/>
      <c r="B25" s="602" t="s">
        <v>69</v>
      </c>
      <c r="C25" s="603"/>
      <c r="D25" s="603"/>
      <c r="E25" s="115">
        <f>E22-E23</f>
        <v>4130</v>
      </c>
      <c r="F25" s="115">
        <f>F22-F23</f>
        <v>4538</v>
      </c>
      <c r="G25" s="115">
        <f>G22-G23</f>
        <v>4734</v>
      </c>
      <c r="H25" s="116">
        <f>H22-H23</f>
        <v>4385</v>
      </c>
      <c r="I25" s="174"/>
      <c r="J25" s="174" t="s">
        <v>127</v>
      </c>
      <c r="K25" s="174"/>
      <c r="L25" s="218" t="s">
        <v>128</v>
      </c>
      <c r="M25" s="155">
        <v>9.32</v>
      </c>
      <c r="N25" s="103"/>
      <c r="O25" s="604" t="s">
        <v>46</v>
      </c>
      <c r="P25" s="605"/>
      <c r="Q25" s="608">
        <v>15.25</v>
      </c>
      <c r="R25" s="608">
        <v>15.11</v>
      </c>
      <c r="S25" s="620">
        <v>15.65</v>
      </c>
      <c r="T25" s="174"/>
      <c r="U25" s="112">
        <v>7.4999999999999997E-2</v>
      </c>
      <c r="V25" s="113">
        <f>U25*25.4</f>
        <v>1.9049999999999998</v>
      </c>
      <c r="W25" s="581">
        <f>AI25</f>
        <v>1.432448179271709</v>
      </c>
      <c r="X25" s="582"/>
      <c r="Y25" s="449">
        <f>((W25/19.32)*10)</f>
        <v>0.74143280500606046</v>
      </c>
      <c r="Z25" s="450"/>
      <c r="AA25" s="581">
        <f>AJ25</f>
        <v>0.3913174080961237</v>
      </c>
      <c r="AB25" s="582"/>
      <c r="AC25" s="449">
        <f>((AA25/19.32)*10)</f>
        <v>0.2025452422857783</v>
      </c>
      <c r="AD25" s="450"/>
      <c r="AE25" s="581">
        <f>AK25</f>
        <v>0.22691823899371072</v>
      </c>
      <c r="AF25" s="582"/>
      <c r="AG25" s="114">
        <f>((AE25/19.32)*10)</f>
        <v>0.11745250465512977</v>
      </c>
      <c r="AH25" s="104"/>
      <c r="AI25" s="42">
        <v>1.432448179271709</v>
      </c>
      <c r="AJ25" s="42">
        <v>0.3913174080961237</v>
      </c>
      <c r="AK25" s="42">
        <v>0.22691823899371072</v>
      </c>
      <c r="AO25" s="42">
        <v>1.3149999999999999</v>
      </c>
      <c r="AS25" s="42">
        <f t="shared" si="2"/>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9.32</v>
      </c>
      <c r="N26" s="103"/>
      <c r="O26" s="606"/>
      <c r="P26" s="607"/>
      <c r="Q26" s="609"/>
      <c r="R26" s="609"/>
      <c r="S26" s="621"/>
      <c r="T26" s="174"/>
      <c r="U26" s="600">
        <v>0.1</v>
      </c>
      <c r="V26" s="601">
        <f>U26*25.4</f>
        <v>2.54</v>
      </c>
      <c r="W26" s="778">
        <f>AI26</f>
        <v>1.6751890756302523</v>
      </c>
      <c r="X26" s="779"/>
      <c r="Y26" s="461">
        <f>((W26/19.32)*10)</f>
        <v>0.86707509090592771</v>
      </c>
      <c r="Z26" s="462"/>
      <c r="AA26" s="746">
        <f>AJ26</f>
        <v>0.57114554427120579</v>
      </c>
      <c r="AB26" s="747"/>
      <c r="AC26" s="461">
        <f>((AA26/19.32)*10)</f>
        <v>0.29562398771801546</v>
      </c>
      <c r="AD26" s="462"/>
      <c r="AE26" s="746">
        <f>AK26</f>
        <v>0.33069182389937107</v>
      </c>
      <c r="AF26" s="747"/>
      <c r="AG26" s="469">
        <f>((AE26/19.32)*10)</f>
        <v>0.17116554032058542</v>
      </c>
      <c r="AH26" s="104"/>
      <c r="AI26" s="42">
        <v>1.6751890756302523</v>
      </c>
      <c r="AJ26" s="42">
        <v>0.57114554427120579</v>
      </c>
      <c r="AK26" s="42">
        <v>0.33069182389937107</v>
      </c>
      <c r="AO26" s="42">
        <v>1.875</v>
      </c>
      <c r="AS26" s="42">
        <f t="shared" si="2"/>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2053.1671010451964</v>
      </c>
      <c r="S27" s="153">
        <f>(PI()*((S25^2)/4)*S24)</f>
        <v>2135.2146665892983</v>
      </c>
      <c r="T27" s="174"/>
      <c r="U27" s="600"/>
      <c r="V27" s="601"/>
      <c r="W27" s="780"/>
      <c r="X27" s="781"/>
      <c r="Y27" s="463"/>
      <c r="Z27" s="464"/>
      <c r="AA27" s="748"/>
      <c r="AB27" s="749"/>
      <c r="AC27" s="463"/>
      <c r="AD27" s="464"/>
      <c r="AE27" s="748"/>
      <c r="AF27" s="749"/>
      <c r="AG27" s="470"/>
      <c r="AH27" s="193"/>
      <c r="AI27" s="42">
        <v>1.8865490196078434</v>
      </c>
      <c r="AJ27" s="42">
        <v>0.75488685452724935</v>
      </c>
      <c r="AK27" s="42">
        <v>0.44449685534591193</v>
      </c>
      <c r="AO27" s="42">
        <v>2.387</v>
      </c>
      <c r="AS27" s="42">
        <f t="shared" si="2"/>
        <v>1.9406504065040651</v>
      </c>
    </row>
    <row r="28" spans="1:45" ht="24.95" customHeight="1" thickBot="1" x14ac:dyDescent="0.3">
      <c r="A28" s="103"/>
      <c r="B28" s="560" t="s">
        <v>9</v>
      </c>
      <c r="C28" s="561"/>
      <c r="D28" s="561"/>
      <c r="E28" s="148">
        <v>456</v>
      </c>
      <c r="F28" s="148">
        <v>458</v>
      </c>
      <c r="G28" s="148">
        <v>365</v>
      </c>
      <c r="H28" s="149">
        <v>12</v>
      </c>
      <c r="I28" s="174"/>
      <c r="J28" s="597" t="s">
        <v>107</v>
      </c>
      <c r="K28" s="597"/>
      <c r="L28" s="562" t="s">
        <v>119</v>
      </c>
      <c r="M28" s="459">
        <f>IF(M26="","",(100-M26))</f>
        <v>90.68</v>
      </c>
      <c r="N28" s="103"/>
      <c r="O28" s="625" t="s">
        <v>136</v>
      </c>
      <c r="P28" s="626"/>
      <c r="Q28" s="220">
        <f>Q22-Q23</f>
        <v>4632</v>
      </c>
      <c r="R28" s="220">
        <f>R22-R23</f>
        <v>4208</v>
      </c>
      <c r="S28" s="220">
        <f>S22-S23</f>
        <v>4183</v>
      </c>
      <c r="T28" s="174"/>
      <c r="U28" s="627">
        <v>0.125</v>
      </c>
      <c r="V28" s="624">
        <f>U28*25.4</f>
        <v>3.1749999999999998</v>
      </c>
      <c r="W28" s="593">
        <f>AI27</f>
        <v>1.8865490196078434</v>
      </c>
      <c r="X28" s="594"/>
      <c r="Y28" s="439">
        <f>((W28/19.32)*10)</f>
        <v>0.9764746478301467</v>
      </c>
      <c r="Z28" s="440"/>
      <c r="AA28" s="593">
        <f>AJ27</f>
        <v>0.75488685452724935</v>
      </c>
      <c r="AB28" s="594"/>
      <c r="AC28" s="439">
        <f>((AA28/19.32)*10)</f>
        <v>0.3907281855731104</v>
      </c>
      <c r="AD28" s="440"/>
      <c r="AE28" s="593">
        <f>AK27</f>
        <v>0.44449685534591193</v>
      </c>
      <c r="AF28" s="594"/>
      <c r="AG28" s="443">
        <f>((AE28/19.32)*10)</f>
        <v>0.23007083610036849</v>
      </c>
      <c r="AH28" s="104"/>
      <c r="AI28" s="42">
        <v>2.084064425770308</v>
      </c>
      <c r="AJ28" s="42">
        <v>0.93827242168502367</v>
      </c>
      <c r="AK28" s="42">
        <v>0.55726415094339621</v>
      </c>
      <c r="AO28" s="42">
        <v>2.8959999999999999</v>
      </c>
      <c r="AS28" s="42">
        <f t="shared" si="2"/>
        <v>2.3544715447154472</v>
      </c>
    </row>
    <row r="29" spans="1:45" ht="5.0999999999999996" customHeight="1" thickBot="1" x14ac:dyDescent="0.3">
      <c r="A29" s="103"/>
      <c r="B29" s="612" t="s">
        <v>73</v>
      </c>
      <c r="C29" s="613"/>
      <c r="D29" s="614"/>
      <c r="E29" s="618">
        <v>365.23</v>
      </c>
      <c r="F29" s="618">
        <v>374.12</v>
      </c>
      <c r="G29" s="618">
        <v>389.23</v>
      </c>
      <c r="H29" s="620">
        <v>378.45</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v>2.2529677871148461</v>
      </c>
      <c r="AJ29" s="42">
        <v>1.0960444857674154</v>
      </c>
      <c r="AK29" s="42">
        <v>0.65861635220125792</v>
      </c>
      <c r="AO29" s="42">
        <v>3.3879999999999999</v>
      </c>
      <c r="AS29" s="42">
        <f t="shared" si="2"/>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18.852447581632656</v>
      </c>
      <c r="N30" s="103"/>
      <c r="O30" s="622" t="s">
        <v>134</v>
      </c>
      <c r="P30" s="623"/>
      <c r="Q30" s="229">
        <f>Q28/Q27</f>
        <v>2.1861552127119235</v>
      </c>
      <c r="R30" s="229">
        <f>R28/R27</f>
        <v>2.0495165726442104</v>
      </c>
      <c r="S30" s="131">
        <f>S28/S27</f>
        <v>1.959053609669021</v>
      </c>
      <c r="T30" s="174"/>
      <c r="U30" s="120">
        <v>0.15</v>
      </c>
      <c r="V30" s="113">
        <f>U30*25.4</f>
        <v>3.8099999999999996</v>
      </c>
      <c r="W30" s="581">
        <f>AI28</f>
        <v>2.084064425770308</v>
      </c>
      <c r="X30" s="582"/>
      <c r="Y30" s="449">
        <f>((W30/19.32)*10)</f>
        <v>1.0787082949121678</v>
      </c>
      <c r="Z30" s="450"/>
      <c r="AA30" s="581">
        <f>AJ28</f>
        <v>0.93827242168502367</v>
      </c>
      <c r="AB30" s="582"/>
      <c r="AC30" s="449">
        <f>((AA30/19.32)*10)</f>
        <v>0.48564825138976375</v>
      </c>
      <c r="AD30" s="450"/>
      <c r="AE30" s="581">
        <f>AK28</f>
        <v>0.55726415094339621</v>
      </c>
      <c r="AF30" s="582"/>
      <c r="AG30" s="114">
        <f>((AE30/19.32)*10)</f>
        <v>0.288439001523497</v>
      </c>
      <c r="AH30" s="104"/>
      <c r="AI30" s="42">
        <v>2.3941820728291319</v>
      </c>
      <c r="AJ30" s="42">
        <v>1.2228669003003863</v>
      </c>
      <c r="AK30" s="42">
        <v>0.73610062893081762</v>
      </c>
      <c r="AO30" s="42">
        <v>3.8439999999999999</v>
      </c>
      <c r="AS30" s="42">
        <f t="shared" si="2"/>
        <v>3.1252032520325201</v>
      </c>
    </row>
    <row r="31" spans="1:45" ht="24.95" customHeight="1" thickBot="1" x14ac:dyDescent="0.3">
      <c r="A31" s="103"/>
      <c r="B31" s="576" t="s">
        <v>74</v>
      </c>
      <c r="C31" s="577"/>
      <c r="D31" s="577"/>
      <c r="E31" s="152">
        <v>339.05</v>
      </c>
      <c r="F31" s="152">
        <v>339.88</v>
      </c>
      <c r="G31" s="152">
        <v>346.95</v>
      </c>
      <c r="H31" s="153">
        <v>329.24</v>
      </c>
      <c r="I31" s="174"/>
      <c r="J31" s="597" t="s">
        <v>138</v>
      </c>
      <c r="K31" s="597"/>
      <c r="L31" s="562" t="s">
        <v>116</v>
      </c>
      <c r="M31" s="457">
        <f>IF(M25="","",S82)</f>
        <v>2.7120000000000002</v>
      </c>
      <c r="N31" s="121"/>
      <c r="O31" s="628" t="s">
        <v>135</v>
      </c>
      <c r="P31" s="629"/>
      <c r="Q31" s="122">
        <f>Q30/(1+Q40/100)</f>
        <v>1.9332954203862645</v>
      </c>
      <c r="R31" s="122">
        <f>R30/(1+R40/100)</f>
        <v>1.8175169272332043</v>
      </c>
      <c r="S31" s="123">
        <f>S30/(1+S40/100)</f>
        <v>1.7397277993213809</v>
      </c>
      <c r="T31" s="174"/>
      <c r="U31" s="627">
        <v>0.17499999999999999</v>
      </c>
      <c r="V31" s="624">
        <f>U31*25.4</f>
        <v>4.4449999999999994</v>
      </c>
      <c r="W31" s="593">
        <f>AI29</f>
        <v>2.2529677871148461</v>
      </c>
      <c r="X31" s="594"/>
      <c r="Y31" s="439">
        <f>((W31/19.32)*10)</f>
        <v>1.1661323949869804</v>
      </c>
      <c r="Z31" s="440"/>
      <c r="AA31" s="593">
        <f>AJ29</f>
        <v>1.0960444857674154</v>
      </c>
      <c r="AB31" s="594"/>
      <c r="AC31" s="439">
        <f>((AA31/19.32)*10)</f>
        <v>0.56731081043862086</v>
      </c>
      <c r="AD31" s="440"/>
      <c r="AE31" s="593">
        <f>AK29</f>
        <v>0.65861635220125792</v>
      </c>
      <c r="AF31" s="594"/>
      <c r="AG31" s="443">
        <f>((AE31/19.32)*10)</f>
        <v>0.34089873302342538</v>
      </c>
      <c r="AH31" s="104"/>
      <c r="AI31" s="42">
        <v>2.9248893557422972</v>
      </c>
      <c r="AJ31" s="42">
        <v>1.7029422114146762</v>
      </c>
      <c r="AK31" s="42">
        <v>0.984811320754717</v>
      </c>
      <c r="AO31" s="42">
        <v>5.516</v>
      </c>
      <c r="AS31" s="42">
        <f t="shared" si="2"/>
        <v>4.4845528455284551</v>
      </c>
    </row>
    <row r="32" spans="1:45" ht="5.0999999999999996" customHeight="1" thickBot="1" x14ac:dyDescent="0.3">
      <c r="A32" s="103"/>
      <c r="B32" s="612" t="s">
        <v>75</v>
      </c>
      <c r="C32" s="613"/>
      <c r="D32" s="614"/>
      <c r="E32" s="618">
        <v>36.450000000000003</v>
      </c>
      <c r="F32" s="618">
        <v>45.11</v>
      </c>
      <c r="G32" s="618">
        <v>45.85</v>
      </c>
      <c r="H32" s="620">
        <v>39.56</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v>3.4426750700280118</v>
      </c>
      <c r="AJ32" s="42">
        <v>2.1141812330138752</v>
      </c>
      <c r="AK32" s="42">
        <v>1.1909748427672957</v>
      </c>
      <c r="AO32" s="42">
        <v>6.7220000000000004</v>
      </c>
      <c r="AS32" s="42">
        <f t="shared" si="2"/>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2.3941820728291319</v>
      </c>
      <c r="X33" s="582"/>
      <c r="Y33" s="449">
        <f>((W33/19.32)*10)</f>
        <v>1.2392246753773974</v>
      </c>
      <c r="Z33" s="450"/>
      <c r="AA33" s="581">
        <f>AJ30</f>
        <v>1.2228669003003863</v>
      </c>
      <c r="AB33" s="582"/>
      <c r="AC33" s="449">
        <f>((AA33/19.32)*10)</f>
        <v>0.63295388214305703</v>
      </c>
      <c r="AD33" s="450"/>
      <c r="AE33" s="581">
        <f>AK30</f>
        <v>0.73610062893081762</v>
      </c>
      <c r="AF33" s="582"/>
      <c r="AG33" s="144">
        <f>((AE33/19.32)*10)</f>
        <v>0.38100446632029894</v>
      </c>
      <c r="AH33" s="104"/>
      <c r="AI33" s="42">
        <v>3.9540000000000006</v>
      </c>
      <c r="AJ33" s="42">
        <v>2.4870000000000001</v>
      </c>
      <c r="AK33" s="42">
        <v>1.3677358490566038</v>
      </c>
      <c r="AO33" s="42">
        <v>7.7720000000000002</v>
      </c>
      <c r="AS33" s="42">
        <f t="shared" si="2"/>
        <v>6.3186991869918705</v>
      </c>
    </row>
    <row r="34" spans="1:45" ht="24.95" customHeight="1" thickBot="1" x14ac:dyDescent="0.3">
      <c r="A34" s="103"/>
      <c r="B34" s="602" t="s">
        <v>10</v>
      </c>
      <c r="C34" s="603"/>
      <c r="D34" s="603"/>
      <c r="E34" s="125">
        <f>((E29-E31)/(E31-E32))*100</f>
        <v>8.651685393258429</v>
      </c>
      <c r="F34" s="125">
        <f>((F29-F31)/(F31-F32))*100</f>
        <v>11.615836075584356</v>
      </c>
      <c r="G34" s="125">
        <f>((G29-G31)/(G31-G32))*100</f>
        <v>14.041846562603796</v>
      </c>
      <c r="H34" s="126">
        <f>((H29-H31)/(H31-H32))*100</f>
        <v>16.987710577188615</v>
      </c>
      <c r="I34" s="174"/>
      <c r="J34" s="630" t="s">
        <v>125</v>
      </c>
      <c r="K34" s="630"/>
      <c r="L34" s="184" t="s">
        <v>126</v>
      </c>
      <c r="M34" s="245">
        <v>2.69</v>
      </c>
      <c r="N34" s="128"/>
      <c r="O34" s="631" t="s">
        <v>9</v>
      </c>
      <c r="P34" s="632"/>
      <c r="Q34" s="156">
        <v>339</v>
      </c>
      <c r="R34" s="156">
        <v>95</v>
      </c>
      <c r="S34" s="157">
        <v>778</v>
      </c>
      <c r="T34" s="174"/>
      <c r="U34" s="120">
        <v>0.3</v>
      </c>
      <c r="V34" s="113">
        <f>U34*25.4</f>
        <v>7.6199999999999992</v>
      </c>
      <c r="W34" s="581">
        <f>AI31</f>
        <v>2.9248893557422972</v>
      </c>
      <c r="X34" s="582"/>
      <c r="Y34" s="449">
        <f>((W34/19.32)*10)</f>
        <v>1.5139178859949778</v>
      </c>
      <c r="Z34" s="450"/>
      <c r="AA34" s="449">
        <v>1.7030000000000001</v>
      </c>
      <c r="AB34" s="450"/>
      <c r="AC34" s="449">
        <f>((AA34/19.32)*10)</f>
        <v>0.8814699792960663</v>
      </c>
      <c r="AD34" s="450"/>
      <c r="AE34" s="581">
        <f>AK31</f>
        <v>0.984811320754717</v>
      </c>
      <c r="AF34" s="582"/>
      <c r="AG34" s="114">
        <f>((AE34/19.32)*10)</f>
        <v>0.50973670846517449</v>
      </c>
      <c r="AH34" s="104"/>
      <c r="AS34" s="42">
        <f t="shared" si="2"/>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822.06</v>
      </c>
      <c r="R35" s="608">
        <v>708.61</v>
      </c>
      <c r="S35" s="610">
        <v>807.46</v>
      </c>
      <c r="T35" s="174"/>
      <c r="U35" s="627">
        <v>0.4</v>
      </c>
      <c r="V35" s="624">
        <f>U35*25.4</f>
        <v>10.16</v>
      </c>
      <c r="W35" s="593">
        <f>AI32</f>
        <v>3.4426750700280118</v>
      </c>
      <c r="X35" s="594"/>
      <c r="Y35" s="439">
        <f>((W35/19.32)*10)</f>
        <v>1.7819229140931738</v>
      </c>
      <c r="Z35" s="440"/>
      <c r="AA35" s="593">
        <f>AJ32</f>
        <v>2.1141812330138752</v>
      </c>
      <c r="AB35" s="594"/>
      <c r="AC35" s="439">
        <f>(AA35/19.32)*10</f>
        <v>1.0942967044585274</v>
      </c>
      <c r="AD35" s="440"/>
      <c r="AE35" s="593">
        <f>AK32</f>
        <v>1.1909748427672957</v>
      </c>
      <c r="AF35" s="594"/>
      <c r="AG35" s="443">
        <f>((AE35/19.32)*10)</f>
        <v>0.61644660598721301</v>
      </c>
      <c r="AH35" s="104"/>
      <c r="AS35" s="42">
        <f t="shared" si="2"/>
        <v>0</v>
      </c>
    </row>
    <row r="36" spans="1:45" ht="20.100000000000001" customHeight="1" thickBot="1" x14ac:dyDescent="0.3">
      <c r="A36" s="103"/>
      <c r="B36" s="639" t="s">
        <v>71</v>
      </c>
      <c r="C36" s="640"/>
      <c r="D36" s="640"/>
      <c r="E36" s="130">
        <f>E25/E24</f>
        <v>1.9227188081936686</v>
      </c>
      <c r="F36" s="130">
        <f>F25/F24</f>
        <v>2.1126629422718808</v>
      </c>
      <c r="G36" s="130">
        <f>G25/G24</f>
        <v>2.2039106145251397</v>
      </c>
      <c r="H36" s="131">
        <f>H25/H24</f>
        <v>2.0414338919925514</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2"/>
        <v>0</v>
      </c>
    </row>
    <row r="37" spans="1:45" ht="24.95" customHeight="1" thickBot="1" x14ac:dyDescent="0.3">
      <c r="A37" s="103"/>
      <c r="B37" s="602" t="s">
        <v>72</v>
      </c>
      <c r="C37" s="603"/>
      <c r="D37" s="603"/>
      <c r="E37" s="122">
        <f>E36/(1+E34/100)</f>
        <v>1.7696171037149588</v>
      </c>
      <c r="F37" s="230">
        <f>F36/(1+F34/100)</f>
        <v>1.8927985638536282</v>
      </c>
      <c r="G37" s="230">
        <f>G36/(1+G34/100)</f>
        <v>1.93254553565589</v>
      </c>
      <c r="H37" s="123">
        <f>H36/(1+H34/100)</f>
        <v>1.7449985831166523</v>
      </c>
      <c r="I37" s="174"/>
      <c r="J37" s="641" t="s">
        <v>139</v>
      </c>
      <c r="K37" s="641"/>
      <c r="L37" s="643" t="s">
        <v>121</v>
      </c>
      <c r="M37" s="433">
        <f>IF(F74="","",(M42^2*F74+M42*F75+F76))</f>
        <v>1.9217581632653065</v>
      </c>
      <c r="N37" s="101"/>
      <c r="O37" s="576" t="s">
        <v>28</v>
      </c>
      <c r="P37" s="577"/>
      <c r="Q37" s="150">
        <v>736.76</v>
      </c>
      <c r="R37" s="152">
        <v>638.07000000000005</v>
      </c>
      <c r="S37" s="153">
        <v>726.09</v>
      </c>
      <c r="T37" s="174"/>
      <c r="U37" s="132">
        <v>0.5</v>
      </c>
      <c r="V37" s="133">
        <f>U37*25.4</f>
        <v>12.7</v>
      </c>
      <c r="W37" s="637">
        <f>AI33</f>
        <v>3.9540000000000006</v>
      </c>
      <c r="X37" s="638"/>
      <c r="Y37" s="431">
        <f>((W37/19.32)*10)</f>
        <v>2.0465838509316772</v>
      </c>
      <c r="Z37" s="432"/>
      <c r="AA37" s="637">
        <f>AJ33</f>
        <v>2.4870000000000001</v>
      </c>
      <c r="AB37" s="638"/>
      <c r="AC37" s="431">
        <f>((AA37/19.32)*10)</f>
        <v>1.2872670807453415</v>
      </c>
      <c r="AD37" s="432"/>
      <c r="AE37" s="637">
        <f>AK33</f>
        <v>1.3677358490566038</v>
      </c>
      <c r="AF37" s="638"/>
      <c r="AG37" s="134">
        <f>((AE37/19.32)*10)</f>
        <v>0.70793781007070589</v>
      </c>
      <c r="AH37" s="104"/>
      <c r="AS37" s="42">
        <f t="shared" si="2"/>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84.58</v>
      </c>
      <c r="R38" s="618">
        <v>85.45</v>
      </c>
      <c r="S38" s="648">
        <v>80.650000000000006</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1.9779560282920818</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18.852447581632656</v>
      </c>
      <c r="N40" s="103"/>
      <c r="O40" s="628" t="s">
        <v>10</v>
      </c>
      <c r="P40" s="629"/>
      <c r="Q40" s="125">
        <f>((Q35-Q37)/(Q37-Q38))*100</f>
        <v>13.079211260694896</v>
      </c>
      <c r="R40" s="125">
        <f>((R35-R37)/(R37-R38))*100</f>
        <v>12.764648402156991</v>
      </c>
      <c r="S40" s="126">
        <f>((S35-S37)/(S37-S38))*100</f>
        <v>12.606903817550819</v>
      </c>
      <c r="T40" s="174"/>
      <c r="U40" s="645" t="s">
        <v>151</v>
      </c>
      <c r="V40" s="646"/>
      <c r="W40" s="423">
        <f>(AM79/6.9)*100</f>
        <v>12.566305665303299</v>
      </c>
      <c r="X40" s="423"/>
      <c r="Y40" s="423"/>
      <c r="Z40" s="424"/>
      <c r="AA40" s="425">
        <f>(AO79/6.9)*100</f>
        <v>4.2844056191016726</v>
      </c>
      <c r="AB40" s="426"/>
      <c r="AC40" s="427"/>
      <c r="AD40" s="425">
        <f>(AQ79/6.9)*100</f>
        <v>2.4806600046461655</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19.403748637545323</v>
      </c>
      <c r="N41" s="138"/>
      <c r="O41" s="565" t="s">
        <v>36</v>
      </c>
      <c r="P41" s="566"/>
      <c r="Q41" s="566"/>
      <c r="R41" s="566"/>
      <c r="S41" s="567"/>
      <c r="T41" s="174"/>
      <c r="U41" s="653" t="s">
        <v>152</v>
      </c>
      <c r="V41" s="654"/>
      <c r="W41" s="418">
        <f>(AM83/10.3)*100</f>
        <v>12.031307527935898</v>
      </c>
      <c r="X41" s="418"/>
      <c r="Y41" s="418"/>
      <c r="Z41" s="419"/>
      <c r="AA41" s="420">
        <f>(AO83/10.3)*100</f>
        <v>6.1451833217772522</v>
      </c>
      <c r="AB41" s="421"/>
      <c r="AC41" s="418"/>
      <c r="AD41" s="420">
        <f>(AQ83/10.3)*100</f>
        <v>3.6990724885465913</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12.704081632653061</v>
      </c>
      <c r="N42" s="103"/>
      <c r="O42" s="639" t="s">
        <v>9</v>
      </c>
      <c r="P42" s="640"/>
      <c r="Q42" s="148">
        <v>355</v>
      </c>
      <c r="R42" s="148">
        <v>7</v>
      </c>
      <c r="S42" s="149">
        <v>92</v>
      </c>
      <c r="T42" s="174"/>
      <c r="U42" s="651" t="s">
        <v>42</v>
      </c>
      <c r="V42" s="652"/>
      <c r="W42" s="413">
        <f>IF(W40&lt;W41,W40,W41)</f>
        <v>12.031307527935898</v>
      </c>
      <c r="X42" s="414"/>
      <c r="Y42" s="414"/>
      <c r="Z42" s="415"/>
      <c r="AA42" s="416">
        <f>IF(AA40&lt;AA41,AA40,AA41)</f>
        <v>4.2844056191016726</v>
      </c>
      <c r="AB42" s="414"/>
      <c r="AC42" s="415"/>
      <c r="AD42" s="416">
        <f>IF(AD40&lt;AD41,AD40,AD41)</f>
        <v>2.4806600046461655</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9.8780612244897963</v>
      </c>
      <c r="N43" s="103"/>
      <c r="O43" s="612" t="s">
        <v>49</v>
      </c>
      <c r="P43" s="614"/>
      <c r="Q43" s="618">
        <v>971.39</v>
      </c>
      <c r="R43" s="608">
        <v>792.64</v>
      </c>
      <c r="S43" s="610">
        <v>800.19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843.99</v>
      </c>
      <c r="R45" s="150">
        <v>679</v>
      </c>
      <c r="S45" s="153">
        <v>678.04</v>
      </c>
      <c r="T45" s="174"/>
      <c r="U45" s="656" t="s">
        <v>139</v>
      </c>
      <c r="V45" s="656"/>
      <c r="W45" s="179" t="s">
        <v>121</v>
      </c>
      <c r="X45" s="406">
        <f>MAX(M37:M39)</f>
        <v>1.9779560282920818</v>
      </c>
      <c r="Y45" s="406"/>
      <c r="Z45" s="406"/>
      <c r="AA45" s="174"/>
      <c r="AB45" s="657" t="s">
        <v>31</v>
      </c>
      <c r="AC45" s="658"/>
      <c r="AD45" s="658"/>
      <c r="AE45" s="658"/>
      <c r="AF45" s="231">
        <v>0.17749999999999999</v>
      </c>
      <c r="AG45" s="231">
        <v>8.7900000000000006E-2</v>
      </c>
      <c r="AH45" s="233">
        <v>0.20330000000000001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105.56</v>
      </c>
      <c r="R46" s="152">
        <v>100.23</v>
      </c>
      <c r="S46" s="153">
        <v>101.56</v>
      </c>
      <c r="T46" s="174"/>
      <c r="U46" s="555" t="s">
        <v>123</v>
      </c>
      <c r="V46" s="555"/>
      <c r="W46" s="179" t="s">
        <v>41</v>
      </c>
      <c r="X46" s="401">
        <f>MIN(M42:M44)</f>
        <v>9.8780612244897963</v>
      </c>
      <c r="Y46" s="401"/>
      <c r="Z46" s="401"/>
      <c r="AA46" s="174"/>
      <c r="AB46" s="660" t="s">
        <v>32</v>
      </c>
      <c r="AC46" s="661"/>
      <c r="AD46" s="661"/>
      <c r="AE46" s="661"/>
      <c r="AF46" s="234">
        <v>0.219</v>
      </c>
      <c r="AG46" s="234">
        <v>0.16470000000000001</v>
      </c>
      <c r="AH46" s="235">
        <v>0.2979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17.252820172528196</v>
      </c>
      <c r="R47" s="125">
        <f>((R43-R45)/(R45-R46))*100</f>
        <v>19.634742643882717</v>
      </c>
      <c r="S47" s="126">
        <f>((S43-S45)/(S45-S46))*100</f>
        <v>21.188939772411892</v>
      </c>
      <c r="T47" s="174"/>
      <c r="U47" s="555" t="s">
        <v>162</v>
      </c>
      <c r="V47" s="555"/>
      <c r="W47" s="179" t="s">
        <v>41</v>
      </c>
      <c r="X47" s="402">
        <f>IF(L25=D103,"-",IF(L25=D102,"-",IF(L25=D101,M25)))</f>
        <v>9.32</v>
      </c>
      <c r="Y47" s="402"/>
      <c r="Z47" s="402"/>
      <c r="AA47" s="174"/>
      <c r="AB47" s="662" t="s">
        <v>33</v>
      </c>
      <c r="AC47" s="663"/>
      <c r="AD47" s="663"/>
      <c r="AE47" s="663"/>
      <c r="AF47" s="232">
        <f>(AF46-AF45)*2.54</f>
        <v>0.10541000000000003</v>
      </c>
      <c r="AG47" s="232">
        <f>(AG46-AG45)*2.54</f>
        <v>0.19507200000000002</v>
      </c>
      <c r="AH47" s="239">
        <f>(AH46-AH45)*2.54</f>
        <v>0.24028399999999997</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0.90870689655172443</v>
      </c>
      <c r="AG48" s="142">
        <f>IF(AG47&lt;&gt;"",IF(R24&lt;&gt;"",AG47/R24*100,""),"")</f>
        <v>1.703685589519651</v>
      </c>
      <c r="AH48" s="173">
        <f>IF(AH47&lt;&gt;"",IF(S24&lt;&gt;"",AH47/S24*100,""),"")</f>
        <v>2.1647207207207204</v>
      </c>
    </row>
    <row r="49" spans="1:40"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40"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6.3E-2</v>
      </c>
      <c r="AK50" s="42">
        <v>0.11</v>
      </c>
      <c r="AL50" s="42">
        <f>2.487*AK50/13.982</f>
        <v>1.9565870404806184E-2</v>
      </c>
      <c r="AM50" s="42">
        <v>0.11700000000000001</v>
      </c>
      <c r="AN50" s="42">
        <f>3.954*AM50/4.284</f>
        <v>0.10798739495798321</v>
      </c>
    </row>
    <row r="51" spans="1:40"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0.17</v>
      </c>
      <c r="AK51" s="42">
        <v>0.51100000000000001</v>
      </c>
      <c r="AL51" s="42">
        <f t="shared" ref="AL51:AL61" si="3">2.487*AK51/13.982</f>
        <v>9.0892361607781441E-2</v>
      </c>
      <c r="AM51" s="42">
        <v>0.622</v>
      </c>
      <c r="AN51" s="42">
        <f t="shared" ref="AN51:AN61" si="4">3.954*AM51/4.284</f>
        <v>0.57408683473389366</v>
      </c>
    </row>
    <row r="52" spans="1:40"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0.36</v>
      </c>
      <c r="AK52" s="42">
        <v>1.1910000000000001</v>
      </c>
      <c r="AL52" s="42">
        <f t="shared" si="3"/>
        <v>0.21184501501931058</v>
      </c>
      <c r="AM52" s="42">
        <v>1.204</v>
      </c>
      <c r="AN52" s="42">
        <f t="shared" si="4"/>
        <v>1.1112549019607842</v>
      </c>
    </row>
    <row r="53" spans="1:40"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0.65600000000000003</v>
      </c>
      <c r="AK53" s="42">
        <v>2.2000000000000002</v>
      </c>
      <c r="AL53" s="42">
        <f t="shared" si="3"/>
        <v>0.3913174080961237</v>
      </c>
      <c r="AM53" s="42">
        <v>1.552</v>
      </c>
      <c r="AN53" s="42">
        <f t="shared" si="4"/>
        <v>1.432448179271709</v>
      </c>
    </row>
    <row r="54" spans="1:40"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0.95599999999999996</v>
      </c>
      <c r="AK54" s="42">
        <v>3.2109999999999999</v>
      </c>
      <c r="AL54" s="42">
        <f t="shared" si="3"/>
        <v>0.57114554427120579</v>
      </c>
      <c r="AM54" s="42">
        <v>1.8149999999999999</v>
      </c>
      <c r="AN54" s="42">
        <f t="shared" si="4"/>
        <v>1.6751890756302523</v>
      </c>
    </row>
    <row r="55" spans="1:40"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1.2849999999999999</v>
      </c>
      <c r="AK55" s="42">
        <v>4.2439999999999998</v>
      </c>
      <c r="AL55" s="42">
        <f t="shared" si="3"/>
        <v>0.75488685452724935</v>
      </c>
      <c r="AM55" s="42">
        <v>2.044</v>
      </c>
      <c r="AN55" s="42">
        <f t="shared" si="4"/>
        <v>1.8865490196078434</v>
      </c>
    </row>
    <row r="56" spans="1:40"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1.611</v>
      </c>
      <c r="AK56" s="42">
        <v>5.2750000000000004</v>
      </c>
      <c r="AL56" s="42">
        <f t="shared" si="3"/>
        <v>0.93827242168502367</v>
      </c>
      <c r="AM56" s="42">
        <v>2.258</v>
      </c>
      <c r="AN56" s="42">
        <f t="shared" si="4"/>
        <v>2.084064425770308</v>
      </c>
    </row>
    <row r="57" spans="1:40"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1.9039999999999999</v>
      </c>
      <c r="AK57" s="42">
        <v>6.1619999999999999</v>
      </c>
      <c r="AL57" s="42">
        <f t="shared" si="3"/>
        <v>1.0960444857674154</v>
      </c>
      <c r="AM57" s="42">
        <v>2.4409999999999998</v>
      </c>
      <c r="AN57" s="42">
        <f t="shared" si="4"/>
        <v>2.2529677871148461</v>
      </c>
    </row>
    <row r="58" spans="1:40"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2.1280000000000001</v>
      </c>
      <c r="AK58" s="42">
        <v>6.875</v>
      </c>
      <c r="AL58" s="42">
        <f t="shared" si="3"/>
        <v>1.2228669003003863</v>
      </c>
      <c r="AM58" s="42">
        <v>2.5939999999999999</v>
      </c>
      <c r="AN58" s="42">
        <f t="shared" si="4"/>
        <v>2.3941820728291319</v>
      </c>
    </row>
    <row r="59" spans="1:40"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2.847</v>
      </c>
      <c r="AK59" s="42">
        <v>9.5739999999999998</v>
      </c>
      <c r="AL59" s="42">
        <f t="shared" si="3"/>
        <v>1.7029422114146762</v>
      </c>
      <c r="AM59" s="42">
        <v>3.169</v>
      </c>
      <c r="AN59" s="42">
        <f t="shared" si="4"/>
        <v>2.9248893557422972</v>
      </c>
    </row>
    <row r="60" spans="1:40"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3.4430000000000001</v>
      </c>
      <c r="AK60" s="42">
        <v>11.885999999999999</v>
      </c>
      <c r="AL60" s="42">
        <f t="shared" si="3"/>
        <v>2.1141812330138752</v>
      </c>
      <c r="AM60" s="42">
        <v>3.73</v>
      </c>
      <c r="AN60" s="42">
        <f t="shared" si="4"/>
        <v>3.4426750700280118</v>
      </c>
    </row>
    <row r="61" spans="1:40"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3.9540000000000002</v>
      </c>
      <c r="AK61" s="42">
        <v>13.981999999999999</v>
      </c>
      <c r="AL61" s="42">
        <f t="shared" si="3"/>
        <v>2.4870000000000001</v>
      </c>
      <c r="AM61" s="42">
        <v>4.2839999999999998</v>
      </c>
      <c r="AN61" s="42">
        <f t="shared" si="4"/>
        <v>3.9540000000000006</v>
      </c>
    </row>
    <row r="62" spans="1:40"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40"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40"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-9.7999999999999997E-3</v>
      </c>
      <c r="G74" s="75">
        <v>-0.12509999999999999</v>
      </c>
      <c r="J74" s="701"/>
      <c r="K74" s="702"/>
      <c r="L74" s="44"/>
      <c r="M74" s="44"/>
      <c r="N74" s="44"/>
    </row>
    <row r="75" spans="1:94" ht="26.25" customHeight="1" thickBot="1" x14ac:dyDescent="0.3">
      <c r="A75" s="11"/>
      <c r="B75" s="377" t="s">
        <v>113</v>
      </c>
      <c r="C75" s="377"/>
      <c r="D75" s="19"/>
      <c r="E75" s="54" t="s">
        <v>12</v>
      </c>
      <c r="F75" s="55">
        <v>0.249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5">((AL75/19.32)*10)</f>
        <v>0</v>
      </c>
      <c r="AN75" s="5">
        <f>AA22</f>
        <v>0</v>
      </c>
      <c r="AO75" s="3">
        <f>((AN75/19.32)*10)</f>
        <v>0</v>
      </c>
      <c r="AP75" s="5">
        <f>AE22</f>
        <v>0</v>
      </c>
      <c r="AQ75" s="161">
        <f t="shared" ref="AQ75:AQ84" si="6">((AP75/19.32)*10)</f>
        <v>0</v>
      </c>
    </row>
    <row r="76" spans="1:94" ht="26.25" customHeight="1" thickBot="1" x14ac:dyDescent="0.3">
      <c r="A76" s="11"/>
      <c r="B76" s="377" t="s">
        <v>114</v>
      </c>
      <c r="C76" s="377"/>
      <c r="D76" s="20"/>
      <c r="E76" s="56" t="s">
        <v>13</v>
      </c>
      <c r="F76" s="57">
        <v>0.34010000000000001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7">AJ76*25.4</f>
        <v>0.63500000000000001</v>
      </c>
      <c r="AL76" s="5">
        <f>W23</f>
        <v>0.57408683473389366</v>
      </c>
      <c r="AM76" s="3">
        <f t="shared" si="5"/>
        <v>0.29714639478980004</v>
      </c>
      <c r="AN76" s="5">
        <f>AA23</f>
        <v>9.0892361607781441E-2</v>
      </c>
      <c r="AO76" s="3">
        <f t="shared" ref="AO76:AO86" si="8">((AN76/19.32)*10)</f>
        <v>4.7045735821833044E-2</v>
      </c>
      <c r="AP76" s="5">
        <f>AE23</f>
        <v>5.8805031446540888E-2</v>
      </c>
      <c r="AQ76" s="161">
        <f t="shared" si="6"/>
        <v>3.0437386877091556E-2</v>
      </c>
    </row>
    <row r="77" spans="1:94" ht="26.25" customHeight="1" thickTop="1" thickBot="1" x14ac:dyDescent="0.3">
      <c r="A77" s="11"/>
      <c r="B77" s="377" t="s">
        <v>115</v>
      </c>
      <c r="C77" s="377"/>
      <c r="D77" s="15"/>
      <c r="J77" s="380"/>
      <c r="K77" s="381"/>
      <c r="U77" s="44"/>
      <c r="AB77" s="44"/>
      <c r="AC77" s="44"/>
      <c r="AD77" s="44"/>
      <c r="AE77" s="44"/>
      <c r="AJ77" s="160">
        <f>U24</f>
        <v>0.05</v>
      </c>
      <c r="AK77" s="3">
        <f t="shared" si="7"/>
        <v>1.27</v>
      </c>
      <c r="AL77" s="5">
        <f>W24</f>
        <v>1.1112549019607842</v>
      </c>
      <c r="AM77" s="3">
        <f t="shared" si="5"/>
        <v>0.57518369666707259</v>
      </c>
      <c r="AN77" s="5">
        <f>AA24</f>
        <v>0.21184501501931099</v>
      </c>
      <c r="AO77" s="3">
        <f t="shared" si="8"/>
        <v>0.1096506288919829</v>
      </c>
      <c r="AP77" s="5">
        <f>AE24</f>
        <v>0.12452830188679199</v>
      </c>
      <c r="AQ77" s="161">
        <f t="shared" si="6"/>
        <v>6.445564279854657E-2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7"/>
        <v>1.9049999999999998</v>
      </c>
      <c r="AL78" s="5">
        <f>W25</f>
        <v>1.432448179271709</v>
      </c>
      <c r="AM78" s="3">
        <f t="shared" si="5"/>
        <v>0.74143280500606046</v>
      </c>
      <c r="AN78" s="5">
        <f>AA25</f>
        <v>0.3913174080961237</v>
      </c>
      <c r="AO78" s="3">
        <f t="shared" si="8"/>
        <v>0.2025452422857783</v>
      </c>
      <c r="AP78" s="5">
        <f>AE25</f>
        <v>0.22691823899371072</v>
      </c>
      <c r="AQ78" s="161">
        <f t="shared" si="6"/>
        <v>0.11745250465512977</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7"/>
        <v>2.54</v>
      </c>
      <c r="AL79" s="5">
        <f>W26</f>
        <v>1.6751890756302523</v>
      </c>
      <c r="AM79" s="4">
        <f t="shared" si="5"/>
        <v>0.86707509090592771</v>
      </c>
      <c r="AN79" s="5">
        <f>AA26</f>
        <v>0.57114554427120579</v>
      </c>
      <c r="AO79" s="4">
        <f t="shared" si="8"/>
        <v>0.29562398771801546</v>
      </c>
      <c r="AP79" s="5">
        <f>AE26</f>
        <v>0.33069182389937107</v>
      </c>
      <c r="AQ79" s="162">
        <f t="shared" si="6"/>
        <v>0.17116554032058542</v>
      </c>
      <c r="BB79" s="12">
        <v>17</v>
      </c>
      <c r="BC79" s="12">
        <v>18</v>
      </c>
    </row>
    <row r="80" spans="1:94" ht="42" customHeight="1" thickTop="1" thickBot="1" x14ac:dyDescent="0.3">
      <c r="D80" s="49"/>
      <c r="H80" s="711" t="s">
        <v>105</v>
      </c>
      <c r="I80" s="712"/>
      <c r="J80" s="58"/>
      <c r="AJ80" s="160">
        <f>U28</f>
        <v>0.125</v>
      </c>
      <c r="AK80" s="3">
        <f t="shared" si="7"/>
        <v>3.1749999999999998</v>
      </c>
      <c r="AL80" s="5">
        <f>W28</f>
        <v>1.8865490196078434</v>
      </c>
      <c r="AM80" s="3">
        <f t="shared" si="5"/>
        <v>0.9764746478301467</v>
      </c>
      <c r="AN80" s="5">
        <f>AA28</f>
        <v>0.75488685452724935</v>
      </c>
      <c r="AO80" s="3">
        <f t="shared" si="8"/>
        <v>0.3907281855731104</v>
      </c>
      <c r="AP80" s="5">
        <f>AE28</f>
        <v>0.44449685534591193</v>
      </c>
      <c r="AQ80" s="161">
        <f t="shared" si="6"/>
        <v>0.23007083610036849</v>
      </c>
      <c r="BC80" s="45">
        <v>0.99880400000000003</v>
      </c>
      <c r="BD80" s="45">
        <v>0.99862499999999998</v>
      </c>
    </row>
    <row r="81" spans="2:43" ht="15.75" customHeight="1" x14ac:dyDescent="0.25">
      <c r="AJ81" s="160">
        <f>U30</f>
        <v>0.15</v>
      </c>
      <c r="AK81" s="3">
        <f t="shared" si="7"/>
        <v>3.8099999999999996</v>
      </c>
      <c r="AL81" s="5">
        <f>W30</f>
        <v>2.084064425770308</v>
      </c>
      <c r="AM81" s="3">
        <f t="shared" si="5"/>
        <v>1.0787082949121678</v>
      </c>
      <c r="AN81" s="5">
        <f>AA30</f>
        <v>0.93827242168502367</v>
      </c>
      <c r="AO81" s="3">
        <f t="shared" si="8"/>
        <v>0.48564825138976375</v>
      </c>
      <c r="AP81" s="5">
        <f>AE30</f>
        <v>0.55726415094339621</v>
      </c>
      <c r="AQ81" s="161">
        <f t="shared" si="6"/>
        <v>0.288439001523497</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7"/>
        <v>4.4449999999999994</v>
      </c>
      <c r="AL82" s="5">
        <f>W31</f>
        <v>2.2529677871148461</v>
      </c>
      <c r="AM82" s="3">
        <f t="shared" si="5"/>
        <v>1.1661323949869804</v>
      </c>
      <c r="AN82" s="5">
        <f>AA31</f>
        <v>1.0960444857674154</v>
      </c>
      <c r="AO82" s="3">
        <f t="shared" si="8"/>
        <v>0.56731081043862086</v>
      </c>
      <c r="AP82" s="5">
        <f>AE31</f>
        <v>0.65861635220125792</v>
      </c>
      <c r="AQ82" s="161">
        <f t="shared" si="6"/>
        <v>0.34089873302342538</v>
      </c>
    </row>
    <row r="83" spans="2:43" ht="15" customHeight="1" x14ac:dyDescent="0.25">
      <c r="B83" s="49"/>
      <c r="C83" s="49"/>
      <c r="D83" s="49">
        <v>0</v>
      </c>
      <c r="E83" s="50">
        <f>M42</f>
        <v>12.704081632653061</v>
      </c>
      <c r="F83" s="49"/>
      <c r="G83" s="43">
        <f>G84/10</f>
        <v>2.1821479678798319</v>
      </c>
      <c r="H83" s="43">
        <f>H84/10</f>
        <v>2.0495769182651995</v>
      </c>
      <c r="I83" s="43">
        <f>I84/10</f>
        <v>1.9524931948551845</v>
      </c>
      <c r="J83" s="43">
        <f>J84/10</f>
        <v>1.8462981948556934</v>
      </c>
      <c r="K83" s="43"/>
      <c r="L83" s="42">
        <v>0</v>
      </c>
      <c r="O83" s="706"/>
      <c r="P83" s="706"/>
      <c r="Q83" s="706"/>
      <c r="R83" s="706"/>
      <c r="S83" s="707"/>
      <c r="W83" s="112"/>
      <c r="AJ83" s="160">
        <f>U33</f>
        <v>0.2</v>
      </c>
      <c r="AK83" s="4">
        <f t="shared" si="7"/>
        <v>5.08</v>
      </c>
      <c r="AL83" s="5">
        <f>W33</f>
        <v>2.3941820728291319</v>
      </c>
      <c r="AM83" s="4">
        <f t="shared" si="5"/>
        <v>1.2392246753773974</v>
      </c>
      <c r="AN83" s="5">
        <f>AA33</f>
        <v>1.2228669003003863</v>
      </c>
      <c r="AO83" s="4">
        <f t="shared" si="8"/>
        <v>0.63295388214305703</v>
      </c>
      <c r="AP83" s="5">
        <f>AE33</f>
        <v>0.73610062893081762</v>
      </c>
      <c r="AQ83" s="162">
        <f t="shared" si="6"/>
        <v>0.38100446632029894</v>
      </c>
    </row>
    <row r="84" spans="2:43" ht="15" customHeight="1" x14ac:dyDescent="0.25">
      <c r="C84" s="94"/>
      <c r="D84" s="94"/>
      <c r="E84" s="94"/>
      <c r="F84" s="49"/>
      <c r="G84" s="43">
        <f>($M$34/(1+(E34*$M$34/100)))*($O$73)</f>
        <v>21.821479678798319</v>
      </c>
      <c r="H84" s="43">
        <f>($M$34/(1+(F34*$M$34/100)))*($O$73)</f>
        <v>20.495769182651994</v>
      </c>
      <c r="I84" s="43">
        <f>($M$34/(1+(G34*$M$34/100)))*($O$73)</f>
        <v>19.524931948551846</v>
      </c>
      <c r="J84" s="43">
        <f>($M$34/(1+(H34*$M$34/100)))*($O$73)</f>
        <v>18.462981948556934</v>
      </c>
      <c r="K84" s="43"/>
      <c r="O84" s="706" t="s">
        <v>146</v>
      </c>
      <c r="P84" s="706"/>
      <c r="Q84" s="706"/>
      <c r="R84" s="706"/>
      <c r="S84" s="707">
        <v>2240</v>
      </c>
      <c r="W84" s="112"/>
      <c r="AJ84" s="160">
        <f>U34</f>
        <v>0.3</v>
      </c>
      <c r="AK84" s="3">
        <f t="shared" si="7"/>
        <v>7.6199999999999992</v>
      </c>
      <c r="AL84" s="5">
        <f>W34</f>
        <v>2.9248893557422972</v>
      </c>
      <c r="AM84" s="3">
        <f t="shared" si="5"/>
        <v>1.5139178859949778</v>
      </c>
      <c r="AN84" s="5">
        <f>AA34</f>
        <v>1.7030000000000001</v>
      </c>
      <c r="AO84" s="3">
        <f t="shared" si="8"/>
        <v>0.8814699792960663</v>
      </c>
      <c r="AP84" s="5">
        <f>AE34</f>
        <v>0.984811320754717</v>
      </c>
      <c r="AQ84" s="161">
        <f t="shared" si="6"/>
        <v>0.50973670846517449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3.4426750700280118</v>
      </c>
      <c r="AM85" s="3">
        <f t="shared" si="5"/>
        <v>1.7819229140931738</v>
      </c>
      <c r="AN85" s="5">
        <f>AA35</f>
        <v>2.1141812330138752</v>
      </c>
      <c r="AO85" s="3">
        <f t="shared" si="8"/>
        <v>1.0942967044585274</v>
      </c>
      <c r="AP85" s="5">
        <f>AE35</f>
        <v>1.1909748427672957</v>
      </c>
      <c r="AQ85" s="161">
        <f>((AP85/19.32)*10)</f>
        <v>0.61644660598721301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3.9540000000000006</v>
      </c>
      <c r="AM86" s="164">
        <f t="shared" si="5"/>
        <v>2.0465838509316772</v>
      </c>
      <c r="AN86" s="165">
        <f>AA37</f>
        <v>2.4870000000000001</v>
      </c>
      <c r="AO86" s="164">
        <f t="shared" si="8"/>
        <v>1.2872670807453415</v>
      </c>
      <c r="AP86" s="165">
        <f>AE37</f>
        <v>1.3677358490566038</v>
      </c>
      <c r="AQ86" s="166">
        <f>((AP86/19.32)*10)</f>
        <v>0.70793781007070589</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1.9332954203862645</v>
      </c>
      <c r="AK91" s="9">
        <f>R31</f>
        <v>1.8175169272332043</v>
      </c>
      <c r="AL91" s="10">
        <f>S31</f>
        <v>1.7397277993213809</v>
      </c>
    </row>
    <row r="92" spans="2:43" ht="21" customHeight="1" thickBot="1" x14ac:dyDescent="0.3">
      <c r="B92" s="92"/>
      <c r="C92" s="93"/>
      <c r="D92" s="93"/>
      <c r="E92" s="93"/>
      <c r="F92" s="62"/>
      <c r="G92" s="63"/>
      <c r="H92" s="49"/>
      <c r="I92" s="49"/>
      <c r="O92" s="725" t="s">
        <v>147</v>
      </c>
      <c r="P92" s="726"/>
      <c r="Q92" s="726"/>
      <c r="R92" s="726"/>
      <c r="S92" s="61">
        <f>M42</f>
        <v>12.704081632653061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12.031307527935898</v>
      </c>
      <c r="AK94" s="158">
        <f>AA42</f>
        <v>4.2844056191016726</v>
      </c>
      <c r="AL94" s="158">
        <f>AD42</f>
        <v>2.4806600046461655</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690" priority="47">
      <formula>LEN(TRIM(D6))=0</formula>
    </cfRule>
  </conditionalFormatting>
  <conditionalFormatting sqref="D6:H10">
    <cfRule type="containsBlanks" dxfId="689" priority="46">
      <formula>LEN(TRIM(D6))=0</formula>
    </cfRule>
  </conditionalFormatting>
  <conditionalFormatting sqref="M19">
    <cfRule type="containsBlanks" dxfId="688" priority="45">
      <formula>LEN(TRIM(M19))=0</formula>
    </cfRule>
  </conditionalFormatting>
  <conditionalFormatting sqref="CP70">
    <cfRule type="containsBlanks" dxfId="687" priority="44">
      <formula>LEN(TRIM(CP70))=0</formula>
    </cfRule>
  </conditionalFormatting>
  <conditionalFormatting sqref="M21">
    <cfRule type="containsBlanks" dxfId="686" priority="43">
      <formula>LEN(TRIM(M21))=0</formula>
    </cfRule>
  </conditionalFormatting>
  <conditionalFormatting sqref="D12:M12">
    <cfRule type="containsBlanks" dxfId="685" priority="42">
      <formula>LEN(TRIM(D12))=0</formula>
    </cfRule>
  </conditionalFormatting>
  <conditionalFormatting sqref="L9:M9">
    <cfRule type="containsBlanks" dxfId="684" priority="41">
      <formula>LEN(TRIM(L9))=0</formula>
    </cfRule>
  </conditionalFormatting>
  <conditionalFormatting sqref="L25">
    <cfRule type="containsBlanks" dxfId="683" priority="40">
      <formula>LEN(TRIM(L25))=0</formula>
    </cfRule>
  </conditionalFormatting>
  <conditionalFormatting sqref="Q20:S21">
    <cfRule type="containsBlanks" dxfId="682" priority="33">
      <formula>LEN(TRIM(Q20))=0</formula>
    </cfRule>
    <cfRule type="containsBlanks" dxfId="681" priority="39">
      <formula>LEN(TRIM(Q20))=0</formula>
    </cfRule>
  </conditionalFormatting>
  <conditionalFormatting sqref="U26:V27 AC33 AC26">
    <cfRule type="cellIs" dxfId="680" priority="38" operator="between">
      <formula>0</formula>
      <formula>500</formula>
    </cfRule>
  </conditionalFormatting>
  <conditionalFormatting sqref="U33:V33">
    <cfRule type="cellIs" dxfId="679" priority="37" operator="between">
      <formula>0</formula>
      <formula>500</formula>
    </cfRule>
  </conditionalFormatting>
  <conditionalFormatting sqref="AF45:AH46">
    <cfRule type="containsBlanks" dxfId="678" priority="36">
      <formula>LEN(TRIM(AF45))=0</formula>
    </cfRule>
  </conditionalFormatting>
  <conditionalFormatting sqref="AF51:AG53">
    <cfRule type="containsBlanks" dxfId="677" priority="35">
      <formula>LEN(TRIM(AF51))=0</formula>
    </cfRule>
  </conditionalFormatting>
  <conditionalFormatting sqref="E20:H24">
    <cfRule type="containsBlanks" dxfId="676" priority="34">
      <formula>LEN(TRIM(E20))=0</formula>
    </cfRule>
  </conditionalFormatting>
  <conditionalFormatting sqref="M25">
    <cfRule type="containsBlanks" dxfId="675" priority="32">
      <formula>LEN(TRIM(M25))=0</formula>
    </cfRule>
  </conditionalFormatting>
  <conditionalFormatting sqref="U26:V27 Y26:Z27 AC26:AD27 AG26:AG27">
    <cfRule type="containsBlanks" dxfId="674" priority="30">
      <formula>LEN(TRIM(U26))=0</formula>
    </cfRule>
    <cfRule type="cellIs" dxfId="673" priority="31" operator="between">
      <formula>0</formula>
      <formula>1000</formula>
    </cfRule>
  </conditionalFormatting>
  <conditionalFormatting sqref="W87:W88">
    <cfRule type="cellIs" dxfId="672" priority="29" operator="between">
      <formula>0</formula>
      <formula>500</formula>
    </cfRule>
  </conditionalFormatting>
  <conditionalFormatting sqref="W94">
    <cfRule type="cellIs" dxfId="671" priority="28" operator="between">
      <formula>0</formula>
      <formula>500</formula>
    </cfRule>
  </conditionalFormatting>
  <conditionalFormatting sqref="W87:W88">
    <cfRule type="containsBlanks" dxfId="670" priority="26">
      <formula>LEN(TRIM(W87))=0</formula>
    </cfRule>
    <cfRule type="cellIs" dxfId="669" priority="27" operator="between">
      <formula>0</formula>
      <formula>1000</formula>
    </cfRule>
  </conditionalFormatting>
  <conditionalFormatting sqref="U33:V33 Y33:Z33 AC33:AD33 AG33">
    <cfRule type="cellIs" dxfId="668" priority="25" operator="between">
      <formula>0</formula>
      <formula>1000</formula>
    </cfRule>
  </conditionalFormatting>
  <conditionalFormatting sqref="Q27:S27">
    <cfRule type="containsBlanks" dxfId="667" priority="23">
      <formula>LEN(TRIM(Q27))=0</formula>
    </cfRule>
    <cfRule type="containsBlanks" dxfId="666" priority="24">
      <formula>LEN(TRIM(Q27))=0</formula>
    </cfRule>
  </conditionalFormatting>
  <conditionalFormatting sqref="W30:W31 W33:W35 W37 W28 W22:W26">
    <cfRule type="containsBlanks" dxfId="665" priority="22">
      <formula>LEN(TRIM(W22))=0</formula>
    </cfRule>
  </conditionalFormatting>
  <conditionalFormatting sqref="W37 W30:W31 W33:W35 W28 W22:W26">
    <cfRule type="containsBlanks" dxfId="664" priority="21">
      <formula>LEN(TRIM(W22))=0</formula>
    </cfRule>
  </conditionalFormatting>
  <conditionalFormatting sqref="W33:X33">
    <cfRule type="cellIs" dxfId="663" priority="20" operator="between">
      <formula>0</formula>
      <formula>1000</formula>
    </cfRule>
  </conditionalFormatting>
  <conditionalFormatting sqref="W30:X37 W26 W28 W22:X25">
    <cfRule type="containsBlanks" dxfId="662" priority="19">
      <formula>LEN(TRIM(W22))=0</formula>
    </cfRule>
  </conditionalFormatting>
  <conditionalFormatting sqref="AA37 AA30:AA31 AA33 AA22:AA26 AA28 AA35">
    <cfRule type="containsBlanks" dxfId="661" priority="18">
      <formula>LEN(TRIM(AA22))=0</formula>
    </cfRule>
  </conditionalFormatting>
  <conditionalFormatting sqref="AA37 AA30:AA31 AA33 AA22:AA26 AA28 AA35">
    <cfRule type="containsBlanks" dxfId="660" priority="17">
      <formula>LEN(TRIM(AA22))=0</formula>
    </cfRule>
  </conditionalFormatting>
  <conditionalFormatting sqref="AA33:AB33">
    <cfRule type="cellIs" dxfId="659" priority="16" operator="between">
      <formula>0</formula>
      <formula>1000</formula>
    </cfRule>
  </conditionalFormatting>
  <conditionalFormatting sqref="AA30:AB30 AA31 AA33:AB33 AA22:AB25 AA26 AA28 AA35:AB37">
    <cfRule type="containsBlanks" dxfId="658" priority="15">
      <formula>LEN(TRIM(AA22))=0</formula>
    </cfRule>
  </conditionalFormatting>
  <conditionalFormatting sqref="AE37 AE28 AE30:AE31 AE33:AE35 AE22:AE26">
    <cfRule type="containsBlanks" dxfId="657" priority="14">
      <formula>LEN(TRIM(AE22))=0</formula>
    </cfRule>
  </conditionalFormatting>
  <conditionalFormatting sqref="AE37 AE28 AE30:AE31 AE33:AE35 AE22:AE26">
    <cfRule type="containsBlanks" dxfId="656" priority="13">
      <formula>LEN(TRIM(AE22))=0</formula>
    </cfRule>
  </conditionalFormatting>
  <conditionalFormatting sqref="AE33:AF33">
    <cfRule type="cellIs" dxfId="655" priority="12" operator="between">
      <formula>0</formula>
      <formula>1000</formula>
    </cfRule>
  </conditionalFormatting>
  <conditionalFormatting sqref="AE33:AF37 AE26 AE28 AE30:AE31 AE22:AF25">
    <cfRule type="containsBlanks" dxfId="654" priority="11">
      <formula>LEN(TRIM(AE22))=0</formula>
    </cfRule>
  </conditionalFormatting>
  <conditionalFormatting sqref="K6:M6">
    <cfRule type="containsBlanks" dxfId="653" priority="10">
      <formula>LEN(TRIM(K6))=0</formula>
    </cfRule>
  </conditionalFormatting>
  <conditionalFormatting sqref="K7:K8">
    <cfRule type="containsBlanks" dxfId="652" priority="9">
      <formula>LEN(TRIM(K7))=0</formula>
    </cfRule>
  </conditionalFormatting>
  <conditionalFormatting sqref="D13:M13">
    <cfRule type="containsBlanks" dxfId="651" priority="8">
      <formula>LEN(TRIM(D13))=0</formula>
    </cfRule>
  </conditionalFormatting>
  <conditionalFormatting sqref="B6:B10">
    <cfRule type="containsBlanks" dxfId="650" priority="7">
      <formula>LEN(TRIM(B6))=0</formula>
    </cfRule>
  </conditionalFormatting>
  <conditionalFormatting sqref="B12:B13">
    <cfRule type="containsBlanks" dxfId="649" priority="6">
      <formula>LEN(TRIM(B12))=0</formula>
    </cfRule>
  </conditionalFormatting>
  <conditionalFormatting sqref="E28:H33">
    <cfRule type="containsBlanks" dxfId="648" priority="5">
      <formula>LEN(TRIM(E28))=0</formula>
    </cfRule>
  </conditionalFormatting>
  <conditionalFormatting sqref="Q22:S26">
    <cfRule type="containsBlanks" dxfId="647" priority="3">
      <formula>LEN(TRIM(Q22))=0</formula>
    </cfRule>
    <cfRule type="containsBlanks" dxfId="646" priority="4">
      <formula>LEN(TRIM(Q22))=0</formula>
    </cfRule>
  </conditionalFormatting>
  <conditionalFormatting sqref="Q34:S39">
    <cfRule type="containsBlanks" dxfId="645" priority="2">
      <formula>LEN(TRIM(Q34))=0</formula>
    </cfRule>
  </conditionalFormatting>
  <conditionalFormatting sqref="Q42:S46">
    <cfRule type="containsBlanks" dxfId="644" priority="1">
      <formula>LEN(TRIM(Q42))=0</formula>
    </cfRule>
  </conditionalFormatting>
  <dataValidations count="5">
    <dataValidation type="list" allowBlank="1" showInputMessage="1" showErrorMessage="1" sqref="L25" xr:uid="{00000000-0002-0000-2D00-000000000000}">
      <formula1>$D$101:$D$104</formula1>
    </dataValidation>
    <dataValidation type="list" allowBlank="1" showInputMessage="1" showErrorMessage="1" sqref="M21" xr:uid="{00000000-0002-0000-2D00-000001000000}">
      <formula1>$AX$3:$AX$4</formula1>
    </dataValidation>
    <dataValidation type="list" allowBlank="1" showInputMessage="1" showErrorMessage="1" sqref="M19" xr:uid="{00000000-0002-0000-2D00-000002000000}">
      <formula1>$AX$3:$AX$5</formula1>
    </dataValidation>
    <dataValidation type="list" allowBlank="1" showInputMessage="1" showErrorMessage="1" sqref="CP70" xr:uid="{00000000-0002-0000-2D00-000003000000}">
      <formula1>$BA$3:$BA$5</formula1>
    </dataValidation>
    <dataValidation type="list" allowBlank="1" showInputMessage="1" showErrorMessage="1" sqref="D12:E12" xr:uid="{00000000-0002-0000-2D00-000004000000}">
      <formula1>$B$87:$B$94</formula1>
    </dataValidation>
  </dataValidations>
  <hyperlinks>
    <hyperlink ref="D8" r:id="rId1" xr:uid="{00000000-0004-0000-2D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77153"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77154"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77155" r:id="rId7" name="Check Box 3">
              <controlPr defaultSize="0" autoFill="0" autoLine="0" autoPict="0">
                <anchor moveWithCells="1">
                  <from>
                    <xdr:col>1</xdr:col>
                    <xdr:colOff>1038225</xdr:colOff>
                    <xdr:row>16</xdr:row>
                    <xdr:rowOff>9525</xdr:rowOff>
                  </from>
                  <to>
                    <xdr:col>1</xdr:col>
                    <xdr:colOff>1524000</xdr:colOff>
                    <xdr:row>17</xdr:row>
                    <xdr:rowOff>0</xdr:rowOff>
                  </to>
                </anchor>
              </controlPr>
            </control>
          </mc:Choice>
        </mc:AlternateContent>
        <mc:AlternateContent xmlns:mc="http://schemas.openxmlformats.org/markup-compatibility/2006">
          <mc:Choice Requires="x14">
            <control shapeId="17715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7715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77158"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77159"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7716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7716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7716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89">
    <tabColor theme="4" tint="0.79998168889431442"/>
  </sheetPr>
  <dimension ref="A1:CP153"/>
  <sheetViews>
    <sheetView view="pageBreakPreview" topLeftCell="P39" zoomScale="86" zoomScaleNormal="100" zoomScaleSheetLayoutView="86"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25-P-CENCAR 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25-P-CENCAR 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290</v>
      </c>
      <c r="G12" s="31" t="s">
        <v>4</v>
      </c>
      <c r="H12" s="146">
        <v>2</v>
      </c>
      <c r="I12" s="546" t="s">
        <v>5</v>
      </c>
      <c r="J12" s="546"/>
      <c r="K12" s="209">
        <v>0.9</v>
      </c>
      <c r="L12" s="32" t="s">
        <v>6</v>
      </c>
      <c r="M12" s="147">
        <v>1.5</v>
      </c>
      <c r="N12" s="78"/>
      <c r="O12" s="501" t="s">
        <v>3</v>
      </c>
      <c r="P12" s="501"/>
      <c r="Q12" s="225" t="s">
        <v>234</v>
      </c>
      <c r="R12" s="224" t="str">
        <f>F12</f>
        <v>P-CENCAR AP3</v>
      </c>
      <c r="S12" s="224"/>
      <c r="T12" s="502" t="s">
        <v>4</v>
      </c>
      <c r="U12" s="502"/>
      <c r="V12" s="33">
        <f>+H12</f>
        <v>2</v>
      </c>
      <c r="W12" s="547" t="s">
        <v>5</v>
      </c>
      <c r="X12" s="547"/>
      <c r="Y12" s="547"/>
      <c r="Z12" s="547"/>
      <c r="AA12" s="547"/>
      <c r="AB12" s="547"/>
      <c r="AC12" s="34">
        <f>K12</f>
        <v>0.9</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291</v>
      </c>
      <c r="E13" s="479"/>
      <c r="F13" s="479"/>
      <c r="G13" s="479"/>
      <c r="H13" s="479"/>
      <c r="I13" s="479"/>
      <c r="J13" s="479"/>
      <c r="K13" s="479"/>
      <c r="L13" s="479"/>
      <c r="M13" s="480"/>
      <c r="N13" s="188"/>
      <c r="O13" s="526" t="s">
        <v>130</v>
      </c>
      <c r="P13" s="526"/>
      <c r="Q13" s="527" t="str">
        <f>D13</f>
        <v>GRAVAS ANGULARES, CON ARENA, COLOR MARRÓN, EN CONDICIÓN SECA.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56">
        <v>526</v>
      </c>
      <c r="R20" s="156">
        <v>67</v>
      </c>
      <c r="S20" s="157">
        <v>908</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7134</v>
      </c>
      <c r="F22" s="150">
        <v>7790</v>
      </c>
      <c r="G22" s="150">
        <v>7900</v>
      </c>
      <c r="H22" s="151">
        <v>7165</v>
      </c>
      <c r="I22" s="174"/>
      <c r="J22" s="578"/>
      <c r="K22" s="578"/>
      <c r="L22" s="578"/>
      <c r="M22" s="104"/>
      <c r="N22" s="103"/>
      <c r="O22" s="579" t="s">
        <v>132</v>
      </c>
      <c r="P22" s="580"/>
      <c r="Q22" s="219">
        <v>8744</v>
      </c>
      <c r="R22" s="219">
        <v>8224</v>
      </c>
      <c r="S22" s="208">
        <v>7869</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0.28599999999999998</v>
      </c>
      <c r="AJ22" s="42">
        <v>0.22632151898734174</v>
      </c>
      <c r="AK22" s="42">
        <v>9.8930817610062893E-2</v>
      </c>
      <c r="AO22" s="42">
        <v>0.06</v>
      </c>
      <c r="AS22" s="42">
        <f>AO22/1.23</f>
        <v>4.878048780487805E-2</v>
      </c>
    </row>
    <row r="23" spans="1:45" ht="24.95" customHeight="1" x14ac:dyDescent="0.25">
      <c r="A23" s="103"/>
      <c r="B23" s="583" t="s">
        <v>68</v>
      </c>
      <c r="C23" s="584"/>
      <c r="D23" s="584"/>
      <c r="E23" s="150">
        <v>2884</v>
      </c>
      <c r="F23" s="150">
        <f t="shared" ref="F23:H24" si="1">E23</f>
        <v>2884</v>
      </c>
      <c r="G23" s="150">
        <f t="shared" si="1"/>
        <v>2884</v>
      </c>
      <c r="H23" s="151">
        <f t="shared" si="1"/>
        <v>2884</v>
      </c>
      <c r="I23" s="174"/>
      <c r="J23" s="587" t="s">
        <v>165</v>
      </c>
      <c r="K23" s="588"/>
      <c r="L23" s="588"/>
      <c r="M23" s="589"/>
      <c r="N23" s="103"/>
      <c r="O23" s="579" t="s">
        <v>27</v>
      </c>
      <c r="P23" s="580"/>
      <c r="Q23" s="150">
        <v>3788</v>
      </c>
      <c r="R23" s="150">
        <v>3766</v>
      </c>
      <c r="S23" s="151">
        <v>3615</v>
      </c>
      <c r="T23" s="174"/>
      <c r="U23" s="112">
        <v>2.5000000000000001E-2</v>
      </c>
      <c r="V23" s="113">
        <f>U23*25.4</f>
        <v>0.63500000000000001</v>
      </c>
      <c r="W23" s="581">
        <f>AI23</f>
        <v>1.9410000000000001</v>
      </c>
      <c r="X23" s="582"/>
      <c r="Y23" s="449">
        <f>((W23/19.32)*10)</f>
        <v>1.0046583850931676</v>
      </c>
      <c r="Z23" s="450"/>
      <c r="AA23" s="581">
        <v>0.82499999999999996</v>
      </c>
      <c r="AB23" s="582"/>
      <c r="AC23" s="449">
        <f>((AA23/19.32)*10)</f>
        <v>0.42701863354037262</v>
      </c>
      <c r="AD23" s="450"/>
      <c r="AE23" s="581">
        <f>AK23</f>
        <v>0.67141509433962276</v>
      </c>
      <c r="AF23" s="582"/>
      <c r="AG23" s="114">
        <f>((AE23/19.32)*10)</f>
        <v>0.34752334075549834</v>
      </c>
      <c r="AH23" s="104"/>
      <c r="AI23" s="42">
        <f t="shared" ref="AI23:AI33" si="2">AJ51</f>
        <v>1.9410000000000001</v>
      </c>
      <c r="AJ23" s="42">
        <v>0.61070886075949371</v>
      </c>
      <c r="AK23" s="42">
        <v>0.67141509433962276</v>
      </c>
      <c r="AO23" s="42">
        <v>0.247</v>
      </c>
      <c r="AS23" s="42">
        <f t="shared" ref="AS23:AS37" si="3">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2">
        <v>11.6</v>
      </c>
      <c r="R24" s="152">
        <v>11.56</v>
      </c>
      <c r="S24" s="153">
        <v>11.67</v>
      </c>
      <c r="T24" s="174"/>
      <c r="U24" s="112">
        <v>0.05</v>
      </c>
      <c r="V24" s="113">
        <f>U24*25.4</f>
        <v>1.27</v>
      </c>
      <c r="W24" s="581">
        <f>AI24</f>
        <v>5.5289999999999999</v>
      </c>
      <c r="X24" s="582"/>
      <c r="Y24" s="449">
        <f>((W24/19.32)*10)</f>
        <v>2.8618012422360244</v>
      </c>
      <c r="Z24" s="450"/>
      <c r="AA24" s="581">
        <v>2.2869999999999999</v>
      </c>
      <c r="AB24" s="582"/>
      <c r="AC24" s="449">
        <f>((AA24/19.32)*10)</f>
        <v>1.1837474120082816</v>
      </c>
      <c r="AD24" s="450"/>
      <c r="AE24" s="581">
        <f>AK24</f>
        <v>1.9125471698113206</v>
      </c>
      <c r="AF24" s="582"/>
      <c r="AG24" s="114">
        <f>((AE24/19.32)*10)</f>
        <v>0.98993124731434801</v>
      </c>
      <c r="AH24" s="104"/>
      <c r="AI24" s="42">
        <f t="shared" si="2"/>
        <v>5.5289999999999999</v>
      </c>
      <c r="AJ24" s="42">
        <v>1.2932658227848099</v>
      </c>
      <c r="AK24" s="42">
        <v>1.9125471698113206</v>
      </c>
      <c r="AO24" s="42">
        <v>0.68400000000000005</v>
      </c>
      <c r="AS24" s="42">
        <f t="shared" si="3"/>
        <v>0.55609756097560981</v>
      </c>
    </row>
    <row r="25" spans="1:45" ht="24.95" customHeight="1" thickBot="1" x14ac:dyDescent="0.3">
      <c r="A25" s="103"/>
      <c r="B25" s="602" t="s">
        <v>69</v>
      </c>
      <c r="C25" s="603"/>
      <c r="D25" s="603"/>
      <c r="E25" s="115">
        <f>E22-E23</f>
        <v>4250</v>
      </c>
      <c r="F25" s="115">
        <f>F22-F23</f>
        <v>4906</v>
      </c>
      <c r="G25" s="115">
        <f>G22-G23</f>
        <v>5016</v>
      </c>
      <c r="H25" s="116">
        <f>H22-H23</f>
        <v>4281</v>
      </c>
      <c r="I25" s="174"/>
      <c r="J25" s="174" t="s">
        <v>127</v>
      </c>
      <c r="K25" s="174"/>
      <c r="L25" s="218" t="s">
        <v>128</v>
      </c>
      <c r="M25" s="155">
        <v>30.03</v>
      </c>
      <c r="N25" s="103"/>
      <c r="O25" s="604" t="s">
        <v>46</v>
      </c>
      <c r="P25" s="605"/>
      <c r="Q25" s="608">
        <v>15.2</v>
      </c>
      <c r="R25" s="608">
        <v>15.12</v>
      </c>
      <c r="S25" s="620">
        <v>15.12</v>
      </c>
      <c r="T25" s="174"/>
      <c r="U25" s="112">
        <v>7.4999999999999997E-2</v>
      </c>
      <c r="V25" s="113">
        <f>U25*25.4</f>
        <v>1.9049999999999998</v>
      </c>
      <c r="W25" s="581">
        <f>AI25</f>
        <v>8.0299999999999994</v>
      </c>
      <c r="X25" s="582"/>
      <c r="Y25" s="449">
        <f>((W25/19.32)*10)</f>
        <v>4.1563146997929596</v>
      </c>
      <c r="Z25" s="450"/>
      <c r="AA25" s="581">
        <v>3.9870000000000001</v>
      </c>
      <c r="AB25" s="582"/>
      <c r="AC25" s="449">
        <f>((AA25/19.32)*10)</f>
        <v>2.0636645962732918</v>
      </c>
      <c r="AD25" s="450"/>
      <c r="AE25" s="581">
        <f>AK25</f>
        <v>2.7776729559748423</v>
      </c>
      <c r="AF25" s="582"/>
      <c r="AG25" s="114">
        <f>((AE25/19.32)*10)</f>
        <v>1.4377189213120301</v>
      </c>
      <c r="AH25" s="104"/>
      <c r="AI25" s="42">
        <f t="shared" si="2"/>
        <v>8.0299999999999994</v>
      </c>
      <c r="AJ25" s="42">
        <v>2.3566177215189872</v>
      </c>
      <c r="AK25" s="42">
        <v>2.7776729559748423</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30.03</v>
      </c>
      <c r="N26" s="103"/>
      <c r="O26" s="606"/>
      <c r="P26" s="607"/>
      <c r="Q26" s="609"/>
      <c r="R26" s="609"/>
      <c r="S26" s="621"/>
      <c r="T26" s="174"/>
      <c r="U26" s="600">
        <v>0.1</v>
      </c>
      <c r="V26" s="601">
        <f>U26*25.4</f>
        <v>2.54</v>
      </c>
      <c r="W26" s="778">
        <f>AI26</f>
        <v>9.6790000000000003</v>
      </c>
      <c r="X26" s="779"/>
      <c r="Y26" s="461">
        <f>((W26/19.32)*10)</f>
        <v>5.0098343685300204</v>
      </c>
      <c r="Z26" s="462"/>
      <c r="AA26" s="746">
        <v>5.0469999999999997</v>
      </c>
      <c r="AB26" s="747"/>
      <c r="AC26" s="461">
        <f>((AA26/19.32)*10)</f>
        <v>2.61231884057971</v>
      </c>
      <c r="AD26" s="462"/>
      <c r="AE26" s="746">
        <f>AK26</f>
        <v>3.3480817610062896</v>
      </c>
      <c r="AF26" s="747"/>
      <c r="AG26" s="469">
        <f>((AE26/19.32)*10)</f>
        <v>1.7329615740198188</v>
      </c>
      <c r="AH26" s="104"/>
      <c r="AI26" s="42">
        <f t="shared" si="2"/>
        <v>9.6790000000000003</v>
      </c>
      <c r="AJ26" s="42">
        <v>3.4343392405063287</v>
      </c>
      <c r="AK26" s="42">
        <v>3.3480817610062896</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2075.6364934845828</v>
      </c>
      <c r="S27" s="153">
        <f>(PI()*((S25^2)/4)*S24)</f>
        <v>2095.3873597720658</v>
      </c>
      <c r="T27" s="174"/>
      <c r="U27" s="600"/>
      <c r="V27" s="601"/>
      <c r="W27" s="780"/>
      <c r="X27" s="781"/>
      <c r="Y27" s="463"/>
      <c r="Z27" s="464"/>
      <c r="AA27" s="748"/>
      <c r="AB27" s="749"/>
      <c r="AC27" s="463"/>
      <c r="AD27" s="464"/>
      <c r="AE27" s="748"/>
      <c r="AF27" s="749"/>
      <c r="AG27" s="470"/>
      <c r="AH27" s="193"/>
      <c r="AI27" s="42">
        <f t="shared" si="2"/>
        <v>11.247999999999999</v>
      </c>
      <c r="AJ27" s="42">
        <v>4.6162405063291132</v>
      </c>
      <c r="AK27" s="42">
        <v>3.8908176100628928</v>
      </c>
      <c r="AO27" s="42">
        <v>2.387</v>
      </c>
      <c r="AS27" s="42">
        <f t="shared" si="3"/>
        <v>1.9406504065040651</v>
      </c>
    </row>
    <row r="28" spans="1:45" ht="24.95" customHeight="1" thickBot="1" x14ac:dyDescent="0.3">
      <c r="A28" s="103"/>
      <c r="B28" s="560" t="s">
        <v>9</v>
      </c>
      <c r="C28" s="561"/>
      <c r="D28" s="561"/>
      <c r="E28" s="148">
        <v>78</v>
      </c>
      <c r="F28" s="148">
        <v>12</v>
      </c>
      <c r="G28" s="148">
        <v>98</v>
      </c>
      <c r="H28" s="149">
        <v>89</v>
      </c>
      <c r="I28" s="174"/>
      <c r="J28" s="597" t="s">
        <v>107</v>
      </c>
      <c r="K28" s="597"/>
      <c r="L28" s="562" t="s">
        <v>119</v>
      </c>
      <c r="M28" s="459">
        <f>IF(M26="","",(100-M26))</f>
        <v>69.97</v>
      </c>
      <c r="N28" s="103"/>
      <c r="O28" s="625" t="s">
        <v>136</v>
      </c>
      <c r="P28" s="626"/>
      <c r="Q28" s="220">
        <f>Q22-Q23</f>
        <v>4956</v>
      </c>
      <c r="R28" s="220">
        <f>R22-R23</f>
        <v>4458</v>
      </c>
      <c r="S28" s="220">
        <f>S22-S23</f>
        <v>4254</v>
      </c>
      <c r="T28" s="174"/>
      <c r="U28" s="627">
        <v>0.125</v>
      </c>
      <c r="V28" s="624">
        <f>U28*25.4</f>
        <v>3.1749999999999998</v>
      </c>
      <c r="W28" s="593">
        <f>AI27</f>
        <v>11.247999999999999</v>
      </c>
      <c r="X28" s="594"/>
      <c r="Y28" s="439">
        <f>((W28/19.32)*10)</f>
        <v>5.8219461697722563</v>
      </c>
      <c r="Z28" s="440"/>
      <c r="AA28" s="593">
        <v>5.9779999999999998</v>
      </c>
      <c r="AB28" s="594"/>
      <c r="AC28" s="439">
        <f>((AA28/19.32)*10)</f>
        <v>3.0942028985507246</v>
      </c>
      <c r="AD28" s="440"/>
      <c r="AE28" s="593">
        <f>AK27</f>
        <v>3.8908176100628928</v>
      </c>
      <c r="AF28" s="594"/>
      <c r="AG28" s="443">
        <f>((AE28/19.32)*10)</f>
        <v>2.0138807505501517</v>
      </c>
      <c r="AH28" s="104"/>
      <c r="AI28" s="42">
        <f t="shared" si="2"/>
        <v>12.582000000000001</v>
      </c>
      <c r="AJ28" s="42">
        <v>5.7873645569620251</v>
      </c>
      <c r="AK28" s="42">
        <v>4.3522641509433964</v>
      </c>
      <c r="AO28" s="42">
        <v>2.8959999999999999</v>
      </c>
      <c r="AS28" s="42">
        <f t="shared" si="3"/>
        <v>2.3544715447154472</v>
      </c>
    </row>
    <row r="29" spans="1:45" ht="5.0999999999999996" customHeight="1" thickBot="1" x14ac:dyDescent="0.3">
      <c r="A29" s="103"/>
      <c r="B29" s="612" t="s">
        <v>73</v>
      </c>
      <c r="C29" s="613"/>
      <c r="D29" s="614"/>
      <c r="E29" s="618">
        <v>410.98</v>
      </c>
      <c r="F29" s="618">
        <v>560.1</v>
      </c>
      <c r="G29" s="618">
        <v>606.69000000000005</v>
      </c>
      <c r="H29" s="620">
        <v>512.39</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13.661</v>
      </c>
      <c r="AJ29" s="42">
        <v>6.8399392405063288</v>
      </c>
      <c r="AK29" s="42">
        <v>4.7255031446540876</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21.321547095238103</v>
      </c>
      <c r="N30" s="103"/>
      <c r="O30" s="622" t="s">
        <v>134</v>
      </c>
      <c r="P30" s="623"/>
      <c r="Q30" s="229">
        <f>Q28/Q27</f>
        <v>2.3544867524460114</v>
      </c>
      <c r="R30" s="229">
        <f>R28/R27</f>
        <v>2.1477749181967312</v>
      </c>
      <c r="S30" s="131">
        <f>S28/S27</f>
        <v>2.0301735524751594</v>
      </c>
      <c r="T30" s="174"/>
      <c r="U30" s="120">
        <v>0.15</v>
      </c>
      <c r="V30" s="113">
        <f>U30*25.4</f>
        <v>3.8099999999999996</v>
      </c>
      <c r="W30" s="581">
        <f>AI28</f>
        <v>12.582000000000001</v>
      </c>
      <c r="X30" s="582"/>
      <c r="Y30" s="449">
        <f>((W30/19.32)*10)</f>
        <v>6.5124223602484479</v>
      </c>
      <c r="Z30" s="450"/>
      <c r="AA30" s="581">
        <v>6.4870000000000001</v>
      </c>
      <c r="AB30" s="582"/>
      <c r="AC30" s="449">
        <f>((AA30/19.32)*10)</f>
        <v>3.3576604554865424</v>
      </c>
      <c r="AD30" s="450"/>
      <c r="AE30" s="581">
        <f>AK28</f>
        <v>4.3522641509433964</v>
      </c>
      <c r="AF30" s="582"/>
      <c r="AG30" s="114">
        <f>((AE30/19.32)*10)</f>
        <v>2.2527247158092116</v>
      </c>
      <c r="AH30" s="104"/>
      <c r="AI30" s="42">
        <f t="shared" si="2"/>
        <v>14.555999999999999</v>
      </c>
      <c r="AJ30" s="42">
        <v>7.644637974683544</v>
      </c>
      <c r="AK30" s="42">
        <v>5.0350943396226411</v>
      </c>
      <c r="AO30" s="42">
        <v>3.8439999999999999</v>
      </c>
      <c r="AS30" s="42">
        <f t="shared" si="3"/>
        <v>3.1252032520325201</v>
      </c>
    </row>
    <row r="31" spans="1:45" ht="24.95" customHeight="1" thickBot="1" x14ac:dyDescent="0.3">
      <c r="A31" s="103"/>
      <c r="B31" s="576" t="s">
        <v>74</v>
      </c>
      <c r="C31" s="577"/>
      <c r="D31" s="577"/>
      <c r="E31" s="152">
        <v>390.75</v>
      </c>
      <c r="F31" s="152">
        <v>524.33000000000004</v>
      </c>
      <c r="G31" s="152">
        <v>557.54</v>
      </c>
      <c r="H31" s="153">
        <v>462.48</v>
      </c>
      <c r="I31" s="174"/>
      <c r="J31" s="597" t="s">
        <v>138</v>
      </c>
      <c r="K31" s="597"/>
      <c r="L31" s="562" t="s">
        <v>116</v>
      </c>
      <c r="M31" s="457">
        <f>IF(M25="","",S82)</f>
        <v>2.7120000000000002</v>
      </c>
      <c r="N31" s="121"/>
      <c r="O31" s="628" t="s">
        <v>135</v>
      </c>
      <c r="P31" s="629"/>
      <c r="Q31" s="122">
        <f>Q30/(1+Q40/100)</f>
        <v>2.1711983229768879</v>
      </c>
      <c r="R31" s="122">
        <f>R30/(1+R40/100)</f>
        <v>1.9807097554823192</v>
      </c>
      <c r="S31" s="123">
        <f>S30/(1+S40/100)</f>
        <v>1.8699545232223203</v>
      </c>
      <c r="T31" s="174"/>
      <c r="U31" s="627">
        <v>0.17499999999999999</v>
      </c>
      <c r="V31" s="624">
        <f>U31*25.4</f>
        <v>4.4449999999999994</v>
      </c>
      <c r="W31" s="593">
        <f>AI29</f>
        <v>13.661</v>
      </c>
      <c r="X31" s="594"/>
      <c r="Y31" s="439">
        <f>((W31/19.32)*10)</f>
        <v>7.070910973084886</v>
      </c>
      <c r="Z31" s="440"/>
      <c r="AA31" s="593">
        <v>7.2679999999999998</v>
      </c>
      <c r="AB31" s="594"/>
      <c r="AC31" s="439">
        <f>((AA31/19.32)*10)</f>
        <v>3.7619047619047619</v>
      </c>
      <c r="AD31" s="440"/>
      <c r="AE31" s="593">
        <f>AK29</f>
        <v>4.7255031446540876</v>
      </c>
      <c r="AF31" s="594"/>
      <c r="AG31" s="443">
        <f>((AE31/19.32)*10)</f>
        <v>2.4459126007526333</v>
      </c>
      <c r="AH31" s="104"/>
      <c r="AI31" s="42">
        <f t="shared" si="2"/>
        <v>17.806000000000001</v>
      </c>
      <c r="AJ31" s="42">
        <v>10.227577215189873</v>
      </c>
      <c r="AK31" s="42">
        <v>6.1593081761006294</v>
      </c>
      <c r="AO31" s="42">
        <v>5.516</v>
      </c>
      <c r="AS31" s="42">
        <f t="shared" si="3"/>
        <v>4.4845528455284551</v>
      </c>
    </row>
    <row r="32" spans="1:45" ht="5.0999999999999996" customHeight="1" thickBot="1" x14ac:dyDescent="0.3">
      <c r="A32" s="103"/>
      <c r="B32" s="612" t="s">
        <v>75</v>
      </c>
      <c r="C32" s="613"/>
      <c r="D32" s="614"/>
      <c r="E32" s="618">
        <v>35.56</v>
      </c>
      <c r="F32" s="618">
        <v>36.67</v>
      </c>
      <c r="G32" s="618">
        <v>35.090000000000003</v>
      </c>
      <c r="H32" s="620">
        <v>36.11</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20.395</v>
      </c>
      <c r="AJ32" s="42">
        <v>12.368650632911391</v>
      </c>
      <c r="AK32" s="42">
        <v>7.0548742138364782</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14.555999999999999</v>
      </c>
      <c r="X33" s="582"/>
      <c r="Y33" s="449">
        <f>((W33/19.32)*10)</f>
        <v>7.5341614906832284</v>
      </c>
      <c r="Z33" s="450"/>
      <c r="AA33" s="581">
        <v>7.9809999999999999</v>
      </c>
      <c r="AB33" s="582"/>
      <c r="AC33" s="449">
        <f>((AA33/19.32)*10)</f>
        <v>4.1309523809523805</v>
      </c>
      <c r="AD33" s="450"/>
      <c r="AE33" s="581">
        <f>AK30</f>
        <v>5.0350943396226411</v>
      </c>
      <c r="AF33" s="582"/>
      <c r="AG33" s="144">
        <f>((AE33/19.32)*10)</f>
        <v>2.6061564904879093</v>
      </c>
      <c r="AH33" s="104"/>
      <c r="AI33" s="42">
        <f t="shared" si="2"/>
        <v>22.567</v>
      </c>
      <c r="AJ33" s="42">
        <v>14.204369620253164</v>
      </c>
      <c r="AK33" s="42">
        <v>7.8061949685534593</v>
      </c>
      <c r="AO33" s="42">
        <v>7.7720000000000002</v>
      </c>
      <c r="AS33" s="42">
        <f t="shared" si="3"/>
        <v>6.3186991869918705</v>
      </c>
    </row>
    <row r="34" spans="1:45" ht="24.95" customHeight="1" thickBot="1" x14ac:dyDescent="0.3">
      <c r="A34" s="103"/>
      <c r="B34" s="602" t="s">
        <v>10</v>
      </c>
      <c r="C34" s="603"/>
      <c r="D34" s="603"/>
      <c r="E34" s="125">
        <f>((E29-E31)/(E31-E32))*100</f>
        <v>5.6955432303837439</v>
      </c>
      <c r="F34" s="125">
        <f>((F29-F31)/(F31-F32))*100</f>
        <v>7.3350285034655256</v>
      </c>
      <c r="G34" s="125">
        <f>((G29-G31)/(G31-G32))*100</f>
        <v>9.4075988132835864</v>
      </c>
      <c r="H34" s="126">
        <f>((H29-H31)/(H31-H32))*100</f>
        <v>11.705795435889009</v>
      </c>
      <c r="I34" s="174"/>
      <c r="J34" s="630" t="s">
        <v>125</v>
      </c>
      <c r="K34" s="630"/>
      <c r="L34" s="184" t="s">
        <v>126</v>
      </c>
      <c r="M34" s="245">
        <v>2.7</v>
      </c>
      <c r="N34" s="128"/>
      <c r="O34" s="631" t="s">
        <v>9</v>
      </c>
      <c r="P34" s="632"/>
      <c r="Q34" s="156">
        <v>329</v>
      </c>
      <c r="R34" s="156">
        <v>89</v>
      </c>
      <c r="S34" s="157">
        <v>18</v>
      </c>
      <c r="T34" s="174"/>
      <c r="U34" s="120">
        <v>0.3</v>
      </c>
      <c r="V34" s="113">
        <f>U34*25.4</f>
        <v>7.6199999999999992</v>
      </c>
      <c r="W34" s="581">
        <f>AI31</f>
        <v>17.806000000000001</v>
      </c>
      <c r="X34" s="582"/>
      <c r="Y34" s="449">
        <f>((W34/19.32)*10)</f>
        <v>9.2163561076604559</v>
      </c>
      <c r="Z34" s="450"/>
      <c r="AA34" s="449">
        <v>10.228</v>
      </c>
      <c r="AB34" s="450"/>
      <c r="AC34" s="449">
        <f>((AA34/19.32)*10)</f>
        <v>5.2939958592132506</v>
      </c>
      <c r="AD34" s="450"/>
      <c r="AE34" s="581">
        <f>AK31</f>
        <v>6.1593081761006294</v>
      </c>
      <c r="AF34" s="582"/>
      <c r="AG34" s="114">
        <f>((AE34/19.32)*10)</f>
        <v>3.1880477101970133</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1138.0899999999999</v>
      </c>
      <c r="R35" s="608">
        <v>875.34</v>
      </c>
      <c r="S35" s="610">
        <v>943.45</v>
      </c>
      <c r="T35" s="174"/>
      <c r="U35" s="627">
        <v>0.4</v>
      </c>
      <c r="V35" s="624">
        <f>U35*25.4</f>
        <v>10.16</v>
      </c>
      <c r="W35" s="593">
        <f>AI32</f>
        <v>20.395</v>
      </c>
      <c r="X35" s="594"/>
      <c r="Y35" s="439">
        <f>((W35/19.32)*10)</f>
        <v>10.556418219461698</v>
      </c>
      <c r="Z35" s="440"/>
      <c r="AA35" s="593">
        <f>AJ32</f>
        <v>12.368650632911391</v>
      </c>
      <c r="AB35" s="594"/>
      <c r="AC35" s="439">
        <f>(AA35/19.32)*10</f>
        <v>6.4019930812170767</v>
      </c>
      <c r="AD35" s="440"/>
      <c r="AE35" s="593">
        <f>AK32</f>
        <v>7.0548742138364782</v>
      </c>
      <c r="AF35" s="594"/>
      <c r="AG35" s="443">
        <f>((AE35/19.32)*10)</f>
        <v>3.6515912079898953</v>
      </c>
      <c r="AH35" s="104"/>
      <c r="AS35" s="42">
        <f t="shared" si="3"/>
        <v>0</v>
      </c>
    </row>
    <row r="36" spans="1:45" ht="20.100000000000001" customHeight="1" thickBot="1" x14ac:dyDescent="0.3">
      <c r="A36" s="103"/>
      <c r="B36" s="639" t="s">
        <v>71</v>
      </c>
      <c r="C36" s="640"/>
      <c r="D36" s="640"/>
      <c r="E36" s="130">
        <f>E25/E24</f>
        <v>1.9785847299813781</v>
      </c>
      <c r="F36" s="130">
        <f>F25/F24</f>
        <v>2.2839851024208566</v>
      </c>
      <c r="G36" s="130">
        <f>G25/G24</f>
        <v>2.3351955307262569</v>
      </c>
      <c r="H36" s="131">
        <f>H25/H24</f>
        <v>1.9930167597765363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1.8719660919559045</v>
      </c>
      <c r="F37" s="230">
        <f>F36/(1+F34/100)</f>
        <v>2.1279028237711919</v>
      </c>
      <c r="G37" s="230">
        <f>G36/(1+G34/100)</f>
        <v>2.1343997638697214</v>
      </c>
      <c r="H37" s="123">
        <f>H36/(1+H34/100)</f>
        <v>1.784165944120941</v>
      </c>
      <c r="I37" s="174"/>
      <c r="J37" s="641" t="s">
        <v>139</v>
      </c>
      <c r="K37" s="641"/>
      <c r="L37" s="643" t="s">
        <v>121</v>
      </c>
      <c r="M37" s="433">
        <f>IF(F74="","",(M42^2*F74+M42*F75+F76))</f>
        <v>2.1734502645502651</v>
      </c>
      <c r="N37" s="101"/>
      <c r="O37" s="576" t="s">
        <v>28</v>
      </c>
      <c r="P37" s="577"/>
      <c r="Q37" s="150">
        <v>1057.3499999999999</v>
      </c>
      <c r="R37" s="152">
        <v>810.38</v>
      </c>
      <c r="S37" s="153">
        <v>872</v>
      </c>
      <c r="T37" s="174"/>
      <c r="U37" s="132">
        <v>0.5</v>
      </c>
      <c r="V37" s="133">
        <f>U37*25.4</f>
        <v>12.7</v>
      </c>
      <c r="W37" s="637">
        <f>AI33</f>
        <v>22.567</v>
      </c>
      <c r="X37" s="638"/>
      <c r="Y37" s="431">
        <f>((W37/19.32)*10)</f>
        <v>11.680641821946169</v>
      </c>
      <c r="Z37" s="432"/>
      <c r="AA37" s="637">
        <f>AJ33</f>
        <v>14.204369620253164</v>
      </c>
      <c r="AB37" s="638"/>
      <c r="AC37" s="431">
        <f>((AA37/19.32)*10)</f>
        <v>7.3521581885368352</v>
      </c>
      <c r="AD37" s="432"/>
      <c r="AE37" s="637">
        <f>AK33</f>
        <v>7.8061949685534593</v>
      </c>
      <c r="AF37" s="638"/>
      <c r="AG37" s="134">
        <f>((AE37/19.32)*10)</f>
        <v>4.0404735862077947</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100.92</v>
      </c>
      <c r="R38" s="618">
        <v>40.22</v>
      </c>
      <c r="S38" s="648">
        <v>38.090000000000003</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2.3225742081443279</v>
      </c>
      <c r="N39" s="103"/>
      <c r="O39" s="576"/>
      <c r="P39" s="577"/>
      <c r="Q39" s="647"/>
      <c r="R39" s="619"/>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21.321547095238103</v>
      </c>
      <c r="N40" s="103"/>
      <c r="O40" s="628" t="s">
        <v>10</v>
      </c>
      <c r="P40" s="629"/>
      <c r="Q40" s="125">
        <f>((Q35-Q37)/(Q37-Q38))*100</f>
        <v>8.4418096462888048</v>
      </c>
      <c r="R40" s="125">
        <f>((R35-R37)/(R37-R38))*100</f>
        <v>8.4346109899241775</v>
      </c>
      <c r="S40" s="126">
        <f>((S35-S37)/(S37-S38))*100</f>
        <v>8.5680708949407069</v>
      </c>
      <c r="T40" s="174"/>
      <c r="U40" s="645" t="s">
        <v>151</v>
      </c>
      <c r="V40" s="646"/>
      <c r="W40" s="423">
        <f>(AM79/6.9)*100</f>
        <v>72.606295196087245</v>
      </c>
      <c r="X40" s="423"/>
      <c r="Y40" s="423"/>
      <c r="Z40" s="424"/>
      <c r="AA40" s="425">
        <f>(AO79/6.9)*100</f>
        <v>37.859693341734925</v>
      </c>
      <c r="AB40" s="426"/>
      <c r="AC40" s="427"/>
      <c r="AD40" s="425">
        <f>(AQ79/6.9)*100</f>
        <v>25.115385130722011</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22.784452981895857</v>
      </c>
      <c r="N41" s="138"/>
      <c r="O41" s="565" t="s">
        <v>36</v>
      </c>
      <c r="P41" s="566"/>
      <c r="Q41" s="566"/>
      <c r="R41" s="566"/>
      <c r="S41" s="567"/>
      <c r="T41" s="174"/>
      <c r="U41" s="653" t="s">
        <v>152</v>
      </c>
      <c r="V41" s="654"/>
      <c r="W41" s="418">
        <f>(AM83/10.3)*100</f>
        <v>73.147198938672119</v>
      </c>
      <c r="X41" s="418"/>
      <c r="Y41" s="418"/>
      <c r="Z41" s="419"/>
      <c r="AA41" s="420">
        <f>(AO83/10.3)*100</f>
        <v>40.106333795654173</v>
      </c>
      <c r="AB41" s="421"/>
      <c r="AC41" s="418"/>
      <c r="AD41" s="420">
        <f>(AQ83/10.3)*100</f>
        <v>25.302490198911737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8.5026455026455032</v>
      </c>
      <c r="N42" s="103"/>
      <c r="O42" s="639" t="s">
        <v>9</v>
      </c>
      <c r="P42" s="640"/>
      <c r="Q42" s="148">
        <v>343</v>
      </c>
      <c r="R42" s="148">
        <v>812</v>
      </c>
      <c r="S42" s="149">
        <v>90</v>
      </c>
      <c r="T42" s="174"/>
      <c r="U42" s="651" t="s">
        <v>42</v>
      </c>
      <c r="V42" s="652"/>
      <c r="W42" s="413">
        <f>IF(W40&lt;W41,W40,W41)</f>
        <v>72.606295196087245</v>
      </c>
      <c r="X42" s="414"/>
      <c r="Y42" s="414"/>
      <c r="Z42" s="415"/>
      <c r="AA42" s="416">
        <f>IF(AA40&lt;AA41,AA40,AA41)</f>
        <v>37.859693341734925</v>
      </c>
      <c r="AB42" s="414"/>
      <c r="AC42" s="415"/>
      <c r="AD42" s="416">
        <f>IF(AD40&lt;AD41,AD40,AD41)</f>
        <v>25.115385130722011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6.7269841269841271</v>
      </c>
      <c r="N43" s="103"/>
      <c r="O43" s="612" t="s">
        <v>49</v>
      </c>
      <c r="P43" s="614"/>
      <c r="Q43" s="618">
        <v>1074.5999999999999</v>
      </c>
      <c r="R43" s="608">
        <v>967.15</v>
      </c>
      <c r="S43" s="610">
        <v>701.23</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1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979.14</v>
      </c>
      <c r="R45" s="150">
        <v>870.38</v>
      </c>
      <c r="S45" s="153">
        <v>627.67999999999995</v>
      </c>
      <c r="T45" s="174"/>
      <c r="U45" s="656" t="s">
        <v>139</v>
      </c>
      <c r="V45" s="656"/>
      <c r="W45" s="179" t="s">
        <v>121</v>
      </c>
      <c r="X45" s="406">
        <f>MAX(M37:M39)</f>
        <v>2.3225742081443279</v>
      </c>
      <c r="Y45" s="406"/>
      <c r="Z45" s="406"/>
      <c r="AA45" s="174"/>
      <c r="AB45" s="657" t="s">
        <v>31</v>
      </c>
      <c r="AC45" s="658"/>
      <c r="AD45" s="658"/>
      <c r="AE45" s="658"/>
      <c r="AF45" s="231">
        <v>0.2165</v>
      </c>
      <c r="AG45" s="231">
        <v>9.4500000000000001E-2</v>
      </c>
      <c r="AH45" s="233">
        <v>7.4499999999999997E-2</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83.92</v>
      </c>
      <c r="R46" s="152">
        <v>35.9</v>
      </c>
      <c r="S46" s="153">
        <v>45.07</v>
      </c>
      <c r="T46" s="174"/>
      <c r="U46" s="555" t="s">
        <v>123</v>
      </c>
      <c r="V46" s="555"/>
      <c r="W46" s="179" t="s">
        <v>41</v>
      </c>
      <c r="X46" s="401">
        <f>MIN(M42:M44)</f>
        <v>6.7269841269841271</v>
      </c>
      <c r="Y46" s="401"/>
      <c r="Z46" s="401"/>
      <c r="AA46" s="174"/>
      <c r="AB46" s="660" t="s">
        <v>32</v>
      </c>
      <c r="AC46" s="661"/>
      <c r="AD46" s="661"/>
      <c r="AE46" s="661"/>
      <c r="AF46" s="234">
        <v>0.23050000000000001</v>
      </c>
      <c r="AG46" s="234">
        <v>0.128</v>
      </c>
      <c r="AH46" s="235">
        <v>0.1162</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10.663300641183165</v>
      </c>
      <c r="R47" s="125">
        <f>((R43-R45)/(R45-R46))*100</f>
        <v>11.596443294027416</v>
      </c>
      <c r="S47" s="126">
        <f>((S43-S45)/(S45-S46))*100</f>
        <v>12.62422546815195</v>
      </c>
      <c r="T47" s="174"/>
      <c r="U47" s="555" t="s">
        <v>162</v>
      </c>
      <c r="V47" s="555"/>
      <c r="W47" s="179" t="s">
        <v>41</v>
      </c>
      <c r="X47" s="402">
        <f>IF(L25=D103,"-",IF(L25=D102,"-",IF(L25=D101,M25)))</f>
        <v>30.03</v>
      </c>
      <c r="Y47" s="402"/>
      <c r="Z47" s="402"/>
      <c r="AA47" s="174"/>
      <c r="AB47" s="662" t="s">
        <v>33</v>
      </c>
      <c r="AC47" s="663"/>
      <c r="AD47" s="663"/>
      <c r="AE47" s="663"/>
      <c r="AF47" s="232">
        <f>(AF46-AF45)*2.54</f>
        <v>3.5560000000000029E-2</v>
      </c>
      <c r="AG47" s="232">
        <f>(AG46-AG45)*2.54</f>
        <v>8.5090000000000013E-2</v>
      </c>
      <c r="AH47" s="239">
        <f>(AH46-AH45)*2.54</f>
        <v>0.105918</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0.3065517241379313</v>
      </c>
      <c r="AG48" s="142">
        <f>IF(AG47&lt;&gt;"",IF(R24&lt;&gt;"",AG47/R24*100,""),"")</f>
        <v>0.73607266435986163</v>
      </c>
      <c r="AH48" s="173">
        <f>IF(AH47&lt;&gt;"",IF(S24&lt;&gt;"",AH47/S24*100,""),"")</f>
        <v>0.90760925449871466</v>
      </c>
    </row>
    <row r="49" spans="1:38"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8"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0.28599999999999998</v>
      </c>
      <c r="AK50" s="42">
        <v>6.3E-2</v>
      </c>
      <c r="AL50" s="42">
        <f>14.19*AK50/3.95</f>
        <v>0.22632151898734174</v>
      </c>
    </row>
    <row r="51" spans="1:38"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1.9410000000000001</v>
      </c>
      <c r="AK51" s="42">
        <v>0.17</v>
      </c>
      <c r="AL51" s="42">
        <f t="shared" ref="AL51:AL61" si="4">14.19*AK51/3.95</f>
        <v>0.61070886075949371</v>
      </c>
    </row>
    <row r="52" spans="1:38"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5.5289999999999999</v>
      </c>
      <c r="AK52" s="42">
        <v>0.36</v>
      </c>
      <c r="AL52" s="42">
        <f t="shared" si="4"/>
        <v>1.2932658227848099</v>
      </c>
    </row>
    <row r="53" spans="1:38"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8.0299999999999994</v>
      </c>
      <c r="AK53" s="42">
        <v>0.65600000000000003</v>
      </c>
      <c r="AL53" s="42">
        <f t="shared" si="4"/>
        <v>2.3566177215189872</v>
      </c>
    </row>
    <row r="54" spans="1:38"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9.6790000000000003</v>
      </c>
      <c r="AK54" s="42">
        <v>0.95599999999999996</v>
      </c>
      <c r="AL54" s="42">
        <f t="shared" si="4"/>
        <v>3.4343392405063287</v>
      </c>
    </row>
    <row r="55" spans="1:38"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11.247999999999999</v>
      </c>
      <c r="AK55" s="42">
        <v>1.2849999999999999</v>
      </c>
      <c r="AL55" s="42">
        <f t="shared" si="4"/>
        <v>4.6162405063291132</v>
      </c>
    </row>
    <row r="56" spans="1:38"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12.582000000000001</v>
      </c>
      <c r="AK56" s="42">
        <v>1.611</v>
      </c>
      <c r="AL56" s="42">
        <f t="shared" si="4"/>
        <v>5.7873645569620251</v>
      </c>
    </row>
    <row r="57" spans="1:38"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13.661</v>
      </c>
      <c r="AK57" s="42">
        <v>1.9039999999999999</v>
      </c>
      <c r="AL57" s="42">
        <f t="shared" si="4"/>
        <v>6.8399392405063288</v>
      </c>
    </row>
    <row r="58" spans="1:38"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14.555999999999999</v>
      </c>
      <c r="AK58" s="42">
        <v>2.1280000000000001</v>
      </c>
      <c r="AL58" s="42">
        <f t="shared" si="4"/>
        <v>7.644637974683544</v>
      </c>
    </row>
    <row r="59" spans="1:38"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17.806000000000001</v>
      </c>
      <c r="AK59" s="42">
        <v>2.847</v>
      </c>
      <c r="AL59" s="42">
        <f t="shared" si="4"/>
        <v>10.227577215189873</v>
      </c>
    </row>
    <row r="60" spans="1:38"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20.395</v>
      </c>
      <c r="AK60" s="42">
        <v>3.4430000000000001</v>
      </c>
      <c r="AL60" s="42">
        <f t="shared" si="4"/>
        <v>12.368650632911391</v>
      </c>
    </row>
    <row r="61" spans="1:38"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22.567</v>
      </c>
      <c r="AK61" s="42">
        <v>3.9540000000000002</v>
      </c>
      <c r="AL61" s="42">
        <f t="shared" si="4"/>
        <v>14.204369620253164</v>
      </c>
    </row>
    <row r="62" spans="1:38"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8"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8"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-3.78E-2</v>
      </c>
      <c r="G74" s="75">
        <v>-0.12509999999999999</v>
      </c>
      <c r="J74" s="701"/>
      <c r="K74" s="702"/>
      <c r="L74" s="44"/>
      <c r="M74" s="44"/>
      <c r="N74" s="44"/>
    </row>
    <row r="75" spans="1:94" ht="26.25" customHeight="1" thickBot="1" x14ac:dyDescent="0.3">
      <c r="A75" s="11"/>
      <c r="B75" s="377" t="s">
        <v>113</v>
      </c>
      <c r="C75" s="377"/>
      <c r="D75" s="19"/>
      <c r="E75" s="54" t="s">
        <v>12</v>
      </c>
      <c r="F75" s="55">
        <v>0.64280000000000004</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5">((AL75/19.32)*10)</f>
        <v>0</v>
      </c>
      <c r="AN75" s="5">
        <f>AA22</f>
        <v>0</v>
      </c>
      <c r="AO75" s="3">
        <f>((AN75/19.32)*10)</f>
        <v>0</v>
      </c>
      <c r="AP75" s="5">
        <f>AE22</f>
        <v>0</v>
      </c>
      <c r="AQ75" s="161">
        <f t="shared" ref="AQ75:AQ84" si="6">((AP75/19.32)*10)</f>
        <v>0</v>
      </c>
    </row>
    <row r="76" spans="1:94" ht="26.25" customHeight="1" thickBot="1" x14ac:dyDescent="0.3">
      <c r="A76" s="11"/>
      <c r="B76" s="377" t="s">
        <v>114</v>
      </c>
      <c r="C76" s="377"/>
      <c r="D76" s="20"/>
      <c r="E76" s="56" t="s">
        <v>13</v>
      </c>
      <c r="F76" s="57">
        <v>-0.55930000000000002</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7">AJ76*25.4</f>
        <v>0.63500000000000001</v>
      </c>
      <c r="AL76" s="5">
        <f>W23</f>
        <v>1.9410000000000001</v>
      </c>
      <c r="AM76" s="3">
        <f t="shared" si="5"/>
        <v>1.0046583850931676</v>
      </c>
      <c r="AN76" s="5">
        <f>AA23</f>
        <v>0.82499999999999996</v>
      </c>
      <c r="AO76" s="3">
        <f t="shared" ref="AO76:AO86" si="8">((AN76/19.32)*10)</f>
        <v>0.42701863354037262</v>
      </c>
      <c r="AP76" s="5">
        <f>AE23</f>
        <v>0.67141509433962276</v>
      </c>
      <c r="AQ76" s="161">
        <f t="shared" si="6"/>
        <v>0.34752334075549834</v>
      </c>
    </row>
    <row r="77" spans="1:94" ht="26.25" customHeight="1" thickTop="1" thickBot="1" x14ac:dyDescent="0.3">
      <c r="A77" s="11"/>
      <c r="B77" s="377" t="s">
        <v>115</v>
      </c>
      <c r="C77" s="377"/>
      <c r="D77" s="15"/>
      <c r="J77" s="380"/>
      <c r="K77" s="381"/>
      <c r="U77" s="44"/>
      <c r="AB77" s="44"/>
      <c r="AC77" s="44"/>
      <c r="AD77" s="44"/>
      <c r="AE77" s="44"/>
      <c r="AJ77" s="160">
        <f>U24</f>
        <v>0.05</v>
      </c>
      <c r="AK77" s="3">
        <f t="shared" si="7"/>
        <v>1.27</v>
      </c>
      <c r="AL77" s="5">
        <f>W24</f>
        <v>5.5289999999999999</v>
      </c>
      <c r="AM77" s="3">
        <f t="shared" si="5"/>
        <v>2.8618012422360244</v>
      </c>
      <c r="AN77" s="5">
        <f>AA24</f>
        <v>2.2869999999999999</v>
      </c>
      <c r="AO77" s="3">
        <f t="shared" si="8"/>
        <v>1.1837474120082816</v>
      </c>
      <c r="AP77" s="5">
        <f>AE24</f>
        <v>1.9125471698113206</v>
      </c>
      <c r="AQ77" s="161">
        <f t="shared" si="6"/>
        <v>0.98993124731434801</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7"/>
        <v>1.9049999999999998</v>
      </c>
      <c r="AL78" s="5">
        <f>W25</f>
        <v>8.0299999999999994</v>
      </c>
      <c r="AM78" s="3">
        <f t="shared" si="5"/>
        <v>4.1563146997929596</v>
      </c>
      <c r="AN78" s="5">
        <f>AA25</f>
        <v>3.9870000000000001</v>
      </c>
      <c r="AO78" s="3">
        <f t="shared" si="8"/>
        <v>2.0636645962732918</v>
      </c>
      <c r="AP78" s="5">
        <f>AE25</f>
        <v>2.7776729559748423</v>
      </c>
      <c r="AQ78" s="161">
        <f t="shared" si="6"/>
        <v>1.4377189213120301</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7"/>
        <v>2.54</v>
      </c>
      <c r="AL79" s="5">
        <f>W26</f>
        <v>9.6790000000000003</v>
      </c>
      <c r="AM79" s="4">
        <f t="shared" si="5"/>
        <v>5.0098343685300204</v>
      </c>
      <c r="AN79" s="5">
        <f>AA26</f>
        <v>5.0469999999999997</v>
      </c>
      <c r="AO79" s="4">
        <f t="shared" si="8"/>
        <v>2.61231884057971</v>
      </c>
      <c r="AP79" s="5">
        <f>AE26</f>
        <v>3.3480817610062896</v>
      </c>
      <c r="AQ79" s="162">
        <f t="shared" si="6"/>
        <v>1.7329615740198188</v>
      </c>
      <c r="BB79" s="12">
        <v>17</v>
      </c>
      <c r="BC79" s="12">
        <v>18</v>
      </c>
    </row>
    <row r="80" spans="1:94" ht="42" customHeight="1" thickTop="1" thickBot="1" x14ac:dyDescent="0.3">
      <c r="D80" s="49"/>
      <c r="H80" s="711" t="s">
        <v>105</v>
      </c>
      <c r="I80" s="712"/>
      <c r="J80" s="58"/>
      <c r="AJ80" s="160">
        <f>U28</f>
        <v>0.125</v>
      </c>
      <c r="AK80" s="3">
        <f t="shared" si="7"/>
        <v>3.1749999999999998</v>
      </c>
      <c r="AL80" s="5">
        <f>W28</f>
        <v>11.247999999999999</v>
      </c>
      <c r="AM80" s="3">
        <f t="shared" si="5"/>
        <v>5.8219461697722563</v>
      </c>
      <c r="AN80" s="5">
        <f>AA28</f>
        <v>5.9779999999999998</v>
      </c>
      <c r="AO80" s="3">
        <f t="shared" si="8"/>
        <v>3.0942028985507246</v>
      </c>
      <c r="AP80" s="5">
        <f>AE28</f>
        <v>3.8908176100628928</v>
      </c>
      <c r="AQ80" s="161">
        <f t="shared" si="6"/>
        <v>2.0138807505501517</v>
      </c>
      <c r="BC80" s="45">
        <v>0.99880400000000003</v>
      </c>
      <c r="BD80" s="45">
        <v>0.99862499999999998</v>
      </c>
    </row>
    <row r="81" spans="2:43" ht="15.75" customHeight="1" x14ac:dyDescent="0.25">
      <c r="AJ81" s="160">
        <f>U30</f>
        <v>0.15</v>
      </c>
      <c r="AK81" s="3">
        <f t="shared" si="7"/>
        <v>3.8099999999999996</v>
      </c>
      <c r="AL81" s="5">
        <f>W30</f>
        <v>12.582000000000001</v>
      </c>
      <c r="AM81" s="3">
        <f t="shared" si="5"/>
        <v>6.5124223602484479</v>
      </c>
      <c r="AN81" s="5">
        <f>AA30</f>
        <v>6.4870000000000001</v>
      </c>
      <c r="AO81" s="3">
        <f t="shared" si="8"/>
        <v>3.3576604554865424</v>
      </c>
      <c r="AP81" s="5">
        <f>AE30</f>
        <v>4.3522641509433964</v>
      </c>
      <c r="AQ81" s="161">
        <f t="shared" si="6"/>
        <v>2.2527247158092116</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7"/>
        <v>4.4449999999999994</v>
      </c>
      <c r="AL82" s="5">
        <f>W31</f>
        <v>13.661</v>
      </c>
      <c r="AM82" s="3">
        <f t="shared" si="5"/>
        <v>7.070910973084886</v>
      </c>
      <c r="AN82" s="5">
        <f>AA31</f>
        <v>7.2679999999999998</v>
      </c>
      <c r="AO82" s="3">
        <f t="shared" si="8"/>
        <v>3.7619047619047619</v>
      </c>
      <c r="AP82" s="5">
        <f>AE31</f>
        <v>4.7255031446540876</v>
      </c>
      <c r="AQ82" s="161">
        <f t="shared" si="6"/>
        <v>2.4459126007526333</v>
      </c>
    </row>
    <row r="83" spans="2:43" ht="15" customHeight="1" x14ac:dyDescent="0.25">
      <c r="B83" s="49"/>
      <c r="C83" s="49"/>
      <c r="D83" s="49">
        <v>0</v>
      </c>
      <c r="E83" s="50">
        <f>M42</f>
        <v>8.5026455026455032</v>
      </c>
      <c r="F83" s="49"/>
      <c r="G83" s="43">
        <f>G84/10</f>
        <v>2.3401348426469761</v>
      </c>
      <c r="H83" s="43">
        <f>H84/10</f>
        <v>2.2536701589589194</v>
      </c>
      <c r="I83" s="43">
        <f>I84/10</f>
        <v>2.153101174531217</v>
      </c>
      <c r="J83" s="43">
        <f>J84/10</f>
        <v>2.0515836878282458</v>
      </c>
      <c r="K83" s="43"/>
      <c r="L83" s="42">
        <v>0</v>
      </c>
      <c r="O83" s="706"/>
      <c r="P83" s="706"/>
      <c r="Q83" s="706"/>
      <c r="R83" s="706"/>
      <c r="S83" s="707"/>
      <c r="W83" s="112"/>
      <c r="AJ83" s="160">
        <f>U33</f>
        <v>0.2</v>
      </c>
      <c r="AK83" s="4">
        <f t="shared" si="7"/>
        <v>5.08</v>
      </c>
      <c r="AL83" s="5">
        <f>W33</f>
        <v>14.555999999999999</v>
      </c>
      <c r="AM83" s="4">
        <f t="shared" si="5"/>
        <v>7.5341614906832284</v>
      </c>
      <c r="AN83" s="5">
        <f>AA33</f>
        <v>7.9809999999999999</v>
      </c>
      <c r="AO83" s="4">
        <f t="shared" si="8"/>
        <v>4.1309523809523805</v>
      </c>
      <c r="AP83" s="5">
        <f>AE33</f>
        <v>5.0350943396226411</v>
      </c>
      <c r="AQ83" s="162">
        <f t="shared" si="6"/>
        <v>2.6061564904879093</v>
      </c>
    </row>
    <row r="84" spans="2:43" ht="15" customHeight="1" x14ac:dyDescent="0.25">
      <c r="C84" s="94"/>
      <c r="D84" s="94"/>
      <c r="E84" s="94"/>
      <c r="F84" s="49"/>
      <c r="G84" s="43">
        <f>($M$34/(1+(E34*$M$34/100)))*($O$73)</f>
        <v>23.40134842646976</v>
      </c>
      <c r="H84" s="43">
        <f>($M$34/(1+(F34*$M$34/100)))*($O$73)</f>
        <v>22.536701589589192</v>
      </c>
      <c r="I84" s="43">
        <f>($M$34/(1+(G34*$M$34/100)))*($O$73)</f>
        <v>21.531011745312171</v>
      </c>
      <c r="J84" s="43">
        <f>($M$34/(1+(H34*$M$34/100)))*($O$73)</f>
        <v>20.515836878282457</v>
      </c>
      <c r="K84" s="43"/>
      <c r="O84" s="706" t="s">
        <v>146</v>
      </c>
      <c r="P84" s="706"/>
      <c r="Q84" s="706"/>
      <c r="R84" s="706"/>
      <c r="S84" s="707">
        <v>2240</v>
      </c>
      <c r="W84" s="112"/>
      <c r="AJ84" s="160">
        <f>U34</f>
        <v>0.3</v>
      </c>
      <c r="AK84" s="3">
        <f t="shared" si="7"/>
        <v>7.6199999999999992</v>
      </c>
      <c r="AL84" s="5">
        <f>W34</f>
        <v>17.806000000000001</v>
      </c>
      <c r="AM84" s="3">
        <f t="shared" si="5"/>
        <v>9.2163561076604559</v>
      </c>
      <c r="AN84" s="5">
        <f>AA34</f>
        <v>10.228</v>
      </c>
      <c r="AO84" s="3">
        <f t="shared" si="8"/>
        <v>5.2939958592132506</v>
      </c>
      <c r="AP84" s="5">
        <f>AE34</f>
        <v>6.1593081761006294</v>
      </c>
      <c r="AQ84" s="161">
        <f t="shared" si="6"/>
        <v>3.1880477101970133</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20.395</v>
      </c>
      <c r="AM85" s="3">
        <f t="shared" si="5"/>
        <v>10.556418219461698</v>
      </c>
      <c r="AN85" s="5">
        <f>AA35</f>
        <v>12.368650632911391</v>
      </c>
      <c r="AO85" s="3">
        <f t="shared" si="8"/>
        <v>6.4019930812170767</v>
      </c>
      <c r="AP85" s="5">
        <f>AE35</f>
        <v>7.0548742138364782</v>
      </c>
      <c r="AQ85" s="161">
        <f>((AP85/19.32)*10)</f>
        <v>3.6515912079898953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22.567</v>
      </c>
      <c r="AM86" s="164">
        <f t="shared" si="5"/>
        <v>11.680641821946169</v>
      </c>
      <c r="AN86" s="165">
        <f>AA37</f>
        <v>14.204369620253164</v>
      </c>
      <c r="AO86" s="164">
        <f t="shared" si="8"/>
        <v>7.3521581885368352</v>
      </c>
      <c r="AP86" s="165">
        <f>AE37</f>
        <v>7.8061949685534593</v>
      </c>
      <c r="AQ86" s="166">
        <f>((AP86/19.32)*10)</f>
        <v>4.0404735862077947</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2.1711983229768879</v>
      </c>
      <c r="AK91" s="9">
        <f>R31</f>
        <v>1.9807097554823192</v>
      </c>
      <c r="AL91" s="10">
        <f>S31</f>
        <v>1.8699545232223203</v>
      </c>
    </row>
    <row r="92" spans="2:43" ht="21" customHeight="1" thickBot="1" x14ac:dyDescent="0.3">
      <c r="B92" s="92"/>
      <c r="C92" s="93"/>
      <c r="D92" s="93"/>
      <c r="E92" s="93"/>
      <c r="F92" s="62"/>
      <c r="G92" s="63"/>
      <c r="H92" s="49"/>
      <c r="I92" s="49"/>
      <c r="O92" s="725" t="s">
        <v>147</v>
      </c>
      <c r="P92" s="726"/>
      <c r="Q92" s="726"/>
      <c r="R92" s="726"/>
      <c r="S92" s="61">
        <f>M42</f>
        <v>8.5026455026455032</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72.606295196087245</v>
      </c>
      <c r="AK94" s="158">
        <f>AA42</f>
        <v>37.859693341734925</v>
      </c>
      <c r="AL94" s="158">
        <f>AD42</f>
        <v>25.115385130722011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643" priority="47">
      <formula>LEN(TRIM(D6))=0</formula>
    </cfRule>
  </conditionalFormatting>
  <conditionalFormatting sqref="D6:H10">
    <cfRule type="containsBlanks" dxfId="642" priority="46">
      <formula>LEN(TRIM(D6))=0</formula>
    </cfRule>
  </conditionalFormatting>
  <conditionalFormatting sqref="M19">
    <cfRule type="containsBlanks" dxfId="641" priority="45">
      <formula>LEN(TRIM(M19))=0</formula>
    </cfRule>
  </conditionalFormatting>
  <conditionalFormatting sqref="CP70">
    <cfRule type="containsBlanks" dxfId="640" priority="44">
      <formula>LEN(TRIM(CP70))=0</formula>
    </cfRule>
  </conditionalFormatting>
  <conditionalFormatting sqref="M21">
    <cfRule type="containsBlanks" dxfId="639" priority="43">
      <formula>LEN(TRIM(M21))=0</formula>
    </cfRule>
  </conditionalFormatting>
  <conditionalFormatting sqref="D12:M12">
    <cfRule type="containsBlanks" dxfId="638" priority="42">
      <formula>LEN(TRIM(D12))=0</formula>
    </cfRule>
  </conditionalFormatting>
  <conditionalFormatting sqref="L9:M9">
    <cfRule type="containsBlanks" dxfId="637" priority="41">
      <formula>LEN(TRIM(L9))=0</formula>
    </cfRule>
  </conditionalFormatting>
  <conditionalFormatting sqref="L25">
    <cfRule type="containsBlanks" dxfId="636" priority="40">
      <formula>LEN(TRIM(L25))=0</formula>
    </cfRule>
  </conditionalFormatting>
  <conditionalFormatting sqref="Q20:S21">
    <cfRule type="containsBlanks" dxfId="635" priority="33">
      <formula>LEN(TRIM(Q20))=0</formula>
    </cfRule>
    <cfRule type="containsBlanks" dxfId="634" priority="39">
      <formula>LEN(TRIM(Q20))=0</formula>
    </cfRule>
  </conditionalFormatting>
  <conditionalFormatting sqref="U26:V27 AC33 AC26">
    <cfRule type="cellIs" dxfId="633" priority="38" operator="between">
      <formula>0</formula>
      <formula>500</formula>
    </cfRule>
  </conditionalFormatting>
  <conditionalFormatting sqref="U33:V33">
    <cfRule type="cellIs" dxfId="632" priority="37" operator="between">
      <formula>0</formula>
      <formula>500</formula>
    </cfRule>
  </conditionalFormatting>
  <conditionalFormatting sqref="AF45:AH46">
    <cfRule type="containsBlanks" dxfId="631" priority="36">
      <formula>LEN(TRIM(AF45))=0</formula>
    </cfRule>
  </conditionalFormatting>
  <conditionalFormatting sqref="AF51:AG53">
    <cfRule type="containsBlanks" dxfId="630" priority="35">
      <formula>LEN(TRIM(AF51))=0</formula>
    </cfRule>
  </conditionalFormatting>
  <conditionalFormatting sqref="E20:H24">
    <cfRule type="containsBlanks" dxfId="629" priority="34">
      <formula>LEN(TRIM(E20))=0</formula>
    </cfRule>
  </conditionalFormatting>
  <conditionalFormatting sqref="M25">
    <cfRule type="containsBlanks" dxfId="628" priority="32">
      <formula>LEN(TRIM(M25))=0</formula>
    </cfRule>
  </conditionalFormatting>
  <conditionalFormatting sqref="U26:V27 Y26:Z27 AC26:AD27 AG26:AG27">
    <cfRule type="containsBlanks" dxfId="627" priority="30">
      <formula>LEN(TRIM(U26))=0</formula>
    </cfRule>
    <cfRule type="cellIs" dxfId="626" priority="31" operator="between">
      <formula>0</formula>
      <formula>1000</formula>
    </cfRule>
  </conditionalFormatting>
  <conditionalFormatting sqref="W87:W88">
    <cfRule type="cellIs" dxfId="625" priority="29" operator="between">
      <formula>0</formula>
      <formula>500</formula>
    </cfRule>
  </conditionalFormatting>
  <conditionalFormatting sqref="W94">
    <cfRule type="cellIs" dxfId="624" priority="28" operator="between">
      <formula>0</formula>
      <formula>500</formula>
    </cfRule>
  </conditionalFormatting>
  <conditionalFormatting sqref="W87:W88">
    <cfRule type="containsBlanks" dxfId="623" priority="26">
      <formula>LEN(TRIM(W87))=0</formula>
    </cfRule>
    <cfRule type="cellIs" dxfId="622" priority="27" operator="between">
      <formula>0</formula>
      <formula>1000</formula>
    </cfRule>
  </conditionalFormatting>
  <conditionalFormatting sqref="U33:V33 Y33:Z33 AC33:AD33 AG33">
    <cfRule type="cellIs" dxfId="621" priority="25" operator="between">
      <formula>0</formula>
      <formula>1000</formula>
    </cfRule>
  </conditionalFormatting>
  <conditionalFormatting sqref="Q27:S27">
    <cfRule type="containsBlanks" dxfId="620" priority="23">
      <formula>LEN(TRIM(Q27))=0</formula>
    </cfRule>
    <cfRule type="containsBlanks" dxfId="619" priority="24">
      <formula>LEN(TRIM(Q27))=0</formula>
    </cfRule>
  </conditionalFormatting>
  <conditionalFormatting sqref="W30:W31 W33:W35 W37 W28 W22:W26">
    <cfRule type="containsBlanks" dxfId="618" priority="22">
      <formula>LEN(TRIM(W22))=0</formula>
    </cfRule>
  </conditionalFormatting>
  <conditionalFormatting sqref="W37 W30:W31 W33:W35 W28 W22:W26">
    <cfRule type="containsBlanks" dxfId="617" priority="21">
      <formula>LEN(TRIM(W22))=0</formula>
    </cfRule>
  </conditionalFormatting>
  <conditionalFormatting sqref="W33:X33">
    <cfRule type="cellIs" dxfId="616" priority="20" operator="between">
      <formula>0</formula>
      <formula>1000</formula>
    </cfRule>
  </conditionalFormatting>
  <conditionalFormatting sqref="W30:X37 W26 W28 W22:X25">
    <cfRule type="containsBlanks" dxfId="615" priority="19">
      <formula>LEN(TRIM(W22))=0</formula>
    </cfRule>
  </conditionalFormatting>
  <conditionalFormatting sqref="AA37 AA30:AA31 AA33 AA22:AA26 AA28 AA35">
    <cfRule type="containsBlanks" dxfId="614" priority="18">
      <formula>LEN(TRIM(AA22))=0</formula>
    </cfRule>
  </conditionalFormatting>
  <conditionalFormatting sqref="AA37 AA30:AA31 AA33 AA22:AA26 AA28 AA35">
    <cfRule type="containsBlanks" dxfId="613" priority="17">
      <formula>LEN(TRIM(AA22))=0</formula>
    </cfRule>
  </conditionalFormatting>
  <conditionalFormatting sqref="AA33:AB33">
    <cfRule type="cellIs" dxfId="612" priority="16" operator="between">
      <formula>0</formula>
      <formula>1000</formula>
    </cfRule>
  </conditionalFormatting>
  <conditionalFormatting sqref="AA30:AB30 AA31 AA33:AB33 AA22:AB25 AA26 AA28 AA35:AB37">
    <cfRule type="containsBlanks" dxfId="611" priority="15">
      <formula>LEN(TRIM(AA22))=0</formula>
    </cfRule>
  </conditionalFormatting>
  <conditionalFormatting sqref="AE37 AE28 AE30:AE31 AE33:AE35 AE22:AE26">
    <cfRule type="containsBlanks" dxfId="610" priority="14">
      <formula>LEN(TRIM(AE22))=0</formula>
    </cfRule>
  </conditionalFormatting>
  <conditionalFormatting sqref="AE37 AE28 AE30:AE31 AE33:AE35 AE22:AE26">
    <cfRule type="containsBlanks" dxfId="609" priority="13">
      <formula>LEN(TRIM(AE22))=0</formula>
    </cfRule>
  </conditionalFormatting>
  <conditionalFormatting sqref="AE33:AF33">
    <cfRule type="cellIs" dxfId="608" priority="12" operator="between">
      <formula>0</formula>
      <formula>1000</formula>
    </cfRule>
  </conditionalFormatting>
  <conditionalFormatting sqref="AE33:AF37 AE26 AE28 AE30:AE31 AE22:AF25">
    <cfRule type="containsBlanks" dxfId="607" priority="11">
      <formula>LEN(TRIM(AE22))=0</formula>
    </cfRule>
  </conditionalFormatting>
  <conditionalFormatting sqref="K6:M6">
    <cfRule type="containsBlanks" dxfId="606" priority="10">
      <formula>LEN(TRIM(K6))=0</formula>
    </cfRule>
  </conditionalFormatting>
  <conditionalFormatting sqref="K7:K8">
    <cfRule type="containsBlanks" dxfId="605" priority="9">
      <formula>LEN(TRIM(K7))=0</formula>
    </cfRule>
  </conditionalFormatting>
  <conditionalFormatting sqref="D13:M13">
    <cfRule type="containsBlanks" dxfId="604" priority="8">
      <formula>LEN(TRIM(D13))=0</formula>
    </cfRule>
  </conditionalFormatting>
  <conditionalFormatting sqref="B6:B10">
    <cfRule type="containsBlanks" dxfId="603" priority="7">
      <formula>LEN(TRIM(B6))=0</formula>
    </cfRule>
  </conditionalFormatting>
  <conditionalFormatting sqref="B12:B13">
    <cfRule type="containsBlanks" dxfId="602" priority="6">
      <formula>LEN(TRIM(B12))=0</formula>
    </cfRule>
  </conditionalFormatting>
  <conditionalFormatting sqref="E28:H33">
    <cfRule type="containsBlanks" dxfId="601" priority="5">
      <formula>LEN(TRIM(E28))=0</formula>
    </cfRule>
  </conditionalFormatting>
  <conditionalFormatting sqref="Q22:S26">
    <cfRule type="containsBlanks" dxfId="600" priority="3">
      <formula>LEN(TRIM(Q22))=0</formula>
    </cfRule>
    <cfRule type="containsBlanks" dxfId="599" priority="4">
      <formula>LEN(TRIM(Q22))=0</formula>
    </cfRule>
  </conditionalFormatting>
  <conditionalFormatting sqref="Q34:S39">
    <cfRule type="containsBlanks" dxfId="598" priority="2">
      <formula>LEN(TRIM(Q34))=0</formula>
    </cfRule>
  </conditionalFormatting>
  <conditionalFormatting sqref="Q42:S46">
    <cfRule type="containsBlanks" dxfId="597" priority="1">
      <formula>LEN(TRIM(Q42))=0</formula>
    </cfRule>
  </conditionalFormatting>
  <dataValidations count="5">
    <dataValidation type="list" allowBlank="1" showInputMessage="1" showErrorMessage="1" sqref="D12:E12" xr:uid="{00000000-0002-0000-2E00-000000000000}">
      <formula1>$B$87:$B$94</formula1>
    </dataValidation>
    <dataValidation type="list" allowBlank="1" showInputMessage="1" showErrorMessage="1" sqref="CP70" xr:uid="{00000000-0002-0000-2E00-000001000000}">
      <formula1>$BA$3:$BA$5</formula1>
    </dataValidation>
    <dataValidation type="list" allowBlank="1" showInputMessage="1" showErrorMessage="1" sqref="M19" xr:uid="{00000000-0002-0000-2E00-000002000000}">
      <formula1>$AX$3:$AX$5</formula1>
    </dataValidation>
    <dataValidation type="list" allowBlank="1" showInputMessage="1" showErrorMessage="1" sqref="M21" xr:uid="{00000000-0002-0000-2E00-000003000000}">
      <formula1>$AX$3:$AX$4</formula1>
    </dataValidation>
    <dataValidation type="list" allowBlank="1" showInputMessage="1" showErrorMessage="1" sqref="L25" xr:uid="{00000000-0002-0000-2E00-000004000000}">
      <formula1>$D$101:$D$104</formula1>
    </dataValidation>
  </dataValidations>
  <hyperlinks>
    <hyperlink ref="D8" r:id="rId1" xr:uid="{00000000-0004-0000-2E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7817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7817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78179" r:id="rId7" name="Check Box 3">
              <controlPr defaultSize="0" autoFill="0" autoLine="0" autoPict="0">
                <anchor moveWithCells="1">
                  <from>
                    <xdr:col>1</xdr:col>
                    <xdr:colOff>1038225</xdr:colOff>
                    <xdr:row>16</xdr:row>
                    <xdr:rowOff>9525</xdr:rowOff>
                  </from>
                  <to>
                    <xdr:col>1</xdr:col>
                    <xdr:colOff>1524000</xdr:colOff>
                    <xdr:row>17</xdr:row>
                    <xdr:rowOff>0</xdr:rowOff>
                  </to>
                </anchor>
              </controlPr>
            </control>
          </mc:Choice>
        </mc:AlternateContent>
        <mc:AlternateContent xmlns:mc="http://schemas.openxmlformats.org/markup-compatibility/2006">
          <mc:Choice Requires="x14">
            <control shapeId="17818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7818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7818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7818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7818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7818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7818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79">
    <tabColor theme="2" tint="-9.9978637043366805E-2"/>
  </sheetPr>
  <dimension ref="A1:CP153"/>
  <sheetViews>
    <sheetView view="pageBreakPreview" topLeftCell="R17" zoomScaleNormal="100" zoomScaleSheetLayoutView="10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45959</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45959</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25-P-ROZO AP1 -2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25-P-ROZO AP1 -2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292</v>
      </c>
      <c r="G12" s="31" t="s">
        <v>4</v>
      </c>
      <c r="H12" s="146">
        <v>2</v>
      </c>
      <c r="I12" s="546" t="s">
        <v>5</v>
      </c>
      <c r="J12" s="546"/>
      <c r="K12" s="209">
        <v>0.4</v>
      </c>
      <c r="L12" s="32" t="s">
        <v>6</v>
      </c>
      <c r="M12" s="147">
        <v>1.2</v>
      </c>
      <c r="N12" s="78"/>
      <c r="O12" s="501" t="s">
        <v>3</v>
      </c>
      <c r="P12" s="501"/>
      <c r="Q12" s="225" t="s">
        <v>234</v>
      </c>
      <c r="R12" s="224" t="str">
        <f>F12</f>
        <v xml:space="preserve">P-ROZO AP1 </v>
      </c>
      <c r="S12" s="224"/>
      <c r="T12" s="502" t="s">
        <v>4</v>
      </c>
      <c r="U12" s="502"/>
      <c r="V12" s="33">
        <f>+H12</f>
        <v>2</v>
      </c>
      <c r="W12" s="547" t="s">
        <v>5</v>
      </c>
      <c r="X12" s="547"/>
      <c r="Y12" s="547"/>
      <c r="Z12" s="547"/>
      <c r="AA12" s="547"/>
      <c r="AB12" s="547"/>
      <c r="AC12" s="34">
        <f>K12</f>
        <v>0.4</v>
      </c>
      <c r="AD12" s="548" t="s">
        <v>6</v>
      </c>
      <c r="AE12" s="548"/>
      <c r="AF12" s="35">
        <f>+M12</f>
        <v>1.2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294</v>
      </c>
      <c r="E13" s="479"/>
      <c r="F13" s="479"/>
      <c r="G13" s="479"/>
      <c r="H13" s="479"/>
      <c r="I13" s="479"/>
      <c r="J13" s="479"/>
      <c r="K13" s="479"/>
      <c r="L13" s="479"/>
      <c r="M13" s="480"/>
      <c r="N13" s="188"/>
      <c r="O13" s="526" t="s">
        <v>130</v>
      </c>
      <c r="P13" s="526"/>
      <c r="Q13" s="527" t="str">
        <f>D13</f>
        <v>ARENA CON GRAVAS Y ALGO DE LIMO,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v>56</v>
      </c>
      <c r="G20" s="148">
        <v>56</v>
      </c>
      <c r="H20" s="149">
        <v>56</v>
      </c>
      <c r="I20" s="174"/>
      <c r="J20" s="562" t="s">
        <v>96</v>
      </c>
      <c r="K20" s="562"/>
      <c r="L20" s="562"/>
      <c r="M20" s="39" t="str">
        <f>IF(M19=" ","-",IF(M19=" ","-",IF(M19=AX4,AW4,IF(M19=AX3,AW3))))</f>
        <v>18 ± 0,05 in</v>
      </c>
      <c r="N20" s="103"/>
      <c r="O20" s="560" t="s">
        <v>24</v>
      </c>
      <c r="P20" s="561"/>
      <c r="Q20" s="148">
        <v>609</v>
      </c>
      <c r="R20" s="148">
        <v>542</v>
      </c>
      <c r="S20" s="149">
        <v>576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v>5</v>
      </c>
      <c r="G21" s="150">
        <v>5</v>
      </c>
      <c r="H21" s="151">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7285</v>
      </c>
      <c r="F22" s="150">
        <v>7713</v>
      </c>
      <c r="G22" s="150">
        <v>7798</v>
      </c>
      <c r="H22" s="151">
        <v>7607</v>
      </c>
      <c r="I22" s="174"/>
      <c r="J22" s="578"/>
      <c r="K22" s="578"/>
      <c r="L22" s="578"/>
      <c r="M22" s="104"/>
      <c r="N22" s="103"/>
      <c r="O22" s="579" t="s">
        <v>132</v>
      </c>
      <c r="P22" s="580"/>
      <c r="Q22" s="150">
        <v>8684</v>
      </c>
      <c r="R22" s="150">
        <v>8374</v>
      </c>
      <c r="S22" s="153">
        <v>7875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0.03</v>
      </c>
      <c r="AJ22" s="42">
        <f>AJ50/1.52</f>
        <v>1.9736842105263157E-2</v>
      </c>
      <c r="AK22" s="42">
        <f>AJ22*0.5</f>
        <v>9.8684210526315784E-3</v>
      </c>
      <c r="AO22" s="42">
        <v>0.06</v>
      </c>
      <c r="AS22" s="42">
        <f>AO22/1.23</f>
        <v>4.878048780487805E-2</v>
      </c>
    </row>
    <row r="23" spans="1:45" ht="24.95" customHeight="1" x14ac:dyDescent="0.25">
      <c r="A23" s="103"/>
      <c r="B23" s="583" t="s">
        <v>68</v>
      </c>
      <c r="C23" s="584"/>
      <c r="D23" s="584"/>
      <c r="E23" s="150">
        <v>2884</v>
      </c>
      <c r="F23" s="150">
        <v>2884</v>
      </c>
      <c r="G23" s="150">
        <v>2884</v>
      </c>
      <c r="H23" s="151">
        <v>2884</v>
      </c>
      <c r="I23" s="174"/>
      <c r="J23" s="587" t="s">
        <v>165</v>
      </c>
      <c r="K23" s="588"/>
      <c r="L23" s="588"/>
      <c r="M23" s="589"/>
      <c r="N23" s="103"/>
      <c r="O23" s="579" t="s">
        <v>27</v>
      </c>
      <c r="P23" s="580"/>
      <c r="Q23" s="150">
        <v>3848</v>
      </c>
      <c r="R23" s="150">
        <v>3852</v>
      </c>
      <c r="S23" s="151">
        <v>3764</v>
      </c>
      <c r="T23" s="174"/>
      <c r="U23" s="112">
        <v>2.5000000000000001E-2</v>
      </c>
      <c r="V23" s="113">
        <f>U23*25.4</f>
        <v>0.63500000000000001</v>
      </c>
      <c r="W23" s="581">
        <f>AI23</f>
        <v>0.36799999999999999</v>
      </c>
      <c r="X23" s="582"/>
      <c r="Y23" s="449">
        <f>((W23/19.32)*10)</f>
        <v>0.19047619047619047</v>
      </c>
      <c r="Z23" s="450"/>
      <c r="AA23" s="581">
        <f>AJ23</f>
        <v>0.24210526315789474</v>
      </c>
      <c r="AB23" s="582"/>
      <c r="AC23" s="449">
        <f>((AA23/19.32)*10)</f>
        <v>0.12531328320802004</v>
      </c>
      <c r="AD23" s="450"/>
      <c r="AE23" s="581">
        <f>AK23</f>
        <v>0.12105263157894737</v>
      </c>
      <c r="AF23" s="582"/>
      <c r="AG23" s="114">
        <f>((AE23/19.32)*10)</f>
        <v>6.2656641604010022E-2</v>
      </c>
      <c r="AH23" s="104"/>
      <c r="AI23" s="42">
        <f t="shared" ref="AI23:AI33" si="0">AJ51</f>
        <v>0.36799999999999999</v>
      </c>
      <c r="AJ23" s="42">
        <f t="shared" ref="AJ23:AJ33" si="1">AJ51/1.52</f>
        <v>0.24210526315789474</v>
      </c>
      <c r="AK23" s="42">
        <f t="shared" ref="AK23:AK33" si="2">AJ23*0.5</f>
        <v>0.12105263157894737</v>
      </c>
      <c r="AO23" s="42">
        <v>0.247</v>
      </c>
      <c r="AS23" s="42">
        <f t="shared" ref="AS23:AS37" si="3">AO23/1.23</f>
        <v>0.20081300813008129</v>
      </c>
    </row>
    <row r="24" spans="1:45" ht="24.95" customHeight="1" thickBot="1" x14ac:dyDescent="0.3">
      <c r="A24" s="103"/>
      <c r="B24" s="583" t="s">
        <v>70</v>
      </c>
      <c r="C24" s="584"/>
      <c r="D24" s="584"/>
      <c r="E24" s="150">
        <v>2148</v>
      </c>
      <c r="F24" s="150">
        <v>2148</v>
      </c>
      <c r="G24" s="150">
        <v>2148</v>
      </c>
      <c r="H24" s="151">
        <v>2148</v>
      </c>
      <c r="I24" s="174"/>
      <c r="J24" s="590"/>
      <c r="K24" s="591"/>
      <c r="L24" s="591"/>
      <c r="M24" s="592"/>
      <c r="N24" s="103"/>
      <c r="O24" s="585" t="s">
        <v>35</v>
      </c>
      <c r="P24" s="586"/>
      <c r="Q24" s="150">
        <v>11.6</v>
      </c>
      <c r="R24" s="150">
        <v>11.63</v>
      </c>
      <c r="S24" s="151">
        <v>11.63</v>
      </c>
      <c r="T24" s="174"/>
      <c r="U24" s="112">
        <v>0.05</v>
      </c>
      <c r="V24" s="113">
        <f>U24*25.4</f>
        <v>1.27</v>
      </c>
      <c r="W24" s="581">
        <v>1.123</v>
      </c>
      <c r="X24" s="582"/>
      <c r="Y24" s="449">
        <f>((W24/19.32)*10)</f>
        <v>0.58126293995859213</v>
      </c>
      <c r="Z24" s="450"/>
      <c r="AA24" s="581">
        <v>0.86599999999999999</v>
      </c>
      <c r="AB24" s="582"/>
      <c r="AC24" s="449">
        <f>((AA24/19.32)*10)</f>
        <v>0.44824016563146996</v>
      </c>
      <c r="AD24" s="450"/>
      <c r="AE24" s="581">
        <f>AK24</f>
        <v>0.48289473684210527</v>
      </c>
      <c r="AF24" s="582"/>
      <c r="AG24" s="114">
        <f>((AE24/19.32)*10)</f>
        <v>0.24994551596382258</v>
      </c>
      <c r="AH24" s="104"/>
      <c r="AI24" s="42">
        <f t="shared" si="0"/>
        <v>1.468</v>
      </c>
      <c r="AJ24" s="42">
        <f t="shared" si="1"/>
        <v>0.96578947368421053</v>
      </c>
      <c r="AK24" s="42">
        <f t="shared" si="2"/>
        <v>0.48289473684210527</v>
      </c>
      <c r="AO24" s="42">
        <v>0.68400000000000005</v>
      </c>
      <c r="AS24" s="42">
        <f t="shared" si="3"/>
        <v>0.55609756097560981</v>
      </c>
    </row>
    <row r="25" spans="1:45" ht="24.95" customHeight="1" thickBot="1" x14ac:dyDescent="0.3">
      <c r="A25" s="103"/>
      <c r="B25" s="602" t="s">
        <v>69</v>
      </c>
      <c r="C25" s="603"/>
      <c r="D25" s="603"/>
      <c r="E25" s="115">
        <f>E22-E23</f>
        <v>4401</v>
      </c>
      <c r="F25" s="115">
        <f>F22-F23</f>
        <v>4829</v>
      </c>
      <c r="G25" s="115">
        <f>G22-G23</f>
        <v>4914</v>
      </c>
      <c r="H25" s="116">
        <f>H22-H23</f>
        <v>4723</v>
      </c>
      <c r="I25" s="174"/>
      <c r="J25" s="174" t="s">
        <v>127</v>
      </c>
      <c r="K25" s="174"/>
      <c r="L25" s="218" t="s">
        <v>128</v>
      </c>
      <c r="M25" s="155">
        <v>16.61</v>
      </c>
      <c r="N25" s="103"/>
      <c r="O25" s="604" t="s">
        <v>46</v>
      </c>
      <c r="P25" s="605"/>
      <c r="Q25" s="608">
        <v>15.25</v>
      </c>
      <c r="R25" s="608">
        <v>15.24</v>
      </c>
      <c r="S25" s="610">
        <v>15.25</v>
      </c>
      <c r="T25" s="174"/>
      <c r="U25" s="112">
        <v>7.4999999999999997E-2</v>
      </c>
      <c r="V25" s="113">
        <f>U25*25.4</f>
        <v>1.9049999999999998</v>
      </c>
      <c r="W25" s="581">
        <v>2.2650000000000001</v>
      </c>
      <c r="X25" s="582"/>
      <c r="Y25" s="449">
        <f>((W25/19.32)*10)</f>
        <v>1.1723602484472049</v>
      </c>
      <c r="Z25" s="450"/>
      <c r="AA25" s="581">
        <v>1.294</v>
      </c>
      <c r="AB25" s="582"/>
      <c r="AC25" s="449">
        <f>((AA25/19.32)*10)</f>
        <v>0.66977225672877849</v>
      </c>
      <c r="AD25" s="450"/>
      <c r="AE25" s="581">
        <v>0.84499999999999997</v>
      </c>
      <c r="AF25" s="582"/>
      <c r="AG25" s="114">
        <f>((AE25/19.32)*10)</f>
        <v>0.43737060041407866</v>
      </c>
      <c r="AH25" s="104"/>
      <c r="AI25" s="42">
        <f t="shared" si="0"/>
        <v>2.85</v>
      </c>
      <c r="AJ25" s="42">
        <f t="shared" si="1"/>
        <v>1.875</v>
      </c>
      <c r="AK25" s="42">
        <f t="shared" si="2"/>
        <v>0.9375</v>
      </c>
      <c r="AO25" s="42">
        <v>1.3149999999999999</v>
      </c>
      <c r="AS25" s="42">
        <f t="shared" si="3"/>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16.61</v>
      </c>
      <c r="N26" s="103"/>
      <c r="O26" s="606"/>
      <c r="P26" s="607"/>
      <c r="Q26" s="609"/>
      <c r="R26" s="609"/>
      <c r="S26" s="611"/>
      <c r="T26" s="174"/>
      <c r="U26" s="600">
        <v>0.1</v>
      </c>
      <c r="V26" s="601">
        <f>U26*25.4</f>
        <v>2.54</v>
      </c>
      <c r="W26" s="778">
        <v>3.2010000000000001</v>
      </c>
      <c r="X26" s="779"/>
      <c r="Y26" s="461">
        <f>((W26/19.32)*10)</f>
        <v>1.6568322981366459</v>
      </c>
      <c r="Z26" s="462"/>
      <c r="AA26" s="746">
        <v>1.875</v>
      </c>
      <c r="AB26" s="747"/>
      <c r="AC26" s="461">
        <f>((AA26/19.32)*10)</f>
        <v>0.97049689440993792</v>
      </c>
      <c r="AD26" s="462"/>
      <c r="AE26" s="746">
        <v>1.0980000000000001</v>
      </c>
      <c r="AF26" s="747"/>
      <c r="AG26" s="469">
        <f>((AE26/19.32)*10)</f>
        <v>0.56832298136645965</v>
      </c>
      <c r="AH26" s="104"/>
      <c r="AI26" s="42">
        <f t="shared" si="0"/>
        <v>3.0470000000000002</v>
      </c>
      <c r="AJ26" s="42">
        <f t="shared" si="1"/>
        <v>2.0046052631578948</v>
      </c>
      <c r="AK26" s="42">
        <f t="shared" si="2"/>
        <v>1.0023026315789474</v>
      </c>
      <c r="AO26" s="42">
        <v>1.875</v>
      </c>
      <c r="AS26" s="42">
        <f t="shared" si="3"/>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2121.4828734854036</v>
      </c>
      <c r="S27" s="153">
        <f>(PI()*((S25^2)/4)*S24)</f>
        <v>2124.2678851626347</v>
      </c>
      <c r="T27" s="174"/>
      <c r="U27" s="600"/>
      <c r="V27" s="601"/>
      <c r="W27" s="780"/>
      <c r="X27" s="781"/>
      <c r="Y27" s="463"/>
      <c r="Z27" s="464"/>
      <c r="AA27" s="748"/>
      <c r="AB27" s="749"/>
      <c r="AC27" s="463"/>
      <c r="AD27" s="464"/>
      <c r="AE27" s="748"/>
      <c r="AF27" s="749"/>
      <c r="AG27" s="470"/>
      <c r="AH27" s="193"/>
      <c r="AI27" s="42">
        <f t="shared" si="0"/>
        <v>3.3919999999999999</v>
      </c>
      <c r="AJ27" s="42">
        <f t="shared" si="1"/>
        <v>2.2315789473684209</v>
      </c>
      <c r="AK27" s="42">
        <f t="shared" si="2"/>
        <v>1.1157894736842104</v>
      </c>
      <c r="AO27" s="42">
        <v>2.387</v>
      </c>
      <c r="AS27" s="42">
        <f t="shared" si="3"/>
        <v>1.9406504065040651</v>
      </c>
    </row>
    <row r="28" spans="1:45" ht="24.95" customHeight="1" thickBot="1" x14ac:dyDescent="0.3">
      <c r="A28" s="103"/>
      <c r="B28" s="560" t="s">
        <v>9</v>
      </c>
      <c r="C28" s="561"/>
      <c r="D28" s="561"/>
      <c r="E28" s="148">
        <v>680</v>
      </c>
      <c r="F28" s="148">
        <v>675</v>
      </c>
      <c r="G28" s="148">
        <v>806</v>
      </c>
      <c r="H28" s="149">
        <v>732</v>
      </c>
      <c r="I28" s="174"/>
      <c r="J28" s="597" t="s">
        <v>107</v>
      </c>
      <c r="K28" s="597"/>
      <c r="L28" s="562" t="s">
        <v>119</v>
      </c>
      <c r="M28" s="459">
        <f>IF(M26="","",(100-M26))</f>
        <v>83.39</v>
      </c>
      <c r="N28" s="103"/>
      <c r="O28" s="625" t="s">
        <v>136</v>
      </c>
      <c r="P28" s="626"/>
      <c r="Q28" s="220">
        <f>Q22-Q23</f>
        <v>4836</v>
      </c>
      <c r="R28" s="220">
        <f>R22-R23</f>
        <v>4522</v>
      </c>
      <c r="S28" s="220">
        <f>S22-S23</f>
        <v>4111</v>
      </c>
      <c r="T28" s="174"/>
      <c r="U28" s="627">
        <v>0.125</v>
      </c>
      <c r="V28" s="624">
        <f>U28*25.4</f>
        <v>3.1749999999999998</v>
      </c>
      <c r="W28" s="593">
        <v>4.1150000000000002</v>
      </c>
      <c r="X28" s="594"/>
      <c r="Y28" s="439">
        <f>((W28/19.32)*10)</f>
        <v>2.1299171842650106</v>
      </c>
      <c r="Z28" s="440"/>
      <c r="AA28" s="593">
        <v>2.4649999999999999</v>
      </c>
      <c r="AB28" s="594"/>
      <c r="AC28" s="439">
        <f>((AA28/19.32)*10)</f>
        <v>1.275879917184265</v>
      </c>
      <c r="AD28" s="440"/>
      <c r="AE28" s="593">
        <v>1.296</v>
      </c>
      <c r="AF28" s="594"/>
      <c r="AG28" s="443">
        <f>((AE28/19.32)*10)</f>
        <v>0.67080745341614911</v>
      </c>
      <c r="AH28" s="104"/>
      <c r="AI28" s="42">
        <f t="shared" si="0"/>
        <v>4.5259999999999998</v>
      </c>
      <c r="AJ28" s="42">
        <f t="shared" si="1"/>
        <v>2.9776315789473684</v>
      </c>
      <c r="AK28" s="42">
        <f t="shared" si="2"/>
        <v>1.4888157894736842</v>
      </c>
      <c r="AO28" s="42">
        <v>2.8959999999999999</v>
      </c>
      <c r="AS28" s="42">
        <f t="shared" si="3"/>
        <v>2.3544715447154472</v>
      </c>
    </row>
    <row r="29" spans="1:45" ht="5.0999999999999996" customHeight="1" thickBot="1" x14ac:dyDescent="0.3">
      <c r="A29" s="103"/>
      <c r="B29" s="612" t="s">
        <v>73</v>
      </c>
      <c r="C29" s="613"/>
      <c r="D29" s="614"/>
      <c r="E29" s="618">
        <v>860.4</v>
      </c>
      <c r="F29" s="618">
        <v>780.9</v>
      </c>
      <c r="G29" s="618">
        <v>800.7</v>
      </c>
      <c r="H29" s="620">
        <v>700.9</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0"/>
        <v>5.9039999999999999</v>
      </c>
      <c r="AJ29" s="42">
        <f t="shared" si="1"/>
        <v>3.8842105263157896</v>
      </c>
      <c r="AK29" s="42">
        <f t="shared" si="2"/>
        <v>1.9421052631578948</v>
      </c>
      <c r="AO29" s="42">
        <v>3.3879999999999999</v>
      </c>
      <c r="AS29" s="42">
        <f t="shared" si="3"/>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21.264295346590913</v>
      </c>
      <c r="N30" s="103"/>
      <c r="O30" s="622" t="s">
        <v>134</v>
      </c>
      <c r="P30" s="623"/>
      <c r="Q30" s="229">
        <f>Q28/Q27</f>
        <v>2.2824366599038992</v>
      </c>
      <c r="R30" s="229">
        <f>R28/R27</f>
        <v>2.1315279310130677</v>
      </c>
      <c r="S30" s="131">
        <f>S28/S27</f>
        <v>1.9352549782982105</v>
      </c>
      <c r="T30" s="174"/>
      <c r="U30" s="120">
        <v>0.15</v>
      </c>
      <c r="V30" s="113">
        <f>U30*25.4</f>
        <v>3.8099999999999996</v>
      </c>
      <c r="W30" s="581">
        <v>4.9329999999999998</v>
      </c>
      <c r="X30" s="582"/>
      <c r="Y30" s="449">
        <f>((W30/19.32)*10)</f>
        <v>2.5533126293995858</v>
      </c>
      <c r="Z30" s="450"/>
      <c r="AA30" s="581">
        <v>3.165</v>
      </c>
      <c r="AB30" s="582"/>
      <c r="AC30" s="449">
        <f>((AA30/19.32)*10)</f>
        <v>1.6381987577639752</v>
      </c>
      <c r="AD30" s="450"/>
      <c r="AE30" s="581">
        <f>AK28</f>
        <v>1.4888157894736842</v>
      </c>
      <c r="AF30" s="582"/>
      <c r="AG30" s="114">
        <f>((AE30/19.32)*10)</f>
        <v>0.77060858668410159</v>
      </c>
      <c r="AH30" s="104"/>
      <c r="AI30" s="42">
        <f t="shared" si="0"/>
        <v>7.0670000000000002</v>
      </c>
      <c r="AJ30" s="42">
        <f t="shared" si="1"/>
        <v>4.6493421052631581</v>
      </c>
      <c r="AK30" s="42">
        <f t="shared" si="2"/>
        <v>2.324671052631579</v>
      </c>
      <c r="AO30" s="42">
        <v>3.8439999999999999</v>
      </c>
      <c r="AS30" s="42">
        <f t="shared" si="3"/>
        <v>3.1252032520325201</v>
      </c>
    </row>
    <row r="31" spans="1:45" ht="24.95" customHeight="1" thickBot="1" x14ac:dyDescent="0.3">
      <c r="A31" s="103"/>
      <c r="B31" s="576" t="s">
        <v>74</v>
      </c>
      <c r="C31" s="577"/>
      <c r="D31" s="577"/>
      <c r="E31" s="152">
        <v>840.77</v>
      </c>
      <c r="F31" s="152">
        <v>749.26</v>
      </c>
      <c r="G31" s="152">
        <v>755.64</v>
      </c>
      <c r="H31" s="153">
        <v>650.29999999999995</v>
      </c>
      <c r="I31" s="174"/>
      <c r="J31" s="597" t="s">
        <v>138</v>
      </c>
      <c r="K31" s="597"/>
      <c r="L31" s="562" t="s">
        <v>116</v>
      </c>
      <c r="M31" s="457">
        <f>IF(M25="","",S82)</f>
        <v>2.7120000000000002</v>
      </c>
      <c r="N31" s="121"/>
      <c r="O31" s="628" t="s">
        <v>135</v>
      </c>
      <c r="P31" s="629"/>
      <c r="Q31" s="122">
        <f>Q30/(1+Q40/100)</f>
        <v>2.1716019892670562</v>
      </c>
      <c r="R31" s="122">
        <f>R30/(1+R40/100)</f>
        <v>2.0261010293978052</v>
      </c>
      <c r="S31" s="123">
        <f>S30/(1+S40/100)</f>
        <v>1.8360413743361657</v>
      </c>
      <c r="T31" s="174"/>
      <c r="U31" s="627">
        <v>0.17499999999999999</v>
      </c>
      <c r="V31" s="624">
        <f>U31*25.4</f>
        <v>4.4449999999999994</v>
      </c>
      <c r="W31" s="593">
        <v>6.1280000000000001</v>
      </c>
      <c r="X31" s="594"/>
      <c r="Y31" s="439">
        <f>((W31/19.32)*10)</f>
        <v>3.1718426501035197</v>
      </c>
      <c r="Z31" s="440"/>
      <c r="AA31" s="593">
        <f>AJ29</f>
        <v>3.8842105263157896</v>
      </c>
      <c r="AB31" s="594"/>
      <c r="AC31" s="439">
        <f>((AA31/19.32)*10)</f>
        <v>2.0104609349460607</v>
      </c>
      <c r="AD31" s="440"/>
      <c r="AE31" s="593">
        <f>AK29</f>
        <v>1.9421052631578948</v>
      </c>
      <c r="AF31" s="594"/>
      <c r="AG31" s="443">
        <f>((AE31/19.32)*10)</f>
        <v>1.0052304674730304</v>
      </c>
      <c r="AH31" s="104"/>
      <c r="AI31" s="42">
        <f t="shared" si="0"/>
        <v>11.209</v>
      </c>
      <c r="AJ31" s="42">
        <f t="shared" si="1"/>
        <v>7.3743421052631577</v>
      </c>
      <c r="AK31" s="42">
        <f t="shared" si="2"/>
        <v>3.6871710526315788</v>
      </c>
      <c r="AO31" s="42">
        <v>5.516</v>
      </c>
      <c r="AS31" s="42">
        <f t="shared" si="3"/>
        <v>4.4845528455284551</v>
      </c>
    </row>
    <row r="32" spans="1:45" ht="5.0999999999999996" customHeight="1" thickBot="1" x14ac:dyDescent="0.3">
      <c r="A32" s="103"/>
      <c r="B32" s="612" t="s">
        <v>75</v>
      </c>
      <c r="C32" s="613"/>
      <c r="D32" s="614"/>
      <c r="E32" s="618">
        <v>40.6</v>
      </c>
      <c r="F32" s="618">
        <v>42.4</v>
      </c>
      <c r="G32" s="618">
        <v>44.1</v>
      </c>
      <c r="H32" s="620">
        <v>42.7</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0"/>
        <v>13.709</v>
      </c>
      <c r="AJ32" s="42">
        <f t="shared" si="1"/>
        <v>9.0190789473684205</v>
      </c>
      <c r="AK32" s="42">
        <f t="shared" si="2"/>
        <v>4.5095394736842103</v>
      </c>
      <c r="AO32" s="42">
        <v>6.7220000000000004</v>
      </c>
      <c r="AS32" s="42">
        <f t="shared" si="3"/>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9.81</v>
      </c>
      <c r="N33" s="101"/>
      <c r="O33" s="634" t="s">
        <v>25</v>
      </c>
      <c r="P33" s="635"/>
      <c r="Q33" s="635"/>
      <c r="R33" s="635"/>
      <c r="S33" s="636"/>
      <c r="T33" s="174"/>
      <c r="U33" s="117">
        <v>0.2</v>
      </c>
      <c r="V33" s="124">
        <f>U33*25.4</f>
        <v>5.08</v>
      </c>
      <c r="W33" s="581">
        <f>AI30</f>
        <v>7.0670000000000002</v>
      </c>
      <c r="X33" s="582"/>
      <c r="Y33" s="449">
        <f>((W33/19.32)*10)</f>
        <v>3.6578674948240164</v>
      </c>
      <c r="Z33" s="450"/>
      <c r="AA33" s="581">
        <f>AJ30</f>
        <v>4.6493421052631581</v>
      </c>
      <c r="AB33" s="582"/>
      <c r="AC33" s="449">
        <f>((AA33/19.32)*10)</f>
        <v>2.4064917729105373</v>
      </c>
      <c r="AD33" s="450"/>
      <c r="AE33" s="581">
        <f>AK30</f>
        <v>2.324671052631579</v>
      </c>
      <c r="AF33" s="582"/>
      <c r="AG33" s="144">
        <f>((AE33/19.32)*10)</f>
        <v>1.2032458864552686</v>
      </c>
      <c r="AH33" s="104"/>
      <c r="AI33" s="42">
        <f t="shared" si="0"/>
        <v>15.755000000000001</v>
      </c>
      <c r="AJ33" s="42">
        <f t="shared" si="1"/>
        <v>10.365131578947368</v>
      </c>
      <c r="AK33" s="42">
        <f t="shared" si="2"/>
        <v>5.1825657894736841</v>
      </c>
      <c r="AO33" s="42">
        <v>7.7720000000000002</v>
      </c>
      <c r="AS33" s="42">
        <f t="shared" si="3"/>
        <v>6.3186991869918705</v>
      </c>
    </row>
    <row r="34" spans="1:45" ht="24.95" customHeight="1" thickBot="1" x14ac:dyDescent="0.3">
      <c r="A34" s="103"/>
      <c r="B34" s="602" t="s">
        <v>10</v>
      </c>
      <c r="C34" s="603"/>
      <c r="D34" s="603"/>
      <c r="E34" s="125">
        <f>((E29-E31)/(E31-E32))*100</f>
        <v>2.4532286889036072</v>
      </c>
      <c r="F34" s="125">
        <f>((F29-F31)/(F31-F32))*100</f>
        <v>4.4761338878985919</v>
      </c>
      <c r="G34" s="125">
        <f>((G29-G31)/(G31-G32))*100</f>
        <v>6.3327430643393283</v>
      </c>
      <c r="H34" s="126">
        <f>((H29-H31)/(H31-H32))*100</f>
        <v>8.3278472679394397</v>
      </c>
      <c r="I34" s="174"/>
      <c r="J34" s="630" t="s">
        <v>125</v>
      </c>
      <c r="K34" s="630"/>
      <c r="L34" s="184" t="s">
        <v>126</v>
      </c>
      <c r="M34" s="245">
        <v>2.62</v>
      </c>
      <c r="N34" s="128"/>
      <c r="O34" s="631" t="s">
        <v>9</v>
      </c>
      <c r="P34" s="632"/>
      <c r="Q34" s="156">
        <v>314</v>
      </c>
      <c r="R34" s="156">
        <v>714</v>
      </c>
      <c r="S34" s="157">
        <v>804</v>
      </c>
      <c r="T34" s="174"/>
      <c r="U34" s="120">
        <v>0.3</v>
      </c>
      <c r="V34" s="113">
        <f>U34*25.4</f>
        <v>7.6199999999999992</v>
      </c>
      <c r="W34" s="581">
        <f>AI31</f>
        <v>11.209</v>
      </c>
      <c r="X34" s="582"/>
      <c r="Y34" s="449">
        <f>((W34/19.32)*10)</f>
        <v>5.8017598343685295</v>
      </c>
      <c r="Z34" s="450"/>
      <c r="AA34" s="449">
        <f>AJ31</f>
        <v>7.3743421052631577</v>
      </c>
      <c r="AB34" s="450"/>
      <c r="AC34" s="449">
        <f>((AA34/19.32)*10)</f>
        <v>3.8169472594529803</v>
      </c>
      <c r="AD34" s="450"/>
      <c r="AE34" s="581">
        <f>AK31</f>
        <v>3.6871710526315788</v>
      </c>
      <c r="AF34" s="582"/>
      <c r="AG34" s="114">
        <f>((AE34/19.32)*10)</f>
        <v>1.9084736297264902</v>
      </c>
      <c r="AH34" s="104"/>
      <c r="AS34" s="42">
        <f t="shared" si="3"/>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1046.57</v>
      </c>
      <c r="R35" s="608">
        <v>897.65</v>
      </c>
      <c r="S35" s="610">
        <v>722.46</v>
      </c>
      <c r="T35" s="174"/>
      <c r="U35" s="627">
        <v>0.4</v>
      </c>
      <c r="V35" s="624">
        <f>U35*25.4</f>
        <v>10.16</v>
      </c>
      <c r="W35" s="593">
        <f>AI32</f>
        <v>13.709</v>
      </c>
      <c r="X35" s="594"/>
      <c r="Y35" s="439">
        <f>((W35/19.32)*10)</f>
        <v>7.09575569358178</v>
      </c>
      <c r="Z35" s="440"/>
      <c r="AA35" s="593">
        <f>AJ32</f>
        <v>9.0190789473684205</v>
      </c>
      <c r="AB35" s="594"/>
      <c r="AC35" s="439">
        <f>(AA35/19.32)*10</f>
        <v>4.6682603247248551</v>
      </c>
      <c r="AD35" s="440"/>
      <c r="AE35" s="593">
        <f>AK32</f>
        <v>4.5095394736842103</v>
      </c>
      <c r="AF35" s="594"/>
      <c r="AG35" s="443">
        <f>((AE35/19.32)*10)</f>
        <v>2.3341301623624275</v>
      </c>
      <c r="AH35" s="104"/>
      <c r="AS35" s="42">
        <f t="shared" si="3"/>
        <v>0</v>
      </c>
    </row>
    <row r="36" spans="1:45" ht="20.100000000000001" customHeight="1" thickBot="1" x14ac:dyDescent="0.3">
      <c r="A36" s="103"/>
      <c r="B36" s="639" t="s">
        <v>71</v>
      </c>
      <c r="C36" s="640"/>
      <c r="D36" s="640"/>
      <c r="E36" s="130">
        <f>E25/E24</f>
        <v>2.0488826815642458</v>
      </c>
      <c r="F36" s="130">
        <f>F25/F24</f>
        <v>2.2481378026070762</v>
      </c>
      <c r="G36" s="130">
        <f>G25/G24</f>
        <v>2.2877094972067038</v>
      </c>
      <c r="H36" s="131">
        <f>H25/H24</f>
        <v>2.1987895716945998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3"/>
        <v>0</v>
      </c>
    </row>
    <row r="37" spans="1:45" ht="24.95" customHeight="1" thickBot="1" x14ac:dyDescent="0.3">
      <c r="A37" s="103"/>
      <c r="B37" s="602" t="s">
        <v>72</v>
      </c>
      <c r="C37" s="603"/>
      <c r="D37" s="603"/>
      <c r="E37" s="122">
        <f>E36/(1+E34/100)</f>
        <v>1.9998224631706056</v>
      </c>
      <c r="F37" s="230">
        <f>F36/(1+F34/100)</f>
        <v>2.1518194815854272</v>
      </c>
      <c r="G37" s="230">
        <f>G36/(1+G34/100)</f>
        <v>2.1514628808385643</v>
      </c>
      <c r="H37" s="123">
        <f>H36/(1+H34/100)</f>
        <v>2.0297547003367344</v>
      </c>
      <c r="I37" s="174"/>
      <c r="J37" s="641" t="s">
        <v>139</v>
      </c>
      <c r="K37" s="641"/>
      <c r="L37" s="643" t="s">
        <v>121</v>
      </c>
      <c r="M37" s="433">
        <f>IF(F74="","",(M42^2*F74+M42*F75+F76))</f>
        <v>2.1676142045454547</v>
      </c>
      <c r="N37" s="101"/>
      <c r="O37" s="576" t="s">
        <v>28</v>
      </c>
      <c r="P37" s="577"/>
      <c r="Q37" s="150">
        <v>1000.63</v>
      </c>
      <c r="R37" s="150">
        <v>855.69</v>
      </c>
      <c r="S37" s="151">
        <v>687.97</v>
      </c>
      <c r="T37" s="174"/>
      <c r="U37" s="132">
        <v>0.5</v>
      </c>
      <c r="V37" s="133">
        <f>U37*25.4</f>
        <v>12.7</v>
      </c>
      <c r="W37" s="637">
        <f>AI33</f>
        <v>15.755000000000001</v>
      </c>
      <c r="X37" s="638"/>
      <c r="Y37" s="431">
        <f>((W37/19.32)*10)</f>
        <v>8.1547619047619051</v>
      </c>
      <c r="Z37" s="432"/>
      <c r="AA37" s="637">
        <f>AJ33</f>
        <v>10.365131578947368</v>
      </c>
      <c r="AB37" s="638"/>
      <c r="AC37" s="431">
        <f>((AA37/19.32)*10)</f>
        <v>5.3649749373433586</v>
      </c>
      <c r="AD37" s="432"/>
      <c r="AE37" s="637">
        <v>4.8789999999999996</v>
      </c>
      <c r="AF37" s="638"/>
      <c r="AG37" s="134">
        <f>((AE37/19.32)*10)</f>
        <v>2.5253623188405792</v>
      </c>
      <c r="AH37" s="104"/>
      <c r="AS37" s="42">
        <f t="shared" si="3"/>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100.52</v>
      </c>
      <c r="R38" s="647">
        <v>49.3</v>
      </c>
      <c r="S38" s="648">
        <v>49.7</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2.2423787506877768</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21.264295346590913</v>
      </c>
      <c r="N40" s="103"/>
      <c r="O40" s="628" t="s">
        <v>10</v>
      </c>
      <c r="P40" s="629"/>
      <c r="Q40" s="125">
        <f>((Q35-Q37)/(Q37-Q38))*100</f>
        <v>5.1038206441434868</v>
      </c>
      <c r="R40" s="125">
        <f>((R35-R37)/(R37-R38))*100</f>
        <v>5.2034375426282464</v>
      </c>
      <c r="S40" s="126">
        <f>((S35-S37)/(S37-S38))*100</f>
        <v>5.4036692935591537</v>
      </c>
      <c r="T40" s="174"/>
      <c r="U40" s="645" t="s">
        <v>151</v>
      </c>
      <c r="V40" s="646"/>
      <c r="W40" s="423">
        <f>(AM79/6.9)*100</f>
        <v>24.012062291835445</v>
      </c>
      <c r="X40" s="423"/>
      <c r="Y40" s="423"/>
      <c r="Z40" s="424"/>
      <c r="AA40" s="425">
        <f>(AO79/6.9)*100</f>
        <v>14.065172382752722</v>
      </c>
      <c r="AB40" s="426"/>
      <c r="AC40" s="427"/>
      <c r="AD40" s="425">
        <f>(AQ79/6.9)*100</f>
        <v>8.2365649473399944</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21.997735544247092</v>
      </c>
      <c r="N41" s="138"/>
      <c r="O41" s="565" t="s">
        <v>36</v>
      </c>
      <c r="P41" s="566"/>
      <c r="Q41" s="566"/>
      <c r="R41" s="566"/>
      <c r="S41" s="567"/>
      <c r="T41" s="174"/>
      <c r="U41" s="653" t="s">
        <v>152</v>
      </c>
      <c r="V41" s="654"/>
      <c r="W41" s="418">
        <f>(AM83/10.3)*100</f>
        <v>35.513276648776852</v>
      </c>
      <c r="X41" s="418"/>
      <c r="Y41" s="418"/>
      <c r="Z41" s="419"/>
      <c r="AA41" s="420">
        <f>(AO83/10.3)*100</f>
        <v>23.363997795247933</v>
      </c>
      <c r="AB41" s="421"/>
      <c r="AC41" s="418"/>
      <c r="AD41" s="420">
        <f>(AQ83/10.3)*100</f>
        <v>11.681998897623966</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5.5284090909090908</v>
      </c>
      <c r="N42" s="103"/>
      <c r="O42" s="639" t="s">
        <v>9</v>
      </c>
      <c r="P42" s="640"/>
      <c r="Q42" s="148">
        <v>350</v>
      </c>
      <c r="R42" s="148">
        <v>731</v>
      </c>
      <c r="S42" s="149">
        <v>804</v>
      </c>
      <c r="T42" s="174"/>
      <c r="U42" s="651" t="s">
        <v>42</v>
      </c>
      <c r="V42" s="652"/>
      <c r="W42" s="413">
        <f>IF(W40&lt;W41,W40,W41)</f>
        <v>24.012062291835445</v>
      </c>
      <c r="X42" s="414"/>
      <c r="Y42" s="414"/>
      <c r="Z42" s="415"/>
      <c r="AA42" s="416">
        <f>IF(AA40&lt;AA41,AA40,AA41)</f>
        <v>14.065172382752722</v>
      </c>
      <c r="AB42" s="414"/>
      <c r="AC42" s="415"/>
      <c r="AD42" s="416">
        <f>IF(AD40&lt;AD41,AD40,AD41)</f>
        <v>8.2365649473399944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4.496306818181818</v>
      </c>
      <c r="N43" s="103"/>
      <c r="O43" s="612" t="s">
        <v>49</v>
      </c>
      <c r="P43" s="614"/>
      <c r="Q43" s="608">
        <v>1056.93</v>
      </c>
      <c r="R43" s="608">
        <v>953.26</v>
      </c>
      <c r="S43" s="610">
        <v>641.79999999999995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980.65</v>
      </c>
      <c r="R45" s="150">
        <v>878.32</v>
      </c>
      <c r="S45" s="151">
        <v>587.1</v>
      </c>
      <c r="T45" s="174"/>
      <c r="U45" s="656" t="s">
        <v>139</v>
      </c>
      <c r="V45" s="656"/>
      <c r="W45" s="179" t="s">
        <v>121</v>
      </c>
      <c r="X45" s="406">
        <f>MAX(M37:M39)</f>
        <v>2.2423787506877768</v>
      </c>
      <c r="Y45" s="406"/>
      <c r="Z45" s="406"/>
      <c r="AA45" s="174"/>
      <c r="AB45" s="657" t="s">
        <v>31</v>
      </c>
      <c r="AC45" s="658"/>
      <c r="AD45" s="658"/>
      <c r="AE45" s="658"/>
      <c r="AF45" s="231">
        <v>0.29499999999999998</v>
      </c>
      <c r="AG45" s="231">
        <v>9.7500000000000003E-2</v>
      </c>
      <c r="AH45" s="233">
        <v>0.184</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101.92</v>
      </c>
      <c r="R46" s="150">
        <v>48.4</v>
      </c>
      <c r="S46" s="151">
        <v>46.7</v>
      </c>
      <c r="T46" s="174"/>
      <c r="U46" s="555" t="s">
        <v>123</v>
      </c>
      <c r="V46" s="555"/>
      <c r="W46" s="179" t="s">
        <v>41</v>
      </c>
      <c r="X46" s="401">
        <f>MIN(M42:M44)</f>
        <v>4.496306818181818</v>
      </c>
      <c r="Y46" s="401"/>
      <c r="Z46" s="401"/>
      <c r="AA46" s="174"/>
      <c r="AB46" s="660" t="s">
        <v>32</v>
      </c>
      <c r="AC46" s="661"/>
      <c r="AD46" s="661"/>
      <c r="AE46" s="661"/>
      <c r="AF46" s="234">
        <v>0.3</v>
      </c>
      <c r="AG46" s="234">
        <v>0.1095</v>
      </c>
      <c r="AH46" s="235">
        <v>0.22650000000000001</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8.6807096605328251</v>
      </c>
      <c r="R47" s="125">
        <f>((R43-R45)/(R45-R46))*100</f>
        <v>9.0297860034702051</v>
      </c>
      <c r="S47" s="126">
        <f>((S43-S45)/(S45-S46))*100</f>
        <v>10.122131754256095</v>
      </c>
      <c r="T47" s="174"/>
      <c r="U47" s="555" t="s">
        <v>162</v>
      </c>
      <c r="V47" s="555"/>
      <c r="W47" s="179" t="s">
        <v>41</v>
      </c>
      <c r="X47" s="402">
        <f>IF(L25=D103,"-",IF(L25=D102,"-",IF(L25=D101,M25)))</f>
        <v>16.61</v>
      </c>
      <c r="Y47" s="402"/>
      <c r="Z47" s="402"/>
      <c r="AA47" s="174"/>
      <c r="AB47" s="662" t="s">
        <v>33</v>
      </c>
      <c r="AC47" s="663"/>
      <c r="AD47" s="663"/>
      <c r="AE47" s="663"/>
      <c r="AF47" s="232">
        <f>(AF46-AF45)*2.54</f>
        <v>1.2700000000000012E-2</v>
      </c>
      <c r="AG47" s="232">
        <f>(AG46-AG45)*2.54</f>
        <v>3.0479999999999993E-2</v>
      </c>
      <c r="AH47" s="239">
        <f>(AH46-AH45)*2.54</f>
        <v>0.10795000000000003</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0.10948275862068975</v>
      </c>
      <c r="AG48" s="142">
        <f>IF(AG47&lt;&gt;"",IF(R24&lt;&gt;"",AG47/R24*100,""),"")</f>
        <v>0.2620808254514187</v>
      </c>
      <c r="AH48" s="173">
        <f>IF(AH47&lt;&gt;"",IF(S24&lt;&gt;"",AH47/S24*100,""),"")</f>
        <v>0.92820292347377487</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0.03</v>
      </c>
      <c r="AK50" s="42">
        <v>0.11700000000000001</v>
      </c>
      <c r="AM50" s="42">
        <v>0.03</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0.36799999999999999</v>
      </c>
      <c r="AK51" s="42">
        <v>0.622</v>
      </c>
      <c r="AM51" s="42">
        <v>0.36799999999999999</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1.468</v>
      </c>
      <c r="AK52" s="42">
        <v>1.204</v>
      </c>
      <c r="AM52" s="42">
        <v>1.468</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2.85</v>
      </c>
      <c r="AK53" s="42">
        <v>1.552</v>
      </c>
      <c r="AM53" s="42">
        <v>2.85</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3.0470000000000002</v>
      </c>
      <c r="AK54" s="42">
        <v>1.8149999999999999</v>
      </c>
      <c r="AM54" s="42">
        <v>3.0470000000000002</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3.3919999999999999</v>
      </c>
      <c r="AK55" s="42">
        <v>2.044</v>
      </c>
      <c r="AM55" s="42">
        <v>3.3919999999999999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4.5259999999999998</v>
      </c>
      <c r="AK56" s="42">
        <v>2.258</v>
      </c>
      <c r="AM56" s="42">
        <v>4.5259999999999998</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5.9039999999999999</v>
      </c>
      <c r="AK57" s="42">
        <v>2.4409999999999998</v>
      </c>
      <c r="AM57" s="42">
        <v>5.9039999999999999</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7.0670000000000002</v>
      </c>
      <c r="AK58" s="42">
        <v>2.5939999999999999</v>
      </c>
      <c r="AM58" s="42">
        <v>7.0670000000000002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11.209</v>
      </c>
      <c r="AK59" s="42">
        <v>3.169</v>
      </c>
      <c r="AM59" s="42">
        <v>11.209</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13.709</v>
      </c>
      <c r="AK60" s="42">
        <v>3.73</v>
      </c>
      <c r="AM60" s="42">
        <v>13.709</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15.755000000000001</v>
      </c>
      <c r="AK61" s="42">
        <v>4.2839999999999998</v>
      </c>
      <c r="AM61" s="42">
        <v>15.755000000000001</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9.81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-1.7600000000000001E-2</v>
      </c>
      <c r="G74" s="75">
        <v>-0.12509999999999999</v>
      </c>
      <c r="J74" s="701"/>
      <c r="K74" s="702"/>
      <c r="L74" s="44"/>
      <c r="M74" s="44"/>
      <c r="N74" s="44"/>
    </row>
    <row r="75" spans="1:94" ht="26.25" customHeight="1" thickBot="1" x14ac:dyDescent="0.3">
      <c r="A75" s="11"/>
      <c r="B75" s="377" t="s">
        <v>113</v>
      </c>
      <c r="C75" s="377"/>
      <c r="D75" s="19"/>
      <c r="E75" s="54" t="s">
        <v>12</v>
      </c>
      <c r="F75" s="55">
        <v>0.1946</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4">((AL75/19.32)*10)</f>
        <v>0</v>
      </c>
      <c r="AN75" s="5">
        <f>AA22</f>
        <v>0</v>
      </c>
      <c r="AO75" s="3">
        <f>((AN75/19.32)*10)</f>
        <v>0</v>
      </c>
      <c r="AP75" s="5">
        <f>AE22</f>
        <v>0</v>
      </c>
      <c r="AQ75" s="161">
        <f t="shared" ref="AQ75:AQ84" si="5">((AP75/19.32)*10)</f>
        <v>0</v>
      </c>
    </row>
    <row r="76" spans="1:94" ht="26.25" customHeight="1" thickBot="1" x14ac:dyDescent="0.3">
      <c r="A76" s="11"/>
      <c r="B76" s="377" t="s">
        <v>114</v>
      </c>
      <c r="C76" s="377"/>
      <c r="D76" s="20"/>
      <c r="E76" s="56" t="s">
        <v>13</v>
      </c>
      <c r="F76" s="57">
        <v>1.6296999999999999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6">AJ76*25.4</f>
        <v>0.63500000000000001</v>
      </c>
      <c r="AL76" s="5">
        <f>W23</f>
        <v>0.36799999999999999</v>
      </c>
      <c r="AM76" s="3">
        <f t="shared" si="4"/>
        <v>0.19047619047619047</v>
      </c>
      <c r="AN76" s="5">
        <f>AA23</f>
        <v>0.24210526315789474</v>
      </c>
      <c r="AO76" s="3">
        <f t="shared" ref="AO76:AO86" si="7">((AN76/19.32)*10)</f>
        <v>0.12531328320802004</v>
      </c>
      <c r="AP76" s="5">
        <f>AE23</f>
        <v>0.12105263157894737</v>
      </c>
      <c r="AQ76" s="161">
        <f t="shared" si="5"/>
        <v>6.2656641604010022E-2</v>
      </c>
    </row>
    <row r="77" spans="1:94" ht="26.25" customHeight="1" thickTop="1" thickBot="1" x14ac:dyDescent="0.3">
      <c r="A77" s="11"/>
      <c r="B77" s="377" t="s">
        <v>115</v>
      </c>
      <c r="C77" s="377"/>
      <c r="D77" s="15"/>
      <c r="J77" s="380"/>
      <c r="K77" s="381"/>
      <c r="U77" s="44"/>
      <c r="AB77" s="44"/>
      <c r="AC77" s="44"/>
      <c r="AD77" s="44"/>
      <c r="AE77" s="44"/>
      <c r="AJ77" s="160">
        <f>U24</f>
        <v>0.05</v>
      </c>
      <c r="AK77" s="3">
        <f t="shared" si="6"/>
        <v>1.27</v>
      </c>
      <c r="AL77" s="5">
        <f>W24</f>
        <v>1.123</v>
      </c>
      <c r="AM77" s="3">
        <f t="shared" si="4"/>
        <v>0.58126293995859213</v>
      </c>
      <c r="AN77" s="5">
        <f>AA24</f>
        <v>0.86599999999999999</v>
      </c>
      <c r="AO77" s="3">
        <f t="shared" si="7"/>
        <v>0.44824016563146996</v>
      </c>
      <c r="AP77" s="5">
        <f>AE24</f>
        <v>0.48289473684210527</v>
      </c>
      <c r="AQ77" s="161">
        <f t="shared" si="5"/>
        <v>0.24994551596382258</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6"/>
        <v>1.9049999999999998</v>
      </c>
      <c r="AL78" s="5">
        <f>W25</f>
        <v>2.2650000000000001</v>
      </c>
      <c r="AM78" s="3">
        <f t="shared" si="4"/>
        <v>1.1723602484472049</v>
      </c>
      <c r="AN78" s="5">
        <f>AA25</f>
        <v>1.294</v>
      </c>
      <c r="AO78" s="3">
        <f t="shared" si="7"/>
        <v>0.66977225672877849</v>
      </c>
      <c r="AP78" s="5">
        <f>AE25</f>
        <v>0.84499999999999997</v>
      </c>
      <c r="AQ78" s="161">
        <f t="shared" si="5"/>
        <v>0.43737060041407866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6"/>
        <v>2.54</v>
      </c>
      <c r="AL79" s="5">
        <f>W26</f>
        <v>3.2010000000000001</v>
      </c>
      <c r="AM79" s="4">
        <f t="shared" si="4"/>
        <v>1.6568322981366459</v>
      </c>
      <c r="AN79" s="5">
        <f>AA26</f>
        <v>1.875</v>
      </c>
      <c r="AO79" s="4">
        <f t="shared" si="7"/>
        <v>0.97049689440993792</v>
      </c>
      <c r="AP79" s="5">
        <f>AE26</f>
        <v>1.0980000000000001</v>
      </c>
      <c r="AQ79" s="162">
        <f t="shared" si="5"/>
        <v>0.56832298136645965</v>
      </c>
      <c r="BB79" s="12">
        <v>17</v>
      </c>
      <c r="BC79" s="12">
        <v>18</v>
      </c>
    </row>
    <row r="80" spans="1:94" ht="42" customHeight="1" thickTop="1" thickBot="1" x14ac:dyDescent="0.3">
      <c r="D80" s="49"/>
      <c r="H80" s="711" t="s">
        <v>105</v>
      </c>
      <c r="I80" s="712"/>
      <c r="J80" s="58"/>
      <c r="AJ80" s="160">
        <f>U28</f>
        <v>0.125</v>
      </c>
      <c r="AK80" s="3">
        <f t="shared" si="6"/>
        <v>3.1749999999999998</v>
      </c>
      <c r="AL80" s="5">
        <f>W28</f>
        <v>4.1150000000000002</v>
      </c>
      <c r="AM80" s="3">
        <f t="shared" si="4"/>
        <v>2.1299171842650106</v>
      </c>
      <c r="AN80" s="5">
        <f>AA28</f>
        <v>2.4649999999999999</v>
      </c>
      <c r="AO80" s="3">
        <f t="shared" si="7"/>
        <v>1.275879917184265</v>
      </c>
      <c r="AP80" s="5">
        <f>AE28</f>
        <v>1.296</v>
      </c>
      <c r="AQ80" s="161">
        <f t="shared" si="5"/>
        <v>0.67080745341614911</v>
      </c>
      <c r="BC80" s="45">
        <v>0.99880400000000003</v>
      </c>
      <c r="BD80" s="45">
        <v>0.99862499999999998</v>
      </c>
    </row>
    <row r="81" spans="2:43" ht="15.75" customHeight="1" x14ac:dyDescent="0.25">
      <c r="AJ81" s="160">
        <f>U30</f>
        <v>0.15</v>
      </c>
      <c r="AK81" s="3">
        <f t="shared" si="6"/>
        <v>3.8099999999999996</v>
      </c>
      <c r="AL81" s="5">
        <f>W30</f>
        <v>4.9329999999999998</v>
      </c>
      <c r="AM81" s="3">
        <f t="shared" si="4"/>
        <v>2.5533126293995858</v>
      </c>
      <c r="AN81" s="5">
        <f>AA30</f>
        <v>3.165</v>
      </c>
      <c r="AO81" s="3">
        <f t="shared" si="7"/>
        <v>1.6381987577639752</v>
      </c>
      <c r="AP81" s="5">
        <f>AE30</f>
        <v>1.4888157894736842</v>
      </c>
      <c r="AQ81" s="161">
        <f t="shared" si="5"/>
        <v>0.77060858668410159</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6"/>
        <v>4.4449999999999994</v>
      </c>
      <c r="AL82" s="5">
        <f>W31</f>
        <v>6.1280000000000001</v>
      </c>
      <c r="AM82" s="3">
        <f t="shared" si="4"/>
        <v>3.1718426501035197</v>
      </c>
      <c r="AN82" s="5">
        <f>AA31</f>
        <v>3.8842105263157896</v>
      </c>
      <c r="AO82" s="3">
        <f t="shared" si="7"/>
        <v>2.0104609349460607</v>
      </c>
      <c r="AP82" s="5">
        <f>AE31</f>
        <v>1.9421052631578948</v>
      </c>
      <c r="AQ82" s="161">
        <f t="shared" si="5"/>
        <v>1.0052304674730304</v>
      </c>
    </row>
    <row r="83" spans="2:43" ht="15" customHeight="1" x14ac:dyDescent="0.25">
      <c r="B83" s="49"/>
      <c r="C83" s="49"/>
      <c r="D83" s="49">
        <v>0</v>
      </c>
      <c r="E83" s="50">
        <f>M42</f>
        <v>5.5284090909090908</v>
      </c>
      <c r="F83" s="49"/>
      <c r="G83" s="43">
        <f>G84/10</f>
        <v>2.4149970507301193</v>
      </c>
      <c r="H83" s="43">
        <f>H84/10</f>
        <v>2.3004369309640644</v>
      </c>
      <c r="I83" s="43">
        <f>I84/10</f>
        <v>2.2044605970222659</v>
      </c>
      <c r="J83" s="43">
        <f>J84/10</f>
        <v>2.1098686143220764</v>
      </c>
      <c r="K83" s="43"/>
      <c r="L83" s="42">
        <v>0</v>
      </c>
      <c r="O83" s="706"/>
      <c r="P83" s="706"/>
      <c r="Q83" s="706"/>
      <c r="R83" s="706"/>
      <c r="S83" s="707"/>
      <c r="W83" s="112"/>
      <c r="AJ83" s="160">
        <f>U33</f>
        <v>0.2</v>
      </c>
      <c r="AK83" s="4">
        <f t="shared" si="6"/>
        <v>5.08</v>
      </c>
      <c r="AL83" s="5">
        <f>W33</f>
        <v>7.0670000000000002</v>
      </c>
      <c r="AM83" s="4">
        <f t="shared" si="4"/>
        <v>3.6578674948240164</v>
      </c>
      <c r="AN83" s="5">
        <f>AA33</f>
        <v>4.6493421052631581</v>
      </c>
      <c r="AO83" s="4">
        <f t="shared" si="7"/>
        <v>2.4064917729105373</v>
      </c>
      <c r="AP83" s="5">
        <f>AE33</f>
        <v>2.324671052631579</v>
      </c>
      <c r="AQ83" s="162">
        <f t="shared" si="5"/>
        <v>1.2032458864552686</v>
      </c>
    </row>
    <row r="84" spans="2:43" ht="15" customHeight="1" x14ac:dyDescent="0.25">
      <c r="C84" s="94"/>
      <c r="D84" s="94"/>
      <c r="E84" s="94"/>
      <c r="F84" s="49"/>
      <c r="G84" s="43">
        <f>($M$34/(1+(E34*$M$34/100)))*($O$73)</f>
        <v>24.149970507301191</v>
      </c>
      <c r="H84" s="43">
        <f>($M$34/(1+(F34*$M$34/100)))*($O$73)</f>
        <v>23.004369309640644</v>
      </c>
      <c r="I84" s="43">
        <f>($M$34/(1+(G34*$M$34/100)))*($O$73)</f>
        <v>22.044605970222658</v>
      </c>
      <c r="J84" s="43">
        <f>($M$34/(1+(H34*$M$34/100)))*($O$73)</f>
        <v>21.098686143220764</v>
      </c>
      <c r="K84" s="43"/>
      <c r="O84" s="706" t="s">
        <v>146</v>
      </c>
      <c r="P84" s="706"/>
      <c r="Q84" s="706"/>
      <c r="R84" s="706"/>
      <c r="S84" s="707">
        <v>2240</v>
      </c>
      <c r="W84" s="112"/>
      <c r="AJ84" s="160">
        <f>U34</f>
        <v>0.3</v>
      </c>
      <c r="AK84" s="3">
        <f t="shared" si="6"/>
        <v>7.6199999999999992</v>
      </c>
      <c r="AL84" s="5">
        <f>W34</f>
        <v>11.209</v>
      </c>
      <c r="AM84" s="3">
        <f t="shared" si="4"/>
        <v>5.8017598343685295</v>
      </c>
      <c r="AN84" s="5">
        <f>AA34</f>
        <v>7.3743421052631577</v>
      </c>
      <c r="AO84" s="3">
        <f t="shared" si="7"/>
        <v>3.8169472594529803</v>
      </c>
      <c r="AP84" s="5">
        <f>AE34</f>
        <v>3.6871710526315788</v>
      </c>
      <c r="AQ84" s="161">
        <f t="shared" si="5"/>
        <v>1.9084736297264902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13.709</v>
      </c>
      <c r="AM85" s="3">
        <f t="shared" si="4"/>
        <v>7.09575569358178</v>
      </c>
      <c r="AN85" s="5">
        <f>AA35</f>
        <v>9.0190789473684205</v>
      </c>
      <c r="AO85" s="3">
        <f t="shared" si="7"/>
        <v>4.6682603247248551</v>
      </c>
      <c r="AP85" s="5">
        <f>AE35</f>
        <v>4.5095394736842103</v>
      </c>
      <c r="AQ85" s="161">
        <f>((AP85/19.32)*10)</f>
        <v>2.3341301623624275</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15.755000000000001</v>
      </c>
      <c r="AM86" s="164">
        <f t="shared" si="4"/>
        <v>8.1547619047619051</v>
      </c>
      <c r="AN86" s="165">
        <f>AA37</f>
        <v>10.365131578947368</v>
      </c>
      <c r="AO86" s="164">
        <f t="shared" si="7"/>
        <v>5.3649749373433586</v>
      </c>
      <c r="AP86" s="165">
        <f>AE37</f>
        <v>4.8789999999999996</v>
      </c>
      <c r="AQ86" s="166">
        <f>((AP86/19.32)*10)</f>
        <v>2.5253623188405792</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2.1716019892670562</v>
      </c>
      <c r="AK91" s="9">
        <f>R31</f>
        <v>2.0261010293978052</v>
      </c>
      <c r="AL91" s="10">
        <f>S31</f>
        <v>1.8360413743361657</v>
      </c>
    </row>
    <row r="92" spans="2:43" ht="21" customHeight="1" thickBot="1" x14ac:dyDescent="0.3">
      <c r="B92" s="92"/>
      <c r="C92" s="93"/>
      <c r="D92" s="93"/>
      <c r="E92" s="93"/>
      <c r="F92" s="62"/>
      <c r="G92" s="63"/>
      <c r="H92" s="49"/>
      <c r="I92" s="49"/>
      <c r="O92" s="725" t="s">
        <v>147</v>
      </c>
      <c r="P92" s="726"/>
      <c r="Q92" s="726"/>
      <c r="R92" s="726"/>
      <c r="S92" s="61">
        <f>M42</f>
        <v>5.5284090909090908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24.012062291835445</v>
      </c>
      <c r="AK94" s="158">
        <f>AA42</f>
        <v>14.065172382752722</v>
      </c>
      <c r="AL94" s="158">
        <f>AD42</f>
        <v>8.2365649473399944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596" priority="52">
      <formula>LEN(TRIM(D6))=0</formula>
    </cfRule>
  </conditionalFormatting>
  <conditionalFormatting sqref="D6:H10">
    <cfRule type="containsBlanks" dxfId="595" priority="51">
      <formula>LEN(TRIM(D6))=0</formula>
    </cfRule>
  </conditionalFormatting>
  <conditionalFormatting sqref="M19">
    <cfRule type="containsBlanks" dxfId="594" priority="50">
      <formula>LEN(TRIM(M19))=0</formula>
    </cfRule>
  </conditionalFormatting>
  <conditionalFormatting sqref="CP70">
    <cfRule type="containsBlanks" dxfId="593" priority="49">
      <formula>LEN(TRIM(CP70))=0</formula>
    </cfRule>
  </conditionalFormatting>
  <conditionalFormatting sqref="M21">
    <cfRule type="containsBlanks" dxfId="592" priority="48">
      <formula>LEN(TRIM(M21))=0</formula>
    </cfRule>
  </conditionalFormatting>
  <conditionalFormatting sqref="D12:M12">
    <cfRule type="containsBlanks" dxfId="591" priority="47">
      <formula>LEN(TRIM(D12))=0</formula>
    </cfRule>
  </conditionalFormatting>
  <conditionalFormatting sqref="L9:M9">
    <cfRule type="containsBlanks" dxfId="590" priority="46">
      <formula>LEN(TRIM(L9))=0</formula>
    </cfRule>
  </conditionalFormatting>
  <conditionalFormatting sqref="L25">
    <cfRule type="containsBlanks" dxfId="589" priority="45">
      <formula>LEN(TRIM(L25))=0</formula>
    </cfRule>
  </conditionalFormatting>
  <conditionalFormatting sqref="U26:V27 AC33 AC26">
    <cfRule type="cellIs" dxfId="588" priority="43" operator="between">
      <formula>0</formula>
      <formula>500</formula>
    </cfRule>
  </conditionalFormatting>
  <conditionalFormatting sqref="U33:V33">
    <cfRule type="cellIs" dxfId="587" priority="42" operator="between">
      <formula>0</formula>
      <formula>500</formula>
    </cfRule>
  </conditionalFormatting>
  <conditionalFormatting sqref="AF45:AH46">
    <cfRule type="containsBlanks" dxfId="586" priority="41">
      <formula>LEN(TRIM(AF45))=0</formula>
    </cfRule>
  </conditionalFormatting>
  <conditionalFormatting sqref="AF51:AG53">
    <cfRule type="containsBlanks" dxfId="585" priority="40">
      <formula>LEN(TRIM(AF51))=0</formula>
    </cfRule>
  </conditionalFormatting>
  <conditionalFormatting sqref="E20:H24">
    <cfRule type="containsBlanks" dxfId="584" priority="39">
      <formula>LEN(TRIM(E20))=0</formula>
    </cfRule>
  </conditionalFormatting>
  <conditionalFormatting sqref="M25">
    <cfRule type="containsBlanks" dxfId="583" priority="37">
      <formula>LEN(TRIM(M25))=0</formula>
    </cfRule>
  </conditionalFormatting>
  <conditionalFormatting sqref="U26:V27 Y26:Z27 AC26:AD27 AG26:AG27">
    <cfRule type="containsBlanks" dxfId="582" priority="35">
      <formula>LEN(TRIM(U26))=0</formula>
    </cfRule>
    <cfRule type="cellIs" dxfId="581" priority="36" operator="between">
      <formula>0</formula>
      <formula>1000</formula>
    </cfRule>
  </conditionalFormatting>
  <conditionalFormatting sqref="W87:W88">
    <cfRule type="cellIs" dxfId="580" priority="34" operator="between">
      <formula>0</formula>
      <formula>500</formula>
    </cfRule>
  </conditionalFormatting>
  <conditionalFormatting sqref="W94">
    <cfRule type="cellIs" dxfId="579" priority="33" operator="between">
      <formula>0</formula>
      <formula>500</formula>
    </cfRule>
  </conditionalFormatting>
  <conditionalFormatting sqref="W87:W88">
    <cfRule type="containsBlanks" dxfId="578" priority="31">
      <formula>LEN(TRIM(W87))=0</formula>
    </cfRule>
    <cfRule type="cellIs" dxfId="577" priority="32" operator="between">
      <formula>0</formula>
      <formula>1000</formula>
    </cfRule>
  </conditionalFormatting>
  <conditionalFormatting sqref="U33:V33 Y33:Z33 AC33:AD33 AG33">
    <cfRule type="cellIs" dxfId="576" priority="30" operator="between">
      <formula>0</formula>
      <formula>1000</formula>
    </cfRule>
  </conditionalFormatting>
  <conditionalFormatting sqref="Q27:S27">
    <cfRule type="containsBlanks" dxfId="575" priority="28">
      <formula>LEN(TRIM(Q27))=0</formula>
    </cfRule>
    <cfRule type="containsBlanks" dxfId="574" priority="29">
      <formula>LEN(TRIM(Q27))=0</formula>
    </cfRule>
  </conditionalFormatting>
  <conditionalFormatting sqref="W30:W31 W33:W35 W37 W28 W22:W26">
    <cfRule type="containsBlanks" dxfId="573" priority="27">
      <formula>LEN(TRIM(W22))=0</formula>
    </cfRule>
  </conditionalFormatting>
  <conditionalFormatting sqref="W37 W30:W31 W33:W35 W28 W22:W26">
    <cfRule type="containsBlanks" dxfId="572" priority="26">
      <formula>LEN(TRIM(W22))=0</formula>
    </cfRule>
  </conditionalFormatting>
  <conditionalFormatting sqref="W33:X33">
    <cfRule type="cellIs" dxfId="571" priority="25" operator="between">
      <formula>0</formula>
      <formula>1000</formula>
    </cfRule>
  </conditionalFormatting>
  <conditionalFormatting sqref="W30:X37 W26 W28 W22:X25">
    <cfRule type="containsBlanks" dxfId="570" priority="24">
      <formula>LEN(TRIM(W22))=0</formula>
    </cfRule>
  </conditionalFormatting>
  <conditionalFormatting sqref="AA37 AA30:AA31 AA33 AA22:AA26 AA28 AA35">
    <cfRule type="containsBlanks" dxfId="569" priority="23">
      <formula>LEN(TRIM(AA22))=0</formula>
    </cfRule>
  </conditionalFormatting>
  <conditionalFormatting sqref="AA37 AA30:AA31 AA33 AA22:AA26 AA28 AA35">
    <cfRule type="containsBlanks" dxfId="568" priority="22">
      <formula>LEN(TRIM(AA22))=0</formula>
    </cfRule>
  </conditionalFormatting>
  <conditionalFormatting sqref="AA33:AB33">
    <cfRule type="cellIs" dxfId="567" priority="21" operator="between">
      <formula>0</formula>
      <formula>1000</formula>
    </cfRule>
  </conditionalFormatting>
  <conditionalFormatting sqref="AA30:AB30 AA31 AA33:AB33 AA22:AB25 AA26 AA28 AA35:AB37">
    <cfRule type="containsBlanks" dxfId="566" priority="20">
      <formula>LEN(TRIM(AA22))=0</formula>
    </cfRule>
  </conditionalFormatting>
  <conditionalFormatting sqref="AE37 AE28 AE30:AE31 AE33:AE35 AE22:AE26">
    <cfRule type="containsBlanks" dxfId="565" priority="19">
      <formula>LEN(TRIM(AE22))=0</formula>
    </cfRule>
  </conditionalFormatting>
  <conditionalFormatting sqref="AE37 AE28 AE30:AE31 AE33:AE35 AE22:AE26">
    <cfRule type="containsBlanks" dxfId="564" priority="18">
      <formula>LEN(TRIM(AE22))=0</formula>
    </cfRule>
  </conditionalFormatting>
  <conditionalFormatting sqref="AE33:AF33">
    <cfRule type="cellIs" dxfId="563" priority="17" operator="between">
      <formula>0</formula>
      <formula>1000</formula>
    </cfRule>
  </conditionalFormatting>
  <conditionalFormatting sqref="AE33:AF37 AE26 AE28 AE30:AE31 AE22:AF25">
    <cfRule type="containsBlanks" dxfId="562" priority="16">
      <formula>LEN(TRIM(AE22))=0</formula>
    </cfRule>
  </conditionalFormatting>
  <conditionalFormatting sqref="K6:M6">
    <cfRule type="containsBlanks" dxfId="561" priority="15">
      <formula>LEN(TRIM(K6))=0</formula>
    </cfRule>
  </conditionalFormatting>
  <conditionalFormatting sqref="K7:K8">
    <cfRule type="containsBlanks" dxfId="560" priority="14">
      <formula>LEN(TRIM(K7))=0</formula>
    </cfRule>
  </conditionalFormatting>
  <conditionalFormatting sqref="D13:M13">
    <cfRule type="containsBlanks" dxfId="559" priority="13">
      <formula>LEN(TRIM(D13))=0</formula>
    </cfRule>
  </conditionalFormatting>
  <conditionalFormatting sqref="B6:B10">
    <cfRule type="containsBlanks" dxfId="558" priority="12">
      <formula>LEN(TRIM(B6))=0</formula>
    </cfRule>
  </conditionalFormatting>
  <conditionalFormatting sqref="B12:B13">
    <cfRule type="containsBlanks" dxfId="557" priority="11">
      <formula>LEN(TRIM(B12))=0</formula>
    </cfRule>
  </conditionalFormatting>
  <conditionalFormatting sqref="E28:H33">
    <cfRule type="containsBlanks" dxfId="556" priority="5">
      <formula>LEN(TRIM(E28))=0</formula>
    </cfRule>
  </conditionalFormatting>
  <conditionalFormatting sqref="Q20:S26">
    <cfRule type="containsBlanks" dxfId="555" priority="3">
      <formula>LEN(TRIM(Q20))=0</formula>
    </cfRule>
    <cfRule type="containsBlanks" dxfId="554" priority="4">
      <formula>LEN(TRIM(Q20))=0</formula>
    </cfRule>
  </conditionalFormatting>
  <conditionalFormatting sqref="Q34:S39">
    <cfRule type="containsBlanks" dxfId="553" priority="2">
      <formula>LEN(TRIM(Q34))=0</formula>
    </cfRule>
  </conditionalFormatting>
  <conditionalFormatting sqref="Q42:S43 Q45:S46 R44:S44">
    <cfRule type="containsBlanks" dxfId="552" priority="1">
      <formula>LEN(TRIM(Q42))=0</formula>
    </cfRule>
  </conditionalFormatting>
  <dataValidations count="5">
    <dataValidation type="list" allowBlank="1" showInputMessage="1" showErrorMessage="1" sqref="D12:E12" xr:uid="{00000000-0002-0000-2F00-000000000000}">
      <formula1>$B$87:$B$94</formula1>
    </dataValidation>
    <dataValidation type="list" allowBlank="1" showInputMessage="1" showErrorMessage="1" sqref="CP70" xr:uid="{00000000-0002-0000-2F00-000001000000}">
      <formula1>$BA$3:$BA$5</formula1>
    </dataValidation>
    <dataValidation type="list" allowBlank="1" showInputMessage="1" showErrorMessage="1" sqref="M19" xr:uid="{00000000-0002-0000-2F00-000002000000}">
      <formula1>$AX$3:$AX$5</formula1>
    </dataValidation>
    <dataValidation type="list" allowBlank="1" showInputMessage="1" showErrorMessage="1" sqref="M21" xr:uid="{00000000-0002-0000-2F00-000003000000}">
      <formula1>$AX$3:$AX$4</formula1>
    </dataValidation>
    <dataValidation type="list" allowBlank="1" showInputMessage="1" showErrorMessage="1" sqref="L25" xr:uid="{00000000-0002-0000-2F00-000004000000}">
      <formula1>$D$101:$D$104</formula1>
    </dataValidation>
  </dataValidations>
  <hyperlinks>
    <hyperlink ref="D8" r:id="rId1" xr:uid="{00000000-0004-0000-2F00-000000000000}"/>
  </hyperlinks>
  <printOptions horizontalCentered="1" verticalCentered="1"/>
  <pageMargins left="0.23622047244094491" right="0.23622047244094491" top="0.74803149606299213" bottom="0.74803149606299213" header="0.31496062992125984" footer="0.31496062992125984"/>
  <pageSetup scale="37"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82273"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82274"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82275"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8227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8227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82278"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82279"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8228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8228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8228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80">
    <tabColor theme="2" tint="-9.9978637043366805E-2"/>
  </sheetPr>
  <dimension ref="A1:CP153"/>
  <sheetViews>
    <sheetView view="pageBreakPreview" topLeftCell="K44" zoomScale="87" zoomScaleNormal="100" zoomScaleSheetLayoutView="87"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45951</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45951</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45959</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45959</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25-P-ROZO AP2-1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25-P-ROZO AP2-1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293</v>
      </c>
      <c r="G12" s="31" t="s">
        <v>4</v>
      </c>
      <c r="H12" s="146">
        <v>1</v>
      </c>
      <c r="I12" s="546" t="s">
        <v>5</v>
      </c>
      <c r="J12" s="546"/>
      <c r="K12" s="209">
        <v>0.2</v>
      </c>
      <c r="L12" s="32" t="s">
        <v>6</v>
      </c>
      <c r="M12" s="147">
        <v>1.5</v>
      </c>
      <c r="N12" s="78"/>
      <c r="O12" s="501" t="s">
        <v>3</v>
      </c>
      <c r="P12" s="501"/>
      <c r="Q12" s="225" t="s">
        <v>234</v>
      </c>
      <c r="R12" s="224" t="str">
        <f>F12</f>
        <v>P-ROZO AP2</v>
      </c>
      <c r="S12" s="224"/>
      <c r="T12" s="502" t="s">
        <v>4</v>
      </c>
      <c r="U12" s="502"/>
      <c r="V12" s="33">
        <f>+H12</f>
        <v>1</v>
      </c>
      <c r="W12" s="547" t="s">
        <v>5</v>
      </c>
      <c r="X12" s="547"/>
      <c r="Y12" s="547"/>
      <c r="Z12" s="547"/>
      <c r="AA12" s="547"/>
      <c r="AB12" s="547"/>
      <c r="AC12" s="34">
        <f>K12</f>
        <v>0.2</v>
      </c>
      <c r="AD12" s="548" t="s">
        <v>6</v>
      </c>
      <c r="AE12" s="548"/>
      <c r="AF12" s="35">
        <f>+M12</f>
        <v>1.5</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479" t="s">
        <v>295</v>
      </c>
      <c r="E13" s="479"/>
      <c r="F13" s="479"/>
      <c r="G13" s="479"/>
      <c r="H13" s="479"/>
      <c r="I13" s="479"/>
      <c r="J13" s="479"/>
      <c r="K13" s="479"/>
      <c r="L13" s="479"/>
      <c r="M13" s="480"/>
      <c r="N13" s="188"/>
      <c r="O13" s="526" t="s">
        <v>130</v>
      </c>
      <c r="P13" s="526"/>
      <c r="Q13" s="527" t="str">
        <f>D13</f>
        <v>GRAVAS CON ARENA Y ALGO DE LIMO, COLOR GRIS EN CONDICIÓN SECA.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541</v>
      </c>
      <c r="R20" s="148">
        <v>403</v>
      </c>
      <c r="S20" s="149">
        <v>284</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7778</v>
      </c>
      <c r="F22" s="150">
        <v>7968</v>
      </c>
      <c r="G22" s="150">
        <v>8084</v>
      </c>
      <c r="H22" s="151">
        <v>7906</v>
      </c>
      <c r="I22" s="174"/>
      <c r="J22" s="578"/>
      <c r="K22" s="578"/>
      <c r="L22" s="578"/>
      <c r="M22" s="104"/>
      <c r="N22" s="103"/>
      <c r="O22" s="579" t="s">
        <v>132</v>
      </c>
      <c r="P22" s="580"/>
      <c r="Q22" s="150">
        <v>8954</v>
      </c>
      <c r="R22" s="150">
        <v>8345</v>
      </c>
      <c r="S22" s="208">
        <v>7635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0.13300000000000001</v>
      </c>
      <c r="AJ22" s="42">
        <f>AJ50/1.52</f>
        <v>8.7500000000000008E-2</v>
      </c>
      <c r="AK22" s="42">
        <f>AJ22*0.68</f>
        <v>5.9500000000000011E-2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3858</v>
      </c>
      <c r="R23" s="150">
        <v>3804</v>
      </c>
      <c r="S23" s="151">
        <v>3754</v>
      </c>
      <c r="T23" s="174"/>
      <c r="U23" s="112">
        <v>2.5000000000000001E-2</v>
      </c>
      <c r="V23" s="113">
        <f>U23*25.4</f>
        <v>0.63500000000000001</v>
      </c>
      <c r="W23" s="581">
        <f>AI23</f>
        <v>0.94899999999999995</v>
      </c>
      <c r="X23" s="582"/>
      <c r="Y23" s="449">
        <f>((W23/19.32)*10)</f>
        <v>0.49120082815734989</v>
      </c>
      <c r="Z23" s="450"/>
      <c r="AA23" s="581">
        <f>AJ23</f>
        <v>0.62434210526315781</v>
      </c>
      <c r="AB23" s="582"/>
      <c r="AC23" s="449">
        <f>((AA23/19.32)*10)</f>
        <v>0.32315843957720386</v>
      </c>
      <c r="AD23" s="450"/>
      <c r="AE23" s="581">
        <f>AK23</f>
        <v>0.42455263157894735</v>
      </c>
      <c r="AF23" s="582"/>
      <c r="AG23" s="114">
        <f>((AE23/19.32)*10)</f>
        <v>0.2197477389124986</v>
      </c>
      <c r="AH23" s="104"/>
      <c r="AI23" s="42">
        <f t="shared" ref="AI23:AI33" si="2">AJ51</f>
        <v>0.94899999999999995</v>
      </c>
      <c r="AJ23" s="42">
        <f t="shared" ref="AJ23:AJ33" si="3">AJ51/1.52</f>
        <v>0.62434210526315781</v>
      </c>
      <c r="AK23" s="42">
        <f t="shared" ref="AK23:AK33" si="4">AJ23*0.68</f>
        <v>0.42455263157894735</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v>
      </c>
      <c r="R24" s="150">
        <v>12.15</v>
      </c>
      <c r="S24" s="151">
        <v>11.55</v>
      </c>
      <c r="T24" s="174"/>
      <c r="U24" s="112">
        <v>0.05</v>
      </c>
      <c r="V24" s="113">
        <f>U24*25.4</f>
        <v>1.27</v>
      </c>
      <c r="W24" s="581">
        <f>AI24</f>
        <v>4.4459999999999997</v>
      </c>
      <c r="X24" s="582"/>
      <c r="Y24" s="449">
        <f>((W24/19.32)*10)</f>
        <v>2.3012422360248448</v>
      </c>
      <c r="Z24" s="450"/>
      <c r="AA24" s="581">
        <f>AJ24</f>
        <v>2.9249999999999998</v>
      </c>
      <c r="AB24" s="582"/>
      <c r="AC24" s="449">
        <f>((AA24/19.32)*10)</f>
        <v>1.5139751552795031</v>
      </c>
      <c r="AD24" s="450"/>
      <c r="AE24" s="581">
        <f>AK24</f>
        <v>1.9890000000000001</v>
      </c>
      <c r="AF24" s="582"/>
      <c r="AG24" s="114">
        <f>((AE24/19.32)*10)</f>
        <v>1.0295031055900621</v>
      </c>
      <c r="AH24" s="104"/>
      <c r="AI24" s="42">
        <f t="shared" si="2"/>
        <v>4.4459999999999997</v>
      </c>
      <c r="AJ24" s="42">
        <f t="shared" si="3"/>
        <v>2.9249999999999998</v>
      </c>
      <c r="AK24" s="42">
        <f t="shared" si="4"/>
        <v>1.9890000000000001</v>
      </c>
      <c r="AO24" s="42">
        <v>0.68400000000000005</v>
      </c>
      <c r="AS24" s="42">
        <f t="shared" si="5"/>
        <v>0.55609756097560981</v>
      </c>
    </row>
    <row r="25" spans="1:45" ht="24.95" customHeight="1" thickBot="1" x14ac:dyDescent="0.3">
      <c r="A25" s="103"/>
      <c r="B25" s="602" t="s">
        <v>69</v>
      </c>
      <c r="C25" s="603"/>
      <c r="D25" s="603"/>
      <c r="E25" s="115">
        <f>E22-E23</f>
        <v>4894</v>
      </c>
      <c r="F25" s="115">
        <f>F22-F23</f>
        <v>5084</v>
      </c>
      <c r="G25" s="115">
        <f>G22-G23</f>
        <v>5200</v>
      </c>
      <c r="H25" s="116">
        <f>H22-H23</f>
        <v>5022</v>
      </c>
      <c r="I25" s="174"/>
      <c r="J25" s="174" t="s">
        <v>127</v>
      </c>
      <c r="K25" s="174"/>
      <c r="L25" s="218" t="s">
        <v>128</v>
      </c>
      <c r="M25" s="155">
        <v>25.82</v>
      </c>
      <c r="N25" s="103"/>
      <c r="O25" s="604" t="s">
        <v>46</v>
      </c>
      <c r="P25" s="605"/>
      <c r="Q25" s="608">
        <v>15.26</v>
      </c>
      <c r="R25" s="608">
        <v>15.26</v>
      </c>
      <c r="S25" s="610">
        <v>15.25</v>
      </c>
      <c r="T25" s="174"/>
      <c r="U25" s="112">
        <v>7.4999999999999997E-2</v>
      </c>
      <c r="V25" s="113">
        <f>U25*25.4</f>
        <v>1.9049999999999998</v>
      </c>
      <c r="W25" s="581">
        <f>AI25</f>
        <v>7.94</v>
      </c>
      <c r="X25" s="582"/>
      <c r="Y25" s="449">
        <f>((W25/19.32)*10)</f>
        <v>4.1097308488612843</v>
      </c>
      <c r="Z25" s="450"/>
      <c r="AA25" s="581">
        <f>AJ25</f>
        <v>5.2236842105263159</v>
      </c>
      <c r="AB25" s="582"/>
      <c r="AC25" s="449">
        <f>((AA25/19.32)*10)</f>
        <v>2.7037702953034759</v>
      </c>
      <c r="AD25" s="450"/>
      <c r="AE25" s="581">
        <f>AK25</f>
        <v>3.5521052631578951</v>
      </c>
      <c r="AF25" s="582"/>
      <c r="AG25" s="114">
        <f>((AE25/19.32)*10)</f>
        <v>1.8385638008063641</v>
      </c>
      <c r="AH25" s="104"/>
      <c r="AI25" s="42">
        <f t="shared" si="2"/>
        <v>7.94</v>
      </c>
      <c r="AJ25" s="42">
        <f t="shared" si="3"/>
        <v>5.2236842105263159</v>
      </c>
      <c r="AK25" s="42">
        <f t="shared" si="4"/>
        <v>3.5521052631578951</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23.58</v>
      </c>
      <c r="N26" s="103"/>
      <c r="O26" s="606"/>
      <c r="P26" s="607"/>
      <c r="Q26" s="609"/>
      <c r="R26" s="609"/>
      <c r="S26" s="611"/>
      <c r="T26" s="174"/>
      <c r="U26" s="600">
        <v>0.1</v>
      </c>
      <c r="V26" s="601">
        <f>U26*25.4</f>
        <v>2.54</v>
      </c>
      <c r="W26" s="778">
        <f>AI26</f>
        <v>10.547000000000001</v>
      </c>
      <c r="X26" s="779"/>
      <c r="Y26" s="461">
        <f>((W26/19.32)*10)</f>
        <v>5.4591097308488612</v>
      </c>
      <c r="Z26" s="462"/>
      <c r="AA26" s="746">
        <f>AJ26</f>
        <v>6.9388157894736846</v>
      </c>
      <c r="AB26" s="747"/>
      <c r="AC26" s="461">
        <f>((AA26/19.32)*10)</f>
        <v>3.591519559768988</v>
      </c>
      <c r="AD26" s="462"/>
      <c r="AE26" s="746">
        <f>AK26</f>
        <v>4.7183947368421055</v>
      </c>
      <c r="AF26" s="747"/>
      <c r="AG26" s="469">
        <f>((AE26/19.32)*10)</f>
        <v>2.4422333006429118</v>
      </c>
      <c r="AH26" s="104"/>
      <c r="AI26" s="42">
        <f t="shared" si="2"/>
        <v>10.547000000000001</v>
      </c>
      <c r="AJ26" s="42">
        <f t="shared" si="3"/>
        <v>6.9388157894736846</v>
      </c>
      <c r="AK26" s="42">
        <f t="shared" si="4"/>
        <v>4.7183947368421055</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2121.5679101153505</v>
      </c>
      <c r="R27" s="152">
        <f>(PI()*((R25^2)/4)*R24)</f>
        <v>2222.1594920604753</v>
      </c>
      <c r="S27" s="153">
        <f>(PI()*((S25^2)/4)*S24)</f>
        <v>2109.6555523326251</v>
      </c>
      <c r="T27" s="174"/>
      <c r="U27" s="600"/>
      <c r="V27" s="601"/>
      <c r="W27" s="780"/>
      <c r="X27" s="781"/>
      <c r="Y27" s="463"/>
      <c r="Z27" s="464"/>
      <c r="AA27" s="748"/>
      <c r="AB27" s="749"/>
      <c r="AC27" s="463"/>
      <c r="AD27" s="464"/>
      <c r="AE27" s="748"/>
      <c r="AF27" s="749"/>
      <c r="AG27" s="470"/>
      <c r="AH27" s="193"/>
      <c r="AI27" s="42">
        <f t="shared" si="2"/>
        <v>13.459</v>
      </c>
      <c r="AJ27" s="42">
        <f t="shared" si="3"/>
        <v>8.8546052631578949</v>
      </c>
      <c r="AK27" s="42">
        <f t="shared" si="4"/>
        <v>6.0211315789473687</v>
      </c>
      <c r="AO27" s="42">
        <v>2.387</v>
      </c>
      <c r="AS27" s="42">
        <f t="shared" si="5"/>
        <v>1.9406504065040651</v>
      </c>
    </row>
    <row r="28" spans="1:45" ht="24.95" customHeight="1" thickBot="1" x14ac:dyDescent="0.3">
      <c r="A28" s="103"/>
      <c r="B28" s="560" t="s">
        <v>9</v>
      </c>
      <c r="C28" s="561"/>
      <c r="D28" s="561"/>
      <c r="E28" s="148">
        <v>688</v>
      </c>
      <c r="F28" s="148">
        <v>671</v>
      </c>
      <c r="G28" s="148">
        <v>822</v>
      </c>
      <c r="H28" s="149">
        <v>754</v>
      </c>
      <c r="I28" s="174"/>
      <c r="J28" s="597" t="s">
        <v>107</v>
      </c>
      <c r="K28" s="597"/>
      <c r="L28" s="562" t="s">
        <v>119</v>
      </c>
      <c r="M28" s="459">
        <f>IF(M26="","",(100-M26))</f>
        <v>76.42</v>
      </c>
      <c r="N28" s="103"/>
      <c r="O28" s="625" t="s">
        <v>136</v>
      </c>
      <c r="P28" s="626"/>
      <c r="Q28" s="220">
        <f>Q22-Q23</f>
        <v>5096</v>
      </c>
      <c r="R28" s="220">
        <f>R22-R23</f>
        <v>4541</v>
      </c>
      <c r="S28" s="220">
        <f>S22-S23</f>
        <v>3881</v>
      </c>
      <c r="T28" s="174"/>
      <c r="U28" s="627">
        <v>0.125</v>
      </c>
      <c r="V28" s="624">
        <f>U28*25.4</f>
        <v>3.1749999999999998</v>
      </c>
      <c r="W28" s="593">
        <f>AI27</f>
        <v>13.459</v>
      </c>
      <c r="X28" s="594"/>
      <c r="Y28" s="439">
        <f>((W28/19.32)*10)</f>
        <v>6.966356107660455</v>
      </c>
      <c r="Z28" s="440"/>
      <c r="AA28" s="593">
        <f>AJ27</f>
        <v>8.8546052631578949</v>
      </c>
      <c r="AB28" s="594"/>
      <c r="AC28" s="439">
        <f>((AA28/19.32)*10)</f>
        <v>4.5831290181976678</v>
      </c>
      <c r="AD28" s="440"/>
      <c r="AE28" s="593">
        <f>AK27</f>
        <v>6.0211315789473687</v>
      </c>
      <c r="AF28" s="594"/>
      <c r="AG28" s="443">
        <f>((AE28/19.32)*10)</f>
        <v>3.1165277323744145</v>
      </c>
      <c r="AH28" s="104"/>
      <c r="AI28" s="42">
        <f t="shared" si="2"/>
        <v>17.001000000000001</v>
      </c>
      <c r="AJ28" s="42">
        <f t="shared" si="3"/>
        <v>11.184868421052633</v>
      </c>
      <c r="AK28" s="42">
        <f t="shared" si="4"/>
        <v>7.6057105263157903</v>
      </c>
      <c r="AO28" s="42">
        <v>2.8959999999999999</v>
      </c>
      <c r="AS28" s="42">
        <f t="shared" si="5"/>
        <v>2.3544715447154472</v>
      </c>
    </row>
    <row r="29" spans="1:45" ht="5.0999999999999996" customHeight="1" thickBot="1" x14ac:dyDescent="0.3">
      <c r="A29" s="103"/>
      <c r="B29" s="612" t="s">
        <v>73</v>
      </c>
      <c r="C29" s="613"/>
      <c r="D29" s="614"/>
      <c r="E29" s="618">
        <v>820.4</v>
      </c>
      <c r="F29" s="618">
        <v>860.2</v>
      </c>
      <c r="G29" s="618">
        <v>780.4</v>
      </c>
      <c r="H29" s="620">
        <v>706.2</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20.577999999999999</v>
      </c>
      <c r="AJ29" s="42">
        <f t="shared" si="3"/>
        <v>13.538157894736841</v>
      </c>
      <c r="AK29" s="42">
        <f t="shared" si="4"/>
        <v>9.205947368421052</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22.445356112068971</v>
      </c>
      <c r="N30" s="103"/>
      <c r="O30" s="622" t="s">
        <v>134</v>
      </c>
      <c r="P30" s="623"/>
      <c r="Q30" s="229">
        <f>Q28/Q27</f>
        <v>2.4019971152952291</v>
      </c>
      <c r="R30" s="229">
        <f>R28/R27</f>
        <v>2.0435076853054337</v>
      </c>
      <c r="S30" s="131">
        <f>S28/S27</f>
        <v>1.8396368050266865</v>
      </c>
      <c r="T30" s="174"/>
      <c r="U30" s="120">
        <v>0.15</v>
      </c>
      <c r="V30" s="113">
        <f>U30*25.4</f>
        <v>3.8099999999999996</v>
      </c>
      <c r="W30" s="581">
        <f>AI28</f>
        <v>17.001000000000001</v>
      </c>
      <c r="X30" s="582"/>
      <c r="Y30" s="449">
        <f>((W30/19.32)*10)</f>
        <v>8.7996894409937898</v>
      </c>
      <c r="Z30" s="450"/>
      <c r="AA30" s="581">
        <f>AJ28</f>
        <v>11.184868421052633</v>
      </c>
      <c r="AB30" s="582"/>
      <c r="AC30" s="449">
        <f>((AA30/19.32)*10)</f>
        <v>5.7892693690748622</v>
      </c>
      <c r="AD30" s="450"/>
      <c r="AE30" s="581">
        <f>AK28</f>
        <v>7.6057105263157903</v>
      </c>
      <c r="AF30" s="582"/>
      <c r="AG30" s="114">
        <f>((AE30/19.32)*10)</f>
        <v>3.9367031709709059</v>
      </c>
      <c r="AH30" s="104"/>
      <c r="AI30" s="42">
        <f t="shared" si="2"/>
        <v>23.263000000000002</v>
      </c>
      <c r="AJ30" s="42">
        <f t="shared" si="3"/>
        <v>15.304605263157896</v>
      </c>
      <c r="AK30" s="42">
        <f t="shared" si="4"/>
        <v>10.40713157894737</v>
      </c>
      <c r="AO30" s="42">
        <v>3.8439999999999999</v>
      </c>
      <c r="AS30" s="42">
        <f t="shared" si="5"/>
        <v>3.1252032520325201</v>
      </c>
    </row>
    <row r="31" spans="1:45" ht="24.95" customHeight="1" thickBot="1" x14ac:dyDescent="0.3">
      <c r="A31" s="103"/>
      <c r="B31" s="576" t="s">
        <v>74</v>
      </c>
      <c r="C31" s="577"/>
      <c r="D31" s="577"/>
      <c r="E31" s="152">
        <v>800.93</v>
      </c>
      <c r="F31" s="152">
        <v>827.16</v>
      </c>
      <c r="G31" s="152">
        <v>735.47</v>
      </c>
      <c r="H31" s="153">
        <v>655.08000000000004</v>
      </c>
      <c r="I31" s="174"/>
      <c r="J31" s="597" t="s">
        <v>138</v>
      </c>
      <c r="K31" s="597"/>
      <c r="L31" s="562" t="s">
        <v>116</v>
      </c>
      <c r="M31" s="457">
        <f>IF(M25="","",S82)</f>
        <v>2.7120000000000002</v>
      </c>
      <c r="N31" s="121"/>
      <c r="O31" s="628" t="s">
        <v>135</v>
      </c>
      <c r="P31" s="629"/>
      <c r="Q31" s="122">
        <f>Q30/(1+Q40/100)</f>
        <v>2.2819896203526397</v>
      </c>
      <c r="R31" s="122">
        <f>R30/(1+R40/100)</f>
        <v>1.9384582233780991</v>
      </c>
      <c r="S31" s="123">
        <f>S30/(1+S40/100)</f>
        <v>1.7443952000914844</v>
      </c>
      <c r="T31" s="174"/>
      <c r="U31" s="627">
        <v>0.17499999999999999</v>
      </c>
      <c r="V31" s="624">
        <f>U31*25.4</f>
        <v>4.4449999999999994</v>
      </c>
      <c r="W31" s="593">
        <f>AI29</f>
        <v>20.577999999999999</v>
      </c>
      <c r="X31" s="594"/>
      <c r="Y31" s="439">
        <f>((W31/19.32)*10)</f>
        <v>10.651138716356108</v>
      </c>
      <c r="Z31" s="440"/>
      <c r="AA31" s="593">
        <f>AJ29</f>
        <v>13.538157894736841</v>
      </c>
      <c r="AB31" s="594"/>
      <c r="AC31" s="439">
        <f>((AA31/19.32)*10)</f>
        <v>7.0073281028658592</v>
      </c>
      <c r="AD31" s="440"/>
      <c r="AE31" s="593">
        <f>AK29</f>
        <v>9.205947368421052</v>
      </c>
      <c r="AF31" s="594"/>
      <c r="AG31" s="443">
        <f>((AE31/19.32)*10)</f>
        <v>4.7649831099487843</v>
      </c>
      <c r="AH31" s="104"/>
      <c r="AI31" s="42">
        <f t="shared" si="2"/>
        <v>31.195</v>
      </c>
      <c r="AJ31" s="42">
        <f t="shared" si="3"/>
        <v>20.523026315789473</v>
      </c>
      <c r="AK31" s="42">
        <f t="shared" si="4"/>
        <v>13.955657894736841</v>
      </c>
      <c r="AO31" s="42">
        <v>5.516</v>
      </c>
      <c r="AS31" s="42">
        <f t="shared" si="5"/>
        <v>4.4845528455284551</v>
      </c>
    </row>
    <row r="32" spans="1:45" ht="5.0999999999999996" customHeight="1" thickBot="1" x14ac:dyDescent="0.3">
      <c r="A32" s="103"/>
      <c r="B32" s="612" t="s">
        <v>75</v>
      </c>
      <c r="C32" s="613"/>
      <c r="D32" s="614"/>
      <c r="E32" s="618">
        <v>40.4</v>
      </c>
      <c r="F32" s="618">
        <v>41.2</v>
      </c>
      <c r="G32" s="618">
        <v>41.9</v>
      </c>
      <c r="H32" s="620">
        <v>44.5</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38.353000000000002</v>
      </c>
      <c r="AJ32" s="42">
        <f t="shared" si="3"/>
        <v>25.232236842105262</v>
      </c>
      <c r="AK32" s="42">
        <f t="shared" si="4"/>
        <v>17.157921052631579</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23.263000000000002</v>
      </c>
      <c r="X33" s="582"/>
      <c r="Y33" s="449">
        <f>((W33/19.32)*10)</f>
        <v>12.040890269151138</v>
      </c>
      <c r="Z33" s="450"/>
      <c r="AA33" s="581">
        <f>AJ30</f>
        <v>15.304605263157896</v>
      </c>
      <c r="AB33" s="582"/>
      <c r="AC33" s="449">
        <f>((AA33/19.32)*10)</f>
        <v>7.9216383349678559</v>
      </c>
      <c r="AD33" s="450"/>
      <c r="AE33" s="581">
        <f>AK30</f>
        <v>10.40713157894737</v>
      </c>
      <c r="AF33" s="582"/>
      <c r="AG33" s="144">
        <f>((AE33/19.32)*10)</f>
        <v>5.3867140677781409</v>
      </c>
      <c r="AH33" s="104"/>
      <c r="AI33" s="42">
        <f t="shared" si="2"/>
        <v>44.945999999999998</v>
      </c>
      <c r="AJ33" s="42">
        <f t="shared" si="3"/>
        <v>29.569736842105261</v>
      </c>
      <c r="AK33" s="42">
        <f t="shared" si="4"/>
        <v>20.10742105263158</v>
      </c>
      <c r="AO33" s="42">
        <v>7.7720000000000002</v>
      </c>
      <c r="AS33" s="42">
        <f t="shared" si="5"/>
        <v>6.3186991869918705</v>
      </c>
    </row>
    <row r="34" spans="1:45" ht="24.95" customHeight="1" thickBot="1" x14ac:dyDescent="0.3">
      <c r="A34" s="103"/>
      <c r="B34" s="602" t="s">
        <v>10</v>
      </c>
      <c r="C34" s="603"/>
      <c r="D34" s="603"/>
      <c r="E34" s="125">
        <f>((E29-E31)/(E31-E32))*100</f>
        <v>2.5600568024930022</v>
      </c>
      <c r="F34" s="125">
        <f>((F29-F31)/(F31-F32))*100</f>
        <v>4.2037762736017203</v>
      </c>
      <c r="G34" s="125">
        <f>((G29-G31)/(G31-G32))*100</f>
        <v>6.4780771948036886</v>
      </c>
      <c r="H34" s="126">
        <f>((H29-H31)/(H31-H32))*100</f>
        <v>8.3723672573618533</v>
      </c>
      <c r="I34" s="174"/>
      <c r="J34" s="630" t="s">
        <v>125</v>
      </c>
      <c r="K34" s="630"/>
      <c r="L34" s="184" t="s">
        <v>126</v>
      </c>
      <c r="M34" s="245">
        <v>2.74</v>
      </c>
      <c r="N34" s="128"/>
      <c r="O34" s="631" t="s">
        <v>9</v>
      </c>
      <c r="P34" s="632"/>
      <c r="Q34" s="156">
        <v>325</v>
      </c>
      <c r="R34" s="156">
        <v>777</v>
      </c>
      <c r="S34" s="157">
        <v>784</v>
      </c>
      <c r="T34" s="174"/>
      <c r="U34" s="120">
        <v>0.3</v>
      </c>
      <c r="V34" s="113">
        <f>U34*25.4</f>
        <v>7.6199999999999992</v>
      </c>
      <c r="W34" s="581">
        <f>AI31</f>
        <v>31.195</v>
      </c>
      <c r="X34" s="582"/>
      <c r="Y34" s="449">
        <f>((W34/19.32)*10)</f>
        <v>16.146480331262939</v>
      </c>
      <c r="Z34" s="450"/>
      <c r="AA34" s="449">
        <f>AJ31</f>
        <v>20.523026315789473</v>
      </c>
      <c r="AB34" s="450"/>
      <c r="AC34" s="449">
        <f>((AA34/19.32)*10)</f>
        <v>10.62268442846246</v>
      </c>
      <c r="AD34" s="450"/>
      <c r="AE34" s="581">
        <f>AK31</f>
        <v>13.955657894736841</v>
      </c>
      <c r="AF34" s="582"/>
      <c r="AG34" s="114">
        <f>((AE34/19.32)*10)</f>
        <v>7.2234254113544729</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883.35</v>
      </c>
      <c r="R35" s="608">
        <v>978.25</v>
      </c>
      <c r="S35" s="610">
        <v>789.78</v>
      </c>
      <c r="T35" s="174"/>
      <c r="U35" s="627">
        <v>0.4</v>
      </c>
      <c r="V35" s="624">
        <f>U35*25.4</f>
        <v>10.16</v>
      </c>
      <c r="W35" s="593">
        <f>AI32</f>
        <v>38.353000000000002</v>
      </c>
      <c r="X35" s="594"/>
      <c r="Y35" s="439">
        <f>((W35/19.32)*10)</f>
        <v>19.85144927536232</v>
      </c>
      <c r="Z35" s="440"/>
      <c r="AA35" s="593">
        <f>AJ32</f>
        <v>25.232236842105262</v>
      </c>
      <c r="AB35" s="594"/>
      <c r="AC35" s="439">
        <f>(AA35/19.32)*10</f>
        <v>13.060163996948893</v>
      </c>
      <c r="AD35" s="440"/>
      <c r="AE35" s="593">
        <f>AK32</f>
        <v>17.157921052631579</v>
      </c>
      <c r="AF35" s="594"/>
      <c r="AG35" s="443">
        <f>((AE35/19.32)*10)</f>
        <v>8.8809115179252469</v>
      </c>
      <c r="AH35" s="104"/>
      <c r="AS35" s="42">
        <f t="shared" si="5"/>
        <v>0</v>
      </c>
    </row>
    <row r="36" spans="1:45" ht="20.100000000000001" customHeight="1" thickBot="1" x14ac:dyDescent="0.3">
      <c r="A36" s="103"/>
      <c r="B36" s="639" t="s">
        <v>71</v>
      </c>
      <c r="C36" s="640"/>
      <c r="D36" s="640"/>
      <c r="E36" s="130">
        <f>E25/E24</f>
        <v>2.2783985102420856</v>
      </c>
      <c r="F36" s="130">
        <f>F25/F24</f>
        <v>2.366852886405959</v>
      </c>
      <c r="G36" s="130">
        <f>G25/G24</f>
        <v>2.4208566108007448</v>
      </c>
      <c r="H36" s="131">
        <f>H25/H24</f>
        <v>2.3379888268156424</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2.2215261781979656</v>
      </c>
      <c r="F37" s="230">
        <f>F36/(1+F34/100)</f>
        <v>2.2713695904757358</v>
      </c>
      <c r="G37" s="230">
        <f>G36/(1+G34/100)</f>
        <v>2.2735728091443095</v>
      </c>
      <c r="H37" s="123">
        <f>H36/(1+H34/100)</f>
        <v>2.1573662050432141</v>
      </c>
      <c r="I37" s="174"/>
      <c r="J37" s="641" t="s">
        <v>139</v>
      </c>
      <c r="K37" s="641"/>
      <c r="L37" s="643" t="s">
        <v>121</v>
      </c>
      <c r="M37" s="433">
        <f>IF(F74="","",(M42^2*F74+M42*F75+F76))</f>
        <v>2.2880077586206897</v>
      </c>
      <c r="N37" s="101"/>
      <c r="O37" s="576" t="s">
        <v>28</v>
      </c>
      <c r="P37" s="577"/>
      <c r="Q37" s="150">
        <v>844.37</v>
      </c>
      <c r="R37" s="150">
        <v>930.46</v>
      </c>
      <c r="S37" s="151">
        <v>751.33</v>
      </c>
      <c r="T37" s="174"/>
      <c r="U37" s="132">
        <v>0.5</v>
      </c>
      <c r="V37" s="133">
        <f>U37*25.4</f>
        <v>12.7</v>
      </c>
      <c r="W37" s="637">
        <f>AI33</f>
        <v>44.945999999999998</v>
      </c>
      <c r="X37" s="638"/>
      <c r="Y37" s="431">
        <f>((W37/19.32)*10)</f>
        <v>23.263975155279503</v>
      </c>
      <c r="Z37" s="432"/>
      <c r="AA37" s="637">
        <f>AJ33</f>
        <v>29.569736842105261</v>
      </c>
      <c r="AB37" s="638"/>
      <c r="AC37" s="431">
        <f>((AA37/19.32)*10)</f>
        <v>15.305246812683881</v>
      </c>
      <c r="AD37" s="432"/>
      <c r="AE37" s="637">
        <f>AK33</f>
        <v>20.10742105263158</v>
      </c>
      <c r="AF37" s="638"/>
      <c r="AG37" s="134">
        <f>((AE37/19.32)*10)</f>
        <v>10.407567832625041</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103.15</v>
      </c>
      <c r="R38" s="647">
        <v>48.6</v>
      </c>
      <c r="S38" s="648">
        <v>47.1</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2.3849427569887194</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22.445356112068971</v>
      </c>
      <c r="N40" s="103"/>
      <c r="O40" s="628" t="s">
        <v>10</v>
      </c>
      <c r="P40" s="629"/>
      <c r="Q40" s="125">
        <f>((Q35-Q37)/(Q37-Q38))*100</f>
        <v>5.2588974933218227</v>
      </c>
      <c r="R40" s="125">
        <f>((R35-R37)/(R37-R38))*100</f>
        <v>5.4192275417866735</v>
      </c>
      <c r="S40" s="126">
        <f>((S35-S37)/(S37-S38))*100</f>
        <v>5.4598639648978216</v>
      </c>
      <c r="T40" s="174"/>
      <c r="U40" s="645" t="s">
        <v>151</v>
      </c>
      <c r="V40" s="646"/>
      <c r="W40" s="423">
        <f>(AM79/6.9)*100</f>
        <v>79.117532331142911</v>
      </c>
      <c r="X40" s="423"/>
      <c r="Y40" s="423"/>
      <c r="Z40" s="424"/>
      <c r="AA40" s="425">
        <f>(AO79/6.9)*100</f>
        <v>52.051008112594019</v>
      </c>
      <c r="AB40" s="426"/>
      <c r="AC40" s="427"/>
      <c r="AD40" s="425">
        <f>(AQ79/6.9)*100</f>
        <v>35.394685516563939</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23.396288446059341</v>
      </c>
      <c r="N41" s="138"/>
      <c r="O41" s="565" t="s">
        <v>36</v>
      </c>
      <c r="P41" s="566"/>
      <c r="Q41" s="566"/>
      <c r="R41" s="566"/>
      <c r="S41" s="567"/>
      <c r="T41" s="174"/>
      <c r="U41" s="653" t="s">
        <v>152</v>
      </c>
      <c r="V41" s="654"/>
      <c r="W41" s="418">
        <f>(AM83/10.3)*100</f>
        <v>116.90184727331201</v>
      </c>
      <c r="X41" s="418"/>
      <c r="Y41" s="418"/>
      <c r="Z41" s="419"/>
      <c r="AA41" s="420">
        <f>(AO83/10.3)*100</f>
        <v>76.909110048231611</v>
      </c>
      <c r="AB41" s="421"/>
      <c r="AC41" s="418"/>
      <c r="AD41" s="420">
        <f>(AQ83/10.3)*100</f>
        <v>52.298194832797485</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5.0258620689655178</v>
      </c>
      <c r="N42" s="103"/>
      <c r="O42" s="639" t="s">
        <v>9</v>
      </c>
      <c r="P42" s="640"/>
      <c r="Q42" s="148">
        <v>340</v>
      </c>
      <c r="R42" s="148">
        <v>750</v>
      </c>
      <c r="S42" s="149">
        <v>698</v>
      </c>
      <c r="T42" s="174"/>
      <c r="U42" s="651" t="s">
        <v>42</v>
      </c>
      <c r="V42" s="652"/>
      <c r="W42" s="413">
        <f>IF(W40&lt;W41,W40,W41)</f>
        <v>79.117532331142911</v>
      </c>
      <c r="X42" s="414"/>
      <c r="Y42" s="414"/>
      <c r="Z42" s="415"/>
      <c r="AA42" s="416">
        <f>IF(AA40&lt;AA41,AA40,AA41)</f>
        <v>52.051008112594019</v>
      </c>
      <c r="AB42" s="414"/>
      <c r="AC42" s="415"/>
      <c r="AD42" s="416">
        <f>IF(AD40&lt;AD41,AD40,AD41)</f>
        <v>35.394685516563939</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4.1193965517241384</v>
      </c>
      <c r="N43" s="103"/>
      <c r="O43" s="612" t="s">
        <v>49</v>
      </c>
      <c r="P43" s="614"/>
      <c r="Q43" s="608">
        <v>1099.8</v>
      </c>
      <c r="R43" s="608">
        <v>946.14</v>
      </c>
      <c r="S43" s="610">
        <v>1005.365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1028.8900000000001</v>
      </c>
      <c r="R45" s="150">
        <v>869.24</v>
      </c>
      <c r="S45" s="151">
        <v>938.46</v>
      </c>
      <c r="T45" s="174"/>
      <c r="U45" s="656" t="s">
        <v>139</v>
      </c>
      <c r="V45" s="656"/>
      <c r="W45" s="179" t="s">
        <v>121</v>
      </c>
      <c r="X45" s="406">
        <f>MAX(M37:M39)</f>
        <v>2.3849427569887194</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119.31</v>
      </c>
      <c r="R46" s="150">
        <v>48.6</v>
      </c>
      <c r="S46" s="151">
        <v>47.1</v>
      </c>
      <c r="T46" s="174"/>
      <c r="U46" s="555" t="s">
        <v>123</v>
      </c>
      <c r="V46" s="555"/>
      <c r="W46" s="179" t="s">
        <v>41</v>
      </c>
      <c r="X46" s="401">
        <f>MIN(M42:M44)</f>
        <v>4.1193965517241384</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7.795905802678142</v>
      </c>
      <c r="R47" s="125">
        <f>((R43-R45)/(R45-R46))*100</f>
        <v>9.3707350360694068</v>
      </c>
      <c r="S47" s="126">
        <f>((S43-S45)/(S45-S46))*100</f>
        <v>7.5059459702028333</v>
      </c>
      <c r="T47" s="174"/>
      <c r="U47" s="555" t="s">
        <v>162</v>
      </c>
      <c r="V47" s="555"/>
      <c r="W47" s="179" t="s">
        <v>41</v>
      </c>
      <c r="X47" s="402">
        <f>IF(L25=D103,"-",IF(L25=D102,"-",IF(L25=D101,M25)))</f>
        <v>25.82</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0.17517241379310303</v>
      </c>
      <c r="AG48" s="142">
        <f>IF(AG47&lt;&gt;"",IF(R24&lt;&gt;"",AG47/R24*100,""),"")</f>
        <v>0.47037037037037049</v>
      </c>
      <c r="AH48" s="173">
        <f>IF(AH47&lt;&gt;"",IF(S24&lt;&gt;"",AH47/S24*100,""),"")</f>
        <v>0.84666666666666679</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0.13300000000000001</v>
      </c>
      <c r="AK50" s="42">
        <v>0.11700000000000001</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0.94899999999999995</v>
      </c>
      <c r="AK51" s="42">
        <v>0.622</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4.4459999999999997</v>
      </c>
      <c r="AK52" s="42">
        <v>1.204</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7.94</v>
      </c>
      <c r="AK53" s="42">
        <v>1.552</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10.547000000000001</v>
      </c>
      <c r="AK54" s="42">
        <v>1.8149999999999999</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13.459</v>
      </c>
      <c r="AK55" s="42">
        <v>2.044</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17.001000000000001</v>
      </c>
      <c r="AK56" s="42">
        <v>2.258</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20.577999999999999</v>
      </c>
      <c r="AK57" s="42">
        <v>2.4409999999999998</v>
      </c>
      <c r="AM57" s="42">
        <v>20.577999999999999</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23.263000000000002</v>
      </c>
      <c r="AK58" s="42">
        <v>2.5939999999999999</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31.195</v>
      </c>
      <c r="AK59" s="42">
        <v>3.169</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38.353000000000002</v>
      </c>
      <c r="AK60" s="42">
        <v>3.73</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44.945999999999998</v>
      </c>
      <c r="AK61" s="42">
        <v>4.2839999999999998</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-1.1599999999999999E-2</v>
      </c>
      <c r="G74" s="75">
        <v>-0.12509999999999999</v>
      </c>
      <c r="J74" s="701"/>
      <c r="K74" s="702"/>
      <c r="L74" s="44"/>
      <c r="M74" s="44"/>
      <c r="N74" s="44"/>
    </row>
    <row r="75" spans="1:94" ht="26.25" customHeight="1" thickBot="1" x14ac:dyDescent="0.3">
      <c r="A75" s="11"/>
      <c r="B75" s="377" t="s">
        <v>113</v>
      </c>
      <c r="C75" s="377"/>
      <c r="D75" s="19"/>
      <c r="E75" s="54" t="s">
        <v>12</v>
      </c>
      <c r="F75" s="55">
        <v>0.1166</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1.9950000000000001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0.94899999999999995</v>
      </c>
      <c r="AM76" s="3">
        <f t="shared" si="6"/>
        <v>0.49120082815734989</v>
      </c>
      <c r="AN76" s="5">
        <f>AA23</f>
        <v>0.62434210526315781</v>
      </c>
      <c r="AO76" s="3">
        <f t="shared" ref="AO76:AO86" si="9">((AN76/19.32)*10)</f>
        <v>0.32315843957720386</v>
      </c>
      <c r="AP76" s="5">
        <f>AE23</f>
        <v>0.42455263157894735</v>
      </c>
      <c r="AQ76" s="161">
        <f t="shared" si="7"/>
        <v>0.2197477389124986</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4.4459999999999997</v>
      </c>
      <c r="AM77" s="3">
        <f t="shared" si="6"/>
        <v>2.3012422360248448</v>
      </c>
      <c r="AN77" s="5">
        <f>AA24</f>
        <v>2.9249999999999998</v>
      </c>
      <c r="AO77" s="3">
        <f t="shared" si="9"/>
        <v>1.5139751552795031</v>
      </c>
      <c r="AP77" s="5">
        <f>AE24</f>
        <v>1.9890000000000001</v>
      </c>
      <c r="AQ77" s="161">
        <f t="shared" si="7"/>
        <v>1.0295031055900621</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7.94</v>
      </c>
      <c r="AM78" s="3">
        <f t="shared" si="6"/>
        <v>4.1097308488612843</v>
      </c>
      <c r="AN78" s="5">
        <f>AA25</f>
        <v>5.2236842105263159</v>
      </c>
      <c r="AO78" s="3">
        <f t="shared" si="9"/>
        <v>2.7037702953034759</v>
      </c>
      <c r="AP78" s="5">
        <f>AE25</f>
        <v>3.5521052631578951</v>
      </c>
      <c r="AQ78" s="161">
        <f t="shared" si="7"/>
        <v>1.8385638008063641</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10.547000000000001</v>
      </c>
      <c r="AM79" s="4">
        <f t="shared" si="6"/>
        <v>5.4591097308488612</v>
      </c>
      <c r="AN79" s="5">
        <f>AA26</f>
        <v>6.9388157894736846</v>
      </c>
      <c r="AO79" s="4">
        <f t="shared" si="9"/>
        <v>3.591519559768988</v>
      </c>
      <c r="AP79" s="5">
        <f>AE26</f>
        <v>4.7183947368421055</v>
      </c>
      <c r="AQ79" s="162">
        <f t="shared" si="7"/>
        <v>2.4422333006429118</v>
      </c>
      <c r="BB79" s="12">
        <v>17</v>
      </c>
      <c r="BC79" s="12">
        <v>18</v>
      </c>
    </row>
    <row r="80" spans="1:94" ht="42" customHeight="1" thickTop="1" thickBot="1" x14ac:dyDescent="0.3">
      <c r="D80" s="49"/>
      <c r="H80" s="711" t="s">
        <v>105</v>
      </c>
      <c r="I80" s="712"/>
      <c r="J80" s="58"/>
      <c r="AJ80" s="160">
        <f>U28</f>
        <v>0.125</v>
      </c>
      <c r="AK80" s="3">
        <f t="shared" si="8"/>
        <v>3.1749999999999998</v>
      </c>
      <c r="AL80" s="5">
        <f>W28</f>
        <v>13.459</v>
      </c>
      <c r="AM80" s="3">
        <f t="shared" si="6"/>
        <v>6.966356107660455</v>
      </c>
      <c r="AN80" s="5">
        <f>AA28</f>
        <v>8.8546052631578949</v>
      </c>
      <c r="AO80" s="3">
        <f t="shared" si="9"/>
        <v>4.5831290181976678</v>
      </c>
      <c r="AP80" s="5">
        <f>AE28</f>
        <v>6.0211315789473687</v>
      </c>
      <c r="AQ80" s="161">
        <f t="shared" si="7"/>
        <v>3.1165277323744145</v>
      </c>
      <c r="BC80" s="45">
        <v>0.99880400000000003</v>
      </c>
      <c r="BD80" s="45">
        <v>0.99862499999999998</v>
      </c>
    </row>
    <row r="81" spans="2:43" ht="15.75" customHeight="1" x14ac:dyDescent="0.25">
      <c r="AJ81" s="160">
        <f>U30</f>
        <v>0.15</v>
      </c>
      <c r="AK81" s="3">
        <f t="shared" si="8"/>
        <v>3.8099999999999996</v>
      </c>
      <c r="AL81" s="5">
        <f>W30</f>
        <v>17.001000000000001</v>
      </c>
      <c r="AM81" s="3">
        <f t="shared" si="6"/>
        <v>8.7996894409937898</v>
      </c>
      <c r="AN81" s="5">
        <f>AA30</f>
        <v>11.184868421052633</v>
      </c>
      <c r="AO81" s="3">
        <f t="shared" si="9"/>
        <v>5.7892693690748622</v>
      </c>
      <c r="AP81" s="5">
        <f>AE30</f>
        <v>7.6057105263157903</v>
      </c>
      <c r="AQ81" s="161">
        <f t="shared" si="7"/>
        <v>3.9367031709709059</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20.577999999999999</v>
      </c>
      <c r="AM82" s="3">
        <f t="shared" si="6"/>
        <v>10.651138716356108</v>
      </c>
      <c r="AN82" s="5">
        <f>AA31</f>
        <v>13.538157894736841</v>
      </c>
      <c r="AO82" s="3">
        <f t="shared" si="9"/>
        <v>7.0073281028658592</v>
      </c>
      <c r="AP82" s="5">
        <f>AE31</f>
        <v>9.205947368421052</v>
      </c>
      <c r="AQ82" s="161">
        <f t="shared" si="7"/>
        <v>4.7649831099487843</v>
      </c>
    </row>
    <row r="83" spans="2:43" ht="15" customHeight="1" x14ac:dyDescent="0.25">
      <c r="B83" s="49"/>
      <c r="C83" s="49"/>
      <c r="D83" s="49">
        <v>0</v>
      </c>
      <c r="E83" s="50">
        <f>M42</f>
        <v>5.0258620689655178</v>
      </c>
      <c r="F83" s="49"/>
      <c r="G83" s="43">
        <f>G84/10</f>
        <v>2.5603993621646888</v>
      </c>
      <c r="H83" s="43">
        <f>H84/10</f>
        <v>2.4569948120319962</v>
      </c>
      <c r="I83" s="43">
        <f>I84/10</f>
        <v>2.3269652600008186</v>
      </c>
      <c r="J83" s="43">
        <f>J84/10</f>
        <v>2.228724271590123</v>
      </c>
      <c r="K83" s="43"/>
      <c r="L83" s="42">
        <v>0</v>
      </c>
      <c r="O83" s="706"/>
      <c r="P83" s="706"/>
      <c r="Q83" s="706"/>
      <c r="R83" s="706"/>
      <c r="S83" s="707"/>
      <c r="W83" s="112"/>
      <c r="AJ83" s="160">
        <f>U33</f>
        <v>0.2</v>
      </c>
      <c r="AK83" s="4">
        <f t="shared" si="8"/>
        <v>5.08</v>
      </c>
      <c r="AL83" s="5">
        <f>W33</f>
        <v>23.263000000000002</v>
      </c>
      <c r="AM83" s="4">
        <f t="shared" si="6"/>
        <v>12.040890269151138</v>
      </c>
      <c r="AN83" s="5">
        <f>AA33</f>
        <v>15.304605263157896</v>
      </c>
      <c r="AO83" s="4">
        <f t="shared" si="9"/>
        <v>7.9216383349678559</v>
      </c>
      <c r="AP83" s="5">
        <f>AE33</f>
        <v>10.40713157894737</v>
      </c>
      <c r="AQ83" s="162">
        <f t="shared" si="7"/>
        <v>5.3867140677781409</v>
      </c>
    </row>
    <row r="84" spans="2:43" ht="15" customHeight="1" x14ac:dyDescent="0.25">
      <c r="C84" s="94"/>
      <c r="D84" s="94"/>
      <c r="E84" s="94"/>
      <c r="F84" s="49"/>
      <c r="G84" s="43">
        <f>($M$34/(1+(E34*$M$34/100)))*($O$73)</f>
        <v>25.603993621646886</v>
      </c>
      <c r="H84" s="43">
        <f>($M$34/(1+(F34*$M$34/100)))*($O$73)</f>
        <v>24.569948120319964</v>
      </c>
      <c r="I84" s="43">
        <f>($M$34/(1+(G34*$M$34/100)))*($O$73)</f>
        <v>23.269652600008186</v>
      </c>
      <c r="J84" s="43">
        <f>($M$34/(1+(H34*$M$34/100)))*($O$73)</f>
        <v>22.287242715901229</v>
      </c>
      <c r="K84" s="43"/>
      <c r="O84" s="706" t="s">
        <v>146</v>
      </c>
      <c r="P84" s="706"/>
      <c r="Q84" s="706"/>
      <c r="R84" s="706"/>
      <c r="S84" s="707">
        <v>2240</v>
      </c>
      <c r="W84" s="112"/>
      <c r="AJ84" s="160">
        <f>U34</f>
        <v>0.3</v>
      </c>
      <c r="AK84" s="3">
        <f t="shared" si="8"/>
        <v>7.6199999999999992</v>
      </c>
      <c r="AL84" s="5">
        <f>W34</f>
        <v>31.195</v>
      </c>
      <c r="AM84" s="3">
        <f t="shared" si="6"/>
        <v>16.146480331262939</v>
      </c>
      <c r="AN84" s="5">
        <f>AA34</f>
        <v>20.523026315789473</v>
      </c>
      <c r="AO84" s="3">
        <f t="shared" si="9"/>
        <v>10.62268442846246</v>
      </c>
      <c r="AP84" s="5">
        <f>AE34</f>
        <v>13.955657894736841</v>
      </c>
      <c r="AQ84" s="161">
        <f t="shared" si="7"/>
        <v>7.2234254113544729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38.353000000000002</v>
      </c>
      <c r="AM85" s="3">
        <f t="shared" si="6"/>
        <v>19.85144927536232</v>
      </c>
      <c r="AN85" s="5">
        <f>AA35</f>
        <v>25.232236842105262</v>
      </c>
      <c r="AO85" s="3">
        <f t="shared" si="9"/>
        <v>13.060163996948893</v>
      </c>
      <c r="AP85" s="5">
        <f>AE35</f>
        <v>17.157921052631579</v>
      </c>
      <c r="AQ85" s="161">
        <f>((AP85/19.32)*10)</f>
        <v>8.8809115179252469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44.945999999999998</v>
      </c>
      <c r="AM86" s="164">
        <f t="shared" si="6"/>
        <v>23.263975155279503</v>
      </c>
      <c r="AN86" s="165">
        <f>AA37</f>
        <v>29.569736842105261</v>
      </c>
      <c r="AO86" s="164">
        <f t="shared" si="9"/>
        <v>15.305246812683881</v>
      </c>
      <c r="AP86" s="165">
        <f>AE37</f>
        <v>20.10742105263158</v>
      </c>
      <c r="AQ86" s="166">
        <f>((AP86/19.32)*10)</f>
        <v>10.407567832625041</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2.2819896203526397</v>
      </c>
      <c r="AK91" s="9">
        <f>R31</f>
        <v>1.9384582233780991</v>
      </c>
      <c r="AL91" s="10">
        <f>S31</f>
        <v>1.7443952000914844</v>
      </c>
    </row>
    <row r="92" spans="2:43" ht="21" customHeight="1" thickBot="1" x14ac:dyDescent="0.3">
      <c r="B92" s="92"/>
      <c r="C92" s="93"/>
      <c r="D92" s="93"/>
      <c r="E92" s="93"/>
      <c r="F92" s="62"/>
      <c r="G92" s="63"/>
      <c r="H92" s="49"/>
      <c r="I92" s="49"/>
      <c r="O92" s="725" t="s">
        <v>147</v>
      </c>
      <c r="P92" s="726"/>
      <c r="Q92" s="726"/>
      <c r="R92" s="726"/>
      <c r="S92" s="61">
        <f>M42</f>
        <v>5.0258620689655178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79.117532331142911</v>
      </c>
      <c r="AK94" s="158">
        <f>AA42</f>
        <v>52.051008112594019</v>
      </c>
      <c r="AL94" s="158">
        <f>AD42</f>
        <v>35.394685516563939</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551" priority="53">
      <formula>LEN(TRIM(D6))=0</formula>
    </cfRule>
  </conditionalFormatting>
  <conditionalFormatting sqref="D6:H10">
    <cfRule type="containsBlanks" dxfId="550" priority="52">
      <formula>LEN(TRIM(D6))=0</formula>
    </cfRule>
  </conditionalFormatting>
  <conditionalFormatting sqref="M19">
    <cfRule type="containsBlanks" dxfId="549" priority="51">
      <formula>LEN(TRIM(M19))=0</formula>
    </cfRule>
  </conditionalFormatting>
  <conditionalFormatting sqref="CP70">
    <cfRule type="containsBlanks" dxfId="548" priority="50">
      <formula>LEN(TRIM(CP70))=0</formula>
    </cfRule>
  </conditionalFormatting>
  <conditionalFormatting sqref="M21">
    <cfRule type="containsBlanks" dxfId="547" priority="49">
      <formula>LEN(TRIM(M21))=0</formula>
    </cfRule>
  </conditionalFormatting>
  <conditionalFormatting sqref="D12:M12">
    <cfRule type="containsBlanks" dxfId="546" priority="48">
      <formula>LEN(TRIM(D12))=0</formula>
    </cfRule>
  </conditionalFormatting>
  <conditionalFormatting sqref="L9:M9">
    <cfRule type="containsBlanks" dxfId="545" priority="47">
      <formula>LEN(TRIM(L9))=0</formula>
    </cfRule>
  </conditionalFormatting>
  <conditionalFormatting sqref="L25">
    <cfRule type="containsBlanks" dxfId="544" priority="46">
      <formula>LEN(TRIM(L25))=0</formula>
    </cfRule>
  </conditionalFormatting>
  <conditionalFormatting sqref="U26:V27 AC33 AC26">
    <cfRule type="cellIs" dxfId="543" priority="44" operator="between">
      <formula>0</formula>
      <formula>500</formula>
    </cfRule>
  </conditionalFormatting>
  <conditionalFormatting sqref="U33:V33">
    <cfRule type="cellIs" dxfId="542" priority="43" operator="between">
      <formula>0</formula>
      <formula>500</formula>
    </cfRule>
  </conditionalFormatting>
  <conditionalFormatting sqref="AF45:AH46">
    <cfRule type="containsBlanks" dxfId="541" priority="42">
      <formula>LEN(TRIM(AF45))=0</formula>
    </cfRule>
  </conditionalFormatting>
  <conditionalFormatting sqref="AF51:AG53">
    <cfRule type="containsBlanks" dxfId="540" priority="41">
      <formula>LEN(TRIM(AF51))=0</formula>
    </cfRule>
  </conditionalFormatting>
  <conditionalFormatting sqref="M25">
    <cfRule type="containsBlanks" dxfId="539" priority="38">
      <formula>LEN(TRIM(M25))=0</formula>
    </cfRule>
  </conditionalFormatting>
  <conditionalFormatting sqref="U26:V27 Y26:Z27 AC26:AD27 AG26:AG27">
    <cfRule type="containsBlanks" dxfId="538" priority="36">
      <formula>LEN(TRIM(U26))=0</formula>
    </cfRule>
    <cfRule type="cellIs" dxfId="537" priority="37" operator="between">
      <formula>0</formula>
      <formula>1000</formula>
    </cfRule>
  </conditionalFormatting>
  <conditionalFormatting sqref="W87:W88">
    <cfRule type="cellIs" dxfId="536" priority="35" operator="between">
      <formula>0</formula>
      <formula>500</formula>
    </cfRule>
  </conditionalFormatting>
  <conditionalFormatting sqref="W94">
    <cfRule type="cellIs" dxfId="535" priority="34" operator="between">
      <formula>0</formula>
      <formula>500</formula>
    </cfRule>
  </conditionalFormatting>
  <conditionalFormatting sqref="W87:W88">
    <cfRule type="containsBlanks" dxfId="534" priority="32">
      <formula>LEN(TRIM(W87))=0</formula>
    </cfRule>
    <cfRule type="cellIs" dxfId="533" priority="33" operator="between">
      <formula>0</formula>
      <formula>1000</formula>
    </cfRule>
  </conditionalFormatting>
  <conditionalFormatting sqref="U33:V33 Y33:Z33 AC33:AD33 AG33">
    <cfRule type="cellIs" dxfId="532" priority="31" operator="between">
      <formula>0</formula>
      <formula>1000</formula>
    </cfRule>
  </conditionalFormatting>
  <conditionalFormatting sqref="Q27:S27">
    <cfRule type="containsBlanks" dxfId="531" priority="29">
      <formula>LEN(TRIM(Q27))=0</formula>
    </cfRule>
    <cfRule type="containsBlanks" dxfId="530" priority="30">
      <formula>LEN(TRIM(Q27))=0</formula>
    </cfRule>
  </conditionalFormatting>
  <conditionalFormatting sqref="W30:W31 W33:W35 W37 W28 W22:W26">
    <cfRule type="containsBlanks" dxfId="529" priority="28">
      <formula>LEN(TRIM(W22))=0</formula>
    </cfRule>
  </conditionalFormatting>
  <conditionalFormatting sqref="W37 W30:W31 W33:W35 W28 W22:W26">
    <cfRule type="containsBlanks" dxfId="528" priority="27">
      <formula>LEN(TRIM(W22))=0</formula>
    </cfRule>
  </conditionalFormatting>
  <conditionalFormatting sqref="W33:X33">
    <cfRule type="cellIs" dxfId="527" priority="26" operator="between">
      <formula>0</formula>
      <formula>1000</formula>
    </cfRule>
  </conditionalFormatting>
  <conditionalFormatting sqref="W30:X37 W26 W28 W22:X25">
    <cfRule type="containsBlanks" dxfId="526" priority="25">
      <formula>LEN(TRIM(W22))=0</formula>
    </cfRule>
  </conditionalFormatting>
  <conditionalFormatting sqref="AA37 AA30:AA31 AA33 AA22:AA26 AA28 AA35">
    <cfRule type="containsBlanks" dxfId="525" priority="24">
      <formula>LEN(TRIM(AA22))=0</formula>
    </cfRule>
  </conditionalFormatting>
  <conditionalFormatting sqref="AA37 AA30:AA31 AA33 AA22:AA26 AA28 AA35">
    <cfRule type="containsBlanks" dxfId="524" priority="23">
      <formula>LEN(TRIM(AA22))=0</formula>
    </cfRule>
  </conditionalFormatting>
  <conditionalFormatting sqref="AA33:AB33">
    <cfRule type="cellIs" dxfId="523" priority="22" operator="between">
      <formula>0</formula>
      <formula>1000</formula>
    </cfRule>
  </conditionalFormatting>
  <conditionalFormatting sqref="AA30:AB30 AA31 AA33:AB33 AA22:AB25 AA26 AA28 AA35:AB37">
    <cfRule type="containsBlanks" dxfId="522" priority="21">
      <formula>LEN(TRIM(AA22))=0</formula>
    </cfRule>
  </conditionalFormatting>
  <conditionalFormatting sqref="AE37 AE28 AE30:AE31 AE33:AE35 AE22:AE26">
    <cfRule type="containsBlanks" dxfId="521" priority="20">
      <formula>LEN(TRIM(AE22))=0</formula>
    </cfRule>
  </conditionalFormatting>
  <conditionalFormatting sqref="AE37 AE28 AE30:AE31 AE33:AE35 AE22:AE26">
    <cfRule type="containsBlanks" dxfId="520" priority="19">
      <formula>LEN(TRIM(AE22))=0</formula>
    </cfRule>
  </conditionalFormatting>
  <conditionalFormatting sqref="AE33:AF33">
    <cfRule type="cellIs" dxfId="519" priority="18" operator="between">
      <formula>0</formula>
      <formula>1000</formula>
    </cfRule>
  </conditionalFormatting>
  <conditionalFormatting sqref="AE33:AF37 AE26 AE28 AE30:AE31 AE22:AF25">
    <cfRule type="containsBlanks" dxfId="518" priority="17">
      <formula>LEN(TRIM(AE22))=0</formula>
    </cfRule>
  </conditionalFormatting>
  <conditionalFormatting sqref="K6:M6">
    <cfRule type="containsBlanks" dxfId="517" priority="16">
      <formula>LEN(TRIM(K6))=0</formula>
    </cfRule>
  </conditionalFormatting>
  <conditionalFormatting sqref="K7:K8">
    <cfRule type="containsBlanks" dxfId="516" priority="15">
      <formula>LEN(TRIM(K7))=0</formula>
    </cfRule>
  </conditionalFormatting>
  <conditionalFormatting sqref="D13:M13">
    <cfRule type="containsBlanks" dxfId="515" priority="14">
      <formula>LEN(TRIM(D13))=0</formula>
    </cfRule>
  </conditionalFormatting>
  <conditionalFormatting sqref="B6:B10">
    <cfRule type="containsBlanks" dxfId="514" priority="13">
      <formula>LEN(TRIM(B6))=0</formula>
    </cfRule>
  </conditionalFormatting>
  <conditionalFormatting sqref="B12:B13">
    <cfRule type="containsBlanks" dxfId="513" priority="12">
      <formula>LEN(TRIM(B12))=0</formula>
    </cfRule>
  </conditionalFormatting>
  <conditionalFormatting sqref="E20:H24">
    <cfRule type="containsBlanks" dxfId="512" priority="6">
      <formula>LEN(TRIM(E20))=0</formula>
    </cfRule>
  </conditionalFormatting>
  <conditionalFormatting sqref="E28:H33">
    <cfRule type="containsBlanks" dxfId="511" priority="5">
      <formula>LEN(TRIM(E28))=0</formula>
    </cfRule>
  </conditionalFormatting>
  <conditionalFormatting sqref="Q20:S26">
    <cfRule type="containsBlanks" dxfId="510" priority="3">
      <formula>LEN(TRIM(Q20))=0</formula>
    </cfRule>
    <cfRule type="containsBlanks" dxfId="509" priority="4">
      <formula>LEN(TRIM(Q20))=0</formula>
    </cfRule>
  </conditionalFormatting>
  <conditionalFormatting sqref="Q34:S39">
    <cfRule type="containsBlanks" dxfId="508" priority="2">
      <formula>LEN(TRIM(Q34))=0</formula>
    </cfRule>
  </conditionalFormatting>
  <conditionalFormatting sqref="Q42:S46">
    <cfRule type="containsBlanks" dxfId="507" priority="1">
      <formula>LEN(TRIM(Q42))=0</formula>
    </cfRule>
  </conditionalFormatting>
  <dataValidations count="5">
    <dataValidation type="list" allowBlank="1" showInputMessage="1" showErrorMessage="1" sqref="L25" xr:uid="{00000000-0002-0000-3000-000000000000}">
      <formula1>$D$101:$D$104</formula1>
    </dataValidation>
    <dataValidation type="list" allowBlank="1" showInputMessage="1" showErrorMessage="1" sqref="M21" xr:uid="{00000000-0002-0000-3000-000001000000}">
      <formula1>$AX$3:$AX$4</formula1>
    </dataValidation>
    <dataValidation type="list" allowBlank="1" showInputMessage="1" showErrorMessage="1" sqref="M19" xr:uid="{00000000-0002-0000-3000-000002000000}">
      <formula1>$AX$3:$AX$5</formula1>
    </dataValidation>
    <dataValidation type="list" allowBlank="1" showInputMessage="1" showErrorMessage="1" sqref="CP70" xr:uid="{00000000-0002-0000-3000-000003000000}">
      <formula1>$BA$3:$BA$5</formula1>
    </dataValidation>
    <dataValidation type="list" allowBlank="1" showInputMessage="1" showErrorMessage="1" sqref="D12:E12" xr:uid="{00000000-0002-0000-3000-000004000000}">
      <formula1>$B$87:$B$94</formula1>
    </dataValidation>
  </dataValidations>
  <hyperlinks>
    <hyperlink ref="D8" r:id="rId1" xr:uid="{00000000-0004-0000-30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8329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8329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83299"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8330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8330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8330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8330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8330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8330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8330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90">
    <tabColor theme="7" tint="0.59999389629810485"/>
  </sheetPr>
  <dimension ref="A1:CP153"/>
  <sheetViews>
    <sheetView view="pageBreakPreview" topLeftCell="B1" zoomScale="70" zoomScaleNormal="100" zoomScaleSheetLayoutView="7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45968</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45968</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25-LA T-V- ROZO AP2-2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25-LA T-V- ROZO AP2-2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296</v>
      </c>
      <c r="G12" s="31" t="s">
        <v>4</v>
      </c>
      <c r="H12" s="146">
        <v>2</v>
      </c>
      <c r="I12" s="546" t="s">
        <v>5</v>
      </c>
      <c r="J12" s="546"/>
      <c r="K12" s="209" t="s">
        <v>297</v>
      </c>
      <c r="L12" s="32" t="s">
        <v>6</v>
      </c>
      <c r="M12" s="147" t="s">
        <v>298</v>
      </c>
      <c r="N12" s="78"/>
      <c r="O12" s="501" t="s">
        <v>3</v>
      </c>
      <c r="P12" s="501"/>
      <c r="Q12" s="225" t="s">
        <v>234</v>
      </c>
      <c r="R12" s="224" t="str">
        <f>F12</f>
        <v>LA T-V- ROZO AP2</v>
      </c>
      <c r="S12" s="224"/>
      <c r="T12" s="502" t="s">
        <v>4</v>
      </c>
      <c r="U12" s="502"/>
      <c r="V12" s="33">
        <f>+H12</f>
        <v>2</v>
      </c>
      <c r="W12" s="547" t="s">
        <v>5</v>
      </c>
      <c r="X12" s="547"/>
      <c r="Y12" s="547"/>
      <c r="Z12" s="547"/>
      <c r="AA12" s="547"/>
      <c r="AB12" s="547"/>
      <c r="AC12" s="34" t="str">
        <f>K12</f>
        <v>0,90m</v>
      </c>
      <c r="AD12" s="548" t="s">
        <v>6</v>
      </c>
      <c r="AE12" s="548"/>
      <c r="AF12" s="35" t="str">
        <f>+M12</f>
        <v>2,00m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330</v>
      </c>
      <c r="E13" s="791"/>
      <c r="F13" s="791"/>
      <c r="G13" s="791"/>
      <c r="H13" s="791"/>
      <c r="I13" s="791"/>
      <c r="J13" s="791"/>
      <c r="K13" s="791"/>
      <c r="L13" s="791"/>
      <c r="M13" s="791"/>
      <c r="N13" s="188"/>
      <c r="O13" s="526" t="s">
        <v>130</v>
      </c>
      <c r="P13" s="526"/>
      <c r="Q13" s="527" t="str">
        <f>D13</f>
        <v>GRAVAS ANGULARES BIEN GRADUADA, CON ARENA, CEMENTACIÓN DÉBIL, COLOR GRIS,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604</v>
      </c>
      <c r="R20" s="148">
        <v>518</v>
      </c>
      <c r="S20" s="149">
        <v>523</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7760</v>
      </c>
      <c r="F22" s="150">
        <v>7972</v>
      </c>
      <c r="G22" s="150">
        <v>8086</v>
      </c>
      <c r="H22" s="151">
        <v>7906</v>
      </c>
      <c r="I22" s="174"/>
      <c r="J22" s="578"/>
      <c r="K22" s="578"/>
      <c r="L22" s="578"/>
      <c r="M22" s="104"/>
      <c r="N22" s="103"/>
      <c r="O22" s="579" t="s">
        <v>132</v>
      </c>
      <c r="P22" s="580"/>
      <c r="Q22" s="150">
        <v>8878</v>
      </c>
      <c r="R22" s="150">
        <v>8278</v>
      </c>
      <c r="S22" s="208">
        <v>7598</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5.3999999999999999E-2</v>
      </c>
      <c r="AJ22" s="42">
        <v>2.1337126600284494E-2</v>
      </c>
      <c r="AK22" s="42">
        <f>AL22*0.67</f>
        <v>1.6185789473684209E-2</v>
      </c>
      <c r="AL22" s="42">
        <v>2.41578947368421E-2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3830</v>
      </c>
      <c r="R23" s="150">
        <v>3615</v>
      </c>
      <c r="S23" s="151">
        <v>3422</v>
      </c>
      <c r="T23" s="174"/>
      <c r="U23" s="112">
        <v>2.5000000000000001E-2</v>
      </c>
      <c r="V23" s="113">
        <f>U23*25.4</f>
        <v>0.63500000000000001</v>
      </c>
      <c r="W23" s="581">
        <f>AI23</f>
        <v>0.61499999999999999</v>
      </c>
      <c r="X23" s="582"/>
      <c r="Y23" s="449">
        <f>((W23/19.32)*10)</f>
        <v>0.31832298136645959</v>
      </c>
      <c r="Z23" s="450"/>
      <c r="AA23" s="581">
        <f>AJ23</f>
        <v>0.26173541963015645</v>
      </c>
      <c r="AB23" s="582"/>
      <c r="AC23" s="449">
        <f>((AA23/19.32)*10)</f>
        <v>0.13547381968434599</v>
      </c>
      <c r="AD23" s="450"/>
      <c r="AE23" s="581">
        <f>AK23</f>
        <v>0.18433815789473687</v>
      </c>
      <c r="AF23" s="582"/>
      <c r="AG23" s="114">
        <f>((AE23/19.32)*10)</f>
        <v>9.541312520431515E-2</v>
      </c>
      <c r="AH23" s="104"/>
      <c r="AI23" s="42">
        <f t="shared" ref="AI23:AI33" si="2">AJ51</f>
        <v>0.61499999999999999</v>
      </c>
      <c r="AJ23" s="42">
        <v>0.26173541963015645</v>
      </c>
      <c r="AK23" s="42">
        <f t="shared" ref="AK23:AK33" si="3">AL23*0.67</f>
        <v>0.18433815789473687</v>
      </c>
      <c r="AL23" s="42">
        <v>0.27513157894736845</v>
      </c>
      <c r="AO23" s="42">
        <v>0.247</v>
      </c>
      <c r="AS23" s="42">
        <f t="shared" ref="AS23:AS37" si="4">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v>
      </c>
      <c r="R24" s="150">
        <v>11.62</v>
      </c>
      <c r="S24" s="151">
        <v>11.66</v>
      </c>
      <c r="T24" s="174"/>
      <c r="U24" s="112">
        <v>0.05</v>
      </c>
      <c r="V24" s="113">
        <f>U24*25.4</f>
        <v>1.27</v>
      </c>
      <c r="W24" s="581">
        <f>AI24</f>
        <v>1.6890000000000001</v>
      </c>
      <c r="X24" s="582"/>
      <c r="Y24" s="449">
        <f>((W24/19.32)*10)</f>
        <v>0.87422360248447206</v>
      </c>
      <c r="Z24" s="450"/>
      <c r="AA24" s="581">
        <f>AJ24</f>
        <v>1.0440967283072546</v>
      </c>
      <c r="AB24" s="582"/>
      <c r="AC24" s="449">
        <f>((AA24/19.32)*10)</f>
        <v>0.54042273721907597</v>
      </c>
      <c r="AD24" s="450"/>
      <c r="AE24" s="581">
        <f>AK24</f>
        <v>0.50625552631578963</v>
      </c>
      <c r="AF24" s="582"/>
      <c r="AG24" s="114">
        <f>((AE24/19.32)*10)</f>
        <v>0.2620370219025826</v>
      </c>
      <c r="AH24" s="104"/>
      <c r="AI24" s="42">
        <f t="shared" si="2"/>
        <v>1.6890000000000001</v>
      </c>
      <c r="AJ24" s="42">
        <v>1.0440967283072546</v>
      </c>
      <c r="AK24" s="42">
        <f t="shared" si="3"/>
        <v>0.50625552631578963</v>
      </c>
      <c r="AL24" s="42">
        <v>0.75560526315789489</v>
      </c>
      <c r="AO24" s="42">
        <v>0.68400000000000005</v>
      </c>
      <c r="AS24" s="42">
        <f t="shared" si="4"/>
        <v>0.55609756097560981</v>
      </c>
    </row>
    <row r="25" spans="1:45" ht="24.95" customHeight="1" thickBot="1" x14ac:dyDescent="0.3">
      <c r="A25" s="103"/>
      <c r="B25" s="602" t="s">
        <v>69</v>
      </c>
      <c r="C25" s="603"/>
      <c r="D25" s="603"/>
      <c r="E25" s="115">
        <f>E22-E23</f>
        <v>4876</v>
      </c>
      <c r="F25" s="115">
        <f>F22-F23</f>
        <v>5088</v>
      </c>
      <c r="G25" s="115">
        <f>G22-G23</f>
        <v>5202</v>
      </c>
      <c r="H25" s="116">
        <f>H22-H23</f>
        <v>5022</v>
      </c>
      <c r="I25" s="174"/>
      <c r="J25" s="174" t="s">
        <v>127</v>
      </c>
      <c r="K25" s="174"/>
      <c r="L25" s="218" t="s">
        <v>128</v>
      </c>
      <c r="M25" s="155">
        <v>27.19</v>
      </c>
      <c r="N25" s="103"/>
      <c r="O25" s="604" t="s">
        <v>46</v>
      </c>
      <c r="P25" s="605"/>
      <c r="Q25" s="608">
        <v>15.2</v>
      </c>
      <c r="R25" s="608">
        <v>15.24</v>
      </c>
      <c r="S25" s="610">
        <v>15.26</v>
      </c>
      <c r="T25" s="174"/>
      <c r="U25" s="112">
        <v>7.4999999999999997E-2</v>
      </c>
      <c r="V25" s="113">
        <f>U25*25.4</f>
        <v>1.9049999999999998</v>
      </c>
      <c r="W25" s="581">
        <f>AI25</f>
        <v>2.96</v>
      </c>
      <c r="X25" s="582"/>
      <c r="Y25" s="449">
        <f>((W25/19.32)*10)</f>
        <v>1.5320910973084887</v>
      </c>
      <c r="Z25" s="450"/>
      <c r="AA25" s="581">
        <f>AJ25</f>
        <v>2.0270270270270272</v>
      </c>
      <c r="AB25" s="582"/>
      <c r="AC25" s="449">
        <f>((AA25/19.32)*10)</f>
        <v>1.0491858317945275</v>
      </c>
      <c r="AD25" s="450"/>
      <c r="AE25" s="581">
        <f>AK25</f>
        <v>0.88722105263157902</v>
      </c>
      <c r="AF25" s="582"/>
      <c r="AG25" s="114">
        <f>((AE25/19.32)*10)</f>
        <v>0.45922414732483385</v>
      </c>
      <c r="AH25" s="104"/>
      <c r="AI25" s="42">
        <f t="shared" si="2"/>
        <v>2.96</v>
      </c>
      <c r="AJ25" s="42">
        <v>2.0270270270270272</v>
      </c>
      <c r="AK25" s="42">
        <f t="shared" si="3"/>
        <v>0.88722105263157902</v>
      </c>
      <c r="AL25" s="42">
        <v>1.3242105263157895</v>
      </c>
      <c r="AO25" s="42">
        <v>1.3149999999999999</v>
      </c>
      <c r="AS25" s="42">
        <f t="shared" si="4"/>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27.19</v>
      </c>
      <c r="N26" s="103"/>
      <c r="O26" s="606"/>
      <c r="P26" s="607"/>
      <c r="Q26" s="609"/>
      <c r="R26" s="609"/>
      <c r="S26" s="611"/>
      <c r="T26" s="174"/>
      <c r="U26" s="600">
        <v>0.1</v>
      </c>
      <c r="V26" s="601">
        <f>U26*25.4</f>
        <v>2.54</v>
      </c>
      <c r="W26" s="778">
        <f>AI26</f>
        <v>4.1159999999999997</v>
      </c>
      <c r="X26" s="779"/>
      <c r="Y26" s="461">
        <f>((W26/19.32)*10)</f>
        <v>2.1304347826086953</v>
      </c>
      <c r="Z26" s="462"/>
      <c r="AA26" s="746">
        <v>2.6</v>
      </c>
      <c r="AB26" s="747"/>
      <c r="AC26" s="461">
        <f>((AA26/19.32)*10)</f>
        <v>1.3457556935817805</v>
      </c>
      <c r="AD26" s="462"/>
      <c r="AE26" s="746">
        <f>AK26</f>
        <v>1.2337168421052631</v>
      </c>
      <c r="AF26" s="747"/>
      <c r="AG26" s="469">
        <f>((AE26/19.32)*10)</f>
        <v>0.6385697940503432</v>
      </c>
      <c r="AH26" s="104"/>
      <c r="AI26" s="42">
        <f t="shared" si="2"/>
        <v>4.1159999999999997</v>
      </c>
      <c r="AJ26" s="42">
        <v>2.1671408250355619</v>
      </c>
      <c r="AK26" s="42">
        <f t="shared" si="3"/>
        <v>1.2337168421052631</v>
      </c>
      <c r="AL26" s="42">
        <v>1.8413684210526315</v>
      </c>
      <c r="AO26" s="42">
        <v>1.875</v>
      </c>
      <c r="AS26" s="42">
        <f t="shared" si="4"/>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2119.6587265606522</v>
      </c>
      <c r="S27" s="153">
        <f>(PI()*((S25^2)/4)*S24)</f>
        <v>2132.5415372366369</v>
      </c>
      <c r="T27" s="174"/>
      <c r="U27" s="600"/>
      <c r="V27" s="601"/>
      <c r="W27" s="780"/>
      <c r="X27" s="781"/>
      <c r="Y27" s="463"/>
      <c r="Z27" s="464"/>
      <c r="AA27" s="748"/>
      <c r="AB27" s="749"/>
      <c r="AC27" s="463"/>
      <c r="AD27" s="464"/>
      <c r="AE27" s="748"/>
      <c r="AF27" s="749"/>
      <c r="AG27" s="470"/>
      <c r="AH27" s="193"/>
      <c r="AI27" s="42">
        <f t="shared" si="2"/>
        <v>5.4859999999999998</v>
      </c>
      <c r="AJ27" s="42">
        <v>2.4125177809388334</v>
      </c>
      <c r="AK27" s="42">
        <f t="shared" si="3"/>
        <v>1.6443563157894738</v>
      </c>
      <c r="AL27" s="42">
        <v>2.4542631578947369</v>
      </c>
      <c r="AO27" s="42">
        <v>2.387</v>
      </c>
      <c r="AS27" s="42">
        <f t="shared" si="4"/>
        <v>1.9406504065040651</v>
      </c>
    </row>
    <row r="28" spans="1:45" ht="24.95" customHeight="1" thickBot="1" x14ac:dyDescent="0.3">
      <c r="A28" s="103"/>
      <c r="B28" s="560" t="s">
        <v>9</v>
      </c>
      <c r="C28" s="561"/>
      <c r="D28" s="561"/>
      <c r="E28" s="148">
        <v>646</v>
      </c>
      <c r="F28" s="148">
        <v>628</v>
      </c>
      <c r="G28" s="148">
        <v>635</v>
      </c>
      <c r="H28" s="149">
        <v>629</v>
      </c>
      <c r="I28" s="174"/>
      <c r="J28" s="597" t="s">
        <v>107</v>
      </c>
      <c r="K28" s="597"/>
      <c r="L28" s="562" t="s">
        <v>119</v>
      </c>
      <c r="M28" s="459">
        <f>IF(M26="","",(100-M26))</f>
        <v>72.81</v>
      </c>
      <c r="N28" s="103"/>
      <c r="O28" s="625" t="s">
        <v>136</v>
      </c>
      <c r="P28" s="626"/>
      <c r="Q28" s="220">
        <f>Q22-Q23</f>
        <v>5048</v>
      </c>
      <c r="R28" s="220">
        <f>R22-R23</f>
        <v>4663</v>
      </c>
      <c r="S28" s="220">
        <f>S22-S23</f>
        <v>4176</v>
      </c>
      <c r="T28" s="174"/>
      <c r="U28" s="627">
        <v>0.125</v>
      </c>
      <c r="V28" s="624">
        <f>U28*25.4</f>
        <v>3.1749999999999998</v>
      </c>
      <c r="W28" s="593">
        <f>AI27</f>
        <v>5.4859999999999998</v>
      </c>
      <c r="X28" s="594"/>
      <c r="Y28" s="439">
        <f>((W28/19.32)*10)</f>
        <v>2.839544513457557</v>
      </c>
      <c r="Z28" s="440"/>
      <c r="AA28" s="593">
        <v>3.2</v>
      </c>
      <c r="AB28" s="594"/>
      <c r="AC28" s="439">
        <f>((AA28/19.32)*10)</f>
        <v>1.6563146997929605</v>
      </c>
      <c r="AD28" s="440"/>
      <c r="AE28" s="593">
        <f>AK27</f>
        <v>1.6443563157894738</v>
      </c>
      <c r="AF28" s="594"/>
      <c r="AG28" s="443">
        <f>((AE28/19.32)*10)</f>
        <v>0.85111610548109407</v>
      </c>
      <c r="AH28" s="104"/>
      <c r="AI28" s="42">
        <f t="shared" si="2"/>
        <v>6.7450000000000001</v>
      </c>
      <c r="AJ28" s="42">
        <v>3.2190611664295874</v>
      </c>
      <c r="AK28" s="42">
        <f t="shared" si="3"/>
        <v>2.021725</v>
      </c>
      <c r="AL28" s="42">
        <v>3.0175000000000001</v>
      </c>
      <c r="AO28" s="42">
        <v>2.8959999999999999</v>
      </c>
      <c r="AS28" s="42">
        <f t="shared" si="4"/>
        <v>2.3544715447154472</v>
      </c>
    </row>
    <row r="29" spans="1:45" ht="5.0999999999999996" customHeight="1" thickBot="1" x14ac:dyDescent="0.3">
      <c r="A29" s="103"/>
      <c r="B29" s="612" t="s">
        <v>73</v>
      </c>
      <c r="C29" s="613"/>
      <c r="D29" s="614"/>
      <c r="E29" s="618">
        <v>750.21</v>
      </c>
      <c r="F29" s="618">
        <v>765.63</v>
      </c>
      <c r="G29" s="618">
        <v>830.42</v>
      </c>
      <c r="H29" s="620">
        <v>792.24</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7.8120000000000003</v>
      </c>
      <c r="AJ29" s="42">
        <v>4.1991465149359888</v>
      </c>
      <c r="AK29" s="42">
        <f t="shared" si="3"/>
        <v>2.3415442105263158</v>
      </c>
      <c r="AL29" s="42">
        <v>3.494842105263158</v>
      </c>
      <c r="AO29" s="42">
        <v>3.3879999999999999</v>
      </c>
      <c r="AS29" s="42">
        <f t="shared" si="4"/>
        <v>2.7544715447154471</v>
      </c>
    </row>
    <row r="30" spans="1:45" ht="24.95" customHeight="1" thickBot="1" x14ac:dyDescent="0.3">
      <c r="A30" s="103"/>
      <c r="B30" s="615"/>
      <c r="C30" s="616"/>
      <c r="D30" s="617"/>
      <c r="E30" s="619">
        <v>689.35</v>
      </c>
      <c r="F30" s="619">
        <v>683.77</v>
      </c>
      <c r="G30" s="619">
        <v>723.72</v>
      </c>
      <c r="H30" s="621">
        <v>676</v>
      </c>
      <c r="I30" s="174"/>
      <c r="J30" s="174" t="s">
        <v>108</v>
      </c>
      <c r="K30" s="174"/>
      <c r="L30" s="180" t="s">
        <v>137</v>
      </c>
      <c r="M30" s="119">
        <f>IF(M25="","",(M37*1000*9.81/1000))</f>
        <v>21.663865366822431</v>
      </c>
      <c r="N30" s="103"/>
      <c r="O30" s="622" t="s">
        <v>134</v>
      </c>
      <c r="P30" s="623"/>
      <c r="Q30" s="229">
        <f>Q28/Q27</f>
        <v>2.3981939318699488</v>
      </c>
      <c r="R30" s="229">
        <f>R28/R27</f>
        <v>2.199882434643694</v>
      </c>
      <c r="S30" s="131">
        <f>S28/S27</f>
        <v>1.9582268045345046</v>
      </c>
      <c r="T30" s="174"/>
      <c r="U30" s="120">
        <v>0.15</v>
      </c>
      <c r="V30" s="113">
        <f>U30*25.4</f>
        <v>3.8099999999999996</v>
      </c>
      <c r="W30" s="581">
        <f>AI28</f>
        <v>6.7450000000000001</v>
      </c>
      <c r="X30" s="582"/>
      <c r="Y30" s="449">
        <f>((W30/19.32)*10)</f>
        <v>3.4912008281573499</v>
      </c>
      <c r="Z30" s="450"/>
      <c r="AA30" s="581">
        <v>3.9</v>
      </c>
      <c r="AB30" s="582"/>
      <c r="AC30" s="449">
        <f>((AA30/19.32)*10)</f>
        <v>2.0186335403726705</v>
      </c>
      <c r="AD30" s="450"/>
      <c r="AE30" s="581">
        <f>AK28</f>
        <v>2.021725</v>
      </c>
      <c r="AF30" s="582"/>
      <c r="AG30" s="114">
        <f>((AE30/19.32)*10)</f>
        <v>1.0464415113871635</v>
      </c>
      <c r="AH30" s="104"/>
      <c r="AI30" s="42">
        <f t="shared" si="2"/>
        <v>8.6950000000000003</v>
      </c>
      <c r="AJ30" s="42">
        <v>5.0263157894736841</v>
      </c>
      <c r="AK30" s="42">
        <f t="shared" si="3"/>
        <v>2.6062118421052634</v>
      </c>
      <c r="AL30" s="42">
        <v>3.8898684210526318</v>
      </c>
      <c r="AO30" s="42">
        <v>3.8439999999999999</v>
      </c>
      <c r="AS30" s="42">
        <f t="shared" si="4"/>
        <v>3.1252032520325201</v>
      </c>
    </row>
    <row r="31" spans="1:45" ht="24.95" customHeight="1" thickBot="1" x14ac:dyDescent="0.3">
      <c r="A31" s="103"/>
      <c r="B31" s="576" t="s">
        <v>74</v>
      </c>
      <c r="C31" s="577"/>
      <c r="D31" s="577"/>
      <c r="E31" s="152">
        <v>710.47019878751757</v>
      </c>
      <c r="F31" s="152">
        <v>712.89004712664007</v>
      </c>
      <c r="G31" s="152">
        <v>763.03713674250935</v>
      </c>
      <c r="H31" s="153">
        <v>713.41106436913162</v>
      </c>
      <c r="I31" s="174"/>
      <c r="J31" s="597" t="s">
        <v>138</v>
      </c>
      <c r="K31" s="597"/>
      <c r="L31" s="562" t="s">
        <v>116</v>
      </c>
      <c r="M31" s="457">
        <f>IF(M25="","",S82)</f>
        <v>2.74</v>
      </c>
      <c r="N31" s="121"/>
      <c r="O31" s="628" t="s">
        <v>135</v>
      </c>
      <c r="P31" s="629"/>
      <c r="Q31" s="122">
        <f>Q30/(1+Q40/100)</f>
        <v>2.2177264231069667</v>
      </c>
      <c r="R31" s="122">
        <f>R30/(1+R40/100)</f>
        <v>2.035043722244001</v>
      </c>
      <c r="S31" s="123">
        <f>S30/(1+S40/100)</f>
        <v>1.8100049088983805</v>
      </c>
      <c r="T31" s="174"/>
      <c r="U31" s="627">
        <v>0.17499999999999999</v>
      </c>
      <c r="V31" s="624">
        <f>U31*25.4</f>
        <v>4.4449999999999994</v>
      </c>
      <c r="W31" s="593">
        <f>AI29</f>
        <v>7.8120000000000003</v>
      </c>
      <c r="X31" s="594"/>
      <c r="Y31" s="439">
        <f>((W31/19.32)*10)</f>
        <v>4.0434782608695654</v>
      </c>
      <c r="Z31" s="440"/>
      <c r="AA31" s="593">
        <v>4.5999999999999996</v>
      </c>
      <c r="AB31" s="594"/>
      <c r="AC31" s="439">
        <f>((AA31/19.32)*10)</f>
        <v>2.3809523809523809</v>
      </c>
      <c r="AD31" s="440"/>
      <c r="AE31" s="593">
        <f>AK29</f>
        <v>2.3415442105263158</v>
      </c>
      <c r="AF31" s="594"/>
      <c r="AG31" s="443">
        <f>((AE31/19.32)*10)</f>
        <v>1.2119794050343249</v>
      </c>
      <c r="AH31" s="104"/>
      <c r="AI31" s="42">
        <f t="shared" si="2"/>
        <v>12.343999999999999</v>
      </c>
      <c r="AJ31" s="42">
        <v>7.9722617354196297</v>
      </c>
      <c r="AK31" s="42">
        <f t="shared" si="3"/>
        <v>3.6999515789473683</v>
      </c>
      <c r="AL31" s="42">
        <v>5.5223157894736836</v>
      </c>
      <c r="AO31" s="42">
        <v>5.516</v>
      </c>
      <c r="AS31" s="42">
        <f t="shared" si="4"/>
        <v>4.4845528455284551</v>
      </c>
    </row>
    <row r="32" spans="1:45" ht="5.0999999999999996" customHeight="1" thickBot="1" x14ac:dyDescent="0.3">
      <c r="A32" s="103"/>
      <c r="B32" s="612" t="s">
        <v>75</v>
      </c>
      <c r="C32" s="613"/>
      <c r="D32" s="614"/>
      <c r="E32" s="618">
        <v>39.24</v>
      </c>
      <c r="F32" s="618">
        <v>40.22</v>
      </c>
      <c r="G32" s="618">
        <v>38.43</v>
      </c>
      <c r="H32" s="620">
        <v>37.36</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14.839</v>
      </c>
      <c r="AJ32" s="42">
        <v>9.7503556187766716</v>
      </c>
      <c r="AK32" s="42">
        <f t="shared" si="3"/>
        <v>4.4477950000000002</v>
      </c>
      <c r="AL32" s="42">
        <v>6.6384999999999996</v>
      </c>
      <c r="AO32" s="42">
        <v>6.7220000000000004</v>
      </c>
      <c r="AS32" s="42">
        <f t="shared" si="4"/>
        <v>5.4650406504065048</v>
      </c>
    </row>
    <row r="33" spans="1:45" ht="24.95" customHeight="1" thickBot="1" x14ac:dyDescent="0.3">
      <c r="A33" s="103"/>
      <c r="B33" s="615"/>
      <c r="C33" s="616"/>
      <c r="D33" s="617"/>
      <c r="E33" s="619">
        <v>39.24</v>
      </c>
      <c r="F33" s="619">
        <v>40.22</v>
      </c>
      <c r="G33" s="619">
        <v>38.43</v>
      </c>
      <c r="H33" s="621">
        <v>37.36</v>
      </c>
      <c r="I33" s="174"/>
      <c r="J33" s="633" t="s">
        <v>109</v>
      </c>
      <c r="K33" s="633"/>
      <c r="L33" s="180" t="s">
        <v>117</v>
      </c>
      <c r="M33" s="118">
        <f>IF(M25="","",O73)</f>
        <v>10.5</v>
      </c>
      <c r="N33" s="101"/>
      <c r="O33" s="634" t="s">
        <v>25</v>
      </c>
      <c r="P33" s="635"/>
      <c r="Q33" s="635"/>
      <c r="R33" s="635"/>
      <c r="S33" s="636"/>
      <c r="T33" s="174"/>
      <c r="U33" s="117">
        <v>0.2</v>
      </c>
      <c r="V33" s="124">
        <f>U33*25.4</f>
        <v>5.08</v>
      </c>
      <c r="W33" s="581">
        <f>AI30</f>
        <v>8.6950000000000003</v>
      </c>
      <c r="X33" s="582"/>
      <c r="Y33" s="449">
        <f>((W33/19.32)*10)</f>
        <v>4.5005175983436851</v>
      </c>
      <c r="Z33" s="450"/>
      <c r="AA33" s="581">
        <v>5.2</v>
      </c>
      <c r="AB33" s="582"/>
      <c r="AC33" s="449">
        <f>((AA33/19.32)*10)</f>
        <v>2.691511387163561</v>
      </c>
      <c r="AD33" s="450"/>
      <c r="AE33" s="581">
        <f>AK30</f>
        <v>2.6062118421052634</v>
      </c>
      <c r="AF33" s="582"/>
      <c r="AG33" s="144">
        <f>((AE33/19.32)*10)</f>
        <v>1.3489709327666994</v>
      </c>
      <c r="AH33" s="104"/>
      <c r="AI33" s="42">
        <f t="shared" si="2"/>
        <v>17.024000000000001</v>
      </c>
      <c r="AJ33" s="42">
        <v>11.205547652916074</v>
      </c>
      <c r="AK33" s="42">
        <f t="shared" si="3"/>
        <v>5.1027200000000015</v>
      </c>
      <c r="AL33" s="42">
        <v>7.6160000000000014</v>
      </c>
      <c r="AO33" s="42">
        <v>7.7720000000000002</v>
      </c>
      <c r="AS33" s="42">
        <f t="shared" si="4"/>
        <v>6.3186991869918705</v>
      </c>
    </row>
    <row r="34" spans="1:45" ht="24.95" customHeight="1" thickBot="1" x14ac:dyDescent="0.3">
      <c r="A34" s="103"/>
      <c r="B34" s="602" t="s">
        <v>10</v>
      </c>
      <c r="C34" s="603"/>
      <c r="D34" s="603"/>
      <c r="E34" s="125">
        <f>((E29-E31)/(E31-E32))*100</f>
        <v>5.9204429842797284</v>
      </c>
      <c r="F34" s="125">
        <f>((F29-F31)/(F31-F32))*100</f>
        <v>7.840389667808541</v>
      </c>
      <c r="G34" s="125">
        <f>((G29-G31)/(G31-G32))*100</f>
        <v>9.2992271040017709</v>
      </c>
      <c r="H34" s="126">
        <f>((H29-H31)/(H31-H32))*100</f>
        <v>11.660204352230247</v>
      </c>
      <c r="I34" s="174"/>
      <c r="J34" s="630" t="s">
        <v>125</v>
      </c>
      <c r="K34" s="630"/>
      <c r="L34" s="184" t="s">
        <v>126</v>
      </c>
      <c r="M34" s="245">
        <v>2.7</v>
      </c>
      <c r="N34" s="128"/>
      <c r="O34" s="631" t="s">
        <v>9</v>
      </c>
      <c r="P34" s="632"/>
      <c r="Q34" s="156">
        <v>381</v>
      </c>
      <c r="R34" s="156">
        <v>632</v>
      </c>
      <c r="S34" s="157">
        <v>624</v>
      </c>
      <c r="T34" s="174"/>
      <c r="U34" s="120">
        <v>0.3</v>
      </c>
      <c r="V34" s="113">
        <f>U34*25.4</f>
        <v>7.6199999999999992</v>
      </c>
      <c r="W34" s="581">
        <f>AI31</f>
        <v>12.343999999999999</v>
      </c>
      <c r="X34" s="582"/>
      <c r="Y34" s="449">
        <f>((W34/19.32)*10)</f>
        <v>6.3892339544513455</v>
      </c>
      <c r="Z34" s="450"/>
      <c r="AA34" s="449">
        <f>AJ31</f>
        <v>7.9722617354196297</v>
      </c>
      <c r="AB34" s="450"/>
      <c r="AC34" s="449">
        <f>((AA34/19.32)*10)</f>
        <v>4.1264294696788975</v>
      </c>
      <c r="AD34" s="450"/>
      <c r="AE34" s="581">
        <f>AK31</f>
        <v>3.6999515789473683</v>
      </c>
      <c r="AF34" s="582"/>
      <c r="AG34" s="114">
        <f>((AE34/19.32)*10)</f>
        <v>1.915088808978969</v>
      </c>
      <c r="AH34" s="104"/>
      <c r="AS34" s="42">
        <f t="shared" si="4"/>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811.68</v>
      </c>
      <c r="R35" s="608">
        <v>803.43</v>
      </c>
      <c r="S35" s="610">
        <v>788.28</v>
      </c>
      <c r="T35" s="174"/>
      <c r="U35" s="627">
        <v>0.4</v>
      </c>
      <c r="V35" s="624">
        <f>U35*25.4</f>
        <v>10.16</v>
      </c>
      <c r="W35" s="593">
        <f>AI32</f>
        <v>14.839</v>
      </c>
      <c r="X35" s="594"/>
      <c r="Y35" s="439">
        <f>((W35/19.32)*10)</f>
        <v>7.6806418219461703</v>
      </c>
      <c r="Z35" s="440"/>
      <c r="AA35" s="593">
        <f>AJ32</f>
        <v>9.7503556187766716</v>
      </c>
      <c r="AB35" s="594"/>
      <c r="AC35" s="439">
        <f>(AA35/19.32)*10</f>
        <v>5.0467679186214651</v>
      </c>
      <c r="AD35" s="440"/>
      <c r="AE35" s="593">
        <f>AK32</f>
        <v>4.4477950000000002</v>
      </c>
      <c r="AF35" s="594"/>
      <c r="AG35" s="443">
        <f>((AE35/19.32)*10)</f>
        <v>2.3021713250517597</v>
      </c>
      <c r="AH35" s="104"/>
      <c r="AS35" s="42">
        <f t="shared" si="4"/>
        <v>0</v>
      </c>
    </row>
    <row r="36" spans="1:45" ht="20.100000000000001" customHeight="1" thickBot="1" x14ac:dyDescent="0.3">
      <c r="A36" s="103"/>
      <c r="B36" s="639" t="s">
        <v>71</v>
      </c>
      <c r="C36" s="640"/>
      <c r="D36" s="640"/>
      <c r="E36" s="130">
        <f>E25/E24</f>
        <v>2.2700186219739291</v>
      </c>
      <c r="F36" s="130">
        <f>F25/F24</f>
        <v>2.3687150837988828</v>
      </c>
      <c r="G36" s="130">
        <f>G25/G24</f>
        <v>2.4217877094972069</v>
      </c>
      <c r="H36" s="131">
        <f>H25/H24</f>
        <v>2.3379888268156424</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4"/>
        <v>0</v>
      </c>
    </row>
    <row r="37" spans="1:45" ht="24.95" customHeight="1" thickBot="1" x14ac:dyDescent="0.3">
      <c r="A37" s="103"/>
      <c r="B37" s="602" t="s">
        <v>72</v>
      </c>
      <c r="C37" s="603"/>
      <c r="D37" s="603"/>
      <c r="E37" s="122">
        <f>E36/(1+E34/100)</f>
        <v>2.1431355062505126</v>
      </c>
      <c r="F37" s="230">
        <f>F36/(1+F34/100)</f>
        <v>2.1965008575131</v>
      </c>
      <c r="G37" s="230">
        <f>G36/(1+G34/100)</f>
        <v>2.2157409285180005</v>
      </c>
      <c r="H37" s="123">
        <f>H36/(1+H34/100)</f>
        <v>2.0938425111962857</v>
      </c>
      <c r="I37" s="174"/>
      <c r="J37" s="641" t="s">
        <v>139</v>
      </c>
      <c r="K37" s="641"/>
      <c r="L37" s="643" t="s">
        <v>121</v>
      </c>
      <c r="M37" s="433">
        <f>IF(F74="","",(M42^2*F74+M42*F75+F76))</f>
        <v>2.2083450934579441</v>
      </c>
      <c r="N37" s="101"/>
      <c r="O37" s="576" t="s">
        <v>28</v>
      </c>
      <c r="P37" s="577"/>
      <c r="Q37" s="150">
        <v>758.18</v>
      </c>
      <c r="R37" s="152">
        <v>746.08029652378343</v>
      </c>
      <c r="S37" s="153">
        <v>731.5670915324223</v>
      </c>
      <c r="T37" s="174"/>
      <c r="U37" s="132">
        <v>0.5</v>
      </c>
      <c r="V37" s="133">
        <f>U37*25.4</f>
        <v>12.7</v>
      </c>
      <c r="W37" s="637">
        <f>AI33</f>
        <v>17.024000000000001</v>
      </c>
      <c r="X37" s="638"/>
      <c r="Y37" s="431">
        <f>((W37/19.32)*10)</f>
        <v>8.8115942028985508</v>
      </c>
      <c r="Z37" s="432"/>
      <c r="AA37" s="637">
        <f>AJ33</f>
        <v>11.205547652916074</v>
      </c>
      <c r="AB37" s="638"/>
      <c r="AC37" s="431">
        <f>((AA37/19.32)*10)</f>
        <v>5.7999729052360625</v>
      </c>
      <c r="AD37" s="432"/>
      <c r="AE37" s="637">
        <v>4.7850000000000001</v>
      </c>
      <c r="AF37" s="638"/>
      <c r="AG37" s="134">
        <f>((AE37/19.32)*10)</f>
        <v>2.4767080745341614</v>
      </c>
      <c r="AH37" s="104"/>
      <c r="AS37" s="42">
        <f t="shared" si="4"/>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100.73</v>
      </c>
      <c r="R38" s="647">
        <v>38.06</v>
      </c>
      <c r="S38" s="648">
        <v>39.020000000000003</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2.3673322301692719</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21.663865366822431</v>
      </c>
      <c r="N40" s="103"/>
      <c r="O40" s="628" t="s">
        <v>10</v>
      </c>
      <c r="P40" s="629"/>
      <c r="Q40" s="125">
        <f>((Q35-Q37)/(Q37-Q38))*100</f>
        <v>8.1375009506426359</v>
      </c>
      <c r="R40" s="125">
        <f>((R35-R37)/(R37-R38))*100</f>
        <v>8.1000083977522053</v>
      </c>
      <c r="S40" s="126">
        <f>((S35-S37)/(S37-S38))*100</f>
        <v>8.1890327980566795</v>
      </c>
      <c r="T40" s="174"/>
      <c r="U40" s="645" t="s">
        <v>151</v>
      </c>
      <c r="V40" s="646"/>
      <c r="W40" s="423">
        <f>(AM79/6.9)*100</f>
        <v>30.87586641461877</v>
      </c>
      <c r="X40" s="423"/>
      <c r="Y40" s="423"/>
      <c r="Z40" s="424"/>
      <c r="AA40" s="425">
        <f>(AO79/6.9)*100</f>
        <v>19.503705704083774</v>
      </c>
      <c r="AB40" s="426"/>
      <c r="AC40" s="427"/>
      <c r="AD40" s="425">
        <f>(AQ79/6.9)*100</f>
        <v>9.2546346963817854</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23.223529177960557</v>
      </c>
      <c r="N41" s="138"/>
      <c r="O41" s="565" t="s">
        <v>36</v>
      </c>
      <c r="P41" s="566"/>
      <c r="Q41" s="566"/>
      <c r="R41" s="566"/>
      <c r="S41" s="567"/>
      <c r="T41" s="174"/>
      <c r="U41" s="653" t="s">
        <v>152</v>
      </c>
      <c r="V41" s="654"/>
      <c r="W41" s="418">
        <f>(AM83/10.3)*100</f>
        <v>43.694345614987228</v>
      </c>
      <c r="X41" s="418"/>
      <c r="Y41" s="418"/>
      <c r="Z41" s="419"/>
      <c r="AA41" s="420">
        <f>(AO83/10.3)*100</f>
        <v>26.131178516151078</v>
      </c>
      <c r="AB41" s="421"/>
      <c r="AC41" s="418"/>
      <c r="AD41" s="420">
        <f>(AQ83/10.3)*100</f>
        <v>13.096805172492227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8.3411214953271031</v>
      </c>
      <c r="N42" s="103"/>
      <c r="O42" s="639" t="s">
        <v>9</v>
      </c>
      <c r="P42" s="640"/>
      <c r="Q42" s="148">
        <v>325</v>
      </c>
      <c r="R42" s="148">
        <v>686</v>
      </c>
      <c r="S42" s="149">
        <v>675</v>
      </c>
      <c r="T42" s="174"/>
      <c r="U42" s="651" t="s">
        <v>42</v>
      </c>
      <c r="V42" s="652"/>
      <c r="W42" s="413">
        <f>IF(W40&lt;W41,W40,W41)</f>
        <v>30.87586641461877</v>
      </c>
      <c r="X42" s="414"/>
      <c r="Y42" s="414"/>
      <c r="Z42" s="415"/>
      <c r="AA42" s="416">
        <f>IF(AA40&lt;AA41,AA40,AA41)</f>
        <v>19.503705704083774</v>
      </c>
      <c r="AB42" s="414"/>
      <c r="AC42" s="415"/>
      <c r="AD42" s="416">
        <f>IF(AD40&lt;AD41,AD40,AD41)</f>
        <v>9.2546346963817854</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6.6058411214953274</v>
      </c>
      <c r="N43" s="103"/>
      <c r="O43" s="612" t="s">
        <v>49</v>
      </c>
      <c r="P43" s="614"/>
      <c r="Q43" s="608">
        <v>1163.82</v>
      </c>
      <c r="R43" s="608">
        <v>682.26</v>
      </c>
      <c r="S43" s="610">
        <v>670.24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1067.8800000000001</v>
      </c>
      <c r="R45" s="152">
        <v>617.1179837750783</v>
      </c>
      <c r="S45" s="153">
        <v>593.75246405083237</v>
      </c>
      <c r="T45" s="174"/>
      <c r="U45" s="656" t="s">
        <v>139</v>
      </c>
      <c r="V45" s="656"/>
      <c r="W45" s="179" t="s">
        <v>121</v>
      </c>
      <c r="X45" s="406">
        <f>MAX(M37:M39)</f>
        <v>2.3673322301692719</v>
      </c>
      <c r="Y45" s="406"/>
      <c r="Z45" s="406"/>
      <c r="AA45" s="174"/>
      <c r="AB45" s="657" t="s">
        <v>31</v>
      </c>
      <c r="AC45" s="658"/>
      <c r="AD45" s="658"/>
      <c r="AE45" s="658"/>
      <c r="AF45" s="231">
        <v>0.121</v>
      </c>
      <c r="AG45" s="231">
        <v>9.7799999999999998E-2</v>
      </c>
      <c r="AH45" s="233">
        <v>0.24629999999999999</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103.15</v>
      </c>
      <c r="R46" s="150">
        <v>40.64</v>
      </c>
      <c r="S46" s="151">
        <v>40.72</v>
      </c>
      <c r="T46" s="174"/>
      <c r="U46" s="555" t="s">
        <v>123</v>
      </c>
      <c r="V46" s="555"/>
      <c r="W46" s="179" t="s">
        <v>41</v>
      </c>
      <c r="X46" s="401">
        <f>MIN(M42:M44)</f>
        <v>6.6058411214953274</v>
      </c>
      <c r="Y46" s="401"/>
      <c r="Z46" s="401"/>
      <c r="AA46" s="174"/>
      <c r="AB46" s="660" t="s">
        <v>32</v>
      </c>
      <c r="AC46" s="661"/>
      <c r="AD46" s="661"/>
      <c r="AE46" s="661"/>
      <c r="AF46" s="234">
        <v>0.32400000000000001</v>
      </c>
      <c r="AG46" s="234">
        <v>0.19450000000000001</v>
      </c>
      <c r="AH46" s="235">
        <v>0.32969999999999999</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9.9447513812154504</v>
      </c>
      <c r="R47" s="125">
        <f>((R43-R45)/(R45-R46))*100</f>
        <v>11.300000703988349</v>
      </c>
      <c r="S47" s="126">
        <f>((S43-S45)/(S45-S46))*100</f>
        <v>13.830568894439665</v>
      </c>
      <c r="T47" s="174"/>
      <c r="U47" s="555" t="s">
        <v>162</v>
      </c>
      <c r="V47" s="555"/>
      <c r="W47" s="179" t="s">
        <v>41</v>
      </c>
      <c r="X47" s="402">
        <f>IF(L25=D103,"-",IF(L25=D102,"-",IF(L25=D101,M25)))</f>
        <v>27.19</v>
      </c>
      <c r="Y47" s="402"/>
      <c r="Z47" s="402"/>
      <c r="AA47" s="174"/>
      <c r="AB47" s="662" t="s">
        <v>33</v>
      </c>
      <c r="AC47" s="663"/>
      <c r="AD47" s="663"/>
      <c r="AE47" s="663"/>
      <c r="AF47" s="232">
        <f>(AF46-AF45)*2.54</f>
        <v>0.51562000000000008</v>
      </c>
      <c r="AG47" s="232">
        <f>(AG46-AG45)*2.54</f>
        <v>0.24561800000000003</v>
      </c>
      <c r="AH47" s="239">
        <f>(AH46-AH45)*2.54</f>
        <v>0.211836</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4.4450000000000012</v>
      </c>
      <c r="AG48" s="142">
        <f>IF(AG47&lt;&gt;"",IF(R24&lt;&gt;"",AG47/R24*100,""),"")</f>
        <v>2.1137521514629953</v>
      </c>
      <c r="AH48" s="173">
        <f>IF(AH47&lt;&gt;"",IF(S24&lt;&gt;"",AH47/S24*100,""),"")</f>
        <v>1.8167753001715266</v>
      </c>
    </row>
    <row r="49" spans="1:40"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40"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5.3999999999999999E-2</v>
      </c>
      <c r="AM50" s="42">
        <v>1.9736842105263157E-2</v>
      </c>
      <c r="AN50" s="42">
        <f>11.2*AM50/10.36</f>
        <v>2.1337126600284494E-2</v>
      </c>
    </row>
    <row r="51" spans="1:40"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0.61499999999999999</v>
      </c>
      <c r="AM51" s="42">
        <v>0.24210526315789474</v>
      </c>
      <c r="AN51" s="42">
        <f t="shared" ref="AN51:AN61" si="5">11.2*AM51/10.36</f>
        <v>0.26173541963015645</v>
      </c>
    </row>
    <row r="52" spans="1:40"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1.6890000000000001</v>
      </c>
      <c r="AM52" s="42">
        <v>0.96578947368421053</v>
      </c>
      <c r="AN52" s="42">
        <f t="shared" si="5"/>
        <v>1.0440967283072546</v>
      </c>
    </row>
    <row r="53" spans="1:40"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2.96</v>
      </c>
      <c r="AM53" s="42">
        <v>1.875</v>
      </c>
      <c r="AN53" s="42">
        <f t="shared" si="5"/>
        <v>2.0270270270270272</v>
      </c>
    </row>
    <row r="54" spans="1:40"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4.1159999999999997</v>
      </c>
      <c r="AM54" s="42">
        <v>2.0046052631578948</v>
      </c>
      <c r="AN54" s="42">
        <f t="shared" si="5"/>
        <v>2.1671408250355619</v>
      </c>
    </row>
    <row r="55" spans="1:40"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5.4859999999999998</v>
      </c>
      <c r="AM55" s="42">
        <v>2.2315789473684209</v>
      </c>
      <c r="AN55" s="42">
        <f t="shared" si="5"/>
        <v>2.4125177809388334</v>
      </c>
    </row>
    <row r="56" spans="1:40"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6.7450000000000001</v>
      </c>
      <c r="AM56" s="42">
        <v>2.9776315789473684</v>
      </c>
      <c r="AN56" s="42">
        <f t="shared" si="5"/>
        <v>3.2190611664295874</v>
      </c>
    </row>
    <row r="57" spans="1:40"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7.8120000000000003</v>
      </c>
      <c r="AM57" s="42">
        <v>3.8842105263157896</v>
      </c>
      <c r="AN57" s="42">
        <f t="shared" si="5"/>
        <v>4.1991465149359888</v>
      </c>
    </row>
    <row r="58" spans="1:40"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8.6950000000000003</v>
      </c>
      <c r="AM58" s="42">
        <v>4.6493421052631581</v>
      </c>
      <c r="AN58" s="42">
        <f t="shared" si="5"/>
        <v>5.0263157894736841</v>
      </c>
    </row>
    <row r="59" spans="1:40"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12.343999999999999</v>
      </c>
      <c r="AM59" s="42">
        <v>7.3743421052631577</v>
      </c>
      <c r="AN59" s="42">
        <f t="shared" si="5"/>
        <v>7.9722617354196297</v>
      </c>
    </row>
    <row r="60" spans="1:40"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14.839</v>
      </c>
      <c r="AM60" s="42">
        <v>9.0190789473684205</v>
      </c>
      <c r="AN60" s="42">
        <f t="shared" si="5"/>
        <v>9.7503556187766716</v>
      </c>
    </row>
    <row r="61" spans="1:40"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17.024000000000001</v>
      </c>
      <c r="AM61" s="42">
        <v>10.365131578947368</v>
      </c>
      <c r="AN61" s="42">
        <f t="shared" si="5"/>
        <v>11.205547652916074</v>
      </c>
    </row>
    <row r="62" spans="1:40"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40"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40"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10.5</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-1.0699999999999999E-2</v>
      </c>
      <c r="G74" s="75">
        <v>-0.12509999999999999</v>
      </c>
      <c r="J74" s="701"/>
      <c r="K74" s="702"/>
      <c r="L74" s="44"/>
      <c r="M74" s="44"/>
      <c r="N74" s="44"/>
    </row>
    <row r="75" spans="1:94" ht="26.25" customHeight="1" thickBot="1" x14ac:dyDescent="0.3">
      <c r="A75" s="11"/>
      <c r="B75" s="377" t="s">
        <v>113</v>
      </c>
      <c r="C75" s="377"/>
      <c r="D75" s="19"/>
      <c r="E75" s="54" t="s">
        <v>12</v>
      </c>
      <c r="F75" s="55">
        <v>0.17849999999999999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1.4639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0.61499999999999999</v>
      </c>
      <c r="AM76" s="3">
        <f t="shared" si="6"/>
        <v>0.31832298136645959</v>
      </c>
      <c r="AN76" s="5">
        <f>AA23</f>
        <v>0.26173541963015645</v>
      </c>
      <c r="AO76" s="3">
        <f t="shared" ref="AO76:AO86" si="9">((AN76/19.32)*10)</f>
        <v>0.13547381968434599</v>
      </c>
      <c r="AP76" s="5">
        <f>AE23</f>
        <v>0.18433815789473687</v>
      </c>
      <c r="AQ76" s="161">
        <f t="shared" si="7"/>
        <v>9.541312520431515E-2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1.6890000000000001</v>
      </c>
      <c r="AM77" s="3">
        <f t="shared" si="6"/>
        <v>0.87422360248447206</v>
      </c>
      <c r="AN77" s="5">
        <f>AA24</f>
        <v>1.0440967283072546</v>
      </c>
      <c r="AO77" s="3">
        <f t="shared" si="9"/>
        <v>0.54042273721907597</v>
      </c>
      <c r="AP77" s="5">
        <f>AE24</f>
        <v>0.50625552631578963</v>
      </c>
      <c r="AQ77" s="161">
        <f t="shared" si="7"/>
        <v>0.2620370219025826</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2.96</v>
      </c>
      <c r="AM78" s="3">
        <f t="shared" si="6"/>
        <v>1.5320910973084887</v>
      </c>
      <c r="AN78" s="5">
        <f>AA25</f>
        <v>2.0270270270270272</v>
      </c>
      <c r="AO78" s="3">
        <f t="shared" si="9"/>
        <v>1.0491858317945275</v>
      </c>
      <c r="AP78" s="5">
        <f>AE25</f>
        <v>0.88722105263157902</v>
      </c>
      <c r="AQ78" s="161">
        <f t="shared" si="7"/>
        <v>0.45922414732483385</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4.1159999999999997</v>
      </c>
      <c r="AM79" s="4">
        <f t="shared" si="6"/>
        <v>2.1304347826086953</v>
      </c>
      <c r="AN79" s="5">
        <f>AA26</f>
        <v>2.6</v>
      </c>
      <c r="AO79" s="4">
        <f t="shared" si="9"/>
        <v>1.3457556935817805</v>
      </c>
      <c r="AP79" s="5">
        <f>AE26</f>
        <v>1.2337168421052631</v>
      </c>
      <c r="AQ79" s="162">
        <f t="shared" si="7"/>
        <v>0.6385697940503432</v>
      </c>
      <c r="BB79" s="12">
        <v>17</v>
      </c>
      <c r="BC79" s="12">
        <v>18</v>
      </c>
    </row>
    <row r="80" spans="1:94" ht="42" customHeight="1" thickTop="1" thickBot="1" x14ac:dyDescent="0.3">
      <c r="D80" s="49"/>
      <c r="H80" s="711" t="s">
        <v>105</v>
      </c>
      <c r="I80" s="712"/>
      <c r="J80" s="58"/>
      <c r="AJ80" s="160">
        <f>U28</f>
        <v>0.125</v>
      </c>
      <c r="AK80" s="3">
        <f t="shared" si="8"/>
        <v>3.1749999999999998</v>
      </c>
      <c r="AL80" s="5">
        <f>W28</f>
        <v>5.4859999999999998</v>
      </c>
      <c r="AM80" s="3">
        <f t="shared" si="6"/>
        <v>2.839544513457557</v>
      </c>
      <c r="AN80" s="5">
        <f>AA28</f>
        <v>3.2</v>
      </c>
      <c r="AO80" s="3">
        <f t="shared" si="9"/>
        <v>1.6563146997929605</v>
      </c>
      <c r="AP80" s="5">
        <f>AE28</f>
        <v>1.6443563157894738</v>
      </c>
      <c r="AQ80" s="161">
        <f t="shared" si="7"/>
        <v>0.85111610548109407</v>
      </c>
      <c r="BC80" s="45">
        <v>0.99880400000000003</v>
      </c>
      <c r="BD80" s="45">
        <v>0.99862499999999998</v>
      </c>
    </row>
    <row r="81" spans="2:43" ht="15.75" customHeight="1" x14ac:dyDescent="0.25">
      <c r="AJ81" s="160">
        <f>U30</f>
        <v>0.15</v>
      </c>
      <c r="AK81" s="3">
        <f t="shared" si="8"/>
        <v>3.8099999999999996</v>
      </c>
      <c r="AL81" s="5">
        <f>W30</f>
        <v>6.7450000000000001</v>
      </c>
      <c r="AM81" s="3">
        <f t="shared" si="6"/>
        <v>3.4912008281573499</v>
      </c>
      <c r="AN81" s="5">
        <f>AA30</f>
        <v>3.9</v>
      </c>
      <c r="AO81" s="3">
        <f t="shared" si="9"/>
        <v>2.0186335403726705</v>
      </c>
      <c r="AP81" s="5">
        <f>AE30</f>
        <v>2.021725</v>
      </c>
      <c r="AQ81" s="161">
        <f t="shared" si="7"/>
        <v>1.0464415113871635</v>
      </c>
    </row>
    <row r="82" spans="2:43" ht="36.75" customHeight="1" x14ac:dyDescent="0.25">
      <c r="B82" s="705"/>
      <c r="C82" s="705"/>
      <c r="D82" s="705"/>
      <c r="E82" s="705"/>
      <c r="F82" s="705" t="s">
        <v>159</v>
      </c>
      <c r="G82" s="705"/>
      <c r="H82" s="705"/>
      <c r="I82" s="705"/>
      <c r="J82" s="705"/>
      <c r="K82" s="705"/>
      <c r="O82" s="706" t="s">
        <v>145</v>
      </c>
      <c r="P82" s="706"/>
      <c r="Q82" s="706"/>
      <c r="R82" s="706"/>
      <c r="S82" s="707">
        <v>2.74</v>
      </c>
      <c r="AJ82" s="160">
        <f>U31</f>
        <v>0.17499999999999999</v>
      </c>
      <c r="AK82" s="3">
        <f t="shared" si="8"/>
        <v>4.4449999999999994</v>
      </c>
      <c r="AL82" s="5">
        <f>W31</f>
        <v>7.8120000000000003</v>
      </c>
      <c r="AM82" s="3">
        <f t="shared" si="6"/>
        <v>4.0434782608695654</v>
      </c>
      <c r="AN82" s="5">
        <f>AA31</f>
        <v>4.5999999999999996</v>
      </c>
      <c r="AO82" s="3">
        <f t="shared" si="9"/>
        <v>2.3809523809523809</v>
      </c>
      <c r="AP82" s="5">
        <f>AE31</f>
        <v>2.3415442105263158</v>
      </c>
      <c r="AQ82" s="161">
        <f t="shared" si="7"/>
        <v>1.2119794050343249</v>
      </c>
    </row>
    <row r="83" spans="2:43" ht="15" customHeight="1" x14ac:dyDescent="0.25">
      <c r="B83" s="49"/>
      <c r="C83" s="49"/>
      <c r="D83" s="49">
        <v>0</v>
      </c>
      <c r="E83" s="50">
        <f>M42</f>
        <v>8.3411214953271031</v>
      </c>
      <c r="F83" s="49"/>
      <c r="G83" s="43">
        <f>G84/10</f>
        <v>2.4442774564033067</v>
      </c>
      <c r="H83" s="43">
        <f>H84/10</f>
        <v>2.3397063448083748</v>
      </c>
      <c r="I83" s="43">
        <f>I84/10</f>
        <v>2.2660437121214585</v>
      </c>
      <c r="J83" s="43">
        <f>J84/10</f>
        <v>2.1561796316277917</v>
      </c>
      <c r="K83" s="43"/>
      <c r="L83" s="42">
        <v>0</v>
      </c>
      <c r="O83" s="706"/>
      <c r="P83" s="706"/>
      <c r="Q83" s="706"/>
      <c r="R83" s="706"/>
      <c r="S83" s="707"/>
      <c r="W83" s="112"/>
      <c r="AJ83" s="160">
        <f>U33</f>
        <v>0.2</v>
      </c>
      <c r="AK83" s="4">
        <f t="shared" si="8"/>
        <v>5.08</v>
      </c>
      <c r="AL83" s="5">
        <f>W33</f>
        <v>8.6950000000000003</v>
      </c>
      <c r="AM83" s="4">
        <f t="shared" si="6"/>
        <v>4.5005175983436851</v>
      </c>
      <c r="AN83" s="5">
        <f>AA33</f>
        <v>5.2</v>
      </c>
      <c r="AO83" s="4">
        <f t="shared" si="9"/>
        <v>2.691511387163561</v>
      </c>
      <c r="AP83" s="5">
        <f>AE33</f>
        <v>2.6062118421052634</v>
      </c>
      <c r="AQ83" s="162">
        <f t="shared" si="7"/>
        <v>1.3489709327666994</v>
      </c>
    </row>
    <row r="84" spans="2:43" ht="15" customHeight="1" x14ac:dyDescent="0.25">
      <c r="C84" s="94"/>
      <c r="D84" s="94"/>
      <c r="E84" s="94"/>
      <c r="F84" s="49"/>
      <c r="G84" s="43">
        <f>($M$34/(1+(E34*$M$34/100)))*($O$73)</f>
        <v>24.442774564033066</v>
      </c>
      <c r="H84" s="43">
        <f>($M$34/(1+(F34*$M$34/100)))*($O$73)</f>
        <v>23.397063448083749</v>
      </c>
      <c r="I84" s="43">
        <f>($M$34/(1+(G34*$M$34/100)))*($O$73)</f>
        <v>22.660437121214585</v>
      </c>
      <c r="J84" s="43">
        <f>($M$34/(1+(H34*$M$34/100)))*($O$73)</f>
        <v>21.561796316277917</v>
      </c>
      <c r="K84" s="43"/>
      <c r="O84" s="706" t="s">
        <v>146</v>
      </c>
      <c r="P84" s="706"/>
      <c r="Q84" s="706"/>
      <c r="R84" s="706"/>
      <c r="S84" s="707">
        <v>2240</v>
      </c>
      <c r="W84" s="112"/>
      <c r="AJ84" s="160">
        <f>U34</f>
        <v>0.3</v>
      </c>
      <c r="AK84" s="3">
        <f t="shared" si="8"/>
        <v>7.6199999999999992</v>
      </c>
      <c r="AL84" s="5">
        <f>W34</f>
        <v>12.343999999999999</v>
      </c>
      <c r="AM84" s="3">
        <f t="shared" si="6"/>
        <v>6.3892339544513455</v>
      </c>
      <c r="AN84" s="5">
        <f>AA34</f>
        <v>7.9722617354196297</v>
      </c>
      <c r="AO84" s="3">
        <f t="shared" si="9"/>
        <v>4.1264294696788975</v>
      </c>
      <c r="AP84" s="5">
        <f>AE34</f>
        <v>3.6999515789473683</v>
      </c>
      <c r="AQ84" s="161">
        <f t="shared" si="7"/>
        <v>1.915088808978969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14.839</v>
      </c>
      <c r="AM85" s="3">
        <f t="shared" si="6"/>
        <v>7.6806418219461703</v>
      </c>
      <c r="AN85" s="5">
        <f>AA35</f>
        <v>9.7503556187766716</v>
      </c>
      <c r="AO85" s="3">
        <f t="shared" si="9"/>
        <v>5.0467679186214651</v>
      </c>
      <c r="AP85" s="5">
        <f>AE35</f>
        <v>4.4477950000000002</v>
      </c>
      <c r="AQ85" s="161">
        <f>((AP85/19.32)*10)</f>
        <v>2.3021713250517597</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17.024000000000001</v>
      </c>
      <c r="AM86" s="164">
        <f t="shared" si="6"/>
        <v>8.8115942028985508</v>
      </c>
      <c r="AN86" s="165">
        <f>AA37</f>
        <v>11.205547652916074</v>
      </c>
      <c r="AO86" s="164">
        <f t="shared" si="9"/>
        <v>5.7999729052360625</v>
      </c>
      <c r="AP86" s="165">
        <f>AE37</f>
        <v>4.7850000000000001</v>
      </c>
      <c r="AQ86" s="166">
        <f>((AP86/19.32)*10)</f>
        <v>2.4767080745341614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2.2177264231069667</v>
      </c>
      <c r="AK91" s="9">
        <f>R31</f>
        <v>2.035043722244001</v>
      </c>
      <c r="AL91" s="10">
        <f>S31</f>
        <v>1.8100049088983805</v>
      </c>
    </row>
    <row r="92" spans="2:43" ht="21" customHeight="1" thickBot="1" x14ac:dyDescent="0.3">
      <c r="B92" s="92"/>
      <c r="C92" s="93"/>
      <c r="D92" s="93"/>
      <c r="E92" s="93"/>
      <c r="F92" s="62"/>
      <c r="G92" s="63"/>
      <c r="H92" s="49"/>
      <c r="I92" s="49"/>
      <c r="O92" s="725" t="s">
        <v>147</v>
      </c>
      <c r="P92" s="726"/>
      <c r="Q92" s="726"/>
      <c r="R92" s="726"/>
      <c r="S92" s="61">
        <f>M42</f>
        <v>8.3411214953271031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30.87586641461877</v>
      </c>
      <c r="AK94" s="158">
        <f>AA42</f>
        <v>19.503705704083774</v>
      </c>
      <c r="AL94" s="158">
        <f>AD42</f>
        <v>9.2546346963817854</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506" priority="47">
      <formula>LEN(TRIM(D6))=0</formula>
    </cfRule>
  </conditionalFormatting>
  <conditionalFormatting sqref="D6:H10">
    <cfRule type="containsBlanks" dxfId="505" priority="46">
      <formula>LEN(TRIM(D6))=0</formula>
    </cfRule>
  </conditionalFormatting>
  <conditionalFormatting sqref="M19">
    <cfRule type="containsBlanks" dxfId="504" priority="45">
      <formula>LEN(TRIM(M19))=0</formula>
    </cfRule>
  </conditionalFormatting>
  <conditionalFormatting sqref="CP70">
    <cfRule type="containsBlanks" dxfId="503" priority="44">
      <formula>LEN(TRIM(CP70))=0</formula>
    </cfRule>
  </conditionalFormatting>
  <conditionalFormatting sqref="M21">
    <cfRule type="containsBlanks" dxfId="502" priority="43">
      <formula>LEN(TRIM(M21))=0</formula>
    </cfRule>
  </conditionalFormatting>
  <conditionalFormatting sqref="D12:M12">
    <cfRule type="containsBlanks" dxfId="501" priority="42">
      <formula>LEN(TRIM(D12))=0</formula>
    </cfRule>
  </conditionalFormatting>
  <conditionalFormatting sqref="L9:M9">
    <cfRule type="containsBlanks" dxfId="500" priority="41">
      <formula>LEN(TRIM(L9))=0</formula>
    </cfRule>
  </conditionalFormatting>
  <conditionalFormatting sqref="L25">
    <cfRule type="containsBlanks" dxfId="499" priority="40">
      <formula>LEN(TRIM(L25))=0</formula>
    </cfRule>
  </conditionalFormatting>
  <conditionalFormatting sqref="U26:V27 AC33 AC26">
    <cfRule type="cellIs" dxfId="498" priority="39" operator="between">
      <formula>0</formula>
      <formula>500</formula>
    </cfRule>
  </conditionalFormatting>
  <conditionalFormatting sqref="U33:V33">
    <cfRule type="cellIs" dxfId="497" priority="38" operator="between">
      <formula>0</formula>
      <formula>500</formula>
    </cfRule>
  </conditionalFormatting>
  <conditionalFormatting sqref="AF45:AH46">
    <cfRule type="containsBlanks" dxfId="496" priority="37">
      <formula>LEN(TRIM(AF45))=0</formula>
    </cfRule>
  </conditionalFormatting>
  <conditionalFormatting sqref="AF51:AG53">
    <cfRule type="containsBlanks" dxfId="495" priority="36">
      <formula>LEN(TRIM(AF51))=0</formula>
    </cfRule>
  </conditionalFormatting>
  <conditionalFormatting sqref="M25">
    <cfRule type="containsBlanks" dxfId="494" priority="35">
      <formula>LEN(TRIM(M25))=0</formula>
    </cfRule>
  </conditionalFormatting>
  <conditionalFormatting sqref="U26:V27 Y26:Z27 AC26:AD27 AG26:AG27">
    <cfRule type="containsBlanks" dxfId="493" priority="33">
      <formula>LEN(TRIM(U26))=0</formula>
    </cfRule>
    <cfRule type="cellIs" dxfId="492" priority="34" operator="between">
      <formula>0</formula>
      <formula>1000</formula>
    </cfRule>
  </conditionalFormatting>
  <conditionalFormatting sqref="W87:W88">
    <cfRule type="cellIs" dxfId="491" priority="32" operator="between">
      <formula>0</formula>
      <formula>500</formula>
    </cfRule>
  </conditionalFormatting>
  <conditionalFormatting sqref="W94">
    <cfRule type="cellIs" dxfId="490" priority="31" operator="between">
      <formula>0</formula>
      <formula>500</formula>
    </cfRule>
  </conditionalFormatting>
  <conditionalFormatting sqref="W87:W88">
    <cfRule type="containsBlanks" dxfId="489" priority="29">
      <formula>LEN(TRIM(W87))=0</formula>
    </cfRule>
    <cfRule type="cellIs" dxfId="488" priority="30" operator="between">
      <formula>0</formula>
      <formula>1000</formula>
    </cfRule>
  </conditionalFormatting>
  <conditionalFormatting sqref="U33:V33 Y33:Z33 AC33:AD33 AG33">
    <cfRule type="cellIs" dxfId="487" priority="28" operator="between">
      <formula>0</formula>
      <formula>1000</formula>
    </cfRule>
  </conditionalFormatting>
  <conditionalFormatting sqref="Q27:S27">
    <cfRule type="containsBlanks" dxfId="486" priority="26">
      <formula>LEN(TRIM(Q27))=0</formula>
    </cfRule>
    <cfRule type="containsBlanks" dxfId="485" priority="27">
      <formula>LEN(TRIM(Q27))=0</formula>
    </cfRule>
  </conditionalFormatting>
  <conditionalFormatting sqref="W30:W31 W33:W35 W37 W28 W22:W26">
    <cfRule type="containsBlanks" dxfId="484" priority="25">
      <formula>LEN(TRIM(W22))=0</formula>
    </cfRule>
  </conditionalFormatting>
  <conditionalFormatting sqref="W37 W30:W31 W33:W35 W28 W22:W26">
    <cfRule type="containsBlanks" dxfId="483" priority="24">
      <formula>LEN(TRIM(W22))=0</formula>
    </cfRule>
  </conditionalFormatting>
  <conditionalFormatting sqref="W33:X33">
    <cfRule type="cellIs" dxfId="482" priority="23" operator="between">
      <formula>0</formula>
      <formula>1000</formula>
    </cfRule>
  </conditionalFormatting>
  <conditionalFormatting sqref="W30:X37 W26 W28 W22:X25">
    <cfRule type="containsBlanks" dxfId="481" priority="22">
      <formula>LEN(TRIM(W22))=0</formula>
    </cfRule>
  </conditionalFormatting>
  <conditionalFormatting sqref="AA37 AA30:AA31 AA33 AA22:AA26 AA28 AA35">
    <cfRule type="containsBlanks" dxfId="480" priority="21">
      <formula>LEN(TRIM(AA22))=0</formula>
    </cfRule>
  </conditionalFormatting>
  <conditionalFormatting sqref="AA37 AA30:AA31 AA33 AA22:AA26 AA28 AA35">
    <cfRule type="containsBlanks" dxfId="479" priority="20">
      <formula>LEN(TRIM(AA22))=0</formula>
    </cfRule>
  </conditionalFormatting>
  <conditionalFormatting sqref="AA33:AB33">
    <cfRule type="cellIs" dxfId="478" priority="19" operator="between">
      <formula>0</formula>
      <formula>1000</formula>
    </cfRule>
  </conditionalFormatting>
  <conditionalFormatting sqref="AA30:AB30 AA31 AA33:AB33 AA22:AB25 AA26 AA28 AA35:AB37">
    <cfRule type="containsBlanks" dxfId="477" priority="18">
      <formula>LEN(TRIM(AA22))=0</formula>
    </cfRule>
  </conditionalFormatting>
  <conditionalFormatting sqref="AE37 AE28 AE30:AE31 AE33:AE35 AE22:AE26">
    <cfRule type="containsBlanks" dxfId="476" priority="17">
      <formula>LEN(TRIM(AE22))=0</formula>
    </cfRule>
  </conditionalFormatting>
  <conditionalFormatting sqref="AE37 AE28 AE30:AE31 AE33:AE35 AE22:AE26">
    <cfRule type="containsBlanks" dxfId="475" priority="16">
      <formula>LEN(TRIM(AE22))=0</formula>
    </cfRule>
  </conditionalFormatting>
  <conditionalFormatting sqref="AE33:AF33">
    <cfRule type="cellIs" dxfId="474" priority="15" operator="between">
      <formula>0</formula>
      <formula>1000</formula>
    </cfRule>
  </conditionalFormatting>
  <conditionalFormatting sqref="AE33:AF37 AE26 AE28 AE30:AE31 AE22:AF25">
    <cfRule type="containsBlanks" dxfId="473" priority="14">
      <formula>LEN(TRIM(AE22))=0</formula>
    </cfRule>
  </conditionalFormatting>
  <conditionalFormatting sqref="K6:M6">
    <cfRule type="containsBlanks" dxfId="472" priority="13">
      <formula>LEN(TRIM(K6))=0</formula>
    </cfRule>
  </conditionalFormatting>
  <conditionalFormatting sqref="K7:K8">
    <cfRule type="containsBlanks" dxfId="471" priority="12">
      <formula>LEN(TRIM(K7))=0</formula>
    </cfRule>
  </conditionalFormatting>
  <conditionalFormatting sqref="B6:B10">
    <cfRule type="containsBlanks" dxfId="470" priority="10">
      <formula>LEN(TRIM(B6))=0</formula>
    </cfRule>
  </conditionalFormatting>
  <conditionalFormatting sqref="B12:B13">
    <cfRule type="containsBlanks" dxfId="469" priority="9">
      <formula>LEN(TRIM(B12))=0</formula>
    </cfRule>
  </conditionalFormatting>
  <conditionalFormatting sqref="E20:H24">
    <cfRule type="containsBlanks" dxfId="468" priority="8">
      <formula>LEN(TRIM(E20))=0</formula>
    </cfRule>
  </conditionalFormatting>
  <conditionalFormatting sqref="E28:H33">
    <cfRule type="containsBlanks" dxfId="467" priority="7">
      <formula>LEN(TRIM(E28))=0</formula>
    </cfRule>
  </conditionalFormatting>
  <conditionalFormatting sqref="Q20:S26">
    <cfRule type="containsBlanks" dxfId="466" priority="5">
      <formula>LEN(TRIM(Q20))=0</formula>
    </cfRule>
    <cfRule type="containsBlanks" dxfId="465" priority="6">
      <formula>LEN(TRIM(Q20))=0</formula>
    </cfRule>
  </conditionalFormatting>
  <conditionalFormatting sqref="Q34:S39">
    <cfRule type="containsBlanks" dxfId="464" priority="4">
      <formula>LEN(TRIM(Q34))=0</formula>
    </cfRule>
  </conditionalFormatting>
  <conditionalFormatting sqref="Q42:S46">
    <cfRule type="containsBlanks" dxfId="463" priority="3">
      <formula>LEN(TRIM(Q42))=0</formula>
    </cfRule>
  </conditionalFormatting>
  <conditionalFormatting sqref="D13">
    <cfRule type="containsBlanks" dxfId="462" priority="2">
      <formula>LEN(TRIM(D13))=0</formula>
    </cfRule>
  </conditionalFormatting>
  <conditionalFormatting sqref="D13">
    <cfRule type="containsBlanks" dxfId="461" priority="1">
      <formula>LEN(TRIM(D13))=0</formula>
    </cfRule>
  </conditionalFormatting>
  <dataValidations count="5">
    <dataValidation type="list" allowBlank="1" showInputMessage="1" showErrorMessage="1" sqref="D12:E12" xr:uid="{00000000-0002-0000-3100-000000000000}">
      <formula1>$B$87:$B$94</formula1>
    </dataValidation>
    <dataValidation type="list" allowBlank="1" showInputMessage="1" showErrorMessage="1" sqref="CP70" xr:uid="{00000000-0002-0000-3100-000001000000}">
      <formula1>$BA$3:$BA$5</formula1>
    </dataValidation>
    <dataValidation type="list" allowBlank="1" showInputMessage="1" showErrorMessage="1" sqref="M19" xr:uid="{00000000-0002-0000-3100-000002000000}">
      <formula1>$AX$3:$AX$5</formula1>
    </dataValidation>
    <dataValidation type="list" allowBlank="1" showInputMessage="1" showErrorMessage="1" sqref="M21" xr:uid="{00000000-0002-0000-3100-000003000000}">
      <formula1>$AX$3:$AX$4</formula1>
    </dataValidation>
    <dataValidation type="list" allowBlank="1" showInputMessage="1" showErrorMessage="1" sqref="L25" xr:uid="{00000000-0002-0000-3100-000004000000}">
      <formula1>$D$101:$D$104</formula1>
    </dataValidation>
  </dataValidations>
  <hyperlinks>
    <hyperlink ref="D8" r:id="rId1" xr:uid="{00000000-0004-0000-31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84321"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84322"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84323"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8432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84325"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84326"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84327"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8432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8432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8433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91">
    <tabColor theme="7" tint="0.59999389629810485"/>
  </sheetPr>
  <dimension ref="A1:CP153"/>
  <sheetViews>
    <sheetView view="pageBreakPreview" topLeftCell="E1" zoomScale="55" zoomScaleNormal="100" zoomScaleSheetLayoutView="55"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45968</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45968</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25-LA T-V- ROZO AP3-4</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25-LA T-V- ROZO AP3-4</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299</v>
      </c>
      <c r="G12" s="31" t="s">
        <v>4</v>
      </c>
      <c r="H12" s="146">
        <v>4</v>
      </c>
      <c r="I12" s="546" t="s">
        <v>5</v>
      </c>
      <c r="J12" s="546"/>
      <c r="K12" s="209" t="s">
        <v>300</v>
      </c>
      <c r="L12" s="32" t="s">
        <v>6</v>
      </c>
      <c r="M12" s="147">
        <v>2</v>
      </c>
      <c r="N12" s="78"/>
      <c r="O12" s="501" t="s">
        <v>3</v>
      </c>
      <c r="P12" s="501"/>
      <c r="Q12" s="225" t="s">
        <v>234</v>
      </c>
      <c r="R12" s="224" t="str">
        <f>F12</f>
        <v>LA T-V- ROZO AP3</v>
      </c>
      <c r="S12" s="224"/>
      <c r="T12" s="502" t="s">
        <v>4</v>
      </c>
      <c r="U12" s="502"/>
      <c r="V12" s="33">
        <f>+H12</f>
        <v>4</v>
      </c>
      <c r="W12" s="547" t="s">
        <v>5</v>
      </c>
      <c r="X12" s="547"/>
      <c r="Y12" s="547"/>
      <c r="Z12" s="547"/>
      <c r="AA12" s="547"/>
      <c r="AB12" s="547"/>
      <c r="AC12" s="34" t="str">
        <f>K12</f>
        <v>1,60m</v>
      </c>
      <c r="AD12" s="548" t="s">
        <v>6</v>
      </c>
      <c r="AE12" s="548"/>
      <c r="AF12" s="35">
        <f>+M12</f>
        <v>2</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301</v>
      </c>
      <c r="E13" s="791"/>
      <c r="F13" s="791"/>
      <c r="G13" s="791"/>
      <c r="H13" s="791"/>
      <c r="I13" s="791"/>
      <c r="J13" s="791"/>
      <c r="K13" s="791"/>
      <c r="L13" s="791"/>
      <c r="M13" s="791"/>
      <c r="N13" s="188"/>
      <c r="O13" s="526" t="s">
        <v>130</v>
      </c>
      <c r="P13" s="526"/>
      <c r="Q13" s="527" t="str">
        <f>D13</f>
        <v>ARENA FINA CON LIMO, COLOR GRIS VERDOSO, CEMENTACIÓN DÉBIL,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504</v>
      </c>
      <c r="R20" s="148">
        <v>563</v>
      </c>
      <c r="S20" s="149">
        <v>546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6854</v>
      </c>
      <c r="F22" s="219">
        <v>7177</v>
      </c>
      <c r="G22" s="219">
        <v>7250</v>
      </c>
      <c r="H22" s="151">
        <v>7056</v>
      </c>
      <c r="I22" s="174"/>
      <c r="J22" s="578"/>
      <c r="K22" s="578"/>
      <c r="L22" s="578"/>
      <c r="M22" s="104"/>
      <c r="N22" s="103"/>
      <c r="O22" s="579" t="s">
        <v>132</v>
      </c>
      <c r="P22" s="580"/>
      <c r="Q22" s="150">
        <v>7980</v>
      </c>
      <c r="R22" s="219">
        <v>7771.9557797148718</v>
      </c>
      <c r="S22" s="208">
        <v>7635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1.0692126909518214E-2</v>
      </c>
      <c r="AJ22" s="42">
        <v>1.743384351308826E-2</v>
      </c>
      <c r="AK22" s="42">
        <f>AL22*0.76</f>
        <v>0.27628455934195062</v>
      </c>
      <c r="AL22" s="42">
        <v>0.36353231492361926</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3788</v>
      </c>
      <c r="R23" s="150">
        <v>3644</v>
      </c>
      <c r="S23" s="151">
        <v>3562</v>
      </c>
      <c r="T23" s="174"/>
      <c r="U23" s="112">
        <v>2.5000000000000001E-2</v>
      </c>
      <c r="V23" s="113">
        <f>U23*25.4</f>
        <v>0.63500000000000001</v>
      </c>
      <c r="W23" s="581">
        <f>AI23</f>
        <v>0.12177144535840188</v>
      </c>
      <c r="X23" s="582"/>
      <c r="Y23" s="449">
        <f>((W23/19.32)*10)</f>
        <v>6.3028698425673851E-2</v>
      </c>
      <c r="Z23" s="450"/>
      <c r="AA23" s="581">
        <f>AJ23</f>
        <v>8.0988127592619086E-2</v>
      </c>
      <c r="AB23" s="582"/>
      <c r="AC23" s="449">
        <f>((AA23/19.32)*10)</f>
        <v>4.1919320700113394E-2</v>
      </c>
      <c r="AD23" s="450"/>
      <c r="AE23" s="581">
        <f>AK23</f>
        <v>4.1402291421856641E-2</v>
      </c>
      <c r="AF23" s="582"/>
      <c r="AG23" s="114">
        <f>((AE23/19.32)*10)</f>
        <v>2.142975746472911E-2</v>
      </c>
      <c r="AH23" s="104"/>
      <c r="AI23" s="42">
        <f t="shared" ref="AI23:AI33" si="2">AJ51</f>
        <v>0.12177144535840188</v>
      </c>
      <c r="AJ23" s="42">
        <v>8.0988127592619086E-2</v>
      </c>
      <c r="AK23" s="42">
        <f t="shared" ref="AK23:AK33" si="3">AL23*0.76</f>
        <v>4.1402291421856641E-2</v>
      </c>
      <c r="AL23" s="42">
        <v>5.4476699239285054E-2</v>
      </c>
      <c r="AO23" s="42">
        <v>0.247</v>
      </c>
      <c r="AS23" s="42">
        <f t="shared" ref="AS23:AS37" si="4">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v>
      </c>
      <c r="R24" s="150">
        <v>11.61</v>
      </c>
      <c r="S24" s="151">
        <v>11.6</v>
      </c>
      <c r="T24" s="174"/>
      <c r="U24" s="112">
        <v>0.05</v>
      </c>
      <c r="V24" s="113">
        <f>U24*25.4</f>
        <v>1.27</v>
      </c>
      <c r="W24" s="581">
        <f>AI24</f>
        <v>0.33442596944770858</v>
      </c>
      <c r="X24" s="582"/>
      <c r="Y24" s="449">
        <f>((W24/19.32)*10)</f>
        <v>0.17309832787148477</v>
      </c>
      <c r="Z24" s="450"/>
      <c r="AA24" s="581">
        <f>AJ24</f>
        <v>0.18876097840080144</v>
      </c>
      <c r="AB24" s="582"/>
      <c r="AC24" s="449">
        <f>((AA24/19.32)*10)</f>
        <v>9.7702369772671563E-2</v>
      </c>
      <c r="AD24" s="450"/>
      <c r="AE24" s="581">
        <f>AK24</f>
        <v>0.11370482961222092</v>
      </c>
      <c r="AF24" s="582"/>
      <c r="AG24" s="114">
        <f>((AE24/19.32)*10)</f>
        <v>5.885343147630482E-2</v>
      </c>
      <c r="AH24" s="104"/>
      <c r="AI24" s="42">
        <f t="shared" si="2"/>
        <v>0.33442596944770858</v>
      </c>
      <c r="AJ24" s="42">
        <v>0.18876097840080144</v>
      </c>
      <c r="AK24" s="42">
        <f t="shared" si="3"/>
        <v>0.11370482961222092</v>
      </c>
      <c r="AL24" s="42">
        <v>0.14961161791081701</v>
      </c>
      <c r="AO24" s="42">
        <v>0.68400000000000005</v>
      </c>
      <c r="AS24" s="42">
        <f t="shared" si="4"/>
        <v>0.55609756097560981</v>
      </c>
    </row>
    <row r="25" spans="1:45" ht="24.95" customHeight="1" thickBot="1" x14ac:dyDescent="0.3">
      <c r="A25" s="103"/>
      <c r="B25" s="602" t="s">
        <v>69</v>
      </c>
      <c r="C25" s="603"/>
      <c r="D25" s="603"/>
      <c r="E25" s="115">
        <f>E22-E23</f>
        <v>3970</v>
      </c>
      <c r="F25" s="220">
        <f>F22-F23</f>
        <v>4293</v>
      </c>
      <c r="G25" s="220">
        <f>G22-G23</f>
        <v>4366</v>
      </c>
      <c r="H25" s="116">
        <f>H22-H23</f>
        <v>4172</v>
      </c>
      <c r="I25" s="174"/>
      <c r="J25" s="174" t="s">
        <v>127</v>
      </c>
      <c r="K25" s="174"/>
      <c r="L25" s="218" t="s">
        <v>128</v>
      </c>
      <c r="M25" s="155">
        <v>0</v>
      </c>
      <c r="N25" s="103"/>
      <c r="O25" s="604" t="s">
        <v>46</v>
      </c>
      <c r="P25" s="605"/>
      <c r="Q25" s="608">
        <v>15.2</v>
      </c>
      <c r="R25" s="608">
        <v>15.26</v>
      </c>
      <c r="S25" s="610">
        <v>15.3</v>
      </c>
      <c r="T25" s="174"/>
      <c r="U25" s="112">
        <v>7.4999999999999997E-2</v>
      </c>
      <c r="V25" s="113">
        <f>U25*25.4</f>
        <v>1.9049999999999998</v>
      </c>
      <c r="W25" s="581">
        <f>AI25</f>
        <v>0.58608695652173926</v>
      </c>
      <c r="X25" s="582"/>
      <c r="Y25" s="449">
        <f>((W25/19.32)*10)</f>
        <v>0.30335763795121079</v>
      </c>
      <c r="Z25" s="450"/>
      <c r="AA25" s="581">
        <f>AJ25</f>
        <v>0.34867687026176525</v>
      </c>
      <c r="AB25" s="582"/>
      <c r="AC25" s="449">
        <f>((AA25/19.32)*10)</f>
        <v>0.18047457052886401</v>
      </c>
      <c r="AD25" s="450"/>
      <c r="AE25" s="581">
        <f>AK25</f>
        <v>0.19926956521739134</v>
      </c>
      <c r="AF25" s="582"/>
      <c r="AG25" s="114">
        <f>((AE25/19.32)*10)</f>
        <v>0.10314159690341165</v>
      </c>
      <c r="AH25" s="104"/>
      <c r="AI25" s="42">
        <f t="shared" si="2"/>
        <v>0.58608695652173926</v>
      </c>
      <c r="AJ25" s="42">
        <v>0.34867687026176525</v>
      </c>
      <c r="AK25" s="42">
        <f t="shared" si="3"/>
        <v>0.19926956521739134</v>
      </c>
      <c r="AL25" s="42">
        <v>0.26219679633867282</v>
      </c>
      <c r="AO25" s="42">
        <v>1.3149999999999999</v>
      </c>
      <c r="AS25" s="42">
        <f t="shared" si="4"/>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0.81497767332549942</v>
      </c>
      <c r="X26" s="779"/>
      <c r="Y26" s="461">
        <f>((W26/19.32)*10)</f>
        <v>0.42183109385377815</v>
      </c>
      <c r="Z26" s="462"/>
      <c r="AA26" s="746">
        <f>AJ26</f>
        <v>0.50890974109569442</v>
      </c>
      <c r="AB26" s="747"/>
      <c r="AC26" s="461">
        <f>((AA26/19.32)*10)</f>
        <v>0.26341083907644636</v>
      </c>
      <c r="AD26" s="462"/>
      <c r="AE26" s="746">
        <f>AK26</f>
        <v>0.27709240893066989</v>
      </c>
      <c r="AF26" s="747"/>
      <c r="AG26" s="469">
        <f>((AE26/19.32)*10)</f>
        <v>0.14342257191028462</v>
      </c>
      <c r="AH26" s="104"/>
      <c r="AI26" s="42">
        <f t="shared" si="2"/>
        <v>0.81497767332549942</v>
      </c>
      <c r="AJ26" s="42">
        <v>0.50890974109569442</v>
      </c>
      <c r="AK26" s="42">
        <f t="shared" si="3"/>
        <v>0.27709240893066989</v>
      </c>
      <c r="AL26" s="42">
        <v>0.36459527490877613</v>
      </c>
      <c r="AO26" s="42">
        <v>1.875</v>
      </c>
      <c r="AS26" s="42">
        <f t="shared" si="4"/>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2104.9173433876185</v>
      </c>
      <c r="R27" s="152">
        <f>(PI()*((R25^2)/4)*R24)</f>
        <v>2123.3968479688983</v>
      </c>
      <c r="S27" s="153">
        <f>(PI()*((S25^2)/4)*S24)</f>
        <v>2132.7047304086209</v>
      </c>
      <c r="T27" s="174"/>
      <c r="U27" s="600"/>
      <c r="V27" s="601"/>
      <c r="W27" s="780"/>
      <c r="X27" s="781"/>
      <c r="Y27" s="463"/>
      <c r="Z27" s="464"/>
      <c r="AA27" s="748"/>
      <c r="AB27" s="749"/>
      <c r="AC27" s="463"/>
      <c r="AD27" s="464"/>
      <c r="AE27" s="748"/>
      <c r="AF27" s="749"/>
      <c r="AG27" s="470"/>
      <c r="AH27" s="193"/>
      <c r="AI27" s="42">
        <f t="shared" si="2"/>
        <v>1.08624089306698</v>
      </c>
      <c r="AJ27" s="42">
        <v>0.67262938063224154</v>
      </c>
      <c r="AK27" s="42">
        <f t="shared" si="3"/>
        <v>0.36932190364277323</v>
      </c>
      <c r="AL27" s="42">
        <v>0.48594987321417532</v>
      </c>
      <c r="AO27" s="42">
        <v>2.387</v>
      </c>
      <c r="AS27" s="42">
        <f t="shared" si="4"/>
        <v>1.9406504065040651</v>
      </c>
    </row>
    <row r="28" spans="1:45" ht="24.95" customHeight="1" thickBot="1" x14ac:dyDescent="0.3">
      <c r="A28" s="103"/>
      <c r="B28" s="560" t="s">
        <v>9</v>
      </c>
      <c r="C28" s="561"/>
      <c r="D28" s="561"/>
      <c r="E28" s="148">
        <v>580</v>
      </c>
      <c r="F28" s="148">
        <v>562</v>
      </c>
      <c r="G28" s="148">
        <v>544</v>
      </c>
      <c r="H28" s="149">
        <v>560</v>
      </c>
      <c r="I28" s="174"/>
      <c r="J28" s="597" t="s">
        <v>107</v>
      </c>
      <c r="K28" s="597"/>
      <c r="L28" s="562" t="s">
        <v>119</v>
      </c>
      <c r="M28" s="459">
        <f>IF(M26="","",(100-M26))</f>
        <v>100</v>
      </c>
      <c r="N28" s="103"/>
      <c r="O28" s="625" t="s">
        <v>136</v>
      </c>
      <c r="P28" s="626"/>
      <c r="Q28" s="220">
        <f>Q22-Q23</f>
        <v>4192</v>
      </c>
      <c r="R28" s="220">
        <f>R22-R23</f>
        <v>4127.9557797148718</v>
      </c>
      <c r="S28" s="220">
        <f>S22-S23</f>
        <v>4073</v>
      </c>
      <c r="T28" s="174"/>
      <c r="U28" s="627">
        <v>0.125</v>
      </c>
      <c r="V28" s="624">
        <f>U28*25.4</f>
        <v>3.1749999999999998</v>
      </c>
      <c r="W28" s="593">
        <f>AI27</f>
        <v>1.08624089306698</v>
      </c>
      <c r="X28" s="594"/>
      <c r="Y28" s="439">
        <f>((W28/19.32)*10)</f>
        <v>0.56223648709471019</v>
      </c>
      <c r="Z28" s="440"/>
      <c r="AA28" s="593">
        <f>AJ27</f>
        <v>0.67262938063224154</v>
      </c>
      <c r="AB28" s="594"/>
      <c r="AC28" s="439">
        <f>((AA28/19.32)*10)</f>
        <v>0.34815185332931758</v>
      </c>
      <c r="AD28" s="440"/>
      <c r="AE28" s="593">
        <f>AK27</f>
        <v>0.36932190364277323</v>
      </c>
      <c r="AF28" s="594"/>
      <c r="AG28" s="443">
        <f>((AE28/19.32)*10)</f>
        <v>0.19116040561220149</v>
      </c>
      <c r="AH28" s="104"/>
      <c r="AI28" s="42">
        <f t="shared" si="2"/>
        <v>1.3355258519388955</v>
      </c>
      <c r="AJ28" s="42">
        <v>0.83603204119582331</v>
      </c>
      <c r="AK28" s="42">
        <f t="shared" si="3"/>
        <v>0.45407878965922449</v>
      </c>
      <c r="AL28" s="42">
        <v>0.59747209165687432</v>
      </c>
      <c r="AO28" s="42">
        <v>2.8959999999999999</v>
      </c>
      <c r="AS28" s="42">
        <f t="shared" si="4"/>
        <v>2.3544715447154472</v>
      </c>
    </row>
    <row r="29" spans="1:45" ht="5.0999999999999996" customHeight="1" thickBot="1" x14ac:dyDescent="0.3">
      <c r="A29" s="103"/>
      <c r="B29" s="612" t="s">
        <v>73</v>
      </c>
      <c r="C29" s="613"/>
      <c r="D29" s="614"/>
      <c r="E29" s="618">
        <v>633.08000000000004</v>
      </c>
      <c r="F29" s="618">
        <v>741.65</v>
      </c>
      <c r="G29" s="618">
        <v>1024.5</v>
      </c>
      <c r="H29" s="620">
        <v>988.03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1.5467943595769684</v>
      </c>
      <c r="AJ29" s="42">
        <v>0.97661221570590773</v>
      </c>
      <c r="AK29" s="42">
        <f t="shared" si="3"/>
        <v>0.52591008225616931</v>
      </c>
      <c r="AL29" s="42">
        <v>0.69198695033706492</v>
      </c>
      <c r="AO29" s="42">
        <v>3.3879999999999999</v>
      </c>
      <c r="AS29" s="42">
        <f t="shared" si="4"/>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16.775744657142855</v>
      </c>
      <c r="N30" s="103"/>
      <c r="O30" s="622" t="s">
        <v>134</v>
      </c>
      <c r="P30" s="623"/>
      <c r="Q30" s="229">
        <f>Q28/Q27</f>
        <v>1.9915271320124455</v>
      </c>
      <c r="R30" s="229">
        <f>R28/R27</f>
        <v>1.9440340526375945</v>
      </c>
      <c r="S30" s="131">
        <f>S28/S27</f>
        <v>1.9097814816679397</v>
      </c>
      <c r="T30" s="174"/>
      <c r="U30" s="120">
        <v>0.15</v>
      </c>
      <c r="V30" s="113">
        <f>U30*25.4</f>
        <v>3.8099999999999996</v>
      </c>
      <c r="W30" s="581">
        <f>AI28</f>
        <v>1.3355258519388955</v>
      </c>
      <c r="X30" s="582"/>
      <c r="Y30" s="449">
        <f>((W30/19.32)*10)</f>
        <v>0.69126596891247172</v>
      </c>
      <c r="Z30" s="450"/>
      <c r="AA30" s="581">
        <f>AJ28</f>
        <v>0.83603204119582331</v>
      </c>
      <c r="AB30" s="582"/>
      <c r="AC30" s="449">
        <f>((AA30/19.32)*10)</f>
        <v>0.43272879979079881</v>
      </c>
      <c r="AD30" s="450"/>
      <c r="AE30" s="581">
        <f>AK28</f>
        <v>0.45407878965922449</v>
      </c>
      <c r="AF30" s="582"/>
      <c r="AG30" s="114">
        <f>((AE30/19.32)*10)</f>
        <v>0.23503042943024044</v>
      </c>
      <c r="AH30" s="104"/>
      <c r="AI30" s="42">
        <f t="shared" si="2"/>
        <v>1.7216304347826088</v>
      </c>
      <c r="AJ30" s="42">
        <v>1.089615219568016</v>
      </c>
      <c r="AK30" s="42">
        <f t="shared" si="3"/>
        <v>0.58535434782608697</v>
      </c>
      <c r="AL30" s="42">
        <v>0.77020308924485126</v>
      </c>
      <c r="AO30" s="42">
        <v>3.8439999999999999</v>
      </c>
      <c r="AS30" s="42">
        <f t="shared" si="4"/>
        <v>3.1252032520325201</v>
      </c>
    </row>
    <row r="31" spans="1:45" ht="24.95" customHeight="1" thickBot="1" x14ac:dyDescent="0.3">
      <c r="A31" s="103"/>
      <c r="B31" s="576" t="s">
        <v>74</v>
      </c>
      <c r="C31" s="577"/>
      <c r="D31" s="577"/>
      <c r="E31" s="152">
        <v>561.56753748057349</v>
      </c>
      <c r="F31" s="152">
        <v>642.71821828516352</v>
      </c>
      <c r="G31" s="152">
        <v>867.8527868683575</v>
      </c>
      <c r="H31" s="153">
        <v>818.08472424665979</v>
      </c>
      <c r="I31" s="174"/>
      <c r="J31" s="597" t="s">
        <v>138</v>
      </c>
      <c r="K31" s="597"/>
      <c r="L31" s="562" t="s">
        <v>116</v>
      </c>
      <c r="M31" s="457">
        <f>IF(M25="","",S82)</f>
        <v>2.7120000000000002</v>
      </c>
      <c r="N31" s="121"/>
      <c r="O31" s="628" t="s">
        <v>135</v>
      </c>
      <c r="P31" s="629"/>
      <c r="Q31" s="122">
        <f>Q30/(1+Q40/100)</f>
        <v>1.6951894384816295</v>
      </c>
      <c r="R31" s="122">
        <f>R30/(1+R40/100)</f>
        <v>1.66</v>
      </c>
      <c r="S31" s="123">
        <f>S30/(1+S40/100)</f>
        <v>1.6289501697911914</v>
      </c>
      <c r="T31" s="174"/>
      <c r="U31" s="627">
        <v>0.17499999999999999</v>
      </c>
      <c r="V31" s="624">
        <f>U31*25.4</f>
        <v>4.4449999999999994</v>
      </c>
      <c r="W31" s="593">
        <f>AI29</f>
        <v>1.5467943595769684</v>
      </c>
      <c r="X31" s="594"/>
      <c r="Y31" s="439">
        <f>((W31/19.32)*10)</f>
        <v>0.80061819853880345</v>
      </c>
      <c r="Z31" s="440"/>
      <c r="AA31" s="593">
        <f>AJ29</f>
        <v>0.97661221570590773</v>
      </c>
      <c r="AB31" s="594"/>
      <c r="AC31" s="439">
        <f>((AA31/19.32)*10)</f>
        <v>0.50549286527220894</v>
      </c>
      <c r="AD31" s="440"/>
      <c r="AE31" s="593">
        <f>AK29</f>
        <v>0.52591008225616931</v>
      </c>
      <c r="AF31" s="594"/>
      <c r="AG31" s="443">
        <f>((AE31/19.32)*10)</f>
        <v>0.27221018750319326</v>
      </c>
      <c r="AH31" s="104"/>
      <c r="AI31" s="42">
        <f t="shared" si="2"/>
        <v>2.4441410105757932</v>
      </c>
      <c r="AJ31" s="42">
        <v>1.5173783435846089</v>
      </c>
      <c r="AK31" s="42">
        <f t="shared" si="3"/>
        <v>0.83100794359576968</v>
      </c>
      <c r="AL31" s="42">
        <v>1.0934315047312759</v>
      </c>
      <c r="AM31" s="42">
        <v>4.7833199332055166E-3</v>
      </c>
      <c r="AO31" s="42">
        <v>5.516</v>
      </c>
      <c r="AS31" s="42">
        <f t="shared" si="4"/>
        <v>4.4845528455284551</v>
      </c>
    </row>
    <row r="32" spans="1:45" ht="5.0999999999999996" customHeight="1" thickBot="1" x14ac:dyDescent="0.3">
      <c r="A32" s="103"/>
      <c r="B32" s="612" t="s">
        <v>75</v>
      </c>
      <c r="C32" s="613"/>
      <c r="D32" s="614"/>
      <c r="E32" s="618">
        <v>40.340000000000003</v>
      </c>
      <c r="F32" s="618">
        <v>40.22</v>
      </c>
      <c r="G32" s="618">
        <v>39.06</v>
      </c>
      <c r="H32" s="620">
        <v>38.520000000000003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2.9381568742655704</v>
      </c>
      <c r="AJ32" s="42">
        <v>1.8838060363324278</v>
      </c>
      <c r="AK32" s="42">
        <f t="shared" si="3"/>
        <v>0.99897333725029402</v>
      </c>
      <c r="AL32" s="42">
        <v>1.3144386016451237</v>
      </c>
      <c r="AM32" s="42">
        <v>5.4476699239285054E-2</v>
      </c>
      <c r="AO32" s="42">
        <v>6.7220000000000004</v>
      </c>
      <c r="AS32" s="42">
        <f t="shared" si="4"/>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1.7216304347826088</v>
      </c>
      <c r="X33" s="582"/>
      <c r="Y33" s="449">
        <f>((W33/19.32)*10)</f>
        <v>0.89111306148168157</v>
      </c>
      <c r="Z33" s="450"/>
      <c r="AA33" s="581">
        <f>AJ30</f>
        <v>1.089615219568016</v>
      </c>
      <c r="AB33" s="582"/>
      <c r="AC33" s="449">
        <f>((AA33/19.32)*10)</f>
        <v>0.5639830329026998</v>
      </c>
      <c r="AD33" s="450"/>
      <c r="AE33" s="581">
        <f>AK30</f>
        <v>0.58535434782608697</v>
      </c>
      <c r="AF33" s="582"/>
      <c r="AG33" s="144">
        <f>((AE33/19.32)*10)</f>
        <v>0.30297844090377174</v>
      </c>
      <c r="AH33" s="104"/>
      <c r="AI33" s="42">
        <f t="shared" si="2"/>
        <v>3.3707920094007053</v>
      </c>
      <c r="AJ33" s="42">
        <v>2.2160000000000002</v>
      </c>
      <c r="AK33" s="42">
        <f t="shared" si="3"/>
        <v>1.14606928319624</v>
      </c>
      <c r="AL33" s="42">
        <v>1.5079858989424211</v>
      </c>
      <c r="AM33" s="42">
        <v>0.14961161791081701</v>
      </c>
      <c r="AO33" s="42">
        <v>7.7720000000000002</v>
      </c>
      <c r="AS33" s="42">
        <f t="shared" si="4"/>
        <v>6.3186991869918705</v>
      </c>
    </row>
    <row r="34" spans="1:45" ht="24.95" customHeight="1" thickBot="1" x14ac:dyDescent="0.3">
      <c r="A34" s="103"/>
      <c r="B34" s="602" t="s">
        <v>10</v>
      </c>
      <c r="C34" s="603"/>
      <c r="D34" s="603"/>
      <c r="E34" s="125">
        <f>((E29-E31)/(E31-E32))*100</f>
        <v>13.720008513957662</v>
      </c>
      <c r="F34" s="125">
        <f>((F29-F31)/(F31-F32))*100</f>
        <v>16.420261290799683</v>
      </c>
      <c r="G34" s="125">
        <f>((G29-G31)/(G31-G32))*100</f>
        <v>18.900648704188562</v>
      </c>
      <c r="H34" s="126">
        <f>((H29-H31)/(H31-H32))*100</f>
        <v>21.800021276946378</v>
      </c>
      <c r="I34" s="174"/>
      <c r="J34" s="630" t="s">
        <v>125</v>
      </c>
      <c r="K34" s="630"/>
      <c r="L34" s="184" t="s">
        <v>126</v>
      </c>
      <c r="M34" s="245">
        <v>2.62</v>
      </c>
      <c r="N34" s="128"/>
      <c r="O34" s="631" t="s">
        <v>9</v>
      </c>
      <c r="P34" s="632"/>
      <c r="Q34" s="156">
        <v>332</v>
      </c>
      <c r="R34" s="156">
        <v>536</v>
      </c>
      <c r="S34" s="157">
        <v>541</v>
      </c>
      <c r="T34" s="174"/>
      <c r="U34" s="120">
        <v>0.3</v>
      </c>
      <c r="V34" s="113">
        <f>U34*25.4</f>
        <v>7.6199999999999992</v>
      </c>
      <c r="W34" s="581">
        <f>AI31</f>
        <v>2.4441410105757932</v>
      </c>
      <c r="X34" s="582"/>
      <c r="Y34" s="449">
        <f>((W34/19.32)*10)</f>
        <v>1.2650833388073464</v>
      </c>
      <c r="Z34" s="450"/>
      <c r="AA34" s="449">
        <f>AJ31</f>
        <v>1.5173783435846089</v>
      </c>
      <c r="AB34" s="450"/>
      <c r="AC34" s="449">
        <f>((AA34/19.32)*10)</f>
        <v>0.78539251738333782</v>
      </c>
      <c r="AD34" s="450"/>
      <c r="AE34" s="581">
        <f>AK31</f>
        <v>0.83100794359576968</v>
      </c>
      <c r="AF34" s="582"/>
      <c r="AG34" s="114">
        <f>((AE34/19.32)*10)</f>
        <v>0.43012833519449778</v>
      </c>
      <c r="AH34" s="104"/>
      <c r="AM34" s="42">
        <v>0.26219679633867282</v>
      </c>
      <c r="AS34" s="42">
        <f t="shared" si="4"/>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523.39</v>
      </c>
      <c r="R35" s="608">
        <v>649.77</v>
      </c>
      <c r="S35" s="610">
        <v>527.12</v>
      </c>
      <c r="T35" s="174"/>
      <c r="U35" s="627">
        <v>0.4</v>
      </c>
      <c r="V35" s="624">
        <f>U35*25.4</f>
        <v>10.16</v>
      </c>
      <c r="W35" s="593">
        <f>AI32</f>
        <v>2.9381568742655704</v>
      </c>
      <c r="X35" s="594"/>
      <c r="Y35" s="439">
        <f>((W35/19.32)*10)</f>
        <v>1.5207851316074381</v>
      </c>
      <c r="Z35" s="440"/>
      <c r="AA35" s="593">
        <f>AJ32</f>
        <v>1.8838060363324278</v>
      </c>
      <c r="AB35" s="594"/>
      <c r="AC35" s="439">
        <f>(AA35/19.32)*10</f>
        <v>0.97505488423003506</v>
      </c>
      <c r="AD35" s="440"/>
      <c r="AE35" s="593">
        <f>AK32</f>
        <v>0.99897333725029402</v>
      </c>
      <c r="AF35" s="594"/>
      <c r="AG35" s="443">
        <f>((AE35/19.32)*10)</f>
        <v>0.51706694474652903</v>
      </c>
      <c r="AH35" s="104"/>
      <c r="AM35" s="42">
        <v>0.36459527490877613</v>
      </c>
      <c r="AS35" s="42">
        <f t="shared" si="4"/>
        <v>0</v>
      </c>
    </row>
    <row r="36" spans="1:45" ht="20.100000000000001" customHeight="1" thickBot="1" x14ac:dyDescent="0.3">
      <c r="A36" s="103"/>
      <c r="B36" s="639" t="s">
        <v>71</v>
      </c>
      <c r="C36" s="640"/>
      <c r="D36" s="640"/>
      <c r="E36" s="130">
        <f>E25/E24</f>
        <v>1.8482309124767224</v>
      </c>
      <c r="F36" s="130">
        <f>F25/F24</f>
        <v>1.9986033519553073</v>
      </c>
      <c r="G36" s="130">
        <f>G25/G24</f>
        <v>2.0325884543761639</v>
      </c>
      <c r="H36" s="131">
        <f>H25/H24</f>
        <v>1.9422718808193669</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M36" s="42">
        <v>0.48594987321417532</v>
      </c>
      <c r="AS36" s="42">
        <f t="shared" si="4"/>
        <v>0</v>
      </c>
    </row>
    <row r="37" spans="1:45" ht="24.95" customHeight="1" thickBot="1" x14ac:dyDescent="0.3">
      <c r="A37" s="103"/>
      <c r="B37" s="602" t="s">
        <v>72</v>
      </c>
      <c r="C37" s="603"/>
      <c r="D37" s="603"/>
      <c r="E37" s="122">
        <f>E36/(1+E34/100)</f>
        <v>1.6252468994933955</v>
      </c>
      <c r="F37" s="230">
        <f>F36/(1+F34/100)</f>
        <v>1.7167143672381111</v>
      </c>
      <c r="G37" s="230">
        <f>G36/(1+G34/100)</f>
        <v>1.709484747583687</v>
      </c>
      <c r="H37" s="123">
        <f>H36/(1+H34/100)</f>
        <v>1.5946400176754232</v>
      </c>
      <c r="I37" s="174"/>
      <c r="J37" s="641" t="s">
        <v>139</v>
      </c>
      <c r="K37" s="641"/>
      <c r="L37" s="643" t="s">
        <v>121</v>
      </c>
      <c r="M37" s="433">
        <f>IF(F74="","",(M42^2*F74+M42*F75+F76))</f>
        <v>1.7100657142857143</v>
      </c>
      <c r="N37" s="101"/>
      <c r="O37" s="576" t="s">
        <v>28</v>
      </c>
      <c r="P37" s="577"/>
      <c r="Q37" s="150">
        <v>458.89</v>
      </c>
      <c r="R37" s="152">
        <v>560.84289200859507</v>
      </c>
      <c r="S37" s="153">
        <v>455.55422968746745</v>
      </c>
      <c r="T37" s="174"/>
      <c r="U37" s="132">
        <v>0.5</v>
      </c>
      <c r="V37" s="133">
        <f>U37*25.4</f>
        <v>12.7</v>
      </c>
      <c r="W37" s="637">
        <f>AI33</f>
        <v>3.3707920094007053</v>
      </c>
      <c r="X37" s="638"/>
      <c r="Y37" s="431">
        <f>((W37/19.32)*10)</f>
        <v>1.7447163609734502</v>
      </c>
      <c r="Z37" s="432"/>
      <c r="AA37" s="637">
        <v>2.1960000000000002</v>
      </c>
      <c r="AB37" s="638"/>
      <c r="AC37" s="431">
        <f>((AA37/19.32)*10)</f>
        <v>1.1366459627329193</v>
      </c>
      <c r="AD37" s="432"/>
      <c r="AE37" s="637">
        <v>1.0940000000000001</v>
      </c>
      <c r="AF37" s="638"/>
      <c r="AG37" s="134">
        <f>((AE37/19.32)*10)</f>
        <v>0.5662525879917184</v>
      </c>
      <c r="AH37" s="104"/>
      <c r="AM37" s="42">
        <v>0.59747209165687432</v>
      </c>
      <c r="AS37" s="42">
        <f t="shared" si="4"/>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89.92</v>
      </c>
      <c r="R38" s="647">
        <v>41.12</v>
      </c>
      <c r="S38" s="648">
        <v>40.44</v>
      </c>
      <c r="T38" s="174"/>
      <c r="U38" s="174"/>
      <c r="V38" s="174"/>
      <c r="W38" s="174"/>
      <c r="X38" s="174"/>
      <c r="Y38" s="174"/>
      <c r="Z38" s="174"/>
      <c r="AA38" s="174"/>
      <c r="AB38" s="174"/>
      <c r="AC38" s="174"/>
      <c r="AD38" s="174"/>
      <c r="AE38" s="174"/>
      <c r="AF38" s="174"/>
      <c r="AG38" s="174"/>
      <c r="AH38" s="104"/>
      <c r="AM38" s="42">
        <v>0.69198695033706492</v>
      </c>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c r="AM39" s="42">
        <v>0.77020308924485126</v>
      </c>
    </row>
    <row r="40" spans="1:45" ht="27" customHeight="1" thickBot="1" x14ac:dyDescent="0.3">
      <c r="A40" s="103"/>
      <c r="B40" s="174"/>
      <c r="C40" s="174"/>
      <c r="D40" s="174"/>
      <c r="E40" s="174"/>
      <c r="F40" s="174"/>
      <c r="G40" s="174"/>
      <c r="H40" s="174"/>
      <c r="I40" s="174"/>
      <c r="J40" s="597" t="s">
        <v>141</v>
      </c>
      <c r="K40" s="597"/>
      <c r="L40" s="178" t="s">
        <v>169</v>
      </c>
      <c r="M40" s="137">
        <f>M37*1000*9.81/1000</f>
        <v>16.775744657142855</v>
      </c>
      <c r="N40" s="103"/>
      <c r="O40" s="628" t="s">
        <v>10</v>
      </c>
      <c r="P40" s="629"/>
      <c r="Q40" s="125">
        <f>((Q35-Q37)/(Q37-Q38))*100</f>
        <v>17.481096024067</v>
      </c>
      <c r="R40" s="125">
        <f>((R35-R37)/(R37-R38))*100</f>
        <v>17.110485098650273</v>
      </c>
      <c r="S40" s="126">
        <f>((S35-S37)/(S37-S38))*100</f>
        <v>17.240018576673034</v>
      </c>
      <c r="T40" s="174"/>
      <c r="U40" s="645" t="s">
        <v>151</v>
      </c>
      <c r="V40" s="646"/>
      <c r="W40" s="423">
        <f>(AM79/6.9)*100</f>
        <v>6.1134941138228713</v>
      </c>
      <c r="X40" s="423"/>
      <c r="Y40" s="423"/>
      <c r="Z40" s="424"/>
      <c r="AA40" s="425">
        <f>(AO79/6.9)*100</f>
        <v>3.8175483924122657</v>
      </c>
      <c r="AB40" s="426"/>
      <c r="AC40" s="427"/>
      <c r="AD40" s="425">
        <f>(AQ79/6.9)*100</f>
        <v>2.0785879986997773</v>
      </c>
      <c r="AE40" s="426"/>
      <c r="AF40" s="426"/>
      <c r="AG40" s="428"/>
      <c r="AH40" s="195"/>
      <c r="AM40" s="42">
        <v>1.0934315047312759</v>
      </c>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8.651583121181373</v>
      </c>
      <c r="X41" s="418"/>
      <c r="Y41" s="418"/>
      <c r="Z41" s="419"/>
      <c r="AA41" s="420">
        <f>(AO83/10.3)*100</f>
        <v>5.4755634262398036</v>
      </c>
      <c r="AB41" s="421"/>
      <c r="AC41" s="418"/>
      <c r="AD41" s="420">
        <f>(AQ83/10.3)*100</f>
        <v>2.9415382612016669</v>
      </c>
      <c r="AE41" s="421"/>
      <c r="AF41" s="421"/>
      <c r="AG41" s="422"/>
      <c r="AH41" s="195"/>
      <c r="AM41" s="42">
        <v>1.3144386016451237</v>
      </c>
    </row>
    <row r="42" spans="1:45" ht="27" customHeight="1" thickBot="1" x14ac:dyDescent="0.3">
      <c r="A42" s="103"/>
      <c r="B42" s="174"/>
      <c r="C42" s="174"/>
      <c r="D42" s="174"/>
      <c r="E42" s="174"/>
      <c r="F42" s="174"/>
      <c r="G42" s="174"/>
      <c r="H42" s="174"/>
      <c r="I42" s="174"/>
      <c r="J42" s="597" t="s">
        <v>123</v>
      </c>
      <c r="K42" s="597"/>
      <c r="L42" s="178" t="s">
        <v>41</v>
      </c>
      <c r="M42" s="139">
        <f>IF(F74="","",((-F75)/(2*F74)))</f>
        <v>17.37142857142857</v>
      </c>
      <c r="N42" s="103"/>
      <c r="O42" s="639" t="s">
        <v>9</v>
      </c>
      <c r="P42" s="640"/>
      <c r="Q42" s="148">
        <v>374</v>
      </c>
      <c r="R42" s="148">
        <v>503</v>
      </c>
      <c r="S42" s="149">
        <v>506</v>
      </c>
      <c r="T42" s="174"/>
      <c r="U42" s="651" t="s">
        <v>42</v>
      </c>
      <c r="V42" s="652"/>
      <c r="W42" s="413">
        <f>IF(W40&lt;W41,W40,W41)</f>
        <v>6.1134941138228713</v>
      </c>
      <c r="X42" s="414"/>
      <c r="Y42" s="414"/>
      <c r="Z42" s="415"/>
      <c r="AA42" s="416">
        <f>IF(AA40&lt;AA41,AA40,AA41)</f>
        <v>3.8175483924122657</v>
      </c>
      <c r="AB42" s="414"/>
      <c r="AC42" s="415"/>
      <c r="AD42" s="416">
        <f>IF(AD40&lt;AD41,AD40,AD41)</f>
        <v>2.0785879986997773</v>
      </c>
      <c r="AE42" s="414"/>
      <c r="AF42" s="414"/>
      <c r="AG42" s="417"/>
      <c r="AH42" s="196"/>
      <c r="AM42" s="42">
        <v>1.5079858989424211</v>
      </c>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1089.3</v>
      </c>
      <c r="R43" s="608">
        <v>913.26</v>
      </c>
      <c r="S43" s="610">
        <v>1103.5999999999999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1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938.33</v>
      </c>
      <c r="R45" s="152">
        <v>762.53925274658411</v>
      </c>
      <c r="S45" s="153">
        <v>904.65079234211657</v>
      </c>
      <c r="T45" s="174"/>
      <c r="U45" s="656" t="s">
        <v>139</v>
      </c>
      <c r="V45" s="656"/>
      <c r="W45" s="179" t="s">
        <v>121</v>
      </c>
      <c r="X45" s="406">
        <f>MAX(M37:M39)</f>
        <v>1.7100657142857143</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100.64</v>
      </c>
      <c r="R46" s="150">
        <v>37.92</v>
      </c>
      <c r="S46" s="151">
        <v>40.03</v>
      </c>
      <c r="T46" s="174"/>
      <c r="U46" s="555" t="s">
        <v>123</v>
      </c>
      <c r="V46" s="555"/>
      <c r="W46" s="179" t="s">
        <v>41</v>
      </c>
      <c r="X46" s="401">
        <f>MIN(M42:M44)</f>
        <v>17.37142857142857</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18.022180042736561</v>
      </c>
      <c r="R47" s="125">
        <f>((R43-R45)/(R45-R46))*100</f>
        <v>20.799992089932275</v>
      </c>
      <c r="S47" s="126">
        <f>((S43-S45)/(S45-S46))*100</f>
        <v>23.009995759986573</v>
      </c>
      <c r="T47" s="174"/>
      <c r="U47" s="555" t="s">
        <v>162</v>
      </c>
      <c r="V47" s="555"/>
      <c r="W47" s="179" t="s">
        <v>41</v>
      </c>
      <c r="X47" s="402">
        <f>IF(L25=D103,"-",IF(L25=D102,"-",IF(L25=D101,M25)))</f>
        <v>0</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0.17517241379310303</v>
      </c>
      <c r="AG48" s="142">
        <f>IF(AG47&lt;&gt;"",IF(R24&lt;&gt;"",AG47/R24*100,""),"")</f>
        <v>0.49224806201550403</v>
      </c>
      <c r="AH48" s="173">
        <f>IF(AH47&lt;&gt;"",IF(S24&lt;&gt;"",AH47/S24*100,""),"")</f>
        <v>0.84301724137931056</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1.0692126909518214E-2</v>
      </c>
      <c r="AK50" s="42">
        <v>1.9565870404806184E-2</v>
      </c>
      <c r="AL50" s="42">
        <f>2.216*AK50/2.487</f>
        <v>1.743384351308826E-2</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0.12177144535840188</v>
      </c>
      <c r="AK51" s="42">
        <v>9.0892361607781441E-2</v>
      </c>
      <c r="AL51" s="42">
        <f t="shared" ref="AL51:AL61" si="5">2.216*AK51/2.487</f>
        <v>8.0988127592619086E-2</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0.33442596944770858</v>
      </c>
      <c r="AK52" s="42">
        <v>0.21184501501931099</v>
      </c>
      <c r="AL52" s="42">
        <f t="shared" si="5"/>
        <v>0.18876097840080144</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0.58608695652173926</v>
      </c>
      <c r="AK53" s="42">
        <v>0.3913174080961237</v>
      </c>
      <c r="AL53" s="42">
        <f t="shared" si="5"/>
        <v>0.34867687026176525</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0.81497767332549942</v>
      </c>
      <c r="AK54" s="42">
        <v>0.57114554427120579</v>
      </c>
      <c r="AL54" s="42">
        <f t="shared" si="5"/>
        <v>0.50890974109569442</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1.08624089306698</v>
      </c>
      <c r="AK55" s="42">
        <v>0.75488685452724935</v>
      </c>
      <c r="AL55" s="42">
        <f t="shared" si="5"/>
        <v>0.67262938063224154</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1.3355258519388955</v>
      </c>
      <c r="AK56" s="42">
        <v>0.93827242168502367</v>
      </c>
      <c r="AL56" s="42">
        <f t="shared" si="5"/>
        <v>0.83603204119582331</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1.5467943595769684</v>
      </c>
      <c r="AK57" s="42">
        <v>1.0960444857674154</v>
      </c>
      <c r="AL57" s="42">
        <f t="shared" si="5"/>
        <v>0.97661221570590773</v>
      </c>
      <c r="AM57" s="42">
        <v>20.577999999999999</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1.7216304347826088</v>
      </c>
      <c r="AK58" s="42">
        <v>1.2228669003003863</v>
      </c>
      <c r="AL58" s="42">
        <f t="shared" si="5"/>
        <v>1.089615219568016</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2.4441410105757932</v>
      </c>
      <c r="AK59" s="42">
        <v>1.7029422114146762</v>
      </c>
      <c r="AL59" s="42">
        <f t="shared" si="5"/>
        <v>1.5173783435846089</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2.9381568742655704</v>
      </c>
      <c r="AK60" s="42">
        <v>2.1141812330138752</v>
      </c>
      <c r="AL60" s="42">
        <f t="shared" si="5"/>
        <v>1.8838060363324278</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3.3707920094007053</v>
      </c>
      <c r="AK61" s="42">
        <v>2.4870000000000001</v>
      </c>
      <c r="AL61" s="42">
        <f t="shared" si="5"/>
        <v>2.2160000000000002</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-7.0000000000000001E-3</v>
      </c>
      <c r="G74" s="75">
        <v>-0.12509999999999999</v>
      </c>
      <c r="J74" s="701"/>
      <c r="K74" s="702"/>
      <c r="L74" s="44"/>
      <c r="M74" s="44"/>
      <c r="N74" s="44"/>
    </row>
    <row r="75" spans="1:94" ht="26.25" customHeight="1" thickBot="1" x14ac:dyDescent="0.3">
      <c r="A75" s="11"/>
      <c r="B75" s="377" t="s">
        <v>113</v>
      </c>
      <c r="C75" s="377"/>
      <c r="D75" s="19"/>
      <c r="E75" s="54" t="s">
        <v>12</v>
      </c>
      <c r="F75" s="55">
        <v>0.2432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-0.40229999999999999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0.12177144535840188</v>
      </c>
      <c r="AM76" s="3">
        <f t="shared" si="6"/>
        <v>6.3028698425673851E-2</v>
      </c>
      <c r="AN76" s="5">
        <f>AA23</f>
        <v>8.0988127592619086E-2</v>
      </c>
      <c r="AO76" s="3">
        <f t="shared" ref="AO76:AO86" si="9">((AN76/19.32)*10)</f>
        <v>4.1919320700113394E-2</v>
      </c>
      <c r="AP76" s="5">
        <f>AE23</f>
        <v>4.1402291421856641E-2</v>
      </c>
      <c r="AQ76" s="161">
        <f t="shared" si="7"/>
        <v>2.142975746472911E-2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0.33442596944770858</v>
      </c>
      <c r="AM77" s="3">
        <f t="shared" si="6"/>
        <v>0.17309832787148477</v>
      </c>
      <c r="AN77" s="5">
        <f>AA24</f>
        <v>0.18876097840080144</v>
      </c>
      <c r="AO77" s="3">
        <f t="shared" si="9"/>
        <v>9.7702369772671563E-2</v>
      </c>
      <c r="AP77" s="5">
        <f>AE24</f>
        <v>0.11370482961222092</v>
      </c>
      <c r="AQ77" s="161">
        <f t="shared" si="7"/>
        <v>5.885343147630482E-2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0.58608695652173926</v>
      </c>
      <c r="AM78" s="3">
        <f t="shared" si="6"/>
        <v>0.30335763795121079</v>
      </c>
      <c r="AN78" s="5">
        <f>AA25</f>
        <v>0.34867687026176525</v>
      </c>
      <c r="AO78" s="3">
        <f t="shared" si="9"/>
        <v>0.18047457052886401</v>
      </c>
      <c r="AP78" s="5">
        <f>AE25</f>
        <v>0.19926956521739134</v>
      </c>
      <c r="AQ78" s="161">
        <f t="shared" si="7"/>
        <v>0.10314159690341165</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0.81497767332549942</v>
      </c>
      <c r="AM79" s="4">
        <f t="shared" si="6"/>
        <v>0.42183109385377815</v>
      </c>
      <c r="AN79" s="5">
        <f>AA26</f>
        <v>0.50890974109569442</v>
      </c>
      <c r="AO79" s="4">
        <f t="shared" si="9"/>
        <v>0.26341083907644636</v>
      </c>
      <c r="AP79" s="5">
        <f>AE26</f>
        <v>0.27709240893066989</v>
      </c>
      <c r="AQ79" s="162">
        <f t="shared" si="7"/>
        <v>0.14342257191028462</v>
      </c>
      <c r="BB79" s="12">
        <v>17</v>
      </c>
      <c r="BC79" s="12">
        <v>18</v>
      </c>
    </row>
    <row r="80" spans="1:94" ht="42" customHeight="1" thickTop="1" thickBot="1" x14ac:dyDescent="0.3">
      <c r="D80" s="49"/>
      <c r="H80" s="711" t="s">
        <v>105</v>
      </c>
      <c r="I80" s="712"/>
      <c r="J80" s="58"/>
      <c r="AJ80" s="160">
        <f>U28</f>
        <v>0.125</v>
      </c>
      <c r="AK80" s="3">
        <f t="shared" si="8"/>
        <v>3.1749999999999998</v>
      </c>
      <c r="AL80" s="5">
        <f>W28</f>
        <v>1.08624089306698</v>
      </c>
      <c r="AM80" s="3">
        <f t="shared" si="6"/>
        <v>0.56223648709471019</v>
      </c>
      <c r="AN80" s="5">
        <f>AA28</f>
        <v>0.67262938063224154</v>
      </c>
      <c r="AO80" s="3">
        <f t="shared" si="9"/>
        <v>0.34815185332931758</v>
      </c>
      <c r="AP80" s="5">
        <f>AE28</f>
        <v>0.36932190364277323</v>
      </c>
      <c r="AQ80" s="161">
        <f t="shared" si="7"/>
        <v>0.19116040561220149</v>
      </c>
      <c r="BC80" s="45">
        <v>0.99880400000000003</v>
      </c>
      <c r="BD80" s="45">
        <v>0.99862499999999998</v>
      </c>
    </row>
    <row r="81" spans="2:43" ht="15.75" customHeight="1" x14ac:dyDescent="0.25">
      <c r="AJ81" s="160">
        <f>U30</f>
        <v>0.15</v>
      </c>
      <c r="AK81" s="3">
        <f t="shared" si="8"/>
        <v>3.8099999999999996</v>
      </c>
      <c r="AL81" s="5">
        <f>W30</f>
        <v>1.3355258519388955</v>
      </c>
      <c r="AM81" s="3">
        <f t="shared" si="6"/>
        <v>0.69126596891247172</v>
      </c>
      <c r="AN81" s="5">
        <f>AA30</f>
        <v>0.83603204119582331</v>
      </c>
      <c r="AO81" s="3">
        <f t="shared" si="9"/>
        <v>0.43272879979079881</v>
      </c>
      <c r="AP81" s="5">
        <f>AE30</f>
        <v>0.45407878965922449</v>
      </c>
      <c r="AQ81" s="161">
        <f t="shared" si="7"/>
        <v>0.23503042943024044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1.5467943595769684</v>
      </c>
      <c r="AM82" s="3">
        <f t="shared" si="6"/>
        <v>0.80061819853880345</v>
      </c>
      <c r="AN82" s="5">
        <f>AA31</f>
        <v>0.97661221570590773</v>
      </c>
      <c r="AO82" s="3">
        <f t="shared" si="9"/>
        <v>0.50549286527220894</v>
      </c>
      <c r="AP82" s="5">
        <f>AE31</f>
        <v>0.52591008225616931</v>
      </c>
      <c r="AQ82" s="161">
        <f t="shared" si="7"/>
        <v>0.27221018750319326</v>
      </c>
    </row>
    <row r="83" spans="2:43" ht="15" customHeight="1" x14ac:dyDescent="0.25">
      <c r="B83" s="49"/>
      <c r="C83" s="49"/>
      <c r="D83" s="49">
        <v>0</v>
      </c>
      <c r="E83" s="50">
        <f>M42</f>
        <v>17.37142857142857</v>
      </c>
      <c r="F83" s="49"/>
      <c r="G83" s="43">
        <f>G84/10</f>
        <v>1.9272298274181199</v>
      </c>
      <c r="H83" s="43">
        <f>H84/10</f>
        <v>1.8318977286875238</v>
      </c>
      <c r="I83" s="43">
        <f>I84/10</f>
        <v>1.7522774637201324</v>
      </c>
      <c r="J83" s="43">
        <f>J84/10</f>
        <v>1.6675571363898505</v>
      </c>
      <c r="K83" s="43"/>
      <c r="L83" s="42">
        <v>0</v>
      </c>
      <c r="O83" s="706"/>
      <c r="P83" s="706"/>
      <c r="Q83" s="706"/>
      <c r="R83" s="706"/>
      <c r="S83" s="707"/>
      <c r="W83" s="112"/>
      <c r="AJ83" s="160">
        <f>U33</f>
        <v>0.2</v>
      </c>
      <c r="AK83" s="4">
        <f t="shared" si="8"/>
        <v>5.08</v>
      </c>
      <c r="AL83" s="5">
        <f>W33</f>
        <v>1.7216304347826088</v>
      </c>
      <c r="AM83" s="4">
        <f t="shared" si="6"/>
        <v>0.89111306148168157</v>
      </c>
      <c r="AN83" s="5">
        <f>AA33</f>
        <v>1.089615219568016</v>
      </c>
      <c r="AO83" s="4">
        <f t="shared" si="9"/>
        <v>0.5639830329026998</v>
      </c>
      <c r="AP83" s="5">
        <f>AE33</f>
        <v>0.58535434782608697</v>
      </c>
      <c r="AQ83" s="162">
        <f t="shared" si="7"/>
        <v>0.30297844090377174</v>
      </c>
    </row>
    <row r="84" spans="2:43" ht="15" customHeight="1" x14ac:dyDescent="0.25">
      <c r="C84" s="94"/>
      <c r="D84" s="94"/>
      <c r="E84" s="94"/>
      <c r="F84" s="49"/>
      <c r="G84" s="43">
        <f>($M$34/(1+(E34*$M$34/100)))*($O$73)</f>
        <v>19.2722982741812</v>
      </c>
      <c r="H84" s="43">
        <f>($M$34/(1+(F34*$M$34/100)))*($O$73)</f>
        <v>18.318977286875239</v>
      </c>
      <c r="I84" s="43">
        <f>($M$34/(1+(G34*$M$34/100)))*($O$73)</f>
        <v>17.522774637201323</v>
      </c>
      <c r="J84" s="43">
        <f>($M$34/(1+(H34*$M$34/100)))*($O$73)</f>
        <v>16.675571363898506</v>
      </c>
      <c r="K84" s="43"/>
      <c r="O84" s="706" t="s">
        <v>146</v>
      </c>
      <c r="P84" s="706"/>
      <c r="Q84" s="706"/>
      <c r="R84" s="706"/>
      <c r="S84" s="707">
        <v>2240</v>
      </c>
      <c r="W84" s="112"/>
      <c r="AJ84" s="160">
        <f>U34</f>
        <v>0.3</v>
      </c>
      <c r="AK84" s="3">
        <f t="shared" si="8"/>
        <v>7.6199999999999992</v>
      </c>
      <c r="AL84" s="5">
        <f>W34</f>
        <v>2.4441410105757932</v>
      </c>
      <c r="AM84" s="3">
        <f t="shared" si="6"/>
        <v>1.2650833388073464</v>
      </c>
      <c r="AN84" s="5">
        <f>AA34</f>
        <v>1.5173783435846089</v>
      </c>
      <c r="AO84" s="3">
        <f t="shared" si="9"/>
        <v>0.78539251738333782</v>
      </c>
      <c r="AP84" s="5">
        <f>AE34</f>
        <v>0.83100794359576968</v>
      </c>
      <c r="AQ84" s="161">
        <f t="shared" si="7"/>
        <v>0.43012833519449778</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2.9381568742655704</v>
      </c>
      <c r="AM85" s="3">
        <f t="shared" si="6"/>
        <v>1.5207851316074381</v>
      </c>
      <c r="AN85" s="5">
        <f>AA35</f>
        <v>1.8838060363324278</v>
      </c>
      <c r="AO85" s="3">
        <f t="shared" si="9"/>
        <v>0.97505488423003506</v>
      </c>
      <c r="AP85" s="5">
        <f>AE35</f>
        <v>0.99897333725029402</v>
      </c>
      <c r="AQ85" s="161">
        <f>((AP85/19.32)*10)</f>
        <v>0.51706694474652903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3.3707920094007053</v>
      </c>
      <c r="AM86" s="164">
        <f t="shared" si="6"/>
        <v>1.7447163609734502</v>
      </c>
      <c r="AN86" s="165">
        <f>AA37</f>
        <v>2.1960000000000002</v>
      </c>
      <c r="AO86" s="164">
        <f t="shared" si="9"/>
        <v>1.1366459627329193</v>
      </c>
      <c r="AP86" s="165">
        <f>AE37</f>
        <v>1.0940000000000001</v>
      </c>
      <c r="AQ86" s="166">
        <f>((AP86/19.32)*10)</f>
        <v>0.5662525879917184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1.6951894384816295</v>
      </c>
      <c r="AK91" s="9">
        <f>R31</f>
        <v>1.66</v>
      </c>
      <c r="AL91" s="10">
        <f>S31</f>
        <v>1.6289501697911914</v>
      </c>
    </row>
    <row r="92" spans="2:43" ht="21" customHeight="1" thickBot="1" x14ac:dyDescent="0.3">
      <c r="B92" s="92"/>
      <c r="C92" s="93"/>
      <c r="D92" s="93"/>
      <c r="E92" s="93"/>
      <c r="F92" s="62"/>
      <c r="G92" s="63"/>
      <c r="H92" s="49"/>
      <c r="I92" s="49"/>
      <c r="O92" s="725" t="s">
        <v>147</v>
      </c>
      <c r="P92" s="726"/>
      <c r="Q92" s="726"/>
      <c r="R92" s="726"/>
      <c r="S92" s="61">
        <f>M42</f>
        <v>17.37142857142857</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6.1134941138228713</v>
      </c>
      <c r="AK94" s="158">
        <f>AA42</f>
        <v>3.8175483924122657</v>
      </c>
      <c r="AL94" s="158">
        <f>AD42</f>
        <v>2.0785879986997773</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460" priority="47">
      <formula>LEN(TRIM(D6))=0</formula>
    </cfRule>
  </conditionalFormatting>
  <conditionalFormatting sqref="D6:H10">
    <cfRule type="containsBlanks" dxfId="459" priority="46">
      <formula>LEN(TRIM(D6))=0</formula>
    </cfRule>
  </conditionalFormatting>
  <conditionalFormatting sqref="M19">
    <cfRule type="containsBlanks" dxfId="458" priority="45">
      <formula>LEN(TRIM(M19))=0</formula>
    </cfRule>
  </conditionalFormatting>
  <conditionalFormatting sqref="CP70">
    <cfRule type="containsBlanks" dxfId="457" priority="44">
      <formula>LEN(TRIM(CP70))=0</formula>
    </cfRule>
  </conditionalFormatting>
  <conditionalFormatting sqref="M21">
    <cfRule type="containsBlanks" dxfId="456" priority="43">
      <formula>LEN(TRIM(M21))=0</formula>
    </cfRule>
  </conditionalFormatting>
  <conditionalFormatting sqref="D12:M12">
    <cfRule type="containsBlanks" dxfId="455" priority="42">
      <formula>LEN(TRIM(D12))=0</formula>
    </cfRule>
  </conditionalFormatting>
  <conditionalFormatting sqref="L9:M9">
    <cfRule type="containsBlanks" dxfId="454" priority="41">
      <formula>LEN(TRIM(L9))=0</formula>
    </cfRule>
  </conditionalFormatting>
  <conditionalFormatting sqref="L25">
    <cfRule type="containsBlanks" dxfId="453" priority="40">
      <formula>LEN(TRIM(L25))=0</formula>
    </cfRule>
  </conditionalFormatting>
  <conditionalFormatting sqref="U26:V27 AC33 AC26">
    <cfRule type="cellIs" dxfId="452" priority="39" operator="between">
      <formula>0</formula>
      <formula>500</formula>
    </cfRule>
  </conditionalFormatting>
  <conditionalFormatting sqref="U33:V33">
    <cfRule type="cellIs" dxfId="451" priority="38" operator="between">
      <formula>0</formula>
      <formula>500</formula>
    </cfRule>
  </conditionalFormatting>
  <conditionalFormatting sqref="AF45:AH46">
    <cfRule type="containsBlanks" dxfId="450" priority="37">
      <formula>LEN(TRIM(AF45))=0</formula>
    </cfRule>
  </conditionalFormatting>
  <conditionalFormatting sqref="AF51:AG53">
    <cfRule type="containsBlanks" dxfId="449" priority="36">
      <formula>LEN(TRIM(AF51))=0</formula>
    </cfRule>
  </conditionalFormatting>
  <conditionalFormatting sqref="M25">
    <cfRule type="containsBlanks" dxfId="448" priority="35">
      <formula>LEN(TRIM(M25))=0</formula>
    </cfRule>
  </conditionalFormatting>
  <conditionalFormatting sqref="U26:V27 Y26:Z27 AC26:AD27 AG26:AG27">
    <cfRule type="containsBlanks" dxfId="447" priority="33">
      <formula>LEN(TRIM(U26))=0</formula>
    </cfRule>
    <cfRule type="cellIs" dxfId="446" priority="34" operator="between">
      <formula>0</formula>
      <formula>1000</formula>
    </cfRule>
  </conditionalFormatting>
  <conditionalFormatting sqref="W87:W88">
    <cfRule type="cellIs" dxfId="445" priority="32" operator="between">
      <formula>0</formula>
      <formula>500</formula>
    </cfRule>
  </conditionalFormatting>
  <conditionalFormatting sqref="W94">
    <cfRule type="cellIs" dxfId="444" priority="31" operator="between">
      <formula>0</formula>
      <formula>500</formula>
    </cfRule>
  </conditionalFormatting>
  <conditionalFormatting sqref="W87:W88">
    <cfRule type="containsBlanks" dxfId="443" priority="29">
      <formula>LEN(TRIM(W87))=0</formula>
    </cfRule>
    <cfRule type="cellIs" dxfId="442" priority="30" operator="between">
      <formula>0</formula>
      <formula>1000</formula>
    </cfRule>
  </conditionalFormatting>
  <conditionalFormatting sqref="U33:V33 Y33:Z33 AC33:AD33 AG33">
    <cfRule type="cellIs" dxfId="441" priority="28" operator="between">
      <formula>0</formula>
      <formula>1000</formula>
    </cfRule>
  </conditionalFormatting>
  <conditionalFormatting sqref="Q27:S27">
    <cfRule type="containsBlanks" dxfId="440" priority="26">
      <formula>LEN(TRIM(Q27))=0</formula>
    </cfRule>
    <cfRule type="containsBlanks" dxfId="439" priority="27">
      <formula>LEN(TRIM(Q27))=0</formula>
    </cfRule>
  </conditionalFormatting>
  <conditionalFormatting sqref="W30:W31 W33:W35 W37 W28 W22:W26">
    <cfRule type="containsBlanks" dxfId="438" priority="25">
      <formula>LEN(TRIM(W22))=0</formula>
    </cfRule>
  </conditionalFormatting>
  <conditionalFormatting sqref="W37 W30:W31 W33:W35 W28 W22:W26">
    <cfRule type="containsBlanks" dxfId="437" priority="24">
      <formula>LEN(TRIM(W22))=0</formula>
    </cfRule>
  </conditionalFormatting>
  <conditionalFormatting sqref="W33:X33">
    <cfRule type="cellIs" dxfId="436" priority="23" operator="between">
      <formula>0</formula>
      <formula>1000</formula>
    </cfRule>
  </conditionalFormatting>
  <conditionalFormatting sqref="W30:X37 W26 W28 W22:X25">
    <cfRule type="containsBlanks" dxfId="435" priority="22">
      <formula>LEN(TRIM(W22))=0</formula>
    </cfRule>
  </conditionalFormatting>
  <conditionalFormatting sqref="AA37 AA30:AA31 AA33 AA22:AA26 AA28 AA35">
    <cfRule type="containsBlanks" dxfId="434" priority="21">
      <formula>LEN(TRIM(AA22))=0</formula>
    </cfRule>
  </conditionalFormatting>
  <conditionalFormatting sqref="AA37 AA30:AA31 AA33 AA22:AA26 AA28 AA35">
    <cfRule type="containsBlanks" dxfId="433" priority="20">
      <formula>LEN(TRIM(AA22))=0</formula>
    </cfRule>
  </conditionalFormatting>
  <conditionalFormatting sqref="AA33:AB33">
    <cfRule type="cellIs" dxfId="432" priority="19" operator="between">
      <formula>0</formula>
      <formula>1000</formula>
    </cfRule>
  </conditionalFormatting>
  <conditionalFormatting sqref="AA30:AB30 AA31 AA33:AB33 AA22:AB25 AA26 AA28 AA35:AB37">
    <cfRule type="containsBlanks" dxfId="431" priority="18">
      <formula>LEN(TRIM(AA22))=0</formula>
    </cfRule>
  </conditionalFormatting>
  <conditionalFormatting sqref="AE37 AE28 AE30:AE31 AE33:AE35 AE22:AE26">
    <cfRule type="containsBlanks" dxfId="430" priority="17">
      <formula>LEN(TRIM(AE22))=0</formula>
    </cfRule>
  </conditionalFormatting>
  <conditionalFormatting sqref="AE37 AE28 AE30:AE31 AE33:AE35 AE22:AE26">
    <cfRule type="containsBlanks" dxfId="429" priority="16">
      <formula>LEN(TRIM(AE22))=0</formula>
    </cfRule>
  </conditionalFormatting>
  <conditionalFormatting sqref="AE33:AF33">
    <cfRule type="cellIs" dxfId="428" priority="15" operator="between">
      <formula>0</formula>
      <formula>1000</formula>
    </cfRule>
  </conditionalFormatting>
  <conditionalFormatting sqref="AE33:AF37 AE26 AE28 AE30:AE31 AE22:AF25">
    <cfRule type="containsBlanks" dxfId="427" priority="14">
      <formula>LEN(TRIM(AE22))=0</formula>
    </cfRule>
  </conditionalFormatting>
  <conditionalFormatting sqref="K6:M6">
    <cfRule type="containsBlanks" dxfId="426" priority="13">
      <formula>LEN(TRIM(K6))=0</formula>
    </cfRule>
  </conditionalFormatting>
  <conditionalFormatting sqref="K7:K8">
    <cfRule type="containsBlanks" dxfId="425" priority="12">
      <formula>LEN(TRIM(K7))=0</formula>
    </cfRule>
  </conditionalFormatting>
  <conditionalFormatting sqref="B6:B10">
    <cfRule type="containsBlanks" dxfId="424" priority="10">
      <formula>LEN(TRIM(B6))=0</formula>
    </cfRule>
  </conditionalFormatting>
  <conditionalFormatting sqref="B12:B13">
    <cfRule type="containsBlanks" dxfId="423" priority="9">
      <formula>LEN(TRIM(B12))=0</formula>
    </cfRule>
  </conditionalFormatting>
  <conditionalFormatting sqref="E20:H24">
    <cfRule type="containsBlanks" dxfId="422" priority="8">
      <formula>LEN(TRIM(E20))=0</formula>
    </cfRule>
  </conditionalFormatting>
  <conditionalFormatting sqref="E28:H33">
    <cfRule type="containsBlanks" dxfId="421" priority="7">
      <formula>LEN(TRIM(E28))=0</formula>
    </cfRule>
  </conditionalFormatting>
  <conditionalFormatting sqref="Q20:S26">
    <cfRule type="containsBlanks" dxfId="420" priority="5">
      <formula>LEN(TRIM(Q20))=0</formula>
    </cfRule>
    <cfRule type="containsBlanks" dxfId="419" priority="6">
      <formula>LEN(TRIM(Q20))=0</formula>
    </cfRule>
  </conditionalFormatting>
  <conditionalFormatting sqref="Q34:S39">
    <cfRule type="containsBlanks" dxfId="418" priority="4">
      <formula>LEN(TRIM(Q34))=0</formula>
    </cfRule>
  </conditionalFormatting>
  <conditionalFormatting sqref="Q42:S46">
    <cfRule type="containsBlanks" dxfId="417" priority="3">
      <formula>LEN(TRIM(Q42))=0</formula>
    </cfRule>
  </conditionalFormatting>
  <conditionalFormatting sqref="D13">
    <cfRule type="containsBlanks" dxfId="416" priority="2">
      <formula>LEN(TRIM(D13))=0</formula>
    </cfRule>
  </conditionalFormatting>
  <conditionalFormatting sqref="D13">
    <cfRule type="containsBlanks" dxfId="415" priority="1">
      <formula>LEN(TRIM(D13))=0</formula>
    </cfRule>
  </conditionalFormatting>
  <dataValidations count="5">
    <dataValidation type="list" allowBlank="1" showInputMessage="1" showErrorMessage="1" sqref="L25" xr:uid="{00000000-0002-0000-3200-000000000000}">
      <formula1>$D$101:$D$104</formula1>
    </dataValidation>
    <dataValidation type="list" allowBlank="1" showInputMessage="1" showErrorMessage="1" sqref="M21" xr:uid="{00000000-0002-0000-3200-000001000000}">
      <formula1>$AX$3:$AX$4</formula1>
    </dataValidation>
    <dataValidation type="list" allowBlank="1" showInputMessage="1" showErrorMessage="1" sqref="M19" xr:uid="{00000000-0002-0000-3200-000002000000}">
      <formula1>$AX$3:$AX$5</formula1>
    </dataValidation>
    <dataValidation type="list" allowBlank="1" showInputMessage="1" showErrorMessage="1" sqref="CP70" xr:uid="{00000000-0002-0000-3200-000003000000}">
      <formula1>$BA$3:$BA$5</formula1>
    </dataValidation>
    <dataValidation type="list" allowBlank="1" showInputMessage="1" showErrorMessage="1" sqref="D12:E12" xr:uid="{00000000-0002-0000-3200-000004000000}">
      <formula1>$B$87:$B$94</formula1>
    </dataValidation>
  </dataValidations>
  <hyperlinks>
    <hyperlink ref="D8" r:id="rId1" xr:uid="{00000000-0004-0000-32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85345"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85346"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85347"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8534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8534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85350"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85351"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8535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8535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8535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92">
    <tabColor theme="7" tint="0.59999389629810485"/>
  </sheetPr>
  <dimension ref="A1:CP153"/>
  <sheetViews>
    <sheetView view="pageBreakPreview" topLeftCell="Q15" zoomScale="70" zoomScaleNormal="100" zoomScaleSheetLayoutView="7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45968</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45968</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25-LA T-V- ROZO AP4-2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25-LA T-V- ROZO AP4-2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304</v>
      </c>
      <c r="G12" s="31" t="s">
        <v>4</v>
      </c>
      <c r="H12" s="146">
        <v>2</v>
      </c>
      <c r="I12" s="546" t="s">
        <v>5</v>
      </c>
      <c r="J12" s="546"/>
      <c r="K12" s="209" t="s">
        <v>303</v>
      </c>
      <c r="L12" s="32" t="s">
        <v>6</v>
      </c>
      <c r="M12" s="147" t="s">
        <v>298</v>
      </c>
      <c r="N12" s="78"/>
      <c r="O12" s="501" t="s">
        <v>3</v>
      </c>
      <c r="P12" s="501"/>
      <c r="Q12" s="225" t="s">
        <v>234</v>
      </c>
      <c r="R12" s="224" t="str">
        <f>F12</f>
        <v>LA T-V- ROZO AP4</v>
      </c>
      <c r="S12" s="224"/>
      <c r="T12" s="502" t="s">
        <v>4</v>
      </c>
      <c r="U12" s="502"/>
      <c r="V12" s="33">
        <f>+H12</f>
        <v>2</v>
      </c>
      <c r="W12" s="547" t="s">
        <v>5</v>
      </c>
      <c r="X12" s="547"/>
      <c r="Y12" s="547"/>
      <c r="Z12" s="547"/>
      <c r="AA12" s="547"/>
      <c r="AB12" s="547"/>
      <c r="AC12" s="34" t="str">
        <f>K12</f>
        <v>1,10m</v>
      </c>
      <c r="AD12" s="548" t="s">
        <v>6</v>
      </c>
      <c r="AE12" s="548"/>
      <c r="AF12" s="35" t="str">
        <f>+M12</f>
        <v>2,00m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302</v>
      </c>
      <c r="E13" s="791"/>
      <c r="F13" s="791"/>
      <c r="G13" s="791"/>
      <c r="H13" s="791"/>
      <c r="I13" s="791"/>
      <c r="J13" s="791"/>
      <c r="K13" s="791"/>
      <c r="L13" s="791"/>
      <c r="M13" s="791"/>
      <c r="N13" s="188"/>
      <c r="O13" s="526" t="s">
        <v>130</v>
      </c>
      <c r="P13" s="526"/>
      <c r="Q13" s="527" t="str">
        <f>D13</f>
        <v xml:space="preserve">GRAVAS ANGULARES CON ARCILLA Y ARENA, COLOR MARRÓN GRISÁCEO, CEMENTACIÓN DÉBIL, EN CONDICIÓN HÚMEDA. </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540</v>
      </c>
      <c r="R20" s="148">
        <v>538</v>
      </c>
      <c r="S20" s="149">
        <v>526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7407</v>
      </c>
      <c r="F22" s="219">
        <v>7951</v>
      </c>
      <c r="G22" s="219">
        <v>8109</v>
      </c>
      <c r="H22" s="151">
        <v>7616</v>
      </c>
      <c r="I22" s="174"/>
      <c r="J22" s="578"/>
      <c r="K22" s="578"/>
      <c r="L22" s="578"/>
      <c r="M22" s="104"/>
      <c r="N22" s="103"/>
      <c r="O22" s="579" t="s">
        <v>132</v>
      </c>
      <c r="P22" s="580"/>
      <c r="Q22" s="150">
        <v>8848</v>
      </c>
      <c r="R22" s="150">
        <v>8546</v>
      </c>
      <c r="S22" s="208">
        <v>8135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9.5000000000000001E-2</v>
      </c>
      <c r="AJ22" s="42">
        <v>7.4266033571858459E-2</v>
      </c>
      <c r="AK22" s="42">
        <f>AL22*0.74</f>
        <v>3.1449999999999999E-2</v>
      </c>
      <c r="AL22" s="42">
        <v>4.2500000000000003E-2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3794</v>
      </c>
      <c r="R23" s="150">
        <v>3715</v>
      </c>
      <c r="S23" s="151">
        <v>3698</v>
      </c>
      <c r="T23" s="174"/>
      <c r="U23" s="112">
        <v>2.5000000000000001E-2</v>
      </c>
      <c r="V23" s="113">
        <f>U23*25.4</f>
        <v>0.63500000000000001</v>
      </c>
      <c r="W23" s="581">
        <f>AI23</f>
        <v>0.49299999999999999</v>
      </c>
      <c r="X23" s="582"/>
      <c r="Y23" s="449">
        <f>((W23/19.32)*10)</f>
        <v>0.25517598343685299</v>
      </c>
      <c r="Z23" s="450"/>
      <c r="AA23" s="581">
        <f>(W23+AE23)/2</f>
        <v>0.32810447368421053</v>
      </c>
      <c r="AB23" s="582"/>
      <c r="AC23" s="449">
        <f>((AA23/19.32)*10)</f>
        <v>0.16982633213468457</v>
      </c>
      <c r="AD23" s="450"/>
      <c r="AE23" s="581">
        <f>AK23</f>
        <v>0.16320894736842104</v>
      </c>
      <c r="AF23" s="582"/>
      <c r="AG23" s="114">
        <f>((AE23/19.32)*10)</f>
        <v>8.4476680832516068E-2</v>
      </c>
      <c r="AH23" s="104"/>
      <c r="AI23" s="42">
        <f t="shared" ref="AI23:AI33" si="2">AJ51</f>
        <v>0.49299999999999999</v>
      </c>
      <c r="AJ23" s="42">
        <v>0.81989701063331788</v>
      </c>
      <c r="AK23" s="42">
        <f t="shared" ref="AK23:AK33" si="3">AL23*0.74</f>
        <v>0.16320894736842104</v>
      </c>
      <c r="AL23" s="42">
        <v>0.22055263157894736</v>
      </c>
      <c r="AO23" s="42">
        <v>0.247</v>
      </c>
      <c r="AS23" s="42">
        <f t="shared" ref="AS23:AS37" si="4">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11.61</v>
      </c>
      <c r="R24" s="150">
        <v>11.65</v>
      </c>
      <c r="S24" s="151">
        <v>11.59</v>
      </c>
      <c r="T24" s="174"/>
      <c r="U24" s="112">
        <v>0.05</v>
      </c>
      <c r="V24" s="113">
        <f>U24*25.4</f>
        <v>1.27</v>
      </c>
      <c r="W24" s="581">
        <f>AI24</f>
        <v>1.468</v>
      </c>
      <c r="X24" s="582"/>
      <c r="Y24" s="449">
        <f>((W24/19.32)*10)</f>
        <v>0.75983436853002073</v>
      </c>
      <c r="Z24" s="450"/>
      <c r="AA24" s="581">
        <f>(W24+AE24)/2</f>
        <v>0.97699263157894733</v>
      </c>
      <c r="AB24" s="582"/>
      <c r="AC24" s="449">
        <f>((AA24/19.32)*10)</f>
        <v>0.5056897678980059</v>
      </c>
      <c r="AD24" s="450"/>
      <c r="AE24" s="581">
        <f>AK24</f>
        <v>0.48598526315789475</v>
      </c>
      <c r="AF24" s="582"/>
      <c r="AG24" s="114">
        <f>((AE24/19.32)*10)</f>
        <v>0.25154516726599108</v>
      </c>
      <c r="AH24" s="104"/>
      <c r="AI24" s="42">
        <f t="shared" si="2"/>
        <v>1.468</v>
      </c>
      <c r="AJ24" s="42">
        <v>2.2086718384270716</v>
      </c>
      <c r="AK24" s="42">
        <f t="shared" si="3"/>
        <v>0.48598526315789475</v>
      </c>
      <c r="AL24" s="42">
        <v>0.65673684210526317</v>
      </c>
      <c r="AO24" s="42">
        <v>0.68400000000000005</v>
      </c>
      <c r="AS24" s="42">
        <f t="shared" si="4"/>
        <v>0.55609756097560981</v>
      </c>
    </row>
    <row r="25" spans="1:45" ht="24.95" customHeight="1" thickBot="1" x14ac:dyDescent="0.3">
      <c r="A25" s="103"/>
      <c r="B25" s="602" t="s">
        <v>69</v>
      </c>
      <c r="C25" s="603"/>
      <c r="D25" s="603"/>
      <c r="E25" s="115">
        <f>E22-E23</f>
        <v>4523</v>
      </c>
      <c r="F25" s="220">
        <f>F22-F23</f>
        <v>5067</v>
      </c>
      <c r="G25" s="220">
        <f>G22-G23</f>
        <v>5225</v>
      </c>
      <c r="H25" s="116">
        <f>H22-H23</f>
        <v>4732</v>
      </c>
      <c r="I25" s="174"/>
      <c r="J25" s="174" t="s">
        <v>127</v>
      </c>
      <c r="K25" s="174"/>
      <c r="L25" s="218" t="s">
        <v>128</v>
      </c>
      <c r="M25" s="155">
        <v>14.67</v>
      </c>
      <c r="N25" s="103"/>
      <c r="O25" s="604" t="s">
        <v>46</v>
      </c>
      <c r="P25" s="605"/>
      <c r="Q25" s="608">
        <v>15.22</v>
      </c>
      <c r="R25" s="608">
        <v>15.23</v>
      </c>
      <c r="S25" s="610">
        <v>15.26</v>
      </c>
      <c r="T25" s="174"/>
      <c r="U25" s="112">
        <v>7.4999999999999997E-2</v>
      </c>
      <c r="V25" s="113">
        <f>U25*25.4</f>
        <v>1.9049999999999998</v>
      </c>
      <c r="W25" s="581">
        <f>AI25</f>
        <v>2.7709999999999999</v>
      </c>
      <c r="X25" s="582"/>
      <c r="Y25" s="449">
        <f>((W25/19.32)*10)</f>
        <v>1.434265010351967</v>
      </c>
      <c r="Z25" s="450"/>
      <c r="AA25" s="581">
        <f>(W25+AE25)/2</f>
        <v>1.8441734210526315</v>
      </c>
      <c r="AB25" s="582"/>
      <c r="AC25" s="449">
        <f>((AA25/19.32)*10)</f>
        <v>0.95454110820529581</v>
      </c>
      <c r="AD25" s="450"/>
      <c r="AE25" s="581">
        <f>AK25</f>
        <v>0.91734684210526307</v>
      </c>
      <c r="AF25" s="582"/>
      <c r="AG25" s="114">
        <f>((AE25/19.32)*10)</f>
        <v>0.47481720605862476</v>
      </c>
      <c r="AH25" s="104"/>
      <c r="AI25" s="42">
        <f t="shared" si="2"/>
        <v>2.7709999999999999</v>
      </c>
      <c r="AJ25" s="42">
        <v>3.0991215809536548</v>
      </c>
      <c r="AK25" s="42">
        <f t="shared" si="3"/>
        <v>0.91734684210526307</v>
      </c>
      <c r="AL25" s="42">
        <v>1.239657894736842</v>
      </c>
      <c r="AO25" s="42">
        <v>1.3149999999999999</v>
      </c>
      <c r="AS25" s="42">
        <f t="shared" si="4"/>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14.67</v>
      </c>
      <c r="N26" s="103"/>
      <c r="O26" s="606"/>
      <c r="P26" s="607"/>
      <c r="Q26" s="609"/>
      <c r="R26" s="609"/>
      <c r="S26" s="611"/>
      <c r="T26" s="174"/>
      <c r="U26" s="600">
        <v>0.1</v>
      </c>
      <c r="V26" s="601">
        <f>U26*25.4</f>
        <v>2.54</v>
      </c>
      <c r="W26" s="778">
        <f>AI26</f>
        <v>3.8340000000000001</v>
      </c>
      <c r="X26" s="779"/>
      <c r="Y26" s="461">
        <f>((W26/19.32)*10)</f>
        <v>1.984472049689441</v>
      </c>
      <c r="Z26" s="462"/>
      <c r="AA26" s="746">
        <f>(W26+AE26)/2</f>
        <v>2.5516278947368423</v>
      </c>
      <c r="AB26" s="747"/>
      <c r="AC26" s="461">
        <f>((AA26/19.32)*10)</f>
        <v>1.320718372016999</v>
      </c>
      <c r="AD26" s="462"/>
      <c r="AE26" s="746">
        <f>AK26</f>
        <v>1.2692557894736842</v>
      </c>
      <c r="AF26" s="747"/>
      <c r="AG26" s="469">
        <f>((AE26/19.32)*10)</f>
        <v>0.65696469434455707</v>
      </c>
      <c r="AH26" s="104"/>
      <c r="AI26" s="42">
        <f t="shared" si="2"/>
        <v>3.8340000000000001</v>
      </c>
      <c r="AJ26" s="42">
        <v>3.7288975456430151</v>
      </c>
      <c r="AK26" s="42">
        <f t="shared" si="3"/>
        <v>1.2692557894736842</v>
      </c>
      <c r="AL26" s="42">
        <v>1.7152105263157895</v>
      </c>
      <c r="AO26" s="42">
        <v>1.875</v>
      </c>
      <c r="AS26" s="42">
        <f t="shared" si="4"/>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2112.279606081046</v>
      </c>
      <c r="R27" s="152">
        <f>(PI()*((R25^2)/4)*R24)</f>
        <v>2122.3431962773943</v>
      </c>
      <c r="S27" s="153">
        <f>(PI()*((S25^2)/4)*S24)</f>
        <v>2119.7389722618027</v>
      </c>
      <c r="T27" s="174"/>
      <c r="U27" s="600"/>
      <c r="V27" s="601"/>
      <c r="W27" s="780"/>
      <c r="X27" s="781"/>
      <c r="Y27" s="463"/>
      <c r="Z27" s="464"/>
      <c r="AA27" s="748"/>
      <c r="AB27" s="749"/>
      <c r="AC27" s="463"/>
      <c r="AD27" s="464"/>
      <c r="AE27" s="748"/>
      <c r="AF27" s="749"/>
      <c r="AG27" s="470"/>
      <c r="AH27" s="193"/>
      <c r="AI27" s="42">
        <f t="shared" si="2"/>
        <v>4.9989999999999997</v>
      </c>
      <c r="AJ27" s="42">
        <v>4.3230258142178819</v>
      </c>
      <c r="AK27" s="42">
        <f t="shared" si="3"/>
        <v>1.6549321052631578</v>
      </c>
      <c r="AL27" s="42">
        <v>2.2363947368421053</v>
      </c>
      <c r="AO27" s="42">
        <v>2.387</v>
      </c>
      <c r="AS27" s="42">
        <f t="shared" si="4"/>
        <v>1.9406504065040651</v>
      </c>
    </row>
    <row r="28" spans="1:45" ht="24.95" customHeight="1" thickBot="1" x14ac:dyDescent="0.3">
      <c r="A28" s="103"/>
      <c r="B28" s="560" t="s">
        <v>9</v>
      </c>
      <c r="C28" s="561"/>
      <c r="D28" s="561"/>
      <c r="E28" s="148">
        <v>672</v>
      </c>
      <c r="F28" s="148">
        <v>666</v>
      </c>
      <c r="G28" s="148">
        <v>648</v>
      </c>
      <c r="H28" s="149">
        <v>67</v>
      </c>
      <c r="I28" s="174"/>
      <c r="J28" s="597" t="s">
        <v>107</v>
      </c>
      <c r="K28" s="597"/>
      <c r="L28" s="562" t="s">
        <v>119</v>
      </c>
      <c r="M28" s="459">
        <f>IF(M26="","",(100-M26))</f>
        <v>85.33</v>
      </c>
      <c r="N28" s="103"/>
      <c r="O28" s="625" t="s">
        <v>136</v>
      </c>
      <c r="P28" s="626"/>
      <c r="Q28" s="220">
        <f>Q22-Q23</f>
        <v>5054</v>
      </c>
      <c r="R28" s="220">
        <f>R22-R23</f>
        <v>4831</v>
      </c>
      <c r="S28" s="220">
        <f>S22-S23</f>
        <v>4437</v>
      </c>
      <c r="T28" s="174"/>
      <c r="U28" s="627">
        <v>0.125</v>
      </c>
      <c r="V28" s="624">
        <f>U28*25.4</f>
        <v>3.1749999999999998</v>
      </c>
      <c r="W28" s="593">
        <f>AI27</f>
        <v>4.9989999999999997</v>
      </c>
      <c r="X28" s="594"/>
      <c r="Y28" s="439">
        <f>((W28/19.32)*10)</f>
        <v>2.5874741200828155</v>
      </c>
      <c r="Z28" s="440"/>
      <c r="AA28" s="593">
        <v>3.4</v>
      </c>
      <c r="AB28" s="594"/>
      <c r="AC28" s="439">
        <f>((AA28/19.32)*10)</f>
        <v>1.7598343685300204</v>
      </c>
      <c r="AD28" s="440"/>
      <c r="AE28" s="593">
        <f>AK27</f>
        <v>1.6549321052631578</v>
      </c>
      <c r="AF28" s="594"/>
      <c r="AG28" s="443">
        <f>((AE28/19.32)*10)</f>
        <v>0.85659011659583739</v>
      </c>
      <c r="AH28" s="104"/>
      <c r="AI28" s="42">
        <f t="shared" si="2"/>
        <v>6.0449999999999999</v>
      </c>
      <c r="AJ28" s="42">
        <v>4.7812472413562492</v>
      </c>
      <c r="AK28" s="42">
        <f t="shared" si="3"/>
        <v>2.0012131578947367</v>
      </c>
      <c r="AL28" s="42">
        <v>2.7043421052631578</v>
      </c>
      <c r="AO28" s="42">
        <v>2.8959999999999999</v>
      </c>
      <c r="AS28" s="42">
        <f t="shared" si="4"/>
        <v>2.3544715447154472</v>
      </c>
    </row>
    <row r="29" spans="1:45" ht="5.0999999999999996" customHeight="1" thickBot="1" x14ac:dyDescent="0.3">
      <c r="A29" s="103"/>
      <c r="B29" s="612" t="s">
        <v>73</v>
      </c>
      <c r="C29" s="613"/>
      <c r="D29" s="614"/>
      <c r="E29" s="618">
        <v>941.56</v>
      </c>
      <c r="F29" s="618">
        <v>1065.75</v>
      </c>
      <c r="G29" s="618">
        <v>1133.6199999999999</v>
      </c>
      <c r="H29" s="620">
        <v>1004.06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6.9980000000000002</v>
      </c>
      <c r="AJ29" s="42">
        <v>5.1681732762656321</v>
      </c>
      <c r="AK29" s="42">
        <f t="shared" si="3"/>
        <v>2.3167063157894736</v>
      </c>
      <c r="AL29" s="42">
        <v>3.130684210526316</v>
      </c>
      <c r="AO29" s="42">
        <v>3.3879999999999999</v>
      </c>
      <c r="AS29" s="42">
        <f t="shared" si="4"/>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22.112024739406777</v>
      </c>
      <c r="N30" s="103"/>
      <c r="O30" s="622" t="s">
        <v>134</v>
      </c>
      <c r="P30" s="623"/>
      <c r="Q30" s="229">
        <f>Q28/Q27</f>
        <v>2.3926756597232814</v>
      </c>
      <c r="R30" s="229">
        <f>R28/R27</f>
        <v>2.2762576799424381</v>
      </c>
      <c r="S30" s="131">
        <f>S28/S27</f>
        <v>2.0931822540704785</v>
      </c>
      <c r="T30" s="174"/>
      <c r="U30" s="120">
        <v>0.15</v>
      </c>
      <c r="V30" s="113">
        <f>U30*25.4</f>
        <v>3.8099999999999996</v>
      </c>
      <c r="W30" s="581">
        <f>AI28</f>
        <v>6.0449999999999999</v>
      </c>
      <c r="X30" s="582"/>
      <c r="Y30" s="449">
        <f>((W30/19.32)*10)</f>
        <v>3.1288819875776399</v>
      </c>
      <c r="Z30" s="450"/>
      <c r="AA30" s="581">
        <v>4.2009999999999996</v>
      </c>
      <c r="AB30" s="582"/>
      <c r="AC30" s="449">
        <f>((AA30/19.32)*10)</f>
        <v>2.1744306418219459</v>
      </c>
      <c r="AD30" s="450"/>
      <c r="AE30" s="581">
        <f>AK28</f>
        <v>2.0012131578947367</v>
      </c>
      <c r="AF30" s="582"/>
      <c r="AG30" s="114">
        <f>((AE30/19.32)*10)</f>
        <v>1.0358246158875448</v>
      </c>
      <c r="AH30" s="104"/>
      <c r="AI30" s="42">
        <f t="shared" si="2"/>
        <v>7.6840000000000002</v>
      </c>
      <c r="AJ30" s="42">
        <v>5.45261218484585</v>
      </c>
      <c r="AK30" s="42">
        <f t="shared" si="3"/>
        <v>2.5438084210526313</v>
      </c>
      <c r="AL30" s="42">
        <v>3.4375789473684208</v>
      </c>
      <c r="AO30" s="42">
        <v>3.8439999999999999</v>
      </c>
      <c r="AS30" s="42">
        <f t="shared" si="4"/>
        <v>3.1252032520325201</v>
      </c>
    </row>
    <row r="31" spans="1:45" ht="24.95" customHeight="1" thickBot="1" x14ac:dyDescent="0.3">
      <c r="A31" s="103"/>
      <c r="B31" s="576" t="s">
        <v>74</v>
      </c>
      <c r="C31" s="577"/>
      <c r="D31" s="577"/>
      <c r="E31" s="152">
        <v>915.12940398505293</v>
      </c>
      <c r="F31" s="152">
        <v>1004.9846686638996</v>
      </c>
      <c r="G31" s="152">
        <v>1038.4419058772999</v>
      </c>
      <c r="H31" s="153">
        <v>899.31980188617752</v>
      </c>
      <c r="I31" s="174"/>
      <c r="J31" s="597" t="s">
        <v>138</v>
      </c>
      <c r="K31" s="597"/>
      <c r="L31" s="562" t="s">
        <v>116</v>
      </c>
      <c r="M31" s="457">
        <v>2.72</v>
      </c>
      <c r="N31" s="121"/>
      <c r="O31" s="628" t="s">
        <v>135</v>
      </c>
      <c r="P31" s="629"/>
      <c r="Q31" s="122">
        <f>Q30/(1+Q40/100)</f>
        <v>2.224054012682279</v>
      </c>
      <c r="R31" s="122">
        <f>R30/(1+R40/100)</f>
        <v>2.1156053923909002</v>
      </c>
      <c r="S31" s="123">
        <f>S30/(1+S40/100)</f>
        <v>1.9463428857616012</v>
      </c>
      <c r="T31" s="174"/>
      <c r="U31" s="627">
        <v>0.17499999999999999</v>
      </c>
      <c r="V31" s="624">
        <f>U31*25.4</f>
        <v>4.4449999999999994</v>
      </c>
      <c r="W31" s="593">
        <f>AI29</f>
        <v>6.9980000000000002</v>
      </c>
      <c r="X31" s="594"/>
      <c r="Y31" s="439">
        <f>((W31/19.32)*10)</f>
        <v>3.6221532091097308</v>
      </c>
      <c r="Z31" s="440"/>
      <c r="AA31" s="593">
        <v>5.0229999999999997</v>
      </c>
      <c r="AB31" s="594"/>
      <c r="AC31" s="439">
        <f>((AA31/19.32)*10)</f>
        <v>2.599896480331263</v>
      </c>
      <c r="AD31" s="440"/>
      <c r="AE31" s="593">
        <f>AK29</f>
        <v>2.3167063157894736</v>
      </c>
      <c r="AF31" s="594"/>
      <c r="AG31" s="443">
        <f>((AE31/19.32)*10)</f>
        <v>1.1991233518579056</v>
      </c>
      <c r="AH31" s="104"/>
      <c r="AI31" s="42">
        <f t="shared" si="2"/>
        <v>10.428000000000001</v>
      </c>
      <c r="AJ31" s="42">
        <v>6.747811810339063</v>
      </c>
      <c r="AK31" s="42">
        <f t="shared" si="3"/>
        <v>3.4522168421052637</v>
      </c>
      <c r="AL31" s="42">
        <v>4.6651578947368426</v>
      </c>
      <c r="AO31" s="42">
        <v>5.516</v>
      </c>
      <c r="AS31" s="42">
        <f t="shared" si="4"/>
        <v>4.4845528455284551</v>
      </c>
    </row>
    <row r="32" spans="1:45" ht="5.0999999999999996" customHeight="1" thickBot="1" x14ac:dyDescent="0.3">
      <c r="A32" s="103"/>
      <c r="B32" s="612" t="s">
        <v>75</v>
      </c>
      <c r="C32" s="613"/>
      <c r="D32" s="614"/>
      <c r="E32" s="618">
        <v>39.94</v>
      </c>
      <c r="F32" s="618">
        <v>38.92</v>
      </c>
      <c r="G32" s="618">
        <v>39.72</v>
      </c>
      <c r="H32" s="620">
        <v>40.090000000000003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12.377000000000001</v>
      </c>
      <c r="AJ32" s="42">
        <v>7.9234431217815828</v>
      </c>
      <c r="AK32" s="42">
        <f t="shared" si="3"/>
        <v>4.0974384210526322</v>
      </c>
      <c r="AL32" s="42">
        <v>5.5370789473684221</v>
      </c>
      <c r="AO32" s="42">
        <v>6.7220000000000004</v>
      </c>
      <c r="AS32" s="42">
        <f t="shared" si="4"/>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10.199999999999999</v>
      </c>
      <c r="N33" s="101"/>
      <c r="O33" s="634" t="s">
        <v>25</v>
      </c>
      <c r="P33" s="635"/>
      <c r="Q33" s="635"/>
      <c r="R33" s="635"/>
      <c r="S33" s="636"/>
      <c r="T33" s="174"/>
      <c r="U33" s="117">
        <v>0.2</v>
      </c>
      <c r="V33" s="124">
        <f>U33*25.4</f>
        <v>5.08</v>
      </c>
      <c r="W33" s="581">
        <f>AI30</f>
        <v>7.6840000000000002</v>
      </c>
      <c r="X33" s="582"/>
      <c r="Y33" s="449">
        <f>((W33/19.32)*10)</f>
        <v>3.9772256728778466</v>
      </c>
      <c r="Z33" s="450"/>
      <c r="AA33" s="581">
        <f>AJ30</f>
        <v>5.45261218484585</v>
      </c>
      <c r="AB33" s="582"/>
      <c r="AC33" s="449">
        <f>((AA33/19.32)*10)</f>
        <v>2.822263035634498</v>
      </c>
      <c r="AD33" s="450"/>
      <c r="AE33" s="581">
        <f>AK30</f>
        <v>2.5438084210526313</v>
      </c>
      <c r="AF33" s="582"/>
      <c r="AG33" s="144">
        <f>((AE33/19.32)*10)</f>
        <v>1.3166710253895606</v>
      </c>
      <c r="AH33" s="104"/>
      <c r="AI33" s="42">
        <f t="shared" si="2"/>
        <v>13.503</v>
      </c>
      <c r="AJ33" s="42">
        <v>8.8933575202300545</v>
      </c>
      <c r="AK33" s="42">
        <f t="shared" si="3"/>
        <v>4.4702036842105271</v>
      </c>
      <c r="AL33" s="42">
        <v>6.0408157894736849</v>
      </c>
      <c r="AO33" s="42">
        <v>7.7720000000000002</v>
      </c>
      <c r="AS33" s="42">
        <f t="shared" si="4"/>
        <v>6.3186991869918705</v>
      </c>
    </row>
    <row r="34" spans="1:45" ht="24.95" customHeight="1" thickBot="1" x14ac:dyDescent="0.3">
      <c r="A34" s="103"/>
      <c r="B34" s="602" t="s">
        <v>10</v>
      </c>
      <c r="C34" s="603"/>
      <c r="D34" s="603"/>
      <c r="E34" s="125">
        <f>((E29-E31)/(E31-E32))*100</f>
        <v>3.0199858333063654</v>
      </c>
      <c r="F34" s="125">
        <f>((F29-F31)/(F31-F32))*100</f>
        <v>6.2899858888474771</v>
      </c>
      <c r="G34" s="125">
        <f>((G29-G31)/(G31-G32))*100</f>
        <v>9.5299896360131857</v>
      </c>
      <c r="H34" s="126">
        <f>((H29-H31)/(H31-H32))*100</f>
        <v>12.19000992329377</v>
      </c>
      <c r="I34" s="174"/>
      <c r="J34" s="630" t="s">
        <v>125</v>
      </c>
      <c r="K34" s="630"/>
      <c r="L34" s="184" t="s">
        <v>126</v>
      </c>
      <c r="M34" s="245">
        <v>2.72</v>
      </c>
      <c r="N34" s="128"/>
      <c r="O34" s="631" t="s">
        <v>9</v>
      </c>
      <c r="P34" s="632"/>
      <c r="Q34" s="156">
        <v>347</v>
      </c>
      <c r="R34" s="156">
        <v>640</v>
      </c>
      <c r="S34" s="157">
        <v>644</v>
      </c>
      <c r="T34" s="174"/>
      <c r="U34" s="120">
        <v>0.3</v>
      </c>
      <c r="V34" s="113">
        <f>U34*25.4</f>
        <v>7.6199999999999992</v>
      </c>
      <c r="W34" s="581">
        <f>AI31</f>
        <v>10.428000000000001</v>
      </c>
      <c r="X34" s="582"/>
      <c r="Y34" s="449">
        <f>((W34/19.32)*10)</f>
        <v>5.3975155279503104</v>
      </c>
      <c r="Z34" s="450"/>
      <c r="AA34" s="449">
        <f>AJ31</f>
        <v>6.747811810339063</v>
      </c>
      <c r="AB34" s="450"/>
      <c r="AC34" s="449">
        <f>((AA34/19.32)*10)</f>
        <v>3.4926562165316062</v>
      </c>
      <c r="AD34" s="450"/>
      <c r="AE34" s="581">
        <f>AK31</f>
        <v>3.4522168421052637</v>
      </c>
      <c r="AF34" s="582"/>
      <c r="AG34" s="114">
        <f>((AE34/19.32)*10)</f>
        <v>1.786861719516182</v>
      </c>
      <c r="AH34" s="104"/>
      <c r="AS34" s="42">
        <f t="shared" si="4"/>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775.17</v>
      </c>
      <c r="R35" s="608">
        <v>841.56</v>
      </c>
      <c r="S35" s="610">
        <v>813.19</v>
      </c>
      <c r="T35" s="174"/>
      <c r="U35" s="627">
        <v>0.4</v>
      </c>
      <c r="V35" s="624">
        <f>U35*25.4</f>
        <v>10.16</v>
      </c>
      <c r="W35" s="593">
        <f>AI32</f>
        <v>12.377000000000001</v>
      </c>
      <c r="X35" s="594"/>
      <c r="Y35" s="439">
        <f>((W35/19.32)*10)</f>
        <v>6.4063146997929614</v>
      </c>
      <c r="Z35" s="440"/>
      <c r="AA35" s="593">
        <f>AJ32</f>
        <v>7.9234431217815828</v>
      </c>
      <c r="AB35" s="594"/>
      <c r="AC35" s="439">
        <f>(AA35/19.32)*10</f>
        <v>4.1011610361188318</v>
      </c>
      <c r="AD35" s="440"/>
      <c r="AE35" s="593">
        <f>AK32</f>
        <v>4.0974384210526322</v>
      </c>
      <c r="AF35" s="594"/>
      <c r="AG35" s="443">
        <f>((AE35/19.32)*10)</f>
        <v>2.1208273400893543</v>
      </c>
      <c r="AH35" s="104"/>
      <c r="AS35" s="42">
        <f t="shared" si="4"/>
        <v>0</v>
      </c>
    </row>
    <row r="36" spans="1:45" ht="20.100000000000001" customHeight="1" thickBot="1" x14ac:dyDescent="0.3">
      <c r="A36" s="103"/>
      <c r="B36" s="639" t="s">
        <v>71</v>
      </c>
      <c r="C36" s="640"/>
      <c r="D36" s="640"/>
      <c r="E36" s="130">
        <f>E25/E24</f>
        <v>2.105679702048417</v>
      </c>
      <c r="F36" s="130">
        <f>F25/F24</f>
        <v>2.3589385474860336</v>
      </c>
      <c r="G36" s="130">
        <f>G25/G24</f>
        <v>2.4324953445065178</v>
      </c>
      <c r="H36" s="131">
        <f>H25/H24</f>
        <v>2.202979515828678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4"/>
        <v>0</v>
      </c>
    </row>
    <row r="37" spans="1:45" ht="24.95" customHeight="1" thickBot="1" x14ac:dyDescent="0.3">
      <c r="A37" s="103"/>
      <c r="B37" s="602" t="s">
        <v>72</v>
      </c>
      <c r="C37" s="603"/>
      <c r="D37" s="603"/>
      <c r="E37" s="122">
        <f>E36/(1+E34/100)</f>
        <v>2.0439526224120783</v>
      </c>
      <c r="F37" s="230">
        <f>F36/(1+F34/100)</f>
        <v>2.2193422341337858</v>
      </c>
      <c r="G37" s="230">
        <f>G36/(1+G34/100)</f>
        <v>2.2208486941248822</v>
      </c>
      <c r="H37" s="123">
        <f>H36/(1+H34/100)</f>
        <v>1.96361469023391</v>
      </c>
      <c r="I37" s="174"/>
      <c r="J37" s="641" t="s">
        <v>139</v>
      </c>
      <c r="K37" s="641"/>
      <c r="L37" s="643" t="s">
        <v>121</v>
      </c>
      <c r="M37" s="433">
        <f>IF(F74="","",(M42^2*F74+M42*F75+F76))</f>
        <v>2.2540290254237285</v>
      </c>
      <c r="N37" s="101"/>
      <c r="O37" s="576" t="s">
        <v>28</v>
      </c>
      <c r="P37" s="577"/>
      <c r="Q37" s="150">
        <v>727.81</v>
      </c>
      <c r="R37" s="152">
        <v>784.94283129829898</v>
      </c>
      <c r="S37" s="153">
        <v>758.87398548219005</v>
      </c>
      <c r="T37" s="174"/>
      <c r="U37" s="132">
        <v>0.5</v>
      </c>
      <c r="V37" s="133">
        <f>U37*25.4</f>
        <v>12.7</v>
      </c>
      <c r="W37" s="637">
        <f>AI33</f>
        <v>13.503</v>
      </c>
      <c r="X37" s="638"/>
      <c r="Y37" s="431">
        <f>((W37/19.32)*10)</f>
        <v>6.9891304347826093</v>
      </c>
      <c r="Z37" s="432"/>
      <c r="AA37" s="637">
        <f>AJ33</f>
        <v>8.8933575202300545</v>
      </c>
      <c r="AB37" s="638"/>
      <c r="AC37" s="431">
        <f>((AA37/19.32)*10)</f>
        <v>4.6031871222722849</v>
      </c>
      <c r="AD37" s="432"/>
      <c r="AE37" s="637">
        <v>4.2869999999999999</v>
      </c>
      <c r="AF37" s="638"/>
      <c r="AG37" s="134">
        <f>((AE37/19.32)*10)</f>
        <v>2.218944099378882</v>
      </c>
      <c r="AH37" s="104"/>
      <c r="AS37" s="42">
        <f t="shared" si="4"/>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103.15</v>
      </c>
      <c r="R38" s="647">
        <v>39.36</v>
      </c>
      <c r="S38" s="648">
        <v>38.92</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2.3232138697836739</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22.112024739406777</v>
      </c>
      <c r="N40" s="103"/>
      <c r="O40" s="628" t="s">
        <v>10</v>
      </c>
      <c r="P40" s="629"/>
      <c r="Q40" s="125">
        <f>((Q35-Q37)/(Q37-Q38))*100</f>
        <v>7.5817244581052119</v>
      </c>
      <c r="R40" s="125">
        <f>((R35-R37)/(R37-R38))*100</f>
        <v>7.5936792432723141</v>
      </c>
      <c r="S40" s="126">
        <f>((S35-S37)/(S37-S38))*100</f>
        <v>7.5443730589853999</v>
      </c>
      <c r="T40" s="174"/>
      <c r="U40" s="645" t="s">
        <v>151</v>
      </c>
      <c r="V40" s="646"/>
      <c r="W40" s="423">
        <f>(AM79/6.9)*100</f>
        <v>28.760464488252769</v>
      </c>
      <c r="X40" s="423"/>
      <c r="Y40" s="423"/>
      <c r="Z40" s="424"/>
      <c r="AA40" s="425">
        <f>(AO79/6.9)*100</f>
        <v>19.140845971260855</v>
      </c>
      <c r="AB40" s="426"/>
      <c r="AC40" s="427"/>
      <c r="AD40" s="425">
        <f>(AQ79/6.9)*100</f>
        <v>9.5212274542689421</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22.790728062577845</v>
      </c>
      <c r="N41" s="138"/>
      <c r="O41" s="565" t="s">
        <v>36</v>
      </c>
      <c r="P41" s="566"/>
      <c r="Q41" s="566"/>
      <c r="R41" s="566"/>
      <c r="S41" s="567"/>
      <c r="T41" s="174"/>
      <c r="U41" s="653" t="s">
        <v>152</v>
      </c>
      <c r="V41" s="654"/>
      <c r="W41" s="418">
        <f>(AM83/10.3)*100</f>
        <v>38.613841484250933</v>
      </c>
      <c r="X41" s="418"/>
      <c r="Y41" s="418"/>
      <c r="Z41" s="419"/>
      <c r="AA41" s="420">
        <f>(AO83/10.3)*100</f>
        <v>27.400611996451435</v>
      </c>
      <c r="AB41" s="421"/>
      <c r="AC41" s="418"/>
      <c r="AD41" s="420">
        <f>(AQ83/10.3)*100</f>
        <v>12.783213838733598</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7.3093220338983045</v>
      </c>
      <c r="N42" s="103"/>
      <c r="O42" s="639" t="s">
        <v>9</v>
      </c>
      <c r="P42" s="640"/>
      <c r="Q42" s="148">
        <v>314</v>
      </c>
      <c r="R42" s="148">
        <v>530</v>
      </c>
      <c r="S42" s="149">
        <v>698</v>
      </c>
      <c r="T42" s="174"/>
      <c r="U42" s="651" t="s">
        <v>42</v>
      </c>
      <c r="V42" s="652"/>
      <c r="W42" s="413">
        <f>IF(W40&lt;W41,W40,W41)</f>
        <v>28.760464488252769</v>
      </c>
      <c r="X42" s="414"/>
      <c r="Y42" s="414"/>
      <c r="Z42" s="415"/>
      <c r="AA42" s="416">
        <f>IF(AA40&lt;AA41,AA40,AA41)</f>
        <v>19.140845971260855</v>
      </c>
      <c r="AB42" s="414"/>
      <c r="AC42" s="415"/>
      <c r="AD42" s="416">
        <f>IF(AD40&lt;AD41,AD40,AD41)</f>
        <v>9.5212274542689421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5.831991525423728</v>
      </c>
      <c r="N43" s="103"/>
      <c r="O43" s="612" t="s">
        <v>49</v>
      </c>
      <c r="P43" s="614"/>
      <c r="Q43" s="608">
        <v>1113.22</v>
      </c>
      <c r="R43" s="608">
        <v>1091.06</v>
      </c>
      <c r="S43" s="620">
        <v>1005.36</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1036.51</v>
      </c>
      <c r="R45" s="152">
        <v>995.6278432521018</v>
      </c>
      <c r="S45" s="153">
        <v>901.59042855830319</v>
      </c>
      <c r="T45" s="174"/>
      <c r="U45" s="656" t="s">
        <v>139</v>
      </c>
      <c r="V45" s="656"/>
      <c r="W45" s="179" t="s">
        <v>121</v>
      </c>
      <c r="X45" s="406">
        <f>MAX(M37:M39)</f>
        <v>2.3232138697836739</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100.52</v>
      </c>
      <c r="R46" s="150">
        <v>38.44</v>
      </c>
      <c r="S46" s="151">
        <v>39</v>
      </c>
      <c r="T46" s="174"/>
      <c r="U46" s="555" t="s">
        <v>123</v>
      </c>
      <c r="V46" s="555"/>
      <c r="W46" s="179" t="s">
        <v>41</v>
      </c>
      <c r="X46" s="401">
        <f>MIN(M42:M44)</f>
        <v>5.831991525423728</v>
      </c>
      <c r="Y46" s="401"/>
      <c r="Z46" s="401"/>
      <c r="AA46" s="174"/>
      <c r="AB46" s="660" t="s">
        <v>32</v>
      </c>
      <c r="AC46" s="661"/>
      <c r="AD46" s="661"/>
      <c r="AE46" s="661"/>
      <c r="AF46" s="234">
        <v>0.21099999999999999</v>
      </c>
      <c r="AG46" s="234">
        <v>0.127</v>
      </c>
      <c r="AH46" s="235">
        <v>0.2485</v>
      </c>
      <c r="AL46" s="42">
        <v>4.2500000000000003E-2</v>
      </c>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8.1956003803459474</v>
      </c>
      <c r="R47" s="125">
        <f>((R43-R45)/(R45-R46))*100</f>
        <v>9.9700552426221591</v>
      </c>
      <c r="S47" s="126">
        <f>((S43-S45)/(S45-S46))*100</f>
        <v>12.029993378796568</v>
      </c>
      <c r="T47" s="174"/>
      <c r="U47" s="555" t="s">
        <v>162</v>
      </c>
      <c r="V47" s="555"/>
      <c r="W47" s="179" t="s">
        <v>41</v>
      </c>
      <c r="X47" s="402">
        <f>IF(L25=D103,"-",IF(L25=D102,"-",IF(L25=D101,M25)))</f>
        <v>14.67</v>
      </c>
      <c r="Y47" s="402"/>
      <c r="Z47" s="402"/>
      <c r="AA47" s="174"/>
      <c r="AB47" s="662" t="s">
        <v>33</v>
      </c>
      <c r="AC47" s="663"/>
      <c r="AD47" s="663"/>
      <c r="AE47" s="663"/>
      <c r="AF47" s="232">
        <f>(AF46-AF45)*2.54</f>
        <v>2.0319999999999949E-2</v>
      </c>
      <c r="AG47" s="232">
        <f>(AG46-AG45)*2.54</f>
        <v>5.7150000000000013E-2</v>
      </c>
      <c r="AH47" s="239">
        <f>(AH46-AH45)*2.54</f>
        <v>9.7790000000000016E-2</v>
      </c>
      <c r="AL47" s="42">
        <v>0.22055263157894736</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0.17502153316106764</v>
      </c>
      <c r="AG48" s="142">
        <f>IF(AG47&lt;&gt;"",IF(R24&lt;&gt;"",AG47/R24*100,""),"")</f>
        <v>0.49055793991416324</v>
      </c>
      <c r="AH48" s="173">
        <f>IF(AH47&lt;&gt;"",IF(S24&lt;&gt;"",AH47/S24*100,""),"")</f>
        <v>0.84374460742018997</v>
      </c>
      <c r="AL48" s="42">
        <v>0.65673684210526317</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c r="AL49" s="42">
        <v>1.239657894736842</v>
      </c>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9.5000000000000001E-2</v>
      </c>
      <c r="AK50" s="42">
        <v>6.5789473684210495E-2</v>
      </c>
      <c r="AL50" s="42">
        <f t="shared" ref="AL50:AL60" si="5">8.884*AK50/7.87</f>
        <v>7.4266033571858459E-2</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0.49299999999999999</v>
      </c>
      <c r="AK51" s="42">
        <v>0.72631578947368425</v>
      </c>
      <c r="AL51" s="42">
        <f t="shared" si="5"/>
        <v>0.81989701063331788</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1.468</v>
      </c>
      <c r="AK52" s="42">
        <v>1.9565789473684212</v>
      </c>
      <c r="AL52" s="42">
        <f t="shared" si="5"/>
        <v>2.2086718384270716</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2.7709999999999999</v>
      </c>
      <c r="AK53" s="42">
        <v>2.7453947368421052</v>
      </c>
      <c r="AL53" s="42">
        <f t="shared" si="5"/>
        <v>3.0991215809536548</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3.8340000000000001</v>
      </c>
      <c r="AK54" s="42">
        <v>3.3032894736842104</v>
      </c>
      <c r="AL54" s="42">
        <f t="shared" si="5"/>
        <v>3.7288975456430151</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4.9989999999999997</v>
      </c>
      <c r="AK55" s="42">
        <v>3.8296052631578945</v>
      </c>
      <c r="AL55" s="42">
        <f t="shared" si="5"/>
        <v>4.3230258142178819</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6.0449999999999999</v>
      </c>
      <c r="AK56" s="42">
        <v>4.2355263157894738</v>
      </c>
      <c r="AL56" s="42">
        <f t="shared" si="5"/>
        <v>4.7812472413562492</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6.9980000000000002</v>
      </c>
      <c r="AK57" s="42">
        <v>4.5782894736842099</v>
      </c>
      <c r="AL57" s="42">
        <f t="shared" si="5"/>
        <v>5.1681732762656321</v>
      </c>
      <c r="AM57" s="42">
        <v>20.577999999999999</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7.6840000000000002</v>
      </c>
      <c r="AK58" s="42">
        <v>4.8302631578947368</v>
      </c>
      <c r="AL58" s="42">
        <f t="shared" si="5"/>
        <v>5.45261218484585</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10.428000000000001</v>
      </c>
      <c r="AK59" s="42">
        <v>5.9776315789473689</v>
      </c>
      <c r="AL59" s="42">
        <f t="shared" si="5"/>
        <v>6.747811810339063</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12.377000000000001</v>
      </c>
      <c r="AK60" s="42">
        <v>7.0190789473684214</v>
      </c>
      <c r="AL60" s="42">
        <f t="shared" si="5"/>
        <v>7.9234431217815828</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13.503</v>
      </c>
      <c r="AK61" s="42">
        <v>7.8782894736842106</v>
      </c>
      <c r="AL61" s="42">
        <f>8.884*AK61/7.87</f>
        <v>8.8933575202300545</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10.199999999999999</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-1.18E-2</v>
      </c>
      <c r="G74" s="75">
        <v>-0.12509999999999999</v>
      </c>
      <c r="J74" s="701"/>
      <c r="K74" s="702"/>
      <c r="L74" s="44"/>
      <c r="M74" s="44"/>
      <c r="N74" s="44"/>
    </row>
    <row r="75" spans="1:94" ht="26.25" customHeight="1" thickBot="1" x14ac:dyDescent="0.3">
      <c r="A75" s="11"/>
      <c r="B75" s="377" t="s">
        <v>113</v>
      </c>
      <c r="C75" s="377"/>
      <c r="D75" s="19"/>
      <c r="E75" s="54" t="s">
        <v>12</v>
      </c>
      <c r="F75" s="55">
        <v>0.17249999999999999</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1.6235999999999999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0.49299999999999999</v>
      </c>
      <c r="AM76" s="3">
        <f t="shared" si="6"/>
        <v>0.25517598343685299</v>
      </c>
      <c r="AN76" s="5">
        <f>AA23</f>
        <v>0.32810447368421053</v>
      </c>
      <c r="AO76" s="3">
        <f t="shared" ref="AO76:AO86" si="9">((AN76/19.32)*10)</f>
        <v>0.16982633213468457</v>
      </c>
      <c r="AP76" s="5">
        <f>AE23</f>
        <v>0.16320894736842104</v>
      </c>
      <c r="AQ76" s="161">
        <f t="shared" si="7"/>
        <v>8.4476680832516068E-2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1.468</v>
      </c>
      <c r="AM77" s="3">
        <f t="shared" si="6"/>
        <v>0.75983436853002073</v>
      </c>
      <c r="AN77" s="5">
        <f>AA24</f>
        <v>0.97699263157894733</v>
      </c>
      <c r="AO77" s="3">
        <f t="shared" si="9"/>
        <v>0.5056897678980059</v>
      </c>
      <c r="AP77" s="5">
        <f>AE24</f>
        <v>0.48598526315789475</v>
      </c>
      <c r="AQ77" s="161">
        <f t="shared" si="7"/>
        <v>0.25154516726599108</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2.7709999999999999</v>
      </c>
      <c r="AM78" s="3">
        <f t="shared" si="6"/>
        <v>1.434265010351967</v>
      </c>
      <c r="AN78" s="5">
        <f>AA25</f>
        <v>1.8441734210526315</v>
      </c>
      <c r="AO78" s="3">
        <f t="shared" si="9"/>
        <v>0.95454110820529581</v>
      </c>
      <c r="AP78" s="5">
        <f>AE25</f>
        <v>0.91734684210526307</v>
      </c>
      <c r="AQ78" s="161">
        <f t="shared" si="7"/>
        <v>0.47481720605862476</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3.8340000000000001</v>
      </c>
      <c r="AM79" s="4">
        <f t="shared" si="6"/>
        <v>1.984472049689441</v>
      </c>
      <c r="AN79" s="5">
        <f>AA26</f>
        <v>2.5516278947368423</v>
      </c>
      <c r="AO79" s="4">
        <f t="shared" si="9"/>
        <v>1.320718372016999</v>
      </c>
      <c r="AP79" s="5">
        <f>AE26</f>
        <v>1.2692557894736842</v>
      </c>
      <c r="AQ79" s="162">
        <f t="shared" si="7"/>
        <v>0.65696469434455707</v>
      </c>
      <c r="BB79" s="12">
        <v>17</v>
      </c>
      <c r="BC79" s="12">
        <v>18</v>
      </c>
    </row>
    <row r="80" spans="1:94" ht="42" customHeight="1" thickTop="1" thickBot="1" x14ac:dyDescent="0.3">
      <c r="D80" s="49"/>
      <c r="H80" s="711" t="s">
        <v>105</v>
      </c>
      <c r="I80" s="712"/>
      <c r="J80" s="58"/>
      <c r="AJ80" s="160">
        <f>U28</f>
        <v>0.125</v>
      </c>
      <c r="AK80" s="3">
        <f t="shared" si="8"/>
        <v>3.1749999999999998</v>
      </c>
      <c r="AL80" s="5">
        <f>W28</f>
        <v>4.9989999999999997</v>
      </c>
      <c r="AM80" s="3">
        <f t="shared" si="6"/>
        <v>2.5874741200828155</v>
      </c>
      <c r="AN80" s="5">
        <f>AA28</f>
        <v>3.4</v>
      </c>
      <c r="AO80" s="3">
        <f t="shared" si="9"/>
        <v>1.7598343685300204</v>
      </c>
      <c r="AP80" s="5">
        <f>AE28</f>
        <v>1.6549321052631578</v>
      </c>
      <c r="AQ80" s="161">
        <f t="shared" si="7"/>
        <v>0.85659011659583739</v>
      </c>
      <c r="BC80" s="45">
        <v>0.99880400000000003</v>
      </c>
      <c r="BD80" s="45">
        <v>0.99862499999999998</v>
      </c>
    </row>
    <row r="81" spans="2:43" ht="15.75" customHeight="1" x14ac:dyDescent="0.25">
      <c r="AJ81" s="160">
        <f>U30</f>
        <v>0.15</v>
      </c>
      <c r="AK81" s="3">
        <f t="shared" si="8"/>
        <v>3.8099999999999996</v>
      </c>
      <c r="AL81" s="5">
        <f>W30</f>
        <v>6.0449999999999999</v>
      </c>
      <c r="AM81" s="3">
        <f t="shared" si="6"/>
        <v>3.1288819875776399</v>
      </c>
      <c r="AN81" s="5">
        <f>AA30</f>
        <v>4.2009999999999996</v>
      </c>
      <c r="AO81" s="3">
        <f t="shared" si="9"/>
        <v>2.1744306418219459</v>
      </c>
      <c r="AP81" s="5">
        <f>AE30</f>
        <v>2.0012131578947367</v>
      </c>
      <c r="AQ81" s="161">
        <f t="shared" si="7"/>
        <v>1.0358246158875448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6.9980000000000002</v>
      </c>
      <c r="AM82" s="3">
        <f t="shared" si="6"/>
        <v>3.6221532091097308</v>
      </c>
      <c r="AN82" s="5">
        <f>AA31</f>
        <v>5.0229999999999997</v>
      </c>
      <c r="AO82" s="3">
        <f t="shared" si="9"/>
        <v>2.599896480331263</v>
      </c>
      <c r="AP82" s="5">
        <f>AE31</f>
        <v>2.3167063157894736</v>
      </c>
      <c r="AQ82" s="161">
        <f t="shared" si="7"/>
        <v>1.1991233518579056</v>
      </c>
    </row>
    <row r="83" spans="2:43" ht="15" customHeight="1" x14ac:dyDescent="0.25">
      <c r="B83" s="49"/>
      <c r="C83" s="49"/>
      <c r="D83" s="49">
        <v>0</v>
      </c>
      <c r="E83" s="50">
        <f>M42</f>
        <v>7.3093220338983045</v>
      </c>
      <c r="F83" s="49"/>
      <c r="G83" s="43">
        <f>G84/10</f>
        <v>2.5638001854832186</v>
      </c>
      <c r="H83" s="43">
        <f>H84/10</f>
        <v>2.3690797867522653</v>
      </c>
      <c r="I83" s="43">
        <f>I84/10</f>
        <v>2.2032761822471505</v>
      </c>
      <c r="J83" s="43">
        <f>J84/10</f>
        <v>2.0835582092835838</v>
      </c>
      <c r="K83" s="43"/>
      <c r="L83" s="42">
        <v>0</v>
      </c>
      <c r="O83" s="706"/>
      <c r="P83" s="706"/>
      <c r="Q83" s="706"/>
      <c r="R83" s="706"/>
      <c r="S83" s="707"/>
      <c r="W83" s="112"/>
      <c r="AJ83" s="160">
        <f>U33</f>
        <v>0.2</v>
      </c>
      <c r="AK83" s="4">
        <f t="shared" si="8"/>
        <v>5.08</v>
      </c>
      <c r="AL83" s="5">
        <f>W33</f>
        <v>7.6840000000000002</v>
      </c>
      <c r="AM83" s="4">
        <f t="shared" si="6"/>
        <v>3.9772256728778466</v>
      </c>
      <c r="AN83" s="5">
        <f>AA33</f>
        <v>5.45261218484585</v>
      </c>
      <c r="AO83" s="4">
        <f t="shared" si="9"/>
        <v>2.822263035634498</v>
      </c>
      <c r="AP83" s="5">
        <f>AE33</f>
        <v>2.5438084210526313</v>
      </c>
      <c r="AQ83" s="162">
        <f t="shared" si="7"/>
        <v>1.3166710253895606</v>
      </c>
    </row>
    <row r="84" spans="2:43" ht="15" customHeight="1" x14ac:dyDescent="0.25">
      <c r="C84" s="94"/>
      <c r="D84" s="94"/>
      <c r="E84" s="94"/>
      <c r="F84" s="49"/>
      <c r="G84" s="43">
        <f>($M$34/(1+(E34*$M$34/100)))*($O$73)</f>
        <v>25.638001854832186</v>
      </c>
      <c r="H84" s="43">
        <f>($M$34/(1+(F34*$M$34/100)))*($O$73)</f>
        <v>23.690797867522651</v>
      </c>
      <c r="I84" s="43">
        <f>($M$34/(1+(G34*$M$34/100)))*($O$73)</f>
        <v>22.032761822471507</v>
      </c>
      <c r="J84" s="43">
        <f>($M$34/(1+(H34*$M$34/100)))*($O$73)</f>
        <v>20.835582092835839</v>
      </c>
      <c r="K84" s="43"/>
      <c r="O84" s="706" t="s">
        <v>146</v>
      </c>
      <c r="P84" s="706"/>
      <c r="Q84" s="706"/>
      <c r="R84" s="706"/>
      <c r="S84" s="707">
        <v>2240</v>
      </c>
      <c r="W84" s="112"/>
      <c r="AJ84" s="160">
        <f>U34</f>
        <v>0.3</v>
      </c>
      <c r="AK84" s="3">
        <f t="shared" si="8"/>
        <v>7.6199999999999992</v>
      </c>
      <c r="AL84" s="5">
        <f>W34</f>
        <v>10.428000000000001</v>
      </c>
      <c r="AM84" s="3">
        <f t="shared" si="6"/>
        <v>5.3975155279503104</v>
      </c>
      <c r="AN84" s="5">
        <f>AA34</f>
        <v>6.747811810339063</v>
      </c>
      <c r="AO84" s="3">
        <f t="shared" si="9"/>
        <v>3.4926562165316062</v>
      </c>
      <c r="AP84" s="5">
        <f>AE34</f>
        <v>3.4522168421052637</v>
      </c>
      <c r="AQ84" s="161">
        <f t="shared" si="7"/>
        <v>1.786861719516182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12.377000000000001</v>
      </c>
      <c r="AM85" s="3">
        <f t="shared" si="6"/>
        <v>6.4063146997929614</v>
      </c>
      <c r="AN85" s="5">
        <f>AA35</f>
        <v>7.9234431217815828</v>
      </c>
      <c r="AO85" s="3">
        <f t="shared" si="9"/>
        <v>4.1011610361188318</v>
      </c>
      <c r="AP85" s="5">
        <f>AE35</f>
        <v>4.0974384210526322</v>
      </c>
      <c r="AQ85" s="161">
        <f>((AP85/19.32)*10)</f>
        <v>2.1208273400893543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13.503</v>
      </c>
      <c r="AM86" s="164">
        <f t="shared" si="6"/>
        <v>6.9891304347826093</v>
      </c>
      <c r="AN86" s="165">
        <f>AA37</f>
        <v>8.8933575202300545</v>
      </c>
      <c r="AO86" s="164">
        <f t="shared" si="9"/>
        <v>4.6031871222722849</v>
      </c>
      <c r="AP86" s="165">
        <f>AE37</f>
        <v>4.2869999999999999</v>
      </c>
      <c r="AQ86" s="166">
        <f>((AP86/19.32)*10)</f>
        <v>2.218944099378882</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2.224054012682279</v>
      </c>
      <c r="AK91" s="9">
        <f>R31</f>
        <v>2.1156053923909002</v>
      </c>
      <c r="AL91" s="10">
        <f>S31</f>
        <v>1.9463428857616012</v>
      </c>
    </row>
    <row r="92" spans="2:43" ht="21" customHeight="1" thickBot="1" x14ac:dyDescent="0.3">
      <c r="B92" s="92"/>
      <c r="C92" s="93"/>
      <c r="D92" s="93"/>
      <c r="E92" s="93"/>
      <c r="F92" s="62"/>
      <c r="G92" s="63"/>
      <c r="H92" s="49"/>
      <c r="I92" s="49"/>
      <c r="O92" s="725" t="s">
        <v>147</v>
      </c>
      <c r="P92" s="726"/>
      <c r="Q92" s="726"/>
      <c r="R92" s="726"/>
      <c r="S92" s="61">
        <f>M42</f>
        <v>7.3093220338983045</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28.760464488252769</v>
      </c>
      <c r="AK94" s="158">
        <f>AA42</f>
        <v>19.140845971260855</v>
      </c>
      <c r="AL94" s="158">
        <f>AD42</f>
        <v>9.5212274542689421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414" priority="49">
      <formula>LEN(TRIM(D6))=0</formula>
    </cfRule>
  </conditionalFormatting>
  <conditionalFormatting sqref="D6:H10">
    <cfRule type="containsBlanks" dxfId="413" priority="48">
      <formula>LEN(TRIM(D6))=0</formula>
    </cfRule>
  </conditionalFormatting>
  <conditionalFormatting sqref="M19">
    <cfRule type="containsBlanks" dxfId="412" priority="47">
      <formula>LEN(TRIM(M19))=0</formula>
    </cfRule>
  </conditionalFormatting>
  <conditionalFormatting sqref="CP70">
    <cfRule type="containsBlanks" dxfId="411" priority="46">
      <formula>LEN(TRIM(CP70))=0</formula>
    </cfRule>
  </conditionalFormatting>
  <conditionalFormatting sqref="M21">
    <cfRule type="containsBlanks" dxfId="410" priority="45">
      <formula>LEN(TRIM(M21))=0</formula>
    </cfRule>
  </conditionalFormatting>
  <conditionalFormatting sqref="D12:M12">
    <cfRule type="containsBlanks" dxfId="409" priority="44">
      <formula>LEN(TRIM(D12))=0</formula>
    </cfRule>
  </conditionalFormatting>
  <conditionalFormatting sqref="L9:M9">
    <cfRule type="containsBlanks" dxfId="408" priority="43">
      <formula>LEN(TRIM(L9))=0</formula>
    </cfRule>
  </conditionalFormatting>
  <conditionalFormatting sqref="L25">
    <cfRule type="containsBlanks" dxfId="407" priority="42">
      <formula>LEN(TRIM(L25))=0</formula>
    </cfRule>
  </conditionalFormatting>
  <conditionalFormatting sqref="U26:V27 AC33 AC26">
    <cfRule type="cellIs" dxfId="406" priority="41" operator="between">
      <formula>0</formula>
      <formula>500</formula>
    </cfRule>
  </conditionalFormatting>
  <conditionalFormatting sqref="U33:V33">
    <cfRule type="cellIs" dxfId="405" priority="40" operator="between">
      <formula>0</formula>
      <formula>500</formula>
    </cfRule>
  </conditionalFormatting>
  <conditionalFormatting sqref="AF45:AH46">
    <cfRule type="containsBlanks" dxfId="404" priority="39">
      <formula>LEN(TRIM(AF45))=0</formula>
    </cfRule>
  </conditionalFormatting>
  <conditionalFormatting sqref="AF51:AG53">
    <cfRule type="containsBlanks" dxfId="403" priority="38">
      <formula>LEN(TRIM(AF51))=0</formula>
    </cfRule>
  </conditionalFormatting>
  <conditionalFormatting sqref="M25">
    <cfRule type="containsBlanks" dxfId="402" priority="37">
      <formula>LEN(TRIM(M25))=0</formula>
    </cfRule>
  </conditionalFormatting>
  <conditionalFormatting sqref="U26:V27 Y26:Z27 AC26:AD27 AG26:AG27">
    <cfRule type="containsBlanks" dxfId="401" priority="35">
      <formula>LEN(TRIM(U26))=0</formula>
    </cfRule>
    <cfRule type="cellIs" dxfId="400" priority="36" operator="between">
      <formula>0</formula>
      <formula>1000</formula>
    </cfRule>
  </conditionalFormatting>
  <conditionalFormatting sqref="W87:W88">
    <cfRule type="cellIs" dxfId="399" priority="34" operator="between">
      <formula>0</formula>
      <formula>500</formula>
    </cfRule>
  </conditionalFormatting>
  <conditionalFormatting sqref="W94">
    <cfRule type="cellIs" dxfId="398" priority="33" operator="between">
      <formula>0</formula>
      <formula>500</formula>
    </cfRule>
  </conditionalFormatting>
  <conditionalFormatting sqref="W87:W88">
    <cfRule type="containsBlanks" dxfId="397" priority="31">
      <formula>LEN(TRIM(W87))=0</formula>
    </cfRule>
    <cfRule type="cellIs" dxfId="396" priority="32" operator="between">
      <formula>0</formula>
      <formula>1000</formula>
    </cfRule>
  </conditionalFormatting>
  <conditionalFormatting sqref="U33:V33 Y33:Z33 AC33:AD33 AG33">
    <cfRule type="cellIs" dxfId="395" priority="30" operator="between">
      <formula>0</formula>
      <formula>1000</formula>
    </cfRule>
  </conditionalFormatting>
  <conditionalFormatting sqref="Q27:S27">
    <cfRule type="containsBlanks" dxfId="394" priority="28">
      <formula>LEN(TRIM(Q27))=0</formula>
    </cfRule>
    <cfRule type="containsBlanks" dxfId="393" priority="29">
      <formula>LEN(TRIM(Q27))=0</formula>
    </cfRule>
  </conditionalFormatting>
  <conditionalFormatting sqref="W30:W31 W33:W35 W37 W28 W22:W26">
    <cfRule type="containsBlanks" dxfId="392" priority="27">
      <formula>LEN(TRIM(W22))=0</formula>
    </cfRule>
  </conditionalFormatting>
  <conditionalFormatting sqref="W37 W30:W31 W33:W35 W28 W22:W26">
    <cfRule type="containsBlanks" dxfId="391" priority="26">
      <formula>LEN(TRIM(W22))=0</formula>
    </cfRule>
  </conditionalFormatting>
  <conditionalFormatting sqref="W33:X33">
    <cfRule type="cellIs" dxfId="390" priority="25" operator="between">
      <formula>0</formula>
      <formula>1000</formula>
    </cfRule>
  </conditionalFormatting>
  <conditionalFormatting sqref="W30:X37 W26 W28 W22:X25">
    <cfRule type="containsBlanks" dxfId="389" priority="24">
      <formula>LEN(TRIM(W22))=0</formula>
    </cfRule>
  </conditionalFormatting>
  <conditionalFormatting sqref="AA37 AA30:AA31 AA33 AA35 AA22:AA26 AA28">
    <cfRule type="containsBlanks" dxfId="388" priority="23">
      <formula>LEN(TRIM(AA22))=0</formula>
    </cfRule>
  </conditionalFormatting>
  <conditionalFormatting sqref="AA37 AA30:AA31 AA33 AA35 AA22:AA26 AA28">
    <cfRule type="containsBlanks" dxfId="387" priority="22">
      <formula>LEN(TRIM(AA22))=0</formula>
    </cfRule>
  </conditionalFormatting>
  <conditionalFormatting sqref="AA33:AB33">
    <cfRule type="cellIs" dxfId="386" priority="21" operator="between">
      <formula>0</formula>
      <formula>1000</formula>
    </cfRule>
  </conditionalFormatting>
  <conditionalFormatting sqref="AA30:AB30 AA31 AA33:AB33 AA28 AA35:AB37 AA22:AB25 AA26">
    <cfRule type="containsBlanks" dxfId="385" priority="20">
      <formula>LEN(TRIM(AA22))=0</formula>
    </cfRule>
  </conditionalFormatting>
  <conditionalFormatting sqref="AE37 AE28 AE30:AE31 AE33:AE35 AE22:AE26">
    <cfRule type="containsBlanks" dxfId="384" priority="19">
      <formula>LEN(TRIM(AE22))=0</formula>
    </cfRule>
  </conditionalFormatting>
  <conditionalFormatting sqref="AE37 AE28 AE30:AE31 AE33:AE35 AE22:AE26">
    <cfRule type="containsBlanks" dxfId="383" priority="18">
      <formula>LEN(TRIM(AE22))=0</formula>
    </cfRule>
  </conditionalFormatting>
  <conditionalFormatting sqref="AE33:AF33">
    <cfRule type="cellIs" dxfId="382" priority="17" operator="between">
      <formula>0</formula>
      <formula>1000</formula>
    </cfRule>
  </conditionalFormatting>
  <conditionalFormatting sqref="AE33:AF37 AE26 AE28 AE30:AE31 AE22:AF25">
    <cfRule type="containsBlanks" dxfId="381" priority="16">
      <formula>LEN(TRIM(AE22))=0</formula>
    </cfRule>
  </conditionalFormatting>
  <conditionalFormatting sqref="K6:M6">
    <cfRule type="containsBlanks" dxfId="380" priority="15">
      <formula>LEN(TRIM(K6))=0</formula>
    </cfRule>
  </conditionalFormatting>
  <conditionalFormatting sqref="K7:K8">
    <cfRule type="containsBlanks" dxfId="379" priority="14">
      <formula>LEN(TRIM(K7))=0</formula>
    </cfRule>
  </conditionalFormatting>
  <conditionalFormatting sqref="B6:B10">
    <cfRule type="containsBlanks" dxfId="378" priority="12">
      <formula>LEN(TRIM(B6))=0</formula>
    </cfRule>
  </conditionalFormatting>
  <conditionalFormatting sqref="B12:B13">
    <cfRule type="containsBlanks" dxfId="377" priority="11">
      <formula>LEN(TRIM(B12))=0</formula>
    </cfRule>
  </conditionalFormatting>
  <conditionalFormatting sqref="E20:H24">
    <cfRule type="containsBlanks" dxfId="376" priority="10">
      <formula>LEN(TRIM(E20))=0</formula>
    </cfRule>
  </conditionalFormatting>
  <conditionalFormatting sqref="E28:H33">
    <cfRule type="containsBlanks" dxfId="375" priority="9">
      <formula>LEN(TRIM(E28))=0</formula>
    </cfRule>
  </conditionalFormatting>
  <conditionalFormatting sqref="Q20:S26">
    <cfRule type="containsBlanks" dxfId="374" priority="7">
      <formula>LEN(TRIM(Q20))=0</formula>
    </cfRule>
    <cfRule type="containsBlanks" dxfId="373" priority="8">
      <formula>LEN(TRIM(Q20))=0</formula>
    </cfRule>
  </conditionalFormatting>
  <conditionalFormatting sqref="Q34:S39">
    <cfRule type="containsBlanks" dxfId="372" priority="6">
      <formula>LEN(TRIM(Q34))=0</formula>
    </cfRule>
  </conditionalFormatting>
  <conditionalFormatting sqref="Q42:S46">
    <cfRule type="containsBlanks" dxfId="371" priority="5">
      <formula>LEN(TRIM(Q42))=0</formula>
    </cfRule>
  </conditionalFormatting>
  <conditionalFormatting sqref="D13">
    <cfRule type="containsBlanks" dxfId="370" priority="2">
      <formula>LEN(TRIM(D13))=0</formula>
    </cfRule>
  </conditionalFormatting>
  <conditionalFormatting sqref="D13">
    <cfRule type="containsBlanks" dxfId="369" priority="1">
      <formula>LEN(TRIM(D13))=0</formula>
    </cfRule>
  </conditionalFormatting>
  <dataValidations count="5">
    <dataValidation type="list" allowBlank="1" showInputMessage="1" showErrorMessage="1" sqref="D12:E12" xr:uid="{00000000-0002-0000-3300-000000000000}">
      <formula1>$B$87:$B$94</formula1>
    </dataValidation>
    <dataValidation type="list" allowBlank="1" showInputMessage="1" showErrorMessage="1" sqref="CP70" xr:uid="{00000000-0002-0000-3300-000001000000}">
      <formula1>$BA$3:$BA$5</formula1>
    </dataValidation>
    <dataValidation type="list" allowBlank="1" showInputMessage="1" showErrorMessage="1" sqref="M19" xr:uid="{00000000-0002-0000-3300-000002000000}">
      <formula1>$AX$3:$AX$5</formula1>
    </dataValidation>
    <dataValidation type="list" allowBlank="1" showInputMessage="1" showErrorMessage="1" sqref="M21" xr:uid="{00000000-0002-0000-3300-000003000000}">
      <formula1>$AX$3:$AX$4</formula1>
    </dataValidation>
    <dataValidation type="list" allowBlank="1" showInputMessage="1" showErrorMessage="1" sqref="L25" xr:uid="{00000000-0002-0000-3300-000004000000}">
      <formula1>$D$101:$D$104</formula1>
    </dataValidation>
  </dataValidations>
  <hyperlinks>
    <hyperlink ref="D8" r:id="rId1" xr:uid="{00000000-0004-0000-33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86369"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86370"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86371"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8637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8637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86374"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86375"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8637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8637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8637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Hoja93">
    <tabColor theme="8" tint="0.79998168889431442"/>
  </sheetPr>
  <dimension ref="A1:CP153"/>
  <sheetViews>
    <sheetView view="pageBreakPreview" topLeftCell="O19" zoomScale="70" zoomScaleNormal="100" zoomScaleSheetLayoutView="7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25-T-CALEÑAS AP1-2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25-T-CALEÑAS AP1-2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331</v>
      </c>
      <c r="G12" s="31" t="s">
        <v>4</v>
      </c>
      <c r="H12" s="146">
        <v>2</v>
      </c>
      <c r="I12" s="546" t="s">
        <v>5</v>
      </c>
      <c r="J12" s="546"/>
      <c r="K12" s="209" t="s">
        <v>306</v>
      </c>
      <c r="L12" s="32" t="s">
        <v>6</v>
      </c>
      <c r="M12" s="147" t="s">
        <v>300</v>
      </c>
      <c r="N12" s="78"/>
      <c r="O12" s="501" t="s">
        <v>3</v>
      </c>
      <c r="P12" s="501"/>
      <c r="Q12" s="225" t="s">
        <v>234</v>
      </c>
      <c r="R12" s="224" t="str">
        <f>F12</f>
        <v>T-CALEÑAS AP1</v>
      </c>
      <c r="S12" s="224"/>
      <c r="T12" s="502" t="s">
        <v>4</v>
      </c>
      <c r="U12" s="502"/>
      <c r="V12" s="33">
        <f>+H12</f>
        <v>2</v>
      </c>
      <c r="W12" s="547" t="s">
        <v>5</v>
      </c>
      <c r="X12" s="547"/>
      <c r="Y12" s="547"/>
      <c r="Z12" s="547"/>
      <c r="AA12" s="547"/>
      <c r="AB12" s="547"/>
      <c r="AC12" s="34" t="str">
        <f>K12</f>
        <v>0,60m</v>
      </c>
      <c r="AD12" s="548" t="s">
        <v>6</v>
      </c>
      <c r="AE12" s="548"/>
      <c r="AF12" s="35" t="str">
        <f>+M12</f>
        <v>1,60m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305</v>
      </c>
      <c r="E13" s="791"/>
      <c r="F13" s="791"/>
      <c r="G13" s="791"/>
      <c r="H13" s="791"/>
      <c r="I13" s="791"/>
      <c r="J13" s="791"/>
      <c r="K13" s="791"/>
      <c r="L13" s="791"/>
      <c r="M13" s="791"/>
      <c r="N13" s="188"/>
      <c r="O13" s="526" t="s">
        <v>130</v>
      </c>
      <c r="P13" s="526"/>
      <c r="Q13" s="527" t="str">
        <f>D13</f>
        <v>GRAVAS CON ARENA Y ALGO DE LIMO, COLOR MARRÓN GRISÁCEO, CEMENTACIÓN DÉBIL, EN CONDICIÓN SECA.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540</v>
      </c>
      <c r="R20" s="148">
        <v>566</v>
      </c>
      <c r="S20" s="149">
        <v>570</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7382</v>
      </c>
      <c r="F22" s="219">
        <v>7984.8915570768804</v>
      </c>
      <c r="G22" s="219">
        <v>8108</v>
      </c>
      <c r="H22" s="151">
        <v>7655</v>
      </c>
      <c r="I22" s="174"/>
      <c r="J22" s="578"/>
      <c r="K22" s="578"/>
      <c r="L22" s="578"/>
      <c r="M22" s="104"/>
      <c r="N22" s="103"/>
      <c r="O22" s="579" t="s">
        <v>132</v>
      </c>
      <c r="P22" s="580"/>
      <c r="Q22" s="150">
        <v>8928</v>
      </c>
      <c r="R22" s="219">
        <v>8690.2936279632395</v>
      </c>
      <c r="S22" s="208">
        <v>8388.2311852207549</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AL50</f>
        <v>7.6213900349095517E-2</v>
      </c>
      <c r="AJ22" s="42">
        <v>0.10394736842105264</v>
      </c>
      <c r="AK22" s="42">
        <f>AL22*0.8</f>
        <v>5.6547368421052638E-2</v>
      </c>
      <c r="AL22" s="42">
        <v>7.0684210526315794E-2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3794</v>
      </c>
      <c r="R23" s="150">
        <v>3795</v>
      </c>
      <c r="S23" s="151">
        <v>3803</v>
      </c>
      <c r="T23" s="174"/>
      <c r="U23" s="112">
        <v>2.5000000000000001E-2</v>
      </c>
      <c r="V23" s="113">
        <f>U23*25.4</f>
        <v>0.63500000000000001</v>
      </c>
      <c r="W23" s="581">
        <v>1.798</v>
      </c>
      <c r="X23" s="582"/>
      <c r="Y23" s="449">
        <f>((W23/19.32)*10)</f>
        <v>0.93064182194616984</v>
      </c>
      <c r="Z23" s="450"/>
      <c r="AA23" s="581">
        <f>AJ23</f>
        <v>0.61644736842105263</v>
      </c>
      <c r="AB23" s="582"/>
      <c r="AC23" s="449">
        <f>((AA23/19.32)*10)</f>
        <v>0.31907213686389885</v>
      </c>
      <c r="AD23" s="450"/>
      <c r="AE23" s="581">
        <f>AK23</f>
        <v>0.33534736842105267</v>
      </c>
      <c r="AF23" s="582"/>
      <c r="AG23" s="114">
        <f>((AE23/19.32)*10)</f>
        <v>0.17357524245396103</v>
      </c>
      <c r="AH23" s="104"/>
      <c r="AI23" s="42">
        <f t="shared" ref="AI23:AI33" si="2">AL51</f>
        <v>0.93489051094890496</v>
      </c>
      <c r="AJ23" s="42">
        <v>0.61644736842105263</v>
      </c>
      <c r="AK23" s="42">
        <f t="shared" ref="AK23:AK33" si="3">AL23*0.8</f>
        <v>0.33534736842105267</v>
      </c>
      <c r="AL23" s="42">
        <v>0.41918421052631583</v>
      </c>
      <c r="AO23" s="42">
        <v>0.247</v>
      </c>
      <c r="AS23" s="42">
        <f t="shared" ref="AS23:AS37" si="4">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v>
      </c>
      <c r="R24" s="150">
        <v>11.67</v>
      </c>
      <c r="S24" s="151">
        <v>11.62</v>
      </c>
      <c r="T24" s="174"/>
      <c r="U24" s="112">
        <v>0.05</v>
      </c>
      <c r="V24" s="113">
        <f>U24*25.4</f>
        <v>1.27</v>
      </c>
      <c r="W24" s="581">
        <v>2.8780000000000001</v>
      </c>
      <c r="X24" s="582"/>
      <c r="Y24" s="449">
        <f>((W24/19.32)*10)</f>
        <v>1.489648033126294</v>
      </c>
      <c r="Z24" s="450"/>
      <c r="AA24" s="581">
        <f>AJ24</f>
        <v>1.3894736842105264</v>
      </c>
      <c r="AB24" s="582"/>
      <c r="AC24" s="449">
        <f>((AA24/19.32)*10)</f>
        <v>0.71918927754168027</v>
      </c>
      <c r="AD24" s="450"/>
      <c r="AE24" s="581">
        <f>AK24</f>
        <v>0.75587368421052648</v>
      </c>
      <c r="AF24" s="582"/>
      <c r="AG24" s="114">
        <f>((AE24/19.32)*10)</f>
        <v>0.39123896698267413</v>
      </c>
      <c r="AH24" s="104"/>
      <c r="AI24" s="42">
        <f t="shared" si="2"/>
        <v>3.7294001904157406</v>
      </c>
      <c r="AJ24" s="42">
        <v>1.3894736842105264</v>
      </c>
      <c r="AK24" s="42">
        <f t="shared" si="3"/>
        <v>0.75587368421052648</v>
      </c>
      <c r="AL24" s="42">
        <v>0.94484210526315804</v>
      </c>
      <c r="AO24" s="42">
        <v>0.68400000000000005</v>
      </c>
      <c r="AS24" s="42">
        <f t="shared" si="4"/>
        <v>0.55609756097560981</v>
      </c>
    </row>
    <row r="25" spans="1:45" ht="24.95" customHeight="1" thickBot="1" x14ac:dyDescent="0.3">
      <c r="A25" s="103"/>
      <c r="B25" s="602" t="s">
        <v>69</v>
      </c>
      <c r="C25" s="603"/>
      <c r="D25" s="603"/>
      <c r="E25" s="115">
        <f>E22-E23</f>
        <v>4498</v>
      </c>
      <c r="F25" s="220">
        <f>F22-F23</f>
        <v>5100.8915570768804</v>
      </c>
      <c r="G25" s="220">
        <f>G22-G23</f>
        <v>5224</v>
      </c>
      <c r="H25" s="116">
        <f>H22-H23</f>
        <v>4771</v>
      </c>
      <c r="I25" s="174"/>
      <c r="J25" s="174" t="s">
        <v>127</v>
      </c>
      <c r="K25" s="174"/>
      <c r="L25" s="218" t="s">
        <v>128</v>
      </c>
      <c r="M25" s="155">
        <v>58.06</v>
      </c>
      <c r="N25" s="103"/>
      <c r="O25" s="604" t="s">
        <v>46</v>
      </c>
      <c r="P25" s="605"/>
      <c r="Q25" s="608">
        <v>15.24</v>
      </c>
      <c r="R25" s="608">
        <v>15.23</v>
      </c>
      <c r="S25" s="610">
        <v>15.21</v>
      </c>
      <c r="T25" s="174"/>
      <c r="U25" s="112">
        <v>7.4999999999999997E-2</v>
      </c>
      <c r="V25" s="113">
        <f>U25*25.4</f>
        <v>1.9049999999999998</v>
      </c>
      <c r="W25" s="581">
        <v>4.6150000000000002</v>
      </c>
      <c r="X25" s="582"/>
      <c r="Y25" s="449">
        <f>((W25/19.32)*10)</f>
        <v>2.3887163561076603</v>
      </c>
      <c r="Z25" s="450"/>
      <c r="AA25" s="581">
        <f>AJ25</f>
        <v>2.1921052631578948</v>
      </c>
      <c r="AB25" s="582"/>
      <c r="AC25" s="449">
        <f>((AA25/19.32)*10)</f>
        <v>1.1346300533943554</v>
      </c>
      <c r="AD25" s="450"/>
      <c r="AE25" s="581">
        <f>AK25</f>
        <v>1.192505263157895</v>
      </c>
      <c r="AF25" s="582"/>
      <c r="AG25" s="114">
        <f>((AE25/19.32)*10)</f>
        <v>0.61723874904652942</v>
      </c>
      <c r="AH25" s="104"/>
      <c r="AI25" s="42">
        <f t="shared" si="2"/>
        <v>7.2403205331640752</v>
      </c>
      <c r="AJ25" s="42">
        <v>2.1921052631578948</v>
      </c>
      <c r="AK25" s="42">
        <f t="shared" si="3"/>
        <v>1.192505263157895</v>
      </c>
      <c r="AL25" s="42">
        <v>1.4906315789473685</v>
      </c>
      <c r="AO25" s="42">
        <v>1.3149999999999999</v>
      </c>
      <c r="AS25" s="42">
        <f t="shared" si="4"/>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58.06</v>
      </c>
      <c r="N26" s="103"/>
      <c r="O26" s="606"/>
      <c r="P26" s="607"/>
      <c r="Q26" s="609"/>
      <c r="R26" s="609"/>
      <c r="S26" s="611"/>
      <c r="T26" s="174"/>
      <c r="U26" s="600">
        <v>0.1</v>
      </c>
      <c r="V26" s="601">
        <f>U26*25.4</f>
        <v>2.54</v>
      </c>
      <c r="W26" s="778">
        <v>6.3049999999999997</v>
      </c>
      <c r="X26" s="779"/>
      <c r="Y26" s="461">
        <f>((W26/19.32)*10)</f>
        <v>3.2634575569358177</v>
      </c>
      <c r="Z26" s="462"/>
      <c r="AA26" s="746">
        <f>AJ26</f>
        <v>2.761184210526316</v>
      </c>
      <c r="AB26" s="747"/>
      <c r="AC26" s="461">
        <f>((AA26/19.32)*10)</f>
        <v>1.4291843739784245</v>
      </c>
      <c r="AD26" s="462"/>
      <c r="AE26" s="746">
        <f>AK26</f>
        <v>1.5020842105263161</v>
      </c>
      <c r="AF26" s="747"/>
      <c r="AG26" s="469">
        <f>((AE26/19.32)*10)</f>
        <v>0.777476299444263</v>
      </c>
      <c r="AH26" s="104"/>
      <c r="AI26" s="42">
        <f t="shared" si="2"/>
        <v>7.7407918121231356</v>
      </c>
      <c r="AJ26" s="42">
        <v>2.761184210526316</v>
      </c>
      <c r="AK26" s="42">
        <f t="shared" si="3"/>
        <v>1.5020842105263161</v>
      </c>
      <c r="AL26" s="42">
        <v>1.877605263157895</v>
      </c>
      <c r="AO26" s="42">
        <v>1.875</v>
      </c>
      <c r="AS26" s="42">
        <f t="shared" si="4"/>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2116.0104327111503</v>
      </c>
      <c r="R27" s="152">
        <f>(PI()*((R25^2)/4)*R24)</f>
        <v>2125.9867039104888</v>
      </c>
      <c r="S27" s="153">
        <f>(PI()*((S25^2)/4)*S24)</f>
        <v>2111.3218271579499</v>
      </c>
      <c r="T27" s="174"/>
      <c r="U27" s="600"/>
      <c r="V27" s="601"/>
      <c r="W27" s="780"/>
      <c r="X27" s="781"/>
      <c r="Y27" s="463"/>
      <c r="Z27" s="464"/>
      <c r="AA27" s="748"/>
      <c r="AB27" s="749"/>
      <c r="AC27" s="463"/>
      <c r="AD27" s="464"/>
      <c r="AE27" s="748"/>
      <c r="AF27" s="749"/>
      <c r="AG27" s="470"/>
      <c r="AH27" s="193"/>
      <c r="AI27" s="42">
        <f t="shared" si="2"/>
        <v>8.617251666137733</v>
      </c>
      <c r="AJ27" s="42">
        <v>4.092763157894737</v>
      </c>
      <c r="AK27" s="42">
        <f t="shared" si="3"/>
        <v>2.2264631578947371</v>
      </c>
      <c r="AL27" s="42">
        <v>2.7830789473684212</v>
      </c>
      <c r="AO27" s="42">
        <v>2.387</v>
      </c>
      <c r="AS27" s="42">
        <f t="shared" si="4"/>
        <v>1.9406504065040651</v>
      </c>
    </row>
    <row r="28" spans="1:45" ht="24.95" customHeight="1" thickBot="1" x14ac:dyDescent="0.3">
      <c r="A28" s="103"/>
      <c r="B28" s="560" t="s">
        <v>9</v>
      </c>
      <c r="C28" s="561"/>
      <c r="D28" s="561"/>
      <c r="E28" s="148">
        <v>636</v>
      </c>
      <c r="F28" s="148">
        <v>675</v>
      </c>
      <c r="G28" s="148">
        <v>640</v>
      </c>
      <c r="H28" s="149">
        <v>618</v>
      </c>
      <c r="I28" s="174"/>
      <c r="J28" s="597" t="s">
        <v>107</v>
      </c>
      <c r="K28" s="597"/>
      <c r="L28" s="562" t="s">
        <v>119</v>
      </c>
      <c r="M28" s="459">
        <f>IF(M26="","",(100-M26))</f>
        <v>41.94</v>
      </c>
      <c r="N28" s="103"/>
      <c r="O28" s="625" t="s">
        <v>136</v>
      </c>
      <c r="P28" s="626"/>
      <c r="Q28" s="220">
        <f>Q22-Q23</f>
        <v>5134</v>
      </c>
      <c r="R28" s="220">
        <f>R22-R23</f>
        <v>4895.2936279632395</v>
      </c>
      <c r="S28" s="220">
        <f>S22-S23</f>
        <v>4585.2311852207549</v>
      </c>
      <c r="T28" s="174"/>
      <c r="U28" s="627">
        <v>0.125</v>
      </c>
      <c r="V28" s="624">
        <f>U28*25.4</f>
        <v>3.1749999999999998</v>
      </c>
      <c r="W28" s="593">
        <f>AI27</f>
        <v>8.617251666137733</v>
      </c>
      <c r="X28" s="594"/>
      <c r="Y28" s="439">
        <f>((W28/19.32)*10)</f>
        <v>4.4602751895122843</v>
      </c>
      <c r="Z28" s="440"/>
      <c r="AA28" s="593">
        <f>AJ27</f>
        <v>4.092763157894737</v>
      </c>
      <c r="AB28" s="594"/>
      <c r="AC28" s="439">
        <f>((AA28/19.32)*10)</f>
        <v>2.1184074316225345</v>
      </c>
      <c r="AD28" s="440"/>
      <c r="AE28" s="593">
        <f>AK27</f>
        <v>2.2264631578947371</v>
      </c>
      <c r="AF28" s="594"/>
      <c r="AG28" s="443">
        <f>((AE28/19.32)*10)</f>
        <v>1.152413642802659</v>
      </c>
      <c r="AH28" s="104"/>
      <c r="AI28" s="42">
        <f t="shared" si="2"/>
        <v>11.498137099333544</v>
      </c>
      <c r="AJ28" s="42">
        <v>5.7230263157894736</v>
      </c>
      <c r="AK28" s="42">
        <f t="shared" si="3"/>
        <v>3.1133263157894739</v>
      </c>
      <c r="AL28" s="42">
        <v>3.8916578947368423</v>
      </c>
      <c r="AO28" s="42">
        <v>2.8959999999999999</v>
      </c>
      <c r="AS28" s="42">
        <f t="shared" si="4"/>
        <v>2.3544715447154472</v>
      </c>
    </row>
    <row r="29" spans="1:45" ht="5.0999999999999996" customHeight="1" thickBot="1" x14ac:dyDescent="0.3">
      <c r="A29" s="103"/>
      <c r="B29" s="612" t="s">
        <v>73</v>
      </c>
      <c r="C29" s="613"/>
      <c r="D29" s="614"/>
      <c r="E29" s="618">
        <v>941.56</v>
      </c>
      <c r="F29" s="618">
        <v>847.16</v>
      </c>
      <c r="G29" s="618">
        <v>881.03</v>
      </c>
      <c r="H29" s="620">
        <v>915.98</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14.998895588701997</v>
      </c>
      <c r="AJ29" s="42">
        <v>7.5493421052631575</v>
      </c>
      <c r="AK29" s="42">
        <f t="shared" si="3"/>
        <v>4.1068421052631576</v>
      </c>
      <c r="AL29" s="42">
        <v>5.1335526315789473</v>
      </c>
      <c r="AO29" s="42">
        <v>3.3879999999999999</v>
      </c>
      <c r="AS29" s="42">
        <f t="shared" si="4"/>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23.135357352051841</v>
      </c>
      <c r="N30" s="103"/>
      <c r="O30" s="622" t="s">
        <v>134</v>
      </c>
      <c r="P30" s="623"/>
      <c r="Q30" s="229">
        <f>Q28/Q27</f>
        <v>2.4262640300038756</v>
      </c>
      <c r="R30" s="229">
        <f>R28/R27</f>
        <v>2.3025984212219925</v>
      </c>
      <c r="S30" s="131">
        <f>S28/S27</f>
        <v>2.1717348469763769</v>
      </c>
      <c r="T30" s="174"/>
      <c r="U30" s="120">
        <v>0.15</v>
      </c>
      <c r="V30" s="113">
        <f>U30*25.4</f>
        <v>3.8099999999999996</v>
      </c>
      <c r="W30" s="581">
        <f>AI28</f>
        <v>11.498137099333544</v>
      </c>
      <c r="X30" s="582"/>
      <c r="Y30" s="449">
        <f>((W30/19.32)*10)</f>
        <v>5.9514167180815445</v>
      </c>
      <c r="Z30" s="450"/>
      <c r="AA30" s="581">
        <f>AJ28</f>
        <v>5.7230263157894736</v>
      </c>
      <c r="AB30" s="582"/>
      <c r="AC30" s="449">
        <f>((AA30/19.32)*10)</f>
        <v>2.9622289419200176</v>
      </c>
      <c r="AD30" s="450"/>
      <c r="AE30" s="581">
        <f>AK28</f>
        <v>3.1133263157894739</v>
      </c>
      <c r="AF30" s="582"/>
      <c r="AG30" s="114">
        <f>((AE30/19.32)*10)</f>
        <v>1.6114525444044898</v>
      </c>
      <c r="AH30" s="104"/>
      <c r="AI30" s="42">
        <f t="shared" si="2"/>
        <v>17.953454458901934</v>
      </c>
      <c r="AJ30" s="42">
        <v>9.0914473684210524</v>
      </c>
      <c r="AK30" s="42">
        <f t="shared" si="3"/>
        <v>4.9457473684210527</v>
      </c>
      <c r="AL30" s="42">
        <v>6.1821842105263158</v>
      </c>
      <c r="AO30" s="42">
        <v>3.8439999999999999</v>
      </c>
      <c r="AS30" s="42">
        <f t="shared" si="4"/>
        <v>3.1252032520325201</v>
      </c>
    </row>
    <row r="31" spans="1:45" ht="24.95" customHeight="1" thickBot="1" x14ac:dyDescent="0.3">
      <c r="A31" s="103"/>
      <c r="B31" s="576" t="s">
        <v>74</v>
      </c>
      <c r="C31" s="577"/>
      <c r="D31" s="577"/>
      <c r="E31" s="152">
        <v>923.03315637016999</v>
      </c>
      <c r="F31" s="152">
        <v>823.28141818285098</v>
      </c>
      <c r="G31" s="152">
        <v>840.78493587696005</v>
      </c>
      <c r="H31" s="153">
        <v>858.14170604190303</v>
      </c>
      <c r="I31" s="174"/>
      <c r="J31" s="597" t="s">
        <v>138</v>
      </c>
      <c r="K31" s="597"/>
      <c r="L31" s="562" t="s">
        <v>116</v>
      </c>
      <c r="M31" s="457">
        <v>2.72</v>
      </c>
      <c r="N31" s="121"/>
      <c r="O31" s="628" t="s">
        <v>135</v>
      </c>
      <c r="P31" s="629"/>
      <c r="Q31" s="122">
        <f>Q30/(1+Q40/100)</f>
        <v>2.3307171340244897</v>
      </c>
      <c r="R31" s="122">
        <f>R30/(1+R40/100)</f>
        <v>2.21</v>
      </c>
      <c r="S31" s="123">
        <f>S30/(1+S40/100)</f>
        <v>2.0859999999999994</v>
      </c>
      <c r="T31" s="174"/>
      <c r="U31" s="627">
        <v>0.17499999999999999</v>
      </c>
      <c r="V31" s="624">
        <f>U31*25.4</f>
        <v>4.4449999999999994</v>
      </c>
      <c r="W31" s="593">
        <f>AI29</f>
        <v>14.998895588701997</v>
      </c>
      <c r="X31" s="594"/>
      <c r="Y31" s="439">
        <f>((W31/19.32)*10)</f>
        <v>7.7634035138209088</v>
      </c>
      <c r="Z31" s="440"/>
      <c r="AA31" s="593">
        <f>AJ29</f>
        <v>7.5493421052631575</v>
      </c>
      <c r="AB31" s="594"/>
      <c r="AC31" s="439">
        <f>((AA31/19.32)*10)</f>
        <v>3.9075269695979076</v>
      </c>
      <c r="AD31" s="440"/>
      <c r="AE31" s="593">
        <f>AK29</f>
        <v>4.1068421052631576</v>
      </c>
      <c r="AF31" s="594"/>
      <c r="AG31" s="443">
        <f>((AE31/19.32)*10)</f>
        <v>2.1256946714612619</v>
      </c>
      <c r="AH31" s="104"/>
      <c r="AI31" s="42">
        <f t="shared" si="2"/>
        <v>28.476053633767055</v>
      </c>
      <c r="AJ31" s="42">
        <v>16.5407894736842</v>
      </c>
      <c r="AK31" s="42">
        <f t="shared" si="3"/>
        <v>8.9981894736842118</v>
      </c>
      <c r="AL31" s="42">
        <v>11.247736842105263</v>
      </c>
      <c r="AO31" s="42">
        <v>5.516</v>
      </c>
      <c r="AS31" s="42">
        <f t="shared" si="4"/>
        <v>4.4845528455284551</v>
      </c>
    </row>
    <row r="32" spans="1:45" ht="5.0999999999999996" customHeight="1" thickBot="1" x14ac:dyDescent="0.3">
      <c r="A32" s="103"/>
      <c r="B32" s="612" t="s">
        <v>75</v>
      </c>
      <c r="C32" s="613"/>
      <c r="D32" s="614"/>
      <c r="E32" s="618">
        <v>38.49</v>
      </c>
      <c r="F32" s="618">
        <v>39.06</v>
      </c>
      <c r="G32" s="618">
        <v>39.18</v>
      </c>
      <c r="H32" s="620">
        <v>40.090000000000003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34.827211996191686</v>
      </c>
      <c r="AJ32" s="42">
        <v>21.869736842105262</v>
      </c>
      <c r="AK32" s="42">
        <f t="shared" si="3"/>
        <v>11.897136842105263</v>
      </c>
      <c r="AL32" s="42">
        <v>14.871421052631579</v>
      </c>
      <c r="AO32" s="42">
        <v>6.7220000000000004</v>
      </c>
      <c r="AS32" s="42">
        <f t="shared" si="4"/>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17.953454458901934</v>
      </c>
      <c r="X33" s="582"/>
      <c r="Y33" s="449">
        <f>((W33/19.32)*10)</f>
        <v>9.2926782913571078</v>
      </c>
      <c r="Z33" s="450"/>
      <c r="AA33" s="581">
        <f>AJ30</f>
        <v>9.0914473684210524</v>
      </c>
      <c r="AB33" s="582"/>
      <c r="AC33" s="449">
        <f>((AA33/19.32)*10)</f>
        <v>4.705718099596818</v>
      </c>
      <c r="AD33" s="450"/>
      <c r="AE33" s="581">
        <f>AK30</f>
        <v>4.9457473684210527</v>
      </c>
      <c r="AF33" s="582"/>
      <c r="AG33" s="144">
        <f>((AE33/19.32)*10)</f>
        <v>2.5599106461806693</v>
      </c>
      <c r="AH33" s="104"/>
      <c r="AI33" s="42">
        <f t="shared" si="2"/>
        <v>40.024999999999999</v>
      </c>
      <c r="AJ33" s="42">
        <v>26.33223684210526</v>
      </c>
      <c r="AK33" s="42">
        <f t="shared" si="3"/>
        <v>14.324736842105262</v>
      </c>
      <c r="AL33" s="42">
        <v>17.905921052631577</v>
      </c>
      <c r="AO33" s="42">
        <v>7.7720000000000002</v>
      </c>
      <c r="AS33" s="42">
        <f t="shared" si="4"/>
        <v>6.3186991869918705</v>
      </c>
    </row>
    <row r="34" spans="1:45" ht="24.95" customHeight="1" thickBot="1" x14ac:dyDescent="0.3">
      <c r="A34" s="103"/>
      <c r="B34" s="602" t="s">
        <v>10</v>
      </c>
      <c r="C34" s="603"/>
      <c r="D34" s="603"/>
      <c r="E34" s="125">
        <f>((E29-E31)/(E31-E32))*100</f>
        <v>2.0945098604184675</v>
      </c>
      <c r="F34" s="125">
        <f>((F29-F31)/(F31-F32))*100</f>
        <v>3.0448775388561744</v>
      </c>
      <c r="G34" s="125">
        <f>((G29-G31)/(G31-G32))*100</f>
        <v>5.0205609174563781</v>
      </c>
      <c r="H34" s="126">
        <f>((H29-H31)/(H31-H32))*100</f>
        <v>7.0702491701831791</v>
      </c>
      <c r="I34" s="174"/>
      <c r="J34" s="630" t="s">
        <v>125</v>
      </c>
      <c r="K34" s="630"/>
      <c r="L34" s="184" t="s">
        <v>126</v>
      </c>
      <c r="M34" s="245">
        <v>2.71</v>
      </c>
      <c r="N34" s="128"/>
      <c r="O34" s="631" t="s">
        <v>9</v>
      </c>
      <c r="P34" s="632"/>
      <c r="Q34" s="156">
        <v>351</v>
      </c>
      <c r="R34" s="156">
        <v>433</v>
      </c>
      <c r="S34" s="157">
        <v>462</v>
      </c>
      <c r="T34" s="174"/>
      <c r="U34" s="120">
        <v>0.3</v>
      </c>
      <c r="V34" s="113">
        <f>U34*25.4</f>
        <v>7.6199999999999992</v>
      </c>
      <c r="W34" s="581">
        <f>AI31</f>
        <v>28.476053633767055</v>
      </c>
      <c r="X34" s="582"/>
      <c r="Y34" s="449">
        <f>((W34/19.32)*10)</f>
        <v>14.739158195531601</v>
      </c>
      <c r="Z34" s="450"/>
      <c r="AA34" s="449">
        <f>AJ31</f>
        <v>16.5407894736842</v>
      </c>
      <c r="AB34" s="450"/>
      <c r="AC34" s="449">
        <f>((AA34/19.32)*10)</f>
        <v>8.5614852348261898</v>
      </c>
      <c r="AD34" s="450"/>
      <c r="AE34" s="581">
        <f>AK31</f>
        <v>8.9981894736842118</v>
      </c>
      <c r="AF34" s="582"/>
      <c r="AG34" s="114">
        <f>((AE34/19.32)*10)</f>
        <v>4.6574479677454512</v>
      </c>
      <c r="AH34" s="104"/>
      <c r="AS34" s="42">
        <f t="shared" si="4"/>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777.19</v>
      </c>
      <c r="R35" s="608">
        <v>725.16</v>
      </c>
      <c r="S35" s="610">
        <v>798.44</v>
      </c>
      <c r="T35" s="174"/>
      <c r="U35" s="627">
        <v>0.4</v>
      </c>
      <c r="V35" s="624">
        <f>U35*25.4</f>
        <v>10.16</v>
      </c>
      <c r="W35" s="593">
        <f>AI32</f>
        <v>34.827211996191686</v>
      </c>
      <c r="X35" s="594"/>
      <c r="Y35" s="439">
        <f>((W35/19.32)*10)</f>
        <v>18.026507244405636</v>
      </c>
      <c r="Z35" s="440"/>
      <c r="AA35" s="593">
        <f>AJ32</f>
        <v>21.869736842105262</v>
      </c>
      <c r="AB35" s="594"/>
      <c r="AC35" s="439">
        <f>(AA35/19.32)*10</f>
        <v>11.319739566307073</v>
      </c>
      <c r="AD35" s="440"/>
      <c r="AE35" s="593">
        <v>10.798</v>
      </c>
      <c r="AF35" s="594"/>
      <c r="AG35" s="443">
        <f>((AE35/19.32)*10)</f>
        <v>5.5890269151138714</v>
      </c>
      <c r="AH35" s="104"/>
      <c r="AS35" s="42">
        <f t="shared" si="4"/>
        <v>0</v>
      </c>
    </row>
    <row r="36" spans="1:45" ht="20.100000000000001" customHeight="1" thickBot="1" x14ac:dyDescent="0.3">
      <c r="A36" s="103"/>
      <c r="B36" s="639" t="s">
        <v>71</v>
      </c>
      <c r="C36" s="640"/>
      <c r="D36" s="640"/>
      <c r="E36" s="130">
        <f>E25/E24</f>
        <v>2.0940409683426444</v>
      </c>
      <c r="F36" s="130">
        <f>F25/F24</f>
        <v>2.3747167397937061</v>
      </c>
      <c r="G36" s="130">
        <f>G25/G24</f>
        <v>2.4320297951582868</v>
      </c>
      <c r="H36" s="131">
        <f>H25/H24</f>
        <v>2.2211359404096833</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4"/>
        <v>0</v>
      </c>
    </row>
    <row r="37" spans="1:45" ht="24.95" customHeight="1" thickBot="1" x14ac:dyDescent="0.3">
      <c r="A37" s="103"/>
      <c r="B37" s="602" t="s">
        <v>72</v>
      </c>
      <c r="C37" s="603"/>
      <c r="D37" s="603"/>
      <c r="E37" s="122">
        <f>E36/(1+E34/100)</f>
        <v>2.0510808771260813</v>
      </c>
      <c r="F37" s="230">
        <f>F36/(1+F34/100)</f>
        <v>2.3045461322405352</v>
      </c>
      <c r="G37" s="230">
        <f>G36/(1+G34/100)</f>
        <v>2.3157653833803109</v>
      </c>
      <c r="H37" s="123">
        <f>H36/(1+H34/100)</f>
        <v>2.0744660235910084</v>
      </c>
      <c r="I37" s="174"/>
      <c r="J37" s="641" t="s">
        <v>139</v>
      </c>
      <c r="K37" s="641"/>
      <c r="L37" s="643" t="s">
        <v>121</v>
      </c>
      <c r="M37" s="433">
        <f>IF(F74="","",(M42^2*F74+M42*F75+F76))</f>
        <v>2.3583442764578835</v>
      </c>
      <c r="N37" s="101"/>
      <c r="O37" s="576" t="s">
        <v>28</v>
      </c>
      <c r="P37" s="577"/>
      <c r="Q37" s="150">
        <v>750.68</v>
      </c>
      <c r="R37" s="152">
        <v>697.65311059536384</v>
      </c>
      <c r="S37" s="153">
        <v>768.58191815178407</v>
      </c>
      <c r="T37" s="174"/>
      <c r="U37" s="132">
        <v>0.5</v>
      </c>
      <c r="V37" s="133">
        <f>U37*25.4</f>
        <v>12.7</v>
      </c>
      <c r="W37" s="637">
        <f>AI33</f>
        <v>40.024999999999999</v>
      </c>
      <c r="X37" s="638"/>
      <c r="Y37" s="431">
        <f>((W37/19.32)*10)</f>
        <v>20.716873706004144</v>
      </c>
      <c r="Z37" s="432"/>
      <c r="AA37" s="637">
        <f>AJ33</f>
        <v>26.33223684210526</v>
      </c>
      <c r="AB37" s="638"/>
      <c r="AC37" s="431">
        <f>((AA37/19.32)*10)</f>
        <v>13.629522175002721</v>
      </c>
      <c r="AD37" s="432"/>
      <c r="AE37" s="637">
        <v>12.26</v>
      </c>
      <c r="AF37" s="638"/>
      <c r="AG37" s="134">
        <f>((AE37/19.32)*10)</f>
        <v>6.3457556935817809</v>
      </c>
      <c r="AH37" s="104"/>
      <c r="AS37" s="42">
        <f t="shared" si="4"/>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104.01</v>
      </c>
      <c r="R38" s="647">
        <v>41.16</v>
      </c>
      <c r="S38" s="648">
        <v>42.11</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2.5823988518757273</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23.135357352051841</v>
      </c>
      <c r="N40" s="103"/>
      <c r="O40" s="628" t="s">
        <v>10</v>
      </c>
      <c r="P40" s="629"/>
      <c r="Q40" s="125">
        <f>((Q35-Q37)/(Q37-Q38))*100</f>
        <v>4.0994634048278265</v>
      </c>
      <c r="R40" s="125">
        <f>((R35-R37)/(R37-R38))*100</f>
        <v>4.189973810949903</v>
      </c>
      <c r="S40" s="126">
        <f>((S35-S37)/(S37-S38))*100</f>
        <v>4.1100118397112837</v>
      </c>
      <c r="T40" s="174"/>
      <c r="U40" s="645" t="s">
        <v>151</v>
      </c>
      <c r="V40" s="646"/>
      <c r="W40" s="423">
        <f>(AM79/6.9)*100</f>
        <v>47.296486332403155</v>
      </c>
      <c r="X40" s="423"/>
      <c r="Y40" s="423"/>
      <c r="Z40" s="424"/>
      <c r="AA40" s="425">
        <f>(AO79/6.9)*100</f>
        <v>20.712817014180061</v>
      </c>
      <c r="AB40" s="426"/>
      <c r="AC40" s="427"/>
      <c r="AD40" s="425">
        <f>(AQ79/6.9)*100</f>
        <v>11.267772455713956</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25.333332736900889</v>
      </c>
      <c r="N41" s="138"/>
      <c r="O41" s="565" t="s">
        <v>36</v>
      </c>
      <c r="P41" s="566"/>
      <c r="Q41" s="566"/>
      <c r="R41" s="566"/>
      <c r="S41" s="567"/>
      <c r="T41" s="174"/>
      <c r="U41" s="653" t="s">
        <v>152</v>
      </c>
      <c r="V41" s="654"/>
      <c r="W41" s="418">
        <f>(AM83/10.3)*100</f>
        <v>90.220177585991337</v>
      </c>
      <c r="X41" s="418"/>
      <c r="Y41" s="418"/>
      <c r="Z41" s="419"/>
      <c r="AA41" s="420">
        <f>(AO83/10.3)*100</f>
        <v>45.686583491231239</v>
      </c>
      <c r="AB41" s="421"/>
      <c r="AC41" s="418"/>
      <c r="AD41" s="420">
        <f>(AQ83/10.3)*100</f>
        <v>24.853501419229797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4.550755939524838</v>
      </c>
      <c r="N42" s="103"/>
      <c r="O42" s="639" t="s">
        <v>9</v>
      </c>
      <c r="P42" s="640"/>
      <c r="Q42" s="148">
        <v>329</v>
      </c>
      <c r="R42" s="148">
        <v>488</v>
      </c>
      <c r="S42" s="149">
        <v>315</v>
      </c>
      <c r="T42" s="174"/>
      <c r="U42" s="651" t="s">
        <v>42</v>
      </c>
      <c r="V42" s="652"/>
      <c r="W42" s="413">
        <f>IF(W40&lt;W41,W40,W41)</f>
        <v>47.296486332403155</v>
      </c>
      <c r="X42" s="414"/>
      <c r="Y42" s="414"/>
      <c r="Z42" s="415"/>
      <c r="AA42" s="416">
        <f>IF(AA40&lt;AA41,AA40,AA41)</f>
        <v>20.712817014180061</v>
      </c>
      <c r="AB42" s="414"/>
      <c r="AC42" s="415"/>
      <c r="AD42" s="416">
        <f>IF(AD40&lt;AD41,AD40,AD41)</f>
        <v>11.267772455713956</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3.7630669546436288</v>
      </c>
      <c r="N43" s="103"/>
      <c r="O43" s="612" t="s">
        <v>49</v>
      </c>
      <c r="P43" s="614"/>
      <c r="Q43" s="608">
        <v>1093.92</v>
      </c>
      <c r="R43" s="608">
        <v>941.77</v>
      </c>
      <c r="S43" s="620">
        <v>712.79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1035.5899999999999</v>
      </c>
      <c r="R45" s="152">
        <v>870.76768660078642</v>
      </c>
      <c r="S45" s="153">
        <v>646.56276303333971</v>
      </c>
      <c r="T45" s="174"/>
      <c r="U45" s="656" t="s">
        <v>139</v>
      </c>
      <c r="V45" s="656"/>
      <c r="W45" s="179" t="s">
        <v>121</v>
      </c>
      <c r="X45" s="406">
        <f>MAX(M37:M39)</f>
        <v>2.5823988518757273</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100.92</v>
      </c>
      <c r="R46" s="150">
        <v>40.33</v>
      </c>
      <c r="S46" s="151">
        <v>39</v>
      </c>
      <c r="T46" s="174"/>
      <c r="U46" s="555" t="s">
        <v>123</v>
      </c>
      <c r="V46" s="555"/>
      <c r="W46" s="179" t="s">
        <v>41</v>
      </c>
      <c r="X46" s="401">
        <f>MIN(M42:M44)</f>
        <v>3.7630669546436288</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6.2407052756588053</v>
      </c>
      <c r="R47" s="125">
        <f>((R43-R45)/(R45-R46))*100</f>
        <v>8.5499868978545379</v>
      </c>
      <c r="S47" s="126">
        <f>((S43-S45)/(S45-S46))*100</f>
        <v>10.900476625001138</v>
      </c>
      <c r="T47" s="174"/>
      <c r="U47" s="555" t="s">
        <v>162</v>
      </c>
      <c r="V47" s="555"/>
      <c r="W47" s="179" t="s">
        <v>41</v>
      </c>
      <c r="X47" s="402">
        <f>IF(L25=D103,"-",IF(L25=D102,"-",IF(L25=D101,M25)))</f>
        <v>58.06</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0.17517241379310303</v>
      </c>
      <c r="AG48" s="142">
        <f>IF(AG47&lt;&gt;"",IF(R24&lt;&gt;"",AG47/R24*100,""),"")</f>
        <v>0.48971722365038572</v>
      </c>
      <c r="AH48" s="173">
        <f>IF(AH47&lt;&gt;"",IF(S24&lt;&gt;"",AH47/S24*100,""),"")</f>
        <v>0.84156626506024113</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0.158</v>
      </c>
      <c r="AK50" s="42">
        <v>0.03</v>
      </c>
      <c r="AL50" s="42">
        <f>40.025*AK50/15.755</f>
        <v>7.6213900349095517E-2</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0.93700000000000006</v>
      </c>
      <c r="AK51" s="42">
        <v>0.36799999999999999</v>
      </c>
      <c r="AL51" s="42">
        <f t="shared" ref="AL51:AL61" si="5">40.025*AK51/15.755</f>
        <v>0.93489051094890496</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2.1120000000000001</v>
      </c>
      <c r="AK52" s="42">
        <v>1.468</v>
      </c>
      <c r="AL52" s="42">
        <f t="shared" si="5"/>
        <v>3.7294001904157406</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3.3319999999999999</v>
      </c>
      <c r="AK53" s="42">
        <v>2.85</v>
      </c>
      <c r="AL53" s="42">
        <f t="shared" si="5"/>
        <v>7.2403205331640752</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4.1970000000000001</v>
      </c>
      <c r="AK54" s="42">
        <v>3.0470000000000002</v>
      </c>
      <c r="AL54" s="42">
        <f t="shared" si="5"/>
        <v>7.7407918121231356</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6.2210000000000001</v>
      </c>
      <c r="AK55" s="42">
        <v>3.3919999999999999</v>
      </c>
      <c r="AL55" s="42">
        <f t="shared" si="5"/>
        <v>8.617251666137733</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8.6989999999999998</v>
      </c>
      <c r="AK56" s="42">
        <v>4.5259999999999998</v>
      </c>
      <c r="AL56" s="42">
        <f t="shared" si="5"/>
        <v>11.498137099333544</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11.475</v>
      </c>
      <c r="AK57" s="42">
        <v>5.9039999999999999</v>
      </c>
      <c r="AL57" s="42">
        <f t="shared" si="5"/>
        <v>14.998895588701997</v>
      </c>
      <c r="AM57" s="42">
        <v>20.577999999999999</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13.819000000000001</v>
      </c>
      <c r="AK58" s="42">
        <v>7.0670000000000002</v>
      </c>
      <c r="AL58" s="42">
        <f t="shared" si="5"/>
        <v>17.953454458901934</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25.141999999999999</v>
      </c>
      <c r="AK59" s="42">
        <v>11.209</v>
      </c>
      <c r="AL59" s="42">
        <f t="shared" si="5"/>
        <v>28.476053633767055</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33.241999999999997</v>
      </c>
      <c r="AK60" s="42">
        <v>13.709</v>
      </c>
      <c r="AL60" s="42">
        <f t="shared" si="5"/>
        <v>34.827211996191686</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40.024999999999999</v>
      </c>
      <c r="AK61" s="42">
        <v>15.755000000000001</v>
      </c>
      <c r="AL61" s="42">
        <f t="shared" si="5"/>
        <v>40.024999999999999</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-4.6300000000000001E-2</v>
      </c>
      <c r="G74" s="75">
        <v>-0.12509999999999999</v>
      </c>
      <c r="J74" s="701"/>
      <c r="K74" s="702"/>
      <c r="L74" s="44"/>
      <c r="M74" s="44"/>
      <c r="N74" s="44"/>
    </row>
    <row r="75" spans="1:94" ht="26.25" customHeight="1" thickBot="1" x14ac:dyDescent="0.3">
      <c r="A75" s="11"/>
      <c r="B75" s="377" t="s">
        <v>113</v>
      </c>
      <c r="C75" s="377"/>
      <c r="D75" s="19"/>
      <c r="E75" s="54" t="s">
        <v>12</v>
      </c>
      <c r="F75" s="55">
        <v>0.4214</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1.3995</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1.798</v>
      </c>
      <c r="AM76" s="3">
        <f t="shared" si="6"/>
        <v>0.93064182194616984</v>
      </c>
      <c r="AN76" s="5">
        <f>AA23</f>
        <v>0.61644736842105263</v>
      </c>
      <c r="AO76" s="3">
        <f t="shared" ref="AO76:AO86" si="9">((AN76/19.32)*10)</f>
        <v>0.31907213686389885</v>
      </c>
      <c r="AP76" s="5">
        <f>AE23</f>
        <v>0.33534736842105267</v>
      </c>
      <c r="AQ76" s="161">
        <f t="shared" si="7"/>
        <v>0.17357524245396103</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2.8780000000000001</v>
      </c>
      <c r="AM77" s="3">
        <f t="shared" si="6"/>
        <v>1.489648033126294</v>
      </c>
      <c r="AN77" s="5">
        <f>AA24</f>
        <v>1.3894736842105264</v>
      </c>
      <c r="AO77" s="3">
        <f t="shared" si="9"/>
        <v>0.71918927754168027</v>
      </c>
      <c r="AP77" s="5">
        <f>AE24</f>
        <v>0.75587368421052648</v>
      </c>
      <c r="AQ77" s="161">
        <f t="shared" si="7"/>
        <v>0.39123896698267413</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4.6150000000000002</v>
      </c>
      <c r="AM78" s="3">
        <f t="shared" si="6"/>
        <v>2.3887163561076603</v>
      </c>
      <c r="AN78" s="5">
        <f>AA25</f>
        <v>2.1921052631578948</v>
      </c>
      <c r="AO78" s="3">
        <f t="shared" si="9"/>
        <v>1.1346300533943554</v>
      </c>
      <c r="AP78" s="5">
        <f>AE25</f>
        <v>1.192505263157895</v>
      </c>
      <c r="AQ78" s="161">
        <f t="shared" si="7"/>
        <v>0.61723874904652942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6.3049999999999997</v>
      </c>
      <c r="AM79" s="4">
        <f t="shared" si="6"/>
        <v>3.2634575569358177</v>
      </c>
      <c r="AN79" s="5">
        <f>AA26</f>
        <v>2.761184210526316</v>
      </c>
      <c r="AO79" s="4">
        <f t="shared" si="9"/>
        <v>1.4291843739784245</v>
      </c>
      <c r="AP79" s="5">
        <f>AE26</f>
        <v>1.5020842105263161</v>
      </c>
      <c r="AQ79" s="162">
        <f t="shared" si="7"/>
        <v>0.777476299444263</v>
      </c>
      <c r="BB79" s="12">
        <v>17</v>
      </c>
      <c r="BC79" s="12">
        <v>18</v>
      </c>
    </row>
    <row r="80" spans="1:94" ht="42" customHeight="1" thickTop="1" thickBot="1" x14ac:dyDescent="0.3">
      <c r="D80" s="49"/>
      <c r="H80" s="711" t="s">
        <v>105</v>
      </c>
      <c r="I80" s="712"/>
      <c r="J80" s="58"/>
      <c r="AJ80" s="160">
        <f>U28</f>
        <v>0.125</v>
      </c>
      <c r="AK80" s="3">
        <f t="shared" si="8"/>
        <v>3.1749999999999998</v>
      </c>
      <c r="AL80" s="5">
        <f>W28</f>
        <v>8.617251666137733</v>
      </c>
      <c r="AM80" s="3">
        <f t="shared" si="6"/>
        <v>4.4602751895122843</v>
      </c>
      <c r="AN80" s="5">
        <f>AA28</f>
        <v>4.092763157894737</v>
      </c>
      <c r="AO80" s="3">
        <f t="shared" si="9"/>
        <v>2.1184074316225345</v>
      </c>
      <c r="AP80" s="5">
        <f>AE28</f>
        <v>2.2264631578947371</v>
      </c>
      <c r="AQ80" s="161">
        <f t="shared" si="7"/>
        <v>1.152413642802659</v>
      </c>
      <c r="BC80" s="45">
        <v>0.99880400000000003</v>
      </c>
      <c r="BD80" s="45">
        <v>0.99862499999999998</v>
      </c>
    </row>
    <row r="81" spans="2:43" ht="15.75" customHeight="1" x14ac:dyDescent="0.25">
      <c r="AJ81" s="160">
        <f>U30</f>
        <v>0.15</v>
      </c>
      <c r="AK81" s="3">
        <f t="shared" si="8"/>
        <v>3.8099999999999996</v>
      </c>
      <c r="AL81" s="5">
        <f>W30</f>
        <v>11.498137099333544</v>
      </c>
      <c r="AM81" s="3">
        <f t="shared" si="6"/>
        <v>5.9514167180815445</v>
      </c>
      <c r="AN81" s="5">
        <f>AA30</f>
        <v>5.7230263157894736</v>
      </c>
      <c r="AO81" s="3">
        <f t="shared" si="9"/>
        <v>2.9622289419200176</v>
      </c>
      <c r="AP81" s="5">
        <f>AE30</f>
        <v>3.1133263157894739</v>
      </c>
      <c r="AQ81" s="161">
        <f t="shared" si="7"/>
        <v>1.6114525444044898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14.998895588701997</v>
      </c>
      <c r="AM82" s="3">
        <f t="shared" si="6"/>
        <v>7.7634035138209088</v>
      </c>
      <c r="AN82" s="5">
        <f>AA31</f>
        <v>7.5493421052631575</v>
      </c>
      <c r="AO82" s="3">
        <f t="shared" si="9"/>
        <v>3.9075269695979076</v>
      </c>
      <c r="AP82" s="5">
        <f>AE31</f>
        <v>4.1068421052631576</v>
      </c>
      <c r="AQ82" s="161">
        <f t="shared" si="7"/>
        <v>2.1256946714612619</v>
      </c>
    </row>
    <row r="83" spans="2:43" ht="15" customHeight="1" x14ac:dyDescent="0.25">
      <c r="B83" s="49"/>
      <c r="C83" s="49"/>
      <c r="D83" s="49">
        <v>0</v>
      </c>
      <c r="E83" s="50">
        <f>M42</f>
        <v>4.550755939524838</v>
      </c>
      <c r="F83" s="49"/>
      <c r="G83" s="43">
        <f>G84/10</f>
        <v>2.5644393036451145</v>
      </c>
      <c r="H83" s="43">
        <f>H84/10</f>
        <v>2.5034267817946416</v>
      </c>
      <c r="I83" s="43">
        <f>I84/10</f>
        <v>2.3854432663612366</v>
      </c>
      <c r="J83" s="43">
        <f>J84/10</f>
        <v>2.2742459431561675</v>
      </c>
      <c r="K83" s="43"/>
      <c r="L83" s="42">
        <v>0</v>
      </c>
      <c r="O83" s="706"/>
      <c r="P83" s="706"/>
      <c r="Q83" s="706"/>
      <c r="R83" s="706"/>
      <c r="S83" s="707"/>
      <c r="W83" s="112"/>
      <c r="AJ83" s="160">
        <f>U33</f>
        <v>0.2</v>
      </c>
      <c r="AK83" s="4">
        <f t="shared" si="8"/>
        <v>5.08</v>
      </c>
      <c r="AL83" s="5">
        <f>W33</f>
        <v>17.953454458901934</v>
      </c>
      <c r="AM83" s="4">
        <f t="shared" si="6"/>
        <v>9.2926782913571078</v>
      </c>
      <c r="AN83" s="5">
        <f>AA33</f>
        <v>9.0914473684210524</v>
      </c>
      <c r="AO83" s="4">
        <f t="shared" si="9"/>
        <v>4.705718099596818</v>
      </c>
      <c r="AP83" s="5">
        <f>AE33</f>
        <v>4.9457473684210527</v>
      </c>
      <c r="AQ83" s="162">
        <f t="shared" si="7"/>
        <v>2.5599106461806693</v>
      </c>
    </row>
    <row r="84" spans="2:43" ht="15" customHeight="1" x14ac:dyDescent="0.25">
      <c r="C84" s="94"/>
      <c r="D84" s="94"/>
      <c r="E84" s="94"/>
      <c r="F84" s="49"/>
      <c r="G84" s="43">
        <f>($M$34/(1+(E34*$M$34/100)))*($O$73)</f>
        <v>25.644393036451145</v>
      </c>
      <c r="H84" s="43">
        <f>($M$34/(1+(F34*$M$34/100)))*($O$73)</f>
        <v>25.034267817946414</v>
      </c>
      <c r="I84" s="43">
        <f>($M$34/(1+(G34*$M$34/100)))*($O$73)</f>
        <v>23.854432663612364</v>
      </c>
      <c r="J84" s="43">
        <f>($M$34/(1+(H34*$M$34/100)))*($O$73)</f>
        <v>22.742459431561674</v>
      </c>
      <c r="K84" s="43"/>
      <c r="O84" s="706" t="s">
        <v>146</v>
      </c>
      <c r="P84" s="706"/>
      <c r="Q84" s="706"/>
      <c r="R84" s="706"/>
      <c r="S84" s="707">
        <v>2240</v>
      </c>
      <c r="W84" s="112"/>
      <c r="AJ84" s="160">
        <f>U34</f>
        <v>0.3</v>
      </c>
      <c r="AK84" s="3">
        <f t="shared" si="8"/>
        <v>7.6199999999999992</v>
      </c>
      <c r="AL84" s="5">
        <f>W34</f>
        <v>28.476053633767055</v>
      </c>
      <c r="AM84" s="3">
        <f t="shared" si="6"/>
        <v>14.739158195531601</v>
      </c>
      <c r="AN84" s="5">
        <f>AA34</f>
        <v>16.5407894736842</v>
      </c>
      <c r="AO84" s="3">
        <f t="shared" si="9"/>
        <v>8.5614852348261898</v>
      </c>
      <c r="AP84" s="5">
        <f>AE34</f>
        <v>8.9981894736842118</v>
      </c>
      <c r="AQ84" s="161">
        <f t="shared" si="7"/>
        <v>4.6574479677454512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34.827211996191686</v>
      </c>
      <c r="AM85" s="3">
        <f t="shared" si="6"/>
        <v>18.026507244405636</v>
      </c>
      <c r="AN85" s="5">
        <f>AA35</f>
        <v>21.869736842105262</v>
      </c>
      <c r="AO85" s="3">
        <f t="shared" si="9"/>
        <v>11.319739566307073</v>
      </c>
      <c r="AP85" s="5">
        <f>AE35</f>
        <v>10.798</v>
      </c>
      <c r="AQ85" s="161">
        <f>((AP85/19.32)*10)</f>
        <v>5.5890269151138714</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40.024999999999999</v>
      </c>
      <c r="AM86" s="164">
        <f t="shared" si="6"/>
        <v>20.716873706004144</v>
      </c>
      <c r="AN86" s="165">
        <f>AA37</f>
        <v>26.33223684210526</v>
      </c>
      <c r="AO86" s="164">
        <f t="shared" si="9"/>
        <v>13.629522175002721</v>
      </c>
      <c r="AP86" s="165">
        <f>AE37</f>
        <v>12.26</v>
      </c>
      <c r="AQ86" s="166">
        <f>((AP86/19.32)*10)</f>
        <v>6.3457556935817809</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2.3307171340244897</v>
      </c>
      <c r="AK91" s="9">
        <f>R31</f>
        <v>2.21</v>
      </c>
      <c r="AL91" s="10">
        <f>S31</f>
        <v>2.0859999999999994</v>
      </c>
    </row>
    <row r="92" spans="2:43" ht="21" customHeight="1" thickBot="1" x14ac:dyDescent="0.3">
      <c r="B92" s="92"/>
      <c r="C92" s="93"/>
      <c r="D92" s="93"/>
      <c r="E92" s="93"/>
      <c r="F92" s="62"/>
      <c r="G92" s="63"/>
      <c r="H92" s="49"/>
      <c r="I92" s="49"/>
      <c r="O92" s="725" t="s">
        <v>147</v>
      </c>
      <c r="P92" s="726"/>
      <c r="Q92" s="726"/>
      <c r="R92" s="726"/>
      <c r="S92" s="61">
        <f>M42</f>
        <v>4.550755939524838</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47.296486332403155</v>
      </c>
      <c r="AK94" s="158">
        <f>AA42</f>
        <v>20.712817014180061</v>
      </c>
      <c r="AL94" s="158">
        <f>AD42</f>
        <v>11.267772455713956</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368" priority="48">
      <formula>LEN(TRIM(D6))=0</formula>
    </cfRule>
  </conditionalFormatting>
  <conditionalFormatting sqref="D6:H10">
    <cfRule type="containsBlanks" dxfId="367" priority="47">
      <formula>LEN(TRIM(D6))=0</formula>
    </cfRule>
  </conditionalFormatting>
  <conditionalFormatting sqref="M19">
    <cfRule type="containsBlanks" dxfId="366" priority="46">
      <formula>LEN(TRIM(M19))=0</formula>
    </cfRule>
  </conditionalFormatting>
  <conditionalFormatting sqref="CP70">
    <cfRule type="containsBlanks" dxfId="365" priority="45">
      <formula>LEN(TRIM(CP70))=0</formula>
    </cfRule>
  </conditionalFormatting>
  <conditionalFormatting sqref="M21">
    <cfRule type="containsBlanks" dxfId="364" priority="44">
      <formula>LEN(TRIM(M21))=0</formula>
    </cfRule>
  </conditionalFormatting>
  <conditionalFormatting sqref="D12:M12">
    <cfRule type="containsBlanks" dxfId="363" priority="43">
      <formula>LEN(TRIM(D12))=0</formula>
    </cfRule>
  </conditionalFormatting>
  <conditionalFormatting sqref="L9:M9">
    <cfRule type="containsBlanks" dxfId="362" priority="42">
      <formula>LEN(TRIM(L9))=0</formula>
    </cfRule>
  </conditionalFormatting>
  <conditionalFormatting sqref="L25">
    <cfRule type="containsBlanks" dxfId="361" priority="41">
      <formula>LEN(TRIM(L25))=0</formula>
    </cfRule>
  </conditionalFormatting>
  <conditionalFormatting sqref="U26:V27 AC33 AC26">
    <cfRule type="cellIs" dxfId="360" priority="40" operator="between">
      <formula>0</formula>
      <formula>500</formula>
    </cfRule>
  </conditionalFormatting>
  <conditionalFormatting sqref="U33:V33">
    <cfRule type="cellIs" dxfId="359" priority="39" operator="between">
      <formula>0</formula>
      <formula>500</formula>
    </cfRule>
  </conditionalFormatting>
  <conditionalFormatting sqref="AF45:AH46">
    <cfRule type="containsBlanks" dxfId="358" priority="38">
      <formula>LEN(TRIM(AF45))=0</formula>
    </cfRule>
  </conditionalFormatting>
  <conditionalFormatting sqref="AF51:AG53">
    <cfRule type="containsBlanks" dxfId="357" priority="37">
      <formula>LEN(TRIM(AF51))=0</formula>
    </cfRule>
  </conditionalFormatting>
  <conditionalFormatting sqref="M25">
    <cfRule type="containsBlanks" dxfId="356" priority="36">
      <formula>LEN(TRIM(M25))=0</formula>
    </cfRule>
  </conditionalFormatting>
  <conditionalFormatting sqref="U26:V27 Y26:Z27 AC26:AD27 AG26:AG27">
    <cfRule type="containsBlanks" dxfId="355" priority="34">
      <formula>LEN(TRIM(U26))=0</formula>
    </cfRule>
    <cfRule type="cellIs" dxfId="354" priority="35" operator="between">
      <formula>0</formula>
      <formula>1000</formula>
    </cfRule>
  </conditionalFormatting>
  <conditionalFormatting sqref="W87:W88">
    <cfRule type="cellIs" dxfId="353" priority="33" operator="between">
      <formula>0</formula>
      <formula>500</formula>
    </cfRule>
  </conditionalFormatting>
  <conditionalFormatting sqref="W94">
    <cfRule type="cellIs" dxfId="352" priority="32" operator="between">
      <formula>0</formula>
      <formula>500</formula>
    </cfRule>
  </conditionalFormatting>
  <conditionalFormatting sqref="W87:W88">
    <cfRule type="containsBlanks" dxfId="351" priority="30">
      <formula>LEN(TRIM(W87))=0</formula>
    </cfRule>
    <cfRule type="cellIs" dxfId="350" priority="31" operator="between">
      <formula>0</formula>
      <formula>1000</formula>
    </cfRule>
  </conditionalFormatting>
  <conditionalFormatting sqref="U33:V33 Y33:Z33 AC33:AD33 AG33">
    <cfRule type="cellIs" dxfId="349" priority="29" operator="between">
      <formula>0</formula>
      <formula>1000</formula>
    </cfRule>
  </conditionalFormatting>
  <conditionalFormatting sqref="Q27:S27">
    <cfRule type="containsBlanks" dxfId="348" priority="27">
      <formula>LEN(TRIM(Q27))=0</formula>
    </cfRule>
    <cfRule type="containsBlanks" dxfId="347" priority="28">
      <formula>LEN(TRIM(Q27))=0</formula>
    </cfRule>
  </conditionalFormatting>
  <conditionalFormatting sqref="W30:W31 W33:W35 W37 W28 W22:W26">
    <cfRule type="containsBlanks" dxfId="346" priority="26">
      <formula>LEN(TRIM(W22))=0</formula>
    </cfRule>
  </conditionalFormatting>
  <conditionalFormatting sqref="W37 W30:W31 W33:W35 W28 W22:W26">
    <cfRule type="containsBlanks" dxfId="345" priority="25">
      <formula>LEN(TRIM(W22))=0</formula>
    </cfRule>
  </conditionalFormatting>
  <conditionalFormatting sqref="W33:X33">
    <cfRule type="cellIs" dxfId="344" priority="24" operator="between">
      <formula>0</formula>
      <formula>1000</formula>
    </cfRule>
  </conditionalFormatting>
  <conditionalFormatting sqref="W30:X37 W26 W28 W22:X25">
    <cfRule type="containsBlanks" dxfId="343" priority="23">
      <formula>LEN(TRIM(W22))=0</formula>
    </cfRule>
  </conditionalFormatting>
  <conditionalFormatting sqref="AA37 AA30:AA31 AA33 AA22:AA26 AA28 AA35">
    <cfRule type="containsBlanks" dxfId="342" priority="22">
      <formula>LEN(TRIM(AA22))=0</formula>
    </cfRule>
  </conditionalFormatting>
  <conditionalFormatting sqref="AA37 AA30:AA31 AA33 AA22:AA26 AA28 AA35">
    <cfRule type="containsBlanks" dxfId="341" priority="21">
      <formula>LEN(TRIM(AA22))=0</formula>
    </cfRule>
  </conditionalFormatting>
  <conditionalFormatting sqref="AA33:AB33">
    <cfRule type="cellIs" dxfId="340" priority="20" operator="between">
      <formula>0</formula>
      <formula>1000</formula>
    </cfRule>
  </conditionalFormatting>
  <conditionalFormatting sqref="AA30:AB30 AA31 AA33:AB33 AA22:AB25 AA26 AA28 AA35:AB37">
    <cfRule type="containsBlanks" dxfId="339" priority="19">
      <formula>LEN(TRIM(AA22))=0</formula>
    </cfRule>
  </conditionalFormatting>
  <conditionalFormatting sqref="AE37 AE28 AE30:AE31 AE33:AE35 AE22:AE26">
    <cfRule type="containsBlanks" dxfId="338" priority="18">
      <formula>LEN(TRIM(AE22))=0</formula>
    </cfRule>
  </conditionalFormatting>
  <conditionalFormatting sqref="AE37 AE28 AE30:AE31 AE33:AE35 AE22:AE26">
    <cfRule type="containsBlanks" dxfId="337" priority="17">
      <formula>LEN(TRIM(AE22))=0</formula>
    </cfRule>
  </conditionalFormatting>
  <conditionalFormatting sqref="AE33:AF33">
    <cfRule type="cellIs" dxfId="336" priority="16" operator="between">
      <formula>0</formula>
      <formula>1000</formula>
    </cfRule>
  </conditionalFormatting>
  <conditionalFormatting sqref="AE33:AF37 AE26 AE28 AE30:AE31 AE22:AF25">
    <cfRule type="containsBlanks" dxfId="335" priority="15">
      <formula>LEN(TRIM(AE22))=0</formula>
    </cfRule>
  </conditionalFormatting>
  <conditionalFormatting sqref="K6:M6">
    <cfRule type="containsBlanks" dxfId="334" priority="14">
      <formula>LEN(TRIM(K6))=0</formula>
    </cfRule>
  </conditionalFormatting>
  <conditionalFormatting sqref="K7:K8">
    <cfRule type="containsBlanks" dxfId="333" priority="13">
      <formula>LEN(TRIM(K7))=0</formula>
    </cfRule>
  </conditionalFormatting>
  <conditionalFormatting sqref="B6:B10">
    <cfRule type="containsBlanks" dxfId="332" priority="12">
      <formula>LEN(TRIM(B6))=0</formula>
    </cfRule>
  </conditionalFormatting>
  <conditionalFormatting sqref="B12:B13">
    <cfRule type="containsBlanks" dxfId="331" priority="11">
      <formula>LEN(TRIM(B12))=0</formula>
    </cfRule>
  </conditionalFormatting>
  <conditionalFormatting sqref="E20:H24">
    <cfRule type="containsBlanks" dxfId="330" priority="10">
      <formula>LEN(TRIM(E20))=0</formula>
    </cfRule>
  </conditionalFormatting>
  <conditionalFormatting sqref="E28:H33">
    <cfRule type="containsBlanks" dxfId="329" priority="9">
      <formula>LEN(TRIM(E28))=0</formula>
    </cfRule>
  </conditionalFormatting>
  <conditionalFormatting sqref="Q20:S26">
    <cfRule type="containsBlanks" dxfId="328" priority="7">
      <formula>LEN(TRIM(Q20))=0</formula>
    </cfRule>
    <cfRule type="containsBlanks" dxfId="327" priority="8">
      <formula>LEN(TRIM(Q20))=0</formula>
    </cfRule>
  </conditionalFormatting>
  <conditionalFormatting sqref="Q34:S39">
    <cfRule type="containsBlanks" dxfId="326" priority="6">
      <formula>LEN(TRIM(Q34))=0</formula>
    </cfRule>
  </conditionalFormatting>
  <conditionalFormatting sqref="Q42:S46">
    <cfRule type="containsBlanks" dxfId="325" priority="5">
      <formula>LEN(TRIM(Q42))=0</formula>
    </cfRule>
  </conditionalFormatting>
  <conditionalFormatting sqref="D13">
    <cfRule type="containsBlanks" dxfId="324" priority="2">
      <formula>LEN(TRIM(D13))=0</formula>
    </cfRule>
  </conditionalFormatting>
  <conditionalFormatting sqref="D13">
    <cfRule type="containsBlanks" dxfId="323" priority="1">
      <formula>LEN(TRIM(D13))=0</formula>
    </cfRule>
  </conditionalFormatting>
  <dataValidations count="5">
    <dataValidation type="list" allowBlank="1" showInputMessage="1" showErrorMessage="1" sqref="L25" xr:uid="{00000000-0002-0000-3400-000000000000}">
      <formula1>$D$101:$D$104</formula1>
    </dataValidation>
    <dataValidation type="list" allowBlank="1" showInputMessage="1" showErrorMessage="1" sqref="M21" xr:uid="{00000000-0002-0000-3400-000001000000}">
      <formula1>$AX$3:$AX$4</formula1>
    </dataValidation>
    <dataValidation type="list" allowBlank="1" showInputMessage="1" showErrorMessage="1" sqref="M19" xr:uid="{00000000-0002-0000-3400-000002000000}">
      <formula1>$AX$3:$AX$5</formula1>
    </dataValidation>
    <dataValidation type="list" allowBlank="1" showInputMessage="1" showErrorMessage="1" sqref="CP70" xr:uid="{00000000-0002-0000-3400-000003000000}">
      <formula1>$BA$3:$BA$5</formula1>
    </dataValidation>
    <dataValidation type="list" allowBlank="1" showInputMessage="1" showErrorMessage="1" sqref="D12:E12" xr:uid="{00000000-0002-0000-3400-000004000000}">
      <formula1>$B$87:$B$94</formula1>
    </dataValidation>
  </dataValidations>
  <hyperlinks>
    <hyperlink ref="D8" r:id="rId1" xr:uid="{00000000-0004-0000-34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89441"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89442"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89443"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89444"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89445" r:id="rId9" name="Check Box 5">
              <controlPr defaultSize="0" autoFill="0" autoLine="0" autoPict="0">
                <anchor moveWithCells="1">
                  <from>
                    <xdr:col>5</xdr:col>
                    <xdr:colOff>1123950</xdr:colOff>
                    <xdr:row>16</xdr:row>
                    <xdr:rowOff>238125</xdr:rowOff>
                  </from>
                  <to>
                    <xdr:col>6</xdr:col>
                    <xdr:colOff>28575</xdr:colOff>
                    <xdr:row>18</xdr:row>
                    <xdr:rowOff>161925</xdr:rowOff>
                  </to>
                </anchor>
              </controlPr>
            </control>
          </mc:Choice>
        </mc:AlternateContent>
        <mc:AlternateContent xmlns:mc="http://schemas.openxmlformats.org/markup-compatibility/2006">
          <mc:Choice Requires="x14">
            <control shapeId="189446"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89447"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89448"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89449"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89450"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Hoja94">
    <tabColor theme="4" tint="0.79998168889431442"/>
  </sheetPr>
  <dimension ref="A1:CP153"/>
  <sheetViews>
    <sheetView view="pageBreakPreview" topLeftCell="A31" zoomScale="70" zoomScaleNormal="100" zoomScaleSheetLayoutView="7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25-T- CALEÑAS AP2-2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25-T- CALEÑAS AP2-2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307</v>
      </c>
      <c r="G12" s="31" t="s">
        <v>4</v>
      </c>
      <c r="H12" s="146">
        <v>2</v>
      </c>
      <c r="I12" s="546" t="s">
        <v>5</v>
      </c>
      <c r="J12" s="546"/>
      <c r="K12" s="209" t="s">
        <v>308</v>
      </c>
      <c r="L12" s="32" t="s">
        <v>6</v>
      </c>
      <c r="M12" s="147" t="s">
        <v>309</v>
      </c>
      <c r="N12" s="78"/>
      <c r="O12" s="501" t="s">
        <v>3</v>
      </c>
      <c r="P12" s="501"/>
      <c r="Q12" s="225" t="s">
        <v>234</v>
      </c>
      <c r="R12" s="224" t="str">
        <f>F12</f>
        <v>T- CALEÑAS AP2</v>
      </c>
      <c r="S12" s="224"/>
      <c r="T12" s="502" t="s">
        <v>4</v>
      </c>
      <c r="U12" s="502"/>
      <c r="V12" s="33">
        <f>+H12</f>
        <v>2</v>
      </c>
      <c r="W12" s="547" t="s">
        <v>5</v>
      </c>
      <c r="X12" s="547"/>
      <c r="Y12" s="547"/>
      <c r="Z12" s="547"/>
      <c r="AA12" s="547"/>
      <c r="AB12" s="547"/>
      <c r="AC12" s="34" t="str">
        <f>K12</f>
        <v>1,00m</v>
      </c>
      <c r="AD12" s="548" t="s">
        <v>6</v>
      </c>
      <c r="AE12" s="548"/>
      <c r="AF12" s="35" t="str">
        <f>+M12</f>
        <v>1,50m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310</v>
      </c>
      <c r="E13" s="791"/>
      <c r="F13" s="791"/>
      <c r="G13" s="791"/>
      <c r="H13" s="791"/>
      <c r="I13" s="791"/>
      <c r="J13" s="791"/>
      <c r="K13" s="791"/>
      <c r="L13" s="791"/>
      <c r="M13" s="791"/>
      <c r="N13" s="188"/>
      <c r="O13" s="526" t="s">
        <v>130</v>
      </c>
      <c r="P13" s="526"/>
      <c r="Q13" s="527" t="str">
        <f>D13</f>
        <v>LIMO ARCILLOSO, COLOR MARRÓN GRISÁCEO ,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504</v>
      </c>
      <c r="R20" s="148">
        <v>520</v>
      </c>
      <c r="S20" s="149">
        <v>531</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6724</v>
      </c>
      <c r="F22" s="219">
        <v>7132.7095899370624</v>
      </c>
      <c r="G22" s="219">
        <v>7295.6535150231002</v>
      </c>
      <c r="H22" s="151">
        <v>7066</v>
      </c>
      <c r="I22" s="174"/>
      <c r="J22" s="578"/>
      <c r="K22" s="578"/>
      <c r="L22" s="578"/>
      <c r="M22" s="104"/>
      <c r="N22" s="103"/>
      <c r="O22" s="579" t="s">
        <v>132</v>
      </c>
      <c r="P22" s="580"/>
      <c r="Q22" s="150">
        <v>8060</v>
      </c>
      <c r="R22" s="219">
        <v>7981.6284464759083</v>
      </c>
      <c r="S22" s="208">
        <v>7714.5385067813204</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3.9E-2</v>
      </c>
      <c r="AJ22" s="42">
        <f>AJ50/1.52</f>
        <v>2.5657894736842105E-2</v>
      </c>
      <c r="AK22" s="42">
        <f>AL22*0.61</f>
        <v>1.0642894736842105E-2</v>
      </c>
      <c r="AL22" s="42">
        <v>1.7447368421052632E-2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3788</v>
      </c>
      <c r="R23" s="150">
        <v>3996</v>
      </c>
      <c r="S23" s="151">
        <v>3844</v>
      </c>
      <c r="T23" s="174"/>
      <c r="U23" s="112">
        <v>2.5000000000000001E-2</v>
      </c>
      <c r="V23" s="113">
        <f>U23*25.4</f>
        <v>0.63500000000000001</v>
      </c>
      <c r="W23" s="581">
        <f>AI23</f>
        <v>0.183</v>
      </c>
      <c r="X23" s="582"/>
      <c r="Y23" s="449">
        <f>((W23/19.32)*10)</f>
        <v>9.4720496894409936E-2</v>
      </c>
      <c r="Z23" s="450"/>
      <c r="AA23" s="581">
        <f>AJ23</f>
        <v>0.12039473684210526</v>
      </c>
      <c r="AB23" s="582"/>
      <c r="AC23" s="449">
        <f>((AA23/19.32)*10)</f>
        <v>6.2316116377901278E-2</v>
      </c>
      <c r="AD23" s="450"/>
      <c r="AE23" s="581">
        <f>AK22</f>
        <v>1.0642894736842105E-2</v>
      </c>
      <c r="AF23" s="582"/>
      <c r="AG23" s="114">
        <f>((AE23/19.32)*10)</f>
        <v>5.5087446878064727E-3</v>
      </c>
      <c r="AH23" s="104"/>
      <c r="AI23" s="42">
        <f t="shared" ref="AI23:AI33" si="2">AJ51</f>
        <v>0.183</v>
      </c>
      <c r="AJ23" s="42">
        <f t="shared" ref="AJ23:AJ33" si="3">AJ51/1.52</f>
        <v>0.12039473684210526</v>
      </c>
      <c r="AK23" s="42">
        <f t="shared" ref="AK23:AK33" si="4">AL23*0.61</f>
        <v>4.9939736842105266E-2</v>
      </c>
      <c r="AL23" s="42">
        <v>8.186842105263159E-2</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v>
      </c>
      <c r="R24" s="150">
        <v>11.65</v>
      </c>
      <c r="S24" s="151">
        <v>11.67</v>
      </c>
      <c r="T24" s="174"/>
      <c r="U24" s="112">
        <v>0.05</v>
      </c>
      <c r="V24" s="113">
        <f>U24*25.4</f>
        <v>1.27</v>
      </c>
      <c r="W24" s="581">
        <f>AI24</f>
        <v>0.40400000000000003</v>
      </c>
      <c r="X24" s="582"/>
      <c r="Y24" s="449">
        <f>((W24/19.32)*10)</f>
        <v>0.20910973084886128</v>
      </c>
      <c r="Z24" s="450"/>
      <c r="AA24" s="581">
        <f>AJ24</f>
        <v>0.26578947368421052</v>
      </c>
      <c r="AB24" s="582"/>
      <c r="AC24" s="449">
        <f>((AA24/19.32)*10)</f>
        <v>0.13757219134793505</v>
      </c>
      <c r="AD24" s="450"/>
      <c r="AE24" s="581">
        <f>AK23</f>
        <v>4.9939736842105266E-2</v>
      </c>
      <c r="AF24" s="582"/>
      <c r="AG24" s="114">
        <f>((AE24/19.32)*10)</f>
        <v>2.5848725073553451E-2</v>
      </c>
      <c r="AH24" s="104"/>
      <c r="AI24" s="42">
        <f t="shared" si="2"/>
        <v>0.40400000000000003</v>
      </c>
      <c r="AJ24" s="42">
        <f t="shared" si="3"/>
        <v>0.26578947368421052</v>
      </c>
      <c r="AK24" s="42">
        <f t="shared" si="4"/>
        <v>0.11024947368421054</v>
      </c>
      <c r="AL24" s="42">
        <v>0.18073684210526317</v>
      </c>
      <c r="AO24" s="42">
        <v>0.68400000000000005</v>
      </c>
      <c r="AS24" s="42">
        <f t="shared" si="5"/>
        <v>0.55609756097560981</v>
      </c>
    </row>
    <row r="25" spans="1:45" ht="24.95" customHeight="1" thickBot="1" x14ac:dyDescent="0.3">
      <c r="A25" s="103"/>
      <c r="B25" s="602" t="s">
        <v>69</v>
      </c>
      <c r="C25" s="603"/>
      <c r="D25" s="603"/>
      <c r="E25" s="115">
        <f>E22-E23</f>
        <v>3840</v>
      </c>
      <c r="F25" s="220">
        <f>F22-F23</f>
        <v>4248.7095899370624</v>
      </c>
      <c r="G25" s="220">
        <f>G22-G23</f>
        <v>4411.6535150231002</v>
      </c>
      <c r="H25" s="116">
        <f>H22-H23</f>
        <v>4182</v>
      </c>
      <c r="I25" s="174"/>
      <c r="J25" s="174" t="s">
        <v>127</v>
      </c>
      <c r="K25" s="174"/>
      <c r="L25" s="218" t="s">
        <v>128</v>
      </c>
      <c r="M25" s="155">
        <v>0</v>
      </c>
      <c r="N25" s="103"/>
      <c r="O25" s="604" t="s">
        <v>46</v>
      </c>
      <c r="P25" s="605"/>
      <c r="Q25" s="608">
        <v>15.25</v>
      </c>
      <c r="R25" s="608">
        <v>15.26</v>
      </c>
      <c r="S25" s="610">
        <v>15.25</v>
      </c>
      <c r="T25" s="174"/>
      <c r="U25" s="112">
        <v>7.4999999999999997E-2</v>
      </c>
      <c r="V25" s="113">
        <f>U25*25.4</f>
        <v>1.9049999999999998</v>
      </c>
      <c r="W25" s="581">
        <f>AI25</f>
        <v>0.63100000000000001</v>
      </c>
      <c r="X25" s="582"/>
      <c r="Y25" s="449">
        <f>((W25/19.32)*10)</f>
        <v>0.32660455486542445</v>
      </c>
      <c r="Z25" s="450"/>
      <c r="AA25" s="581">
        <f>AJ25</f>
        <v>0.41513157894736841</v>
      </c>
      <c r="AB25" s="582"/>
      <c r="AC25" s="449">
        <f>((AA25/19.32)*10)</f>
        <v>0.21487141767462134</v>
      </c>
      <c r="AD25" s="450"/>
      <c r="AE25" s="581">
        <f>AK24</f>
        <v>0.11024947368421054</v>
      </c>
      <c r="AF25" s="582"/>
      <c r="AG25" s="114">
        <f>((AE25/19.32)*10)</f>
        <v>5.7064944971123466E-2</v>
      </c>
      <c r="AH25" s="104"/>
      <c r="AI25" s="42">
        <f t="shared" si="2"/>
        <v>0.63100000000000001</v>
      </c>
      <c r="AJ25" s="42">
        <f t="shared" si="3"/>
        <v>0.41513157894736841</v>
      </c>
      <c r="AK25" s="42">
        <f t="shared" si="4"/>
        <v>0.17219657894736842</v>
      </c>
      <c r="AL25" s="42">
        <v>0.28228947368421053</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0.82</v>
      </c>
      <c r="X26" s="779"/>
      <c r="Y26" s="461">
        <f>((W26/19.32)*10)</f>
        <v>0.42443064182194618</v>
      </c>
      <c r="Z26" s="462"/>
      <c r="AA26" s="746">
        <f>AJ26</f>
        <v>0.53947368421052633</v>
      </c>
      <c r="AB26" s="747"/>
      <c r="AC26" s="461">
        <f>((AA26/19.32)*10)</f>
        <v>0.27923068540917512</v>
      </c>
      <c r="AD26" s="462"/>
      <c r="AE26" s="593">
        <f>AK25</f>
        <v>0.17219657894736842</v>
      </c>
      <c r="AF26" s="594"/>
      <c r="AG26" s="469">
        <f>((AE26/19.32)*10)</f>
        <v>8.9128664051432924E-2</v>
      </c>
      <c r="AH26" s="104"/>
      <c r="AI26" s="42">
        <f t="shared" si="2"/>
        <v>0.82</v>
      </c>
      <c r="AJ26" s="42">
        <f t="shared" si="3"/>
        <v>0.53947368421052633</v>
      </c>
      <c r="AK26" s="42">
        <f t="shared" si="4"/>
        <v>0.22377368421052632</v>
      </c>
      <c r="AL26" s="42">
        <v>0.36684210526315791</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2118.7882603513813</v>
      </c>
      <c r="R27" s="152">
        <f>(PI()*((R25^2)/4)*R24)</f>
        <v>2130.7125993830891</v>
      </c>
      <c r="S27" s="153">
        <f>(PI()*((S25^2)/4)*S24)</f>
        <v>2131.5740515776392</v>
      </c>
      <c r="T27" s="174"/>
      <c r="U27" s="600"/>
      <c r="V27" s="601"/>
      <c r="W27" s="780"/>
      <c r="X27" s="781"/>
      <c r="Y27" s="463"/>
      <c r="Z27" s="464"/>
      <c r="AA27" s="748"/>
      <c r="AB27" s="749"/>
      <c r="AC27" s="463"/>
      <c r="AD27" s="464"/>
      <c r="AE27" s="595"/>
      <c r="AF27" s="596"/>
      <c r="AG27" s="470"/>
      <c r="AH27" s="193"/>
      <c r="AI27" s="42">
        <f t="shared" si="2"/>
        <v>1.024</v>
      </c>
      <c r="AJ27" s="42">
        <f t="shared" si="3"/>
        <v>0.67368421052631577</v>
      </c>
      <c r="AK27" s="42">
        <f t="shared" si="4"/>
        <v>0.27944421052631579</v>
      </c>
      <c r="AL27" s="42">
        <v>0.45810526315789474</v>
      </c>
      <c r="AO27" s="42">
        <v>2.387</v>
      </c>
      <c r="AS27" s="42">
        <f t="shared" si="5"/>
        <v>1.9406504065040651</v>
      </c>
    </row>
    <row r="28" spans="1:45" ht="24.95" customHeight="1" thickBot="1" x14ac:dyDescent="0.3">
      <c r="A28" s="103"/>
      <c r="B28" s="560" t="s">
        <v>9</v>
      </c>
      <c r="C28" s="561"/>
      <c r="D28" s="561"/>
      <c r="E28" s="148">
        <v>675</v>
      </c>
      <c r="F28" s="148">
        <v>671</v>
      </c>
      <c r="G28" s="148">
        <v>654</v>
      </c>
      <c r="H28" s="149">
        <v>668</v>
      </c>
      <c r="I28" s="174"/>
      <c r="J28" s="597" t="s">
        <v>107</v>
      </c>
      <c r="K28" s="597"/>
      <c r="L28" s="562" t="s">
        <v>119</v>
      </c>
      <c r="M28" s="459">
        <f>IF(M26="","",(100-M26))</f>
        <v>100</v>
      </c>
      <c r="N28" s="103"/>
      <c r="O28" s="625" t="s">
        <v>136</v>
      </c>
      <c r="P28" s="626"/>
      <c r="Q28" s="220">
        <f>Q22-Q23</f>
        <v>4272</v>
      </c>
      <c r="R28" s="220">
        <f>R22-R23</f>
        <v>3985.6284464759083</v>
      </c>
      <c r="S28" s="220">
        <f>S22-S23</f>
        <v>3870.5385067813204</v>
      </c>
      <c r="T28" s="174"/>
      <c r="U28" s="627">
        <v>0.125</v>
      </c>
      <c r="V28" s="624">
        <f>U28*25.4</f>
        <v>3.1749999999999998</v>
      </c>
      <c r="W28" s="593">
        <f>AI27</f>
        <v>1.024</v>
      </c>
      <c r="X28" s="594"/>
      <c r="Y28" s="439">
        <f>((W28/19.32)*10)</f>
        <v>0.53002070393374745</v>
      </c>
      <c r="Z28" s="440"/>
      <c r="AA28" s="593">
        <f>AJ27</f>
        <v>0.67368421052631577</v>
      </c>
      <c r="AB28" s="594"/>
      <c r="AC28" s="439">
        <f>((AA28/19.32)*10)</f>
        <v>0.3486978315353601</v>
      </c>
      <c r="AD28" s="440"/>
      <c r="AE28" s="593">
        <f>AK27</f>
        <v>0.27944421052631579</v>
      </c>
      <c r="AF28" s="594"/>
      <c r="AG28" s="443">
        <f>((AE28/19.32)*10)</f>
        <v>0.14463986052086739</v>
      </c>
      <c r="AH28" s="104"/>
      <c r="AI28" s="42">
        <f t="shared" si="2"/>
        <v>1.2649999999999999</v>
      </c>
      <c r="AJ28" s="42">
        <f t="shared" si="3"/>
        <v>0.83223684210526305</v>
      </c>
      <c r="AK28" s="42">
        <f t="shared" si="4"/>
        <v>0.34521184210526312</v>
      </c>
      <c r="AL28" s="42">
        <v>0.56592105263157888</v>
      </c>
      <c r="AO28" s="42">
        <v>2.8959999999999999</v>
      </c>
      <c r="AS28" s="42">
        <f t="shared" si="5"/>
        <v>2.3544715447154472</v>
      </c>
    </row>
    <row r="29" spans="1:45" ht="5.0999999999999996" customHeight="1" thickBot="1" x14ac:dyDescent="0.3">
      <c r="A29" s="103"/>
      <c r="B29" s="612" t="s">
        <v>73</v>
      </c>
      <c r="C29" s="613"/>
      <c r="D29" s="614"/>
      <c r="E29" s="618">
        <v>841.23</v>
      </c>
      <c r="F29" s="618">
        <v>883.65</v>
      </c>
      <c r="G29" s="618">
        <v>721.99</v>
      </c>
      <c r="H29" s="620">
        <v>803.47</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1.5089999999999999</v>
      </c>
      <c r="AJ29" s="42">
        <f t="shared" si="3"/>
        <v>0.99276315789473679</v>
      </c>
      <c r="AK29" s="42">
        <f t="shared" si="4"/>
        <v>0.41179815789473689</v>
      </c>
      <c r="AL29" s="42">
        <v>0.67507894736842111</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16.42493124590165</v>
      </c>
      <c r="N30" s="103"/>
      <c r="O30" s="622" t="s">
        <v>134</v>
      </c>
      <c r="P30" s="623"/>
      <c r="Q30" s="229">
        <f>Q28/Q27</f>
        <v>2.0162467764907896</v>
      </c>
      <c r="R30" s="229">
        <f>R28/R27</f>
        <v>1.8705612608804574</v>
      </c>
      <c r="S30" s="131">
        <f>S28/S27</f>
        <v>1.8158123589075517</v>
      </c>
      <c r="T30" s="174"/>
      <c r="U30" s="120">
        <v>0.15</v>
      </c>
      <c r="V30" s="113">
        <f>U30*25.4</f>
        <v>3.8099999999999996</v>
      </c>
      <c r="W30" s="581">
        <f>AI28</f>
        <v>1.2649999999999999</v>
      </c>
      <c r="X30" s="582"/>
      <c r="Y30" s="449">
        <f>((W30/19.32)*10)</f>
        <v>0.65476190476190466</v>
      </c>
      <c r="Z30" s="450"/>
      <c r="AA30" s="581">
        <f>AJ28</f>
        <v>0.83223684210526305</v>
      </c>
      <c r="AB30" s="582"/>
      <c r="AC30" s="449">
        <f>((AA30/19.32)*10)</f>
        <v>0.43076441102756885</v>
      </c>
      <c r="AD30" s="450"/>
      <c r="AE30" s="581">
        <f>AK28</f>
        <v>0.34521184210526312</v>
      </c>
      <c r="AF30" s="582"/>
      <c r="AG30" s="114">
        <f>((AE30/19.32)*10)</f>
        <v>0.17868107769423558</v>
      </c>
      <c r="AH30" s="104"/>
      <c r="AI30" s="42">
        <f t="shared" si="2"/>
        <v>1.6890000000000001</v>
      </c>
      <c r="AJ30" s="42">
        <f t="shared" si="3"/>
        <v>1.1111842105263159</v>
      </c>
      <c r="AK30" s="42">
        <f t="shared" si="4"/>
        <v>0.46091921052631585</v>
      </c>
      <c r="AL30" s="42">
        <v>0.75560526315789489</v>
      </c>
      <c r="AO30" s="42">
        <v>3.8439999999999999</v>
      </c>
      <c r="AS30" s="42">
        <f t="shared" si="5"/>
        <v>3.1252032520325201</v>
      </c>
    </row>
    <row r="31" spans="1:45" ht="24.95" customHeight="1" thickBot="1" x14ac:dyDescent="0.3">
      <c r="A31" s="103"/>
      <c r="B31" s="576" t="s">
        <v>74</v>
      </c>
      <c r="C31" s="577"/>
      <c r="D31" s="577"/>
      <c r="E31" s="152">
        <v>719.29518249807131</v>
      </c>
      <c r="F31" s="152">
        <v>735.91294419288829</v>
      </c>
      <c r="G31" s="152">
        <v>587.69823729620043</v>
      </c>
      <c r="H31" s="153">
        <v>639.7853251464561</v>
      </c>
      <c r="I31" s="174"/>
      <c r="J31" s="597" t="s">
        <v>138</v>
      </c>
      <c r="K31" s="597"/>
      <c r="L31" s="562" t="s">
        <v>116</v>
      </c>
      <c r="M31" s="457">
        <v>2.72</v>
      </c>
      <c r="N31" s="121"/>
      <c r="O31" s="628" t="s">
        <v>135</v>
      </c>
      <c r="P31" s="629"/>
      <c r="Q31" s="122">
        <f>Q30/(1+Q40/100)</f>
        <v>1.6432879781145768</v>
      </c>
      <c r="R31" s="122">
        <f>R30/(1+R40/100)</f>
        <v>1.5235000000000001</v>
      </c>
      <c r="S31" s="123">
        <f>S30/(1+S40/100)</f>
        <v>1.4799999999999989</v>
      </c>
      <c r="T31" s="174"/>
      <c r="U31" s="627">
        <v>0.17499999999999999</v>
      </c>
      <c r="V31" s="624">
        <f>U31*25.4</f>
        <v>4.4449999999999994</v>
      </c>
      <c r="W31" s="593">
        <f>AI29</f>
        <v>1.5089999999999999</v>
      </c>
      <c r="X31" s="594"/>
      <c r="Y31" s="439">
        <f>((W31/19.32)*10)</f>
        <v>0.78105590062111796</v>
      </c>
      <c r="Z31" s="440"/>
      <c r="AA31" s="593">
        <f>AJ29</f>
        <v>0.99276315789473679</v>
      </c>
      <c r="AB31" s="594"/>
      <c r="AC31" s="439">
        <f>((AA31/19.32)*10)</f>
        <v>0.51385256619810393</v>
      </c>
      <c r="AD31" s="440"/>
      <c r="AE31" s="593">
        <f>AK29</f>
        <v>0.41179815789473689</v>
      </c>
      <c r="AF31" s="594"/>
      <c r="AG31" s="443">
        <f>((AE31/19.32)*10)</f>
        <v>0.21314604445897356</v>
      </c>
      <c r="AH31" s="104"/>
      <c r="AI31" s="42">
        <f t="shared" si="2"/>
        <v>2.363</v>
      </c>
      <c r="AJ31" s="42">
        <f t="shared" si="3"/>
        <v>1.5546052631578946</v>
      </c>
      <c r="AK31" s="42">
        <f t="shared" si="4"/>
        <v>0.64485026315789462</v>
      </c>
      <c r="AL31" s="42">
        <v>1.0571315789473683</v>
      </c>
      <c r="AO31" s="42">
        <v>5.516</v>
      </c>
      <c r="AS31" s="42">
        <f t="shared" si="5"/>
        <v>4.4845528455284551</v>
      </c>
    </row>
    <row r="32" spans="1:45" ht="5.0999999999999996" customHeight="1" thickBot="1" x14ac:dyDescent="0.3">
      <c r="A32" s="103"/>
      <c r="B32" s="612" t="s">
        <v>75</v>
      </c>
      <c r="C32" s="613"/>
      <c r="D32" s="614"/>
      <c r="E32" s="618">
        <v>38.1</v>
      </c>
      <c r="F32" s="618">
        <v>39.04</v>
      </c>
      <c r="G32" s="618">
        <v>37.32</v>
      </c>
      <c r="H32" s="620">
        <v>38.01</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2.8889999999999998</v>
      </c>
      <c r="AJ32" s="42">
        <f t="shared" si="3"/>
        <v>1.900657894736842</v>
      </c>
      <c r="AK32" s="42">
        <f t="shared" si="4"/>
        <v>0.78839289473684215</v>
      </c>
      <c r="AL32" s="42">
        <v>1.2924473684210527</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10.050000000000001</v>
      </c>
      <c r="N33" s="101"/>
      <c r="O33" s="634" t="s">
        <v>25</v>
      </c>
      <c r="P33" s="635"/>
      <c r="Q33" s="635"/>
      <c r="R33" s="635"/>
      <c r="S33" s="636"/>
      <c r="T33" s="174"/>
      <c r="U33" s="117">
        <v>0.2</v>
      </c>
      <c r="V33" s="124">
        <f>U33*25.4</f>
        <v>5.08</v>
      </c>
      <c r="W33" s="581">
        <f>AI30</f>
        <v>1.6890000000000001</v>
      </c>
      <c r="X33" s="582"/>
      <c r="Y33" s="449">
        <f>((W33/19.32)*10)</f>
        <v>0.87422360248447206</v>
      </c>
      <c r="Z33" s="450"/>
      <c r="AA33" s="581">
        <v>1.0980000000000001</v>
      </c>
      <c r="AB33" s="582"/>
      <c r="AC33" s="449">
        <f>((AA33/19.32)*10)</f>
        <v>0.56832298136645965</v>
      </c>
      <c r="AD33" s="450"/>
      <c r="AE33" s="581">
        <f>AK30</f>
        <v>0.46091921052631585</v>
      </c>
      <c r="AF33" s="582"/>
      <c r="AG33" s="144">
        <f>((AE33/19.32)*10)</f>
        <v>0.23857101994115726</v>
      </c>
      <c r="AH33" s="104"/>
      <c r="AI33" s="42">
        <f t="shared" si="2"/>
        <v>3.323</v>
      </c>
      <c r="AJ33" s="42">
        <f t="shared" si="3"/>
        <v>2.1861842105263158</v>
      </c>
      <c r="AK33" s="42">
        <f t="shared" si="4"/>
        <v>0.90682921052631593</v>
      </c>
      <c r="AL33" s="42">
        <v>1.486605263157895</v>
      </c>
      <c r="AO33" s="42">
        <v>7.7720000000000002</v>
      </c>
      <c r="AS33" s="42">
        <f t="shared" si="5"/>
        <v>6.3186991869918705</v>
      </c>
    </row>
    <row r="34" spans="1:45" ht="24.95" customHeight="1" thickBot="1" x14ac:dyDescent="0.3">
      <c r="A34" s="103"/>
      <c r="B34" s="602" t="s">
        <v>10</v>
      </c>
      <c r="C34" s="603"/>
      <c r="D34" s="603"/>
      <c r="E34" s="125">
        <f>((E29-E31)/(E31-E32))*100</f>
        <v>17.900129160451595</v>
      </c>
      <c r="F34" s="125">
        <f>((F29-F31)/(F31-F32))*100</f>
        <v>21.199998800099689</v>
      </c>
      <c r="G34" s="125">
        <f>((G29-G31)/(G31-G32))*100</f>
        <v>24.399904211969588</v>
      </c>
      <c r="H34" s="126">
        <f>((H29-H31)/(H31-H32))*100</f>
        <v>27.200296857254397</v>
      </c>
      <c r="I34" s="174"/>
      <c r="J34" s="630" t="s">
        <v>125</v>
      </c>
      <c r="K34" s="630"/>
      <c r="L34" s="184" t="s">
        <v>126</v>
      </c>
      <c r="M34" s="245">
        <v>2.73</v>
      </c>
      <c r="N34" s="128"/>
      <c r="O34" s="631" t="s">
        <v>9</v>
      </c>
      <c r="P34" s="632"/>
      <c r="Q34" s="156">
        <v>356</v>
      </c>
      <c r="R34" s="156">
        <v>504</v>
      </c>
      <c r="S34" s="157">
        <v>510</v>
      </c>
      <c r="T34" s="174"/>
      <c r="U34" s="120">
        <v>0.3</v>
      </c>
      <c r="V34" s="113">
        <f>U34*25.4</f>
        <v>7.6199999999999992</v>
      </c>
      <c r="W34" s="581">
        <f>AI31</f>
        <v>2.363</v>
      </c>
      <c r="X34" s="582"/>
      <c r="Y34" s="449">
        <f>((W34/19.32)*10)</f>
        <v>1.2230848861283645</v>
      </c>
      <c r="Z34" s="450"/>
      <c r="AA34" s="449">
        <v>1.3240000000000001</v>
      </c>
      <c r="AB34" s="450"/>
      <c r="AC34" s="449">
        <f>((AA34/19.32)*10)</f>
        <v>0.68530020703933758</v>
      </c>
      <c r="AD34" s="450"/>
      <c r="AE34" s="581">
        <f>AK31</f>
        <v>0.64485026315789462</v>
      </c>
      <c r="AF34" s="582"/>
      <c r="AG34" s="114">
        <f>((AE34/19.32)*10)</f>
        <v>0.33377342813555622</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542.22</v>
      </c>
      <c r="R35" s="608">
        <v>671.02</v>
      </c>
      <c r="S35" s="610">
        <v>841.66</v>
      </c>
      <c r="T35" s="174"/>
      <c r="U35" s="627">
        <v>0.4</v>
      </c>
      <c r="V35" s="624">
        <f>U35*25.4</f>
        <v>10.16</v>
      </c>
      <c r="W35" s="593">
        <f>AI32</f>
        <v>2.8889999999999998</v>
      </c>
      <c r="X35" s="594"/>
      <c r="Y35" s="439">
        <f>((W35/19.32)*10)</f>
        <v>1.4953416149068322</v>
      </c>
      <c r="Z35" s="440"/>
      <c r="AA35" s="593">
        <v>1.5980000000000001</v>
      </c>
      <c r="AB35" s="594"/>
      <c r="AC35" s="439">
        <f>(AA35/19.32)*10</f>
        <v>0.82712215320910976</v>
      </c>
      <c r="AD35" s="440"/>
      <c r="AE35" s="593">
        <f>AK32</f>
        <v>0.78839289473684215</v>
      </c>
      <c r="AF35" s="594"/>
      <c r="AG35" s="443">
        <f>((AE35/19.32)*10)</f>
        <v>0.40807085648904873</v>
      </c>
      <c r="AH35" s="104"/>
      <c r="AS35" s="42">
        <f t="shared" si="5"/>
        <v>0</v>
      </c>
    </row>
    <row r="36" spans="1:45" ht="20.100000000000001" customHeight="1" thickBot="1" x14ac:dyDescent="0.3">
      <c r="A36" s="103"/>
      <c r="B36" s="639" t="s">
        <v>71</v>
      </c>
      <c r="C36" s="640"/>
      <c r="D36" s="640"/>
      <c r="E36" s="130">
        <f>E25/E24</f>
        <v>1.7877094972067038</v>
      </c>
      <c r="F36" s="130">
        <f>F25/F24</f>
        <v>1.9779839804176269</v>
      </c>
      <c r="G36" s="130">
        <f>G25/G24</f>
        <v>2.0538424185396185</v>
      </c>
      <c r="H36" s="131">
        <f>H25/H24</f>
        <v>1.946927374301676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1.5162913814740524</v>
      </c>
      <c r="F37" s="230">
        <f>F36/(1+F34/100)</f>
        <v>1.6320000000000001</v>
      </c>
      <c r="G37" s="230">
        <f>G36/(1+G34/100)</f>
        <v>1.6510000000000005</v>
      </c>
      <c r="H37" s="123">
        <f>H36/(1+H34/100)</f>
        <v>1.530599709595442</v>
      </c>
      <c r="I37" s="174"/>
      <c r="J37" s="641" t="s">
        <v>139</v>
      </c>
      <c r="K37" s="641"/>
      <c r="L37" s="643" t="s">
        <v>121</v>
      </c>
      <c r="M37" s="433">
        <f>IF(F74="","",(M42^2*F74+M42*F75+F76))</f>
        <v>1.674304918032788</v>
      </c>
      <c r="N37" s="101"/>
      <c r="O37" s="576" t="s">
        <v>28</v>
      </c>
      <c r="P37" s="577"/>
      <c r="Q37" s="150">
        <v>461.03</v>
      </c>
      <c r="R37" s="152">
        <v>553.52027919452826</v>
      </c>
      <c r="S37" s="153">
        <v>693.21596898432119</v>
      </c>
      <c r="T37" s="174"/>
      <c r="U37" s="132">
        <v>0.5</v>
      </c>
      <c r="V37" s="133">
        <f>U37*25.4</f>
        <v>12.7</v>
      </c>
      <c r="W37" s="637">
        <f>AI33</f>
        <v>3.323</v>
      </c>
      <c r="X37" s="638"/>
      <c r="Y37" s="431">
        <f>((W37/19.32)*10)</f>
        <v>1.7199792960662523</v>
      </c>
      <c r="Z37" s="432"/>
      <c r="AA37" s="637">
        <v>1.7649999999999999</v>
      </c>
      <c r="AB37" s="638"/>
      <c r="AC37" s="431">
        <f>((AA37/19.32)*10)</f>
        <v>0.91356107660455477</v>
      </c>
      <c r="AD37" s="432"/>
      <c r="AE37" s="637">
        <f>AK33</f>
        <v>0.90682921052631593</v>
      </c>
      <c r="AF37" s="638"/>
      <c r="AG37" s="134">
        <f>((AE37/19.32)*10)</f>
        <v>0.46937329737386951</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103.3</v>
      </c>
      <c r="R38" s="647">
        <v>37.729999999999997</v>
      </c>
      <c r="S38" s="648">
        <v>38.99</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16.42493124590165</v>
      </c>
      <c r="N40" s="103"/>
      <c r="O40" s="628" t="s">
        <v>10</v>
      </c>
      <c r="P40" s="629"/>
      <c r="Q40" s="125">
        <f>((Q35-Q37)/(Q37-Q38))*100</f>
        <v>22.69588796019346</v>
      </c>
      <c r="R40" s="125">
        <f>((R35-R37)/(R37-R38))*100</f>
        <v>22.780522538920742</v>
      </c>
      <c r="S40" s="126">
        <f>((S35-S37)/(S37-S38))*100</f>
        <v>22.690024250510348</v>
      </c>
      <c r="T40" s="174"/>
      <c r="U40" s="645" t="s">
        <v>151</v>
      </c>
      <c r="V40" s="646"/>
      <c r="W40" s="423">
        <f>(AM79/6.9)*100</f>
        <v>6.1511687220571902</v>
      </c>
      <c r="X40" s="423"/>
      <c r="Y40" s="423"/>
      <c r="Z40" s="424"/>
      <c r="AA40" s="425">
        <f>(AO79/6.9)*100</f>
        <v>4.0468215276692048</v>
      </c>
      <c r="AB40" s="426"/>
      <c r="AC40" s="427"/>
      <c r="AD40" s="425">
        <f>(AQ79/6.9)*100</f>
        <v>1.2917197688613467</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8.4876077911113796</v>
      </c>
      <c r="X41" s="418"/>
      <c r="Y41" s="418"/>
      <c r="Z41" s="419"/>
      <c r="AA41" s="420">
        <f>(AO83/10.3)*100</f>
        <v>5.5176988482180542</v>
      </c>
      <c r="AB41" s="421"/>
      <c r="AC41" s="418"/>
      <c r="AD41" s="420">
        <f>(AQ83/10.3)*100</f>
        <v>2.3162234945743423</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22.868852459016395</v>
      </c>
      <c r="N42" s="103"/>
      <c r="O42" s="639" t="s">
        <v>9</v>
      </c>
      <c r="P42" s="640"/>
      <c r="Q42" s="148">
        <v>381</v>
      </c>
      <c r="R42" s="148">
        <v>436</v>
      </c>
      <c r="S42" s="149">
        <v>698</v>
      </c>
      <c r="T42" s="174"/>
      <c r="U42" s="651" t="s">
        <v>42</v>
      </c>
      <c r="V42" s="652"/>
      <c r="W42" s="413">
        <f>IF(W40&lt;W41,W40,W41)</f>
        <v>6.1511687220571902</v>
      </c>
      <c r="X42" s="414"/>
      <c r="Y42" s="414"/>
      <c r="Z42" s="415"/>
      <c r="AA42" s="416">
        <f>IF(AA40&lt;AA41,AA40,AA41)</f>
        <v>4.0468215276692048</v>
      </c>
      <c r="AB42" s="414"/>
      <c r="AC42" s="415"/>
      <c r="AD42" s="416">
        <f>IF(AD40&lt;AD41,AD40,AD41)</f>
        <v>1.2917197688613467</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913.24</v>
      </c>
      <c r="R43" s="608">
        <v>841.55</v>
      </c>
      <c r="S43" s="620">
        <v>717.4</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744.03</v>
      </c>
      <c r="R45" s="152">
        <v>657.78095648227236</v>
      </c>
      <c r="S45" s="153">
        <v>550.77291180448765</v>
      </c>
      <c r="T45" s="174"/>
      <c r="U45" s="656" t="s">
        <v>139</v>
      </c>
      <c r="V45" s="656"/>
      <c r="W45" s="179" t="s">
        <v>121</v>
      </c>
      <c r="X45" s="406">
        <f>MAX(M37:M39)</f>
        <v>1.674304918032788</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100.73</v>
      </c>
      <c r="R46" s="150">
        <v>39.03</v>
      </c>
      <c r="S46" s="151">
        <v>39.659999999999997</v>
      </c>
      <c r="T46" s="174"/>
      <c r="U46" s="555" t="s">
        <v>123</v>
      </c>
      <c r="V46" s="555"/>
      <c r="W46" s="179" t="s">
        <v>41</v>
      </c>
      <c r="X46" s="401">
        <f>MIN(M42:M44)</f>
        <v>22.868852459016395</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26.303435411161207</v>
      </c>
      <c r="R47" s="125">
        <f>((R43-R45)/(R45-R46))*100</f>
        <v>29.700001526057068</v>
      </c>
      <c r="S47" s="126">
        <f>((S43-S45)/(S45-S46))*100</f>
        <v>32.600837182381923</v>
      </c>
      <c r="T47" s="174"/>
      <c r="U47" s="555" t="s">
        <v>162</v>
      </c>
      <c r="V47" s="555"/>
      <c r="W47" s="179" t="s">
        <v>41</v>
      </c>
      <c r="X47" s="402">
        <f>IF(L25=D103,"-",IF(L25=D102,"-",IF(L25=D101,M25)))</f>
        <v>0</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0.17517241379310303</v>
      </c>
      <c r="AG48" s="142">
        <f>IF(AG47&lt;&gt;"",IF(R24&lt;&gt;"",AG47/R24*100,""),"")</f>
        <v>0.49055793991416324</v>
      </c>
      <c r="AH48" s="173">
        <f>IF(AH47&lt;&gt;"",IF(S24&lt;&gt;"",AH47/S24*100,""),"")</f>
        <v>0.83796058269065987</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3.9E-2</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0.183</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0.40400000000000003</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0.63100000000000001</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0.82</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1.024</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1.2649999999999999</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1.5089999999999999</v>
      </c>
      <c r="AM57" s="42">
        <v>20.577999999999999</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1.6890000000000001</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2.363</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2.8889999999999998</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3.323</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10.050000000000001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-6.1000000000000004E-3</v>
      </c>
      <c r="G74" s="75">
        <v>-0.12509999999999999</v>
      </c>
      <c r="J74" s="701"/>
      <c r="K74" s="702"/>
      <c r="L74" s="44"/>
      <c r="M74" s="44"/>
      <c r="N74" s="44"/>
    </row>
    <row r="75" spans="1:94" ht="26.25" customHeight="1" thickBot="1" x14ac:dyDescent="0.3">
      <c r="A75" s="11"/>
      <c r="B75" s="377" t="s">
        <v>113</v>
      </c>
      <c r="C75" s="377"/>
      <c r="D75" s="19"/>
      <c r="E75" s="54" t="s">
        <v>12</v>
      </c>
      <c r="F75" s="55">
        <v>0.27900000000000003</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-1.5159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0.183</v>
      </c>
      <c r="AM76" s="3">
        <f t="shared" si="6"/>
        <v>9.4720496894409936E-2</v>
      </c>
      <c r="AN76" s="5">
        <f>AA23</f>
        <v>0.12039473684210526</v>
      </c>
      <c r="AO76" s="3">
        <f t="shared" ref="AO76:AO86" si="9">((AN76/19.32)*10)</f>
        <v>6.2316116377901278E-2</v>
      </c>
      <c r="AP76" s="5">
        <f>AE23</f>
        <v>1.0642894736842105E-2</v>
      </c>
      <c r="AQ76" s="161">
        <f t="shared" si="7"/>
        <v>5.5087446878064727E-3</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0.40400000000000003</v>
      </c>
      <c r="AM77" s="3">
        <f t="shared" si="6"/>
        <v>0.20910973084886128</v>
      </c>
      <c r="AN77" s="5">
        <f>AA24</f>
        <v>0.26578947368421052</v>
      </c>
      <c r="AO77" s="3">
        <f t="shared" si="9"/>
        <v>0.13757219134793505</v>
      </c>
      <c r="AP77" s="5">
        <f>AE24</f>
        <v>4.9939736842105266E-2</v>
      </c>
      <c r="AQ77" s="161">
        <f t="shared" si="7"/>
        <v>2.5848725073553451E-2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0.63100000000000001</v>
      </c>
      <c r="AM78" s="3">
        <f t="shared" si="6"/>
        <v>0.32660455486542445</v>
      </c>
      <c r="AN78" s="5">
        <f>AA25</f>
        <v>0.41513157894736841</v>
      </c>
      <c r="AO78" s="3">
        <f t="shared" si="9"/>
        <v>0.21487141767462134</v>
      </c>
      <c r="AP78" s="5">
        <f>AE25</f>
        <v>0.11024947368421054</v>
      </c>
      <c r="AQ78" s="161">
        <f t="shared" si="7"/>
        <v>5.7064944971123466E-2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0.82</v>
      </c>
      <c r="AM79" s="4">
        <f t="shared" si="6"/>
        <v>0.42443064182194618</v>
      </c>
      <c r="AN79" s="5">
        <f>AA26</f>
        <v>0.53947368421052633</v>
      </c>
      <c r="AO79" s="4">
        <f t="shared" si="9"/>
        <v>0.27923068540917512</v>
      </c>
      <c r="AP79" s="5">
        <f>AE26</f>
        <v>0.17219657894736842</v>
      </c>
      <c r="AQ79" s="162">
        <f t="shared" si="7"/>
        <v>8.9128664051432924E-2</v>
      </c>
      <c r="BB79" s="12">
        <v>17</v>
      </c>
      <c r="BC79" s="12">
        <v>18</v>
      </c>
    </row>
    <row r="80" spans="1:94" ht="42" customHeight="1" thickTop="1" thickBot="1" x14ac:dyDescent="0.3">
      <c r="D80" s="49"/>
      <c r="H80" s="711" t="s">
        <v>105</v>
      </c>
      <c r="I80" s="712"/>
      <c r="J80" s="58"/>
      <c r="AJ80" s="160">
        <f>U28</f>
        <v>0.125</v>
      </c>
      <c r="AK80" s="3">
        <f t="shared" si="8"/>
        <v>3.1749999999999998</v>
      </c>
      <c r="AL80" s="5">
        <f>W28</f>
        <v>1.024</v>
      </c>
      <c r="AM80" s="3">
        <f t="shared" si="6"/>
        <v>0.53002070393374745</v>
      </c>
      <c r="AN80" s="5">
        <f>AA28</f>
        <v>0.67368421052631577</v>
      </c>
      <c r="AO80" s="3">
        <f t="shared" si="9"/>
        <v>0.3486978315353601</v>
      </c>
      <c r="AP80" s="5">
        <f>AE28</f>
        <v>0.27944421052631579</v>
      </c>
      <c r="AQ80" s="161">
        <f t="shared" si="7"/>
        <v>0.14463986052086739</v>
      </c>
      <c r="BC80" s="45">
        <v>0.99880400000000003</v>
      </c>
      <c r="BD80" s="45">
        <v>0.99862499999999998</v>
      </c>
    </row>
    <row r="81" spans="2:43" ht="15.75" customHeight="1" x14ac:dyDescent="0.25">
      <c r="AJ81" s="160">
        <f>U30</f>
        <v>0.15</v>
      </c>
      <c r="AK81" s="3">
        <f t="shared" si="8"/>
        <v>3.8099999999999996</v>
      </c>
      <c r="AL81" s="5">
        <f>W30</f>
        <v>1.2649999999999999</v>
      </c>
      <c r="AM81" s="3">
        <f t="shared" si="6"/>
        <v>0.65476190476190466</v>
      </c>
      <c r="AN81" s="5">
        <f>AA30</f>
        <v>0.83223684210526305</v>
      </c>
      <c r="AO81" s="3">
        <f t="shared" si="9"/>
        <v>0.43076441102756885</v>
      </c>
      <c r="AP81" s="5">
        <f>AE30</f>
        <v>0.34521184210526312</v>
      </c>
      <c r="AQ81" s="161">
        <f t="shared" si="7"/>
        <v>0.17868107769423558</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1.5089999999999999</v>
      </c>
      <c r="AM82" s="3">
        <f t="shared" si="6"/>
        <v>0.78105590062111796</v>
      </c>
      <c r="AN82" s="5">
        <f>AA31</f>
        <v>0.99276315789473679</v>
      </c>
      <c r="AO82" s="3">
        <f t="shared" si="9"/>
        <v>0.51385256619810393</v>
      </c>
      <c r="AP82" s="5">
        <f>AE31</f>
        <v>0.41179815789473689</v>
      </c>
      <c r="AQ82" s="161">
        <f t="shared" si="7"/>
        <v>0.21314604445897356</v>
      </c>
    </row>
    <row r="83" spans="2:43" ht="15" customHeight="1" x14ac:dyDescent="0.25">
      <c r="B83" s="49"/>
      <c r="C83" s="49"/>
      <c r="D83" s="49">
        <v>0</v>
      </c>
      <c r="E83" s="50">
        <f>M42</f>
        <v>22.868852459016395</v>
      </c>
      <c r="F83" s="49"/>
      <c r="G83" s="43">
        <f>G84/10</f>
        <v>1.843016586198063</v>
      </c>
      <c r="H83" s="43">
        <f>H84/10</f>
        <v>1.7378512610702566</v>
      </c>
      <c r="I83" s="43">
        <f>I84/10</f>
        <v>1.6467327120662549</v>
      </c>
      <c r="J83" s="43">
        <f>J84/10</f>
        <v>1.5744865255953913</v>
      </c>
      <c r="K83" s="43"/>
      <c r="L83" s="42">
        <v>0</v>
      </c>
      <c r="O83" s="706"/>
      <c r="P83" s="706"/>
      <c r="Q83" s="706"/>
      <c r="R83" s="706"/>
      <c r="S83" s="707"/>
      <c r="W83" s="112"/>
      <c r="AJ83" s="160">
        <f>U33</f>
        <v>0.2</v>
      </c>
      <c r="AK83" s="4">
        <f t="shared" si="8"/>
        <v>5.08</v>
      </c>
      <c r="AL83" s="5">
        <f>W33</f>
        <v>1.6890000000000001</v>
      </c>
      <c r="AM83" s="4">
        <f t="shared" si="6"/>
        <v>0.87422360248447206</v>
      </c>
      <c r="AN83" s="5">
        <f>AA33</f>
        <v>1.0980000000000001</v>
      </c>
      <c r="AO83" s="4">
        <f t="shared" si="9"/>
        <v>0.56832298136645965</v>
      </c>
      <c r="AP83" s="5">
        <f>AE33</f>
        <v>0.46091921052631585</v>
      </c>
      <c r="AQ83" s="162">
        <f t="shared" si="7"/>
        <v>0.23857101994115726</v>
      </c>
    </row>
    <row r="84" spans="2:43" ht="15" customHeight="1" x14ac:dyDescent="0.25">
      <c r="C84" s="94"/>
      <c r="D84" s="94"/>
      <c r="E84" s="94"/>
      <c r="F84" s="49"/>
      <c r="G84" s="43">
        <f>($M$34/(1+(E34*$M$34/100)))*($O$73)</f>
        <v>18.43016586198063</v>
      </c>
      <c r="H84" s="43">
        <f>($M$34/(1+(F34*$M$34/100)))*($O$73)</f>
        <v>17.378512610702565</v>
      </c>
      <c r="I84" s="43">
        <f>($M$34/(1+(G34*$M$34/100)))*($O$73)</f>
        <v>16.467327120662549</v>
      </c>
      <c r="J84" s="43">
        <f>($M$34/(1+(H34*$M$34/100)))*($O$73)</f>
        <v>15.744865255953913</v>
      </c>
      <c r="K84" s="43"/>
      <c r="O84" s="706" t="s">
        <v>146</v>
      </c>
      <c r="P84" s="706"/>
      <c r="Q84" s="706"/>
      <c r="R84" s="706"/>
      <c r="S84" s="707">
        <v>2240</v>
      </c>
      <c r="W84" s="112"/>
      <c r="AJ84" s="160">
        <f>U34</f>
        <v>0.3</v>
      </c>
      <c r="AK84" s="3">
        <f t="shared" si="8"/>
        <v>7.6199999999999992</v>
      </c>
      <c r="AL84" s="5">
        <f>W34</f>
        <v>2.363</v>
      </c>
      <c r="AM84" s="3">
        <f t="shared" si="6"/>
        <v>1.2230848861283645</v>
      </c>
      <c r="AN84" s="5">
        <f>AA34</f>
        <v>1.3240000000000001</v>
      </c>
      <c r="AO84" s="3">
        <f t="shared" si="9"/>
        <v>0.68530020703933758</v>
      </c>
      <c r="AP84" s="5">
        <f>AE34</f>
        <v>0.64485026315789462</v>
      </c>
      <c r="AQ84" s="161">
        <f t="shared" si="7"/>
        <v>0.33377342813555622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2.8889999999999998</v>
      </c>
      <c r="AM85" s="3">
        <f t="shared" si="6"/>
        <v>1.4953416149068322</v>
      </c>
      <c r="AN85" s="5">
        <f>AA35</f>
        <v>1.5980000000000001</v>
      </c>
      <c r="AO85" s="3">
        <f t="shared" si="9"/>
        <v>0.82712215320910976</v>
      </c>
      <c r="AP85" s="5">
        <f>AE35</f>
        <v>0.78839289473684215</v>
      </c>
      <c r="AQ85" s="161">
        <f>((AP85/19.32)*10)</f>
        <v>0.40807085648904873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3.323</v>
      </c>
      <c r="AM86" s="164">
        <f t="shared" si="6"/>
        <v>1.7199792960662523</v>
      </c>
      <c r="AN86" s="165">
        <f>AA37</f>
        <v>1.7649999999999999</v>
      </c>
      <c r="AO86" s="164">
        <f t="shared" si="9"/>
        <v>0.91356107660455477</v>
      </c>
      <c r="AP86" s="165">
        <f>AE37</f>
        <v>0.90682921052631593</v>
      </c>
      <c r="AQ86" s="166">
        <f>((AP86/19.32)*10)</f>
        <v>0.46937329737386951</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1.6432879781145768</v>
      </c>
      <c r="AK91" s="9">
        <f>R31</f>
        <v>1.5235000000000001</v>
      </c>
      <c r="AL91" s="10">
        <f>S31</f>
        <v>1.4799999999999989</v>
      </c>
    </row>
    <row r="92" spans="2:43" ht="21" customHeight="1" thickBot="1" x14ac:dyDescent="0.3">
      <c r="B92" s="92"/>
      <c r="C92" s="93"/>
      <c r="D92" s="93"/>
      <c r="E92" s="93"/>
      <c r="F92" s="62"/>
      <c r="G92" s="63"/>
      <c r="H92" s="49"/>
      <c r="I92" s="49"/>
      <c r="O92" s="725" t="s">
        <v>147</v>
      </c>
      <c r="P92" s="726"/>
      <c r="Q92" s="726"/>
      <c r="R92" s="726"/>
      <c r="S92" s="61">
        <f>M42</f>
        <v>22.868852459016395</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6.1511687220571902</v>
      </c>
      <c r="AK94" s="158">
        <f>AA42</f>
        <v>4.0468215276692048</v>
      </c>
      <c r="AL94" s="158">
        <f>AD42</f>
        <v>1.2917197688613467</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322" priority="50">
      <formula>LEN(TRIM(D6))=0</formula>
    </cfRule>
  </conditionalFormatting>
  <conditionalFormatting sqref="D6:H10">
    <cfRule type="containsBlanks" dxfId="321" priority="49">
      <formula>LEN(TRIM(D6))=0</formula>
    </cfRule>
  </conditionalFormatting>
  <conditionalFormatting sqref="M19">
    <cfRule type="containsBlanks" dxfId="320" priority="48">
      <formula>LEN(TRIM(M19))=0</formula>
    </cfRule>
  </conditionalFormatting>
  <conditionalFormatting sqref="CP70">
    <cfRule type="containsBlanks" dxfId="319" priority="47">
      <formula>LEN(TRIM(CP70))=0</formula>
    </cfRule>
  </conditionalFormatting>
  <conditionalFormatting sqref="M21">
    <cfRule type="containsBlanks" dxfId="318" priority="46">
      <formula>LEN(TRIM(M21))=0</formula>
    </cfRule>
  </conditionalFormatting>
  <conditionalFormatting sqref="D12:M12">
    <cfRule type="containsBlanks" dxfId="317" priority="45">
      <formula>LEN(TRIM(D12))=0</formula>
    </cfRule>
  </conditionalFormatting>
  <conditionalFormatting sqref="L9:M9">
    <cfRule type="containsBlanks" dxfId="316" priority="44">
      <formula>LEN(TRIM(L9))=0</formula>
    </cfRule>
  </conditionalFormatting>
  <conditionalFormatting sqref="L25">
    <cfRule type="containsBlanks" dxfId="315" priority="43">
      <formula>LEN(TRIM(L25))=0</formula>
    </cfRule>
  </conditionalFormatting>
  <conditionalFormatting sqref="U26:V27 AC33 AC26">
    <cfRule type="cellIs" dxfId="314" priority="42" operator="between">
      <formula>0</formula>
      <formula>500</formula>
    </cfRule>
  </conditionalFormatting>
  <conditionalFormatting sqref="U33:V33">
    <cfRule type="cellIs" dxfId="313" priority="41" operator="between">
      <formula>0</formula>
      <formula>500</formula>
    </cfRule>
  </conditionalFormatting>
  <conditionalFormatting sqref="AF45:AH46">
    <cfRule type="containsBlanks" dxfId="312" priority="40">
      <formula>LEN(TRIM(AF45))=0</formula>
    </cfRule>
  </conditionalFormatting>
  <conditionalFormatting sqref="AF51:AG53">
    <cfRule type="containsBlanks" dxfId="311" priority="39">
      <formula>LEN(TRIM(AF51))=0</formula>
    </cfRule>
  </conditionalFormatting>
  <conditionalFormatting sqref="M25">
    <cfRule type="containsBlanks" dxfId="310" priority="38">
      <formula>LEN(TRIM(M25))=0</formula>
    </cfRule>
  </conditionalFormatting>
  <conditionalFormatting sqref="U26:V27 Y26:Z27 AC26:AD27 AG26:AG27">
    <cfRule type="containsBlanks" dxfId="309" priority="36">
      <formula>LEN(TRIM(U26))=0</formula>
    </cfRule>
    <cfRule type="cellIs" dxfId="308" priority="37" operator="between">
      <formula>0</formula>
      <formula>1000</formula>
    </cfRule>
  </conditionalFormatting>
  <conditionalFormatting sqref="W87:W88">
    <cfRule type="cellIs" dxfId="307" priority="35" operator="between">
      <formula>0</formula>
      <formula>500</formula>
    </cfRule>
  </conditionalFormatting>
  <conditionalFormatting sqref="W94">
    <cfRule type="cellIs" dxfId="306" priority="34" operator="between">
      <formula>0</formula>
      <formula>500</formula>
    </cfRule>
  </conditionalFormatting>
  <conditionalFormatting sqref="W87:W88">
    <cfRule type="containsBlanks" dxfId="305" priority="32">
      <formula>LEN(TRIM(W87))=0</formula>
    </cfRule>
    <cfRule type="cellIs" dxfId="304" priority="33" operator="between">
      <formula>0</formula>
      <formula>1000</formula>
    </cfRule>
  </conditionalFormatting>
  <conditionalFormatting sqref="U33:V33 Y33:Z33 AC33:AD33 AG33">
    <cfRule type="cellIs" dxfId="303" priority="31" operator="between">
      <formula>0</formula>
      <formula>1000</formula>
    </cfRule>
  </conditionalFormatting>
  <conditionalFormatting sqref="Q27:S27">
    <cfRule type="containsBlanks" dxfId="302" priority="29">
      <formula>LEN(TRIM(Q27))=0</formula>
    </cfRule>
    <cfRule type="containsBlanks" dxfId="301" priority="30">
      <formula>LEN(TRIM(Q27))=0</formula>
    </cfRule>
  </conditionalFormatting>
  <conditionalFormatting sqref="W30:W31 W33:W35 W37 W28 W22:W26">
    <cfRule type="containsBlanks" dxfId="300" priority="28">
      <formula>LEN(TRIM(W22))=0</formula>
    </cfRule>
  </conditionalFormatting>
  <conditionalFormatting sqref="W37 W30:W31 W33:W35 W28 W22:W26">
    <cfRule type="containsBlanks" dxfId="299" priority="27">
      <formula>LEN(TRIM(W22))=0</formula>
    </cfRule>
  </conditionalFormatting>
  <conditionalFormatting sqref="W33:X33">
    <cfRule type="cellIs" dxfId="298" priority="26" operator="between">
      <formula>0</formula>
      <formula>1000</formula>
    </cfRule>
  </conditionalFormatting>
  <conditionalFormatting sqref="W30:X37 W26 W28 W22:X25">
    <cfRule type="containsBlanks" dxfId="297" priority="25">
      <formula>LEN(TRIM(W22))=0</formula>
    </cfRule>
  </conditionalFormatting>
  <conditionalFormatting sqref="AA37 AA30:AA31 AA33 AA22:AA26 AA28 AA35">
    <cfRule type="containsBlanks" dxfId="296" priority="24">
      <formula>LEN(TRIM(AA22))=0</formula>
    </cfRule>
  </conditionalFormatting>
  <conditionalFormatting sqref="AA37 AA30:AA31 AA33 AA22:AA26 AA28 AA35">
    <cfRule type="containsBlanks" dxfId="295" priority="23">
      <formula>LEN(TRIM(AA22))=0</formula>
    </cfRule>
  </conditionalFormatting>
  <conditionalFormatting sqref="AA33:AB33">
    <cfRule type="cellIs" dxfId="294" priority="22" operator="between">
      <formula>0</formula>
      <formula>1000</formula>
    </cfRule>
  </conditionalFormatting>
  <conditionalFormatting sqref="AA30:AB30 AA31 AA33:AB33 AA22:AB25 AA26 AA28 AA35:AB37">
    <cfRule type="containsBlanks" dxfId="293" priority="21">
      <formula>LEN(TRIM(AA22))=0</formula>
    </cfRule>
  </conditionalFormatting>
  <conditionalFormatting sqref="AE37 AE30:AE31 AE33:AE35 AE22:AE26 AE28">
    <cfRule type="containsBlanks" dxfId="292" priority="20">
      <formula>LEN(TRIM(AE22))=0</formula>
    </cfRule>
  </conditionalFormatting>
  <conditionalFormatting sqref="AE37 AE30:AE31 AE33:AE35 AE22:AE26 AE28">
    <cfRule type="containsBlanks" dxfId="291" priority="19">
      <formula>LEN(TRIM(AE22))=0</formula>
    </cfRule>
  </conditionalFormatting>
  <conditionalFormatting sqref="AE33:AF33">
    <cfRule type="cellIs" dxfId="290" priority="18" operator="between">
      <formula>0</formula>
      <formula>1000</formula>
    </cfRule>
  </conditionalFormatting>
  <conditionalFormatting sqref="AE33:AF37 AE28 AE30:AE31 AE22:AF25 AE26">
    <cfRule type="containsBlanks" dxfId="289" priority="17">
      <formula>LEN(TRIM(AE22))=0</formula>
    </cfRule>
  </conditionalFormatting>
  <conditionalFormatting sqref="K6:M6">
    <cfRule type="containsBlanks" dxfId="288" priority="16">
      <formula>LEN(TRIM(K6))=0</formula>
    </cfRule>
  </conditionalFormatting>
  <conditionalFormatting sqref="K7:K8">
    <cfRule type="containsBlanks" dxfId="287" priority="15">
      <formula>LEN(TRIM(K7))=0</formula>
    </cfRule>
  </conditionalFormatting>
  <conditionalFormatting sqref="B6:B10">
    <cfRule type="containsBlanks" dxfId="286" priority="14">
      <formula>LEN(TRIM(B6))=0</formula>
    </cfRule>
  </conditionalFormatting>
  <conditionalFormatting sqref="B12:B13">
    <cfRule type="containsBlanks" dxfId="285" priority="13">
      <formula>LEN(TRIM(B12))=0</formula>
    </cfRule>
  </conditionalFormatting>
  <conditionalFormatting sqref="E20:H24">
    <cfRule type="containsBlanks" dxfId="284" priority="12">
      <formula>LEN(TRIM(E20))=0</formula>
    </cfRule>
  </conditionalFormatting>
  <conditionalFormatting sqref="E28:H33">
    <cfRule type="containsBlanks" dxfId="283" priority="11">
      <formula>LEN(TRIM(E28))=0</formula>
    </cfRule>
  </conditionalFormatting>
  <conditionalFormatting sqref="Q20:S26">
    <cfRule type="containsBlanks" dxfId="282" priority="9">
      <formula>LEN(TRIM(Q20))=0</formula>
    </cfRule>
    <cfRule type="containsBlanks" dxfId="281" priority="10">
      <formula>LEN(TRIM(Q20))=0</formula>
    </cfRule>
  </conditionalFormatting>
  <conditionalFormatting sqref="Q34:S39">
    <cfRule type="containsBlanks" dxfId="280" priority="8">
      <formula>LEN(TRIM(Q34))=0</formula>
    </cfRule>
  </conditionalFormatting>
  <conditionalFormatting sqref="Q42:S46">
    <cfRule type="containsBlanks" dxfId="279" priority="7">
      <formula>LEN(TRIM(Q42))=0</formula>
    </cfRule>
  </conditionalFormatting>
  <conditionalFormatting sqref="D13">
    <cfRule type="containsBlanks" dxfId="278" priority="2">
      <formula>LEN(TRIM(D13))=0</formula>
    </cfRule>
  </conditionalFormatting>
  <conditionalFormatting sqref="D13">
    <cfRule type="containsBlanks" dxfId="277" priority="1">
      <formula>LEN(TRIM(D13))=0</formula>
    </cfRule>
  </conditionalFormatting>
  <dataValidations count="5">
    <dataValidation type="list" allowBlank="1" showInputMessage="1" showErrorMessage="1" sqref="D12:E12" xr:uid="{00000000-0002-0000-3500-000000000000}">
      <formula1>$B$87:$B$94</formula1>
    </dataValidation>
    <dataValidation type="list" allowBlank="1" showInputMessage="1" showErrorMessage="1" sqref="CP70" xr:uid="{00000000-0002-0000-3500-000001000000}">
      <formula1>$BA$3:$BA$5</formula1>
    </dataValidation>
    <dataValidation type="list" allowBlank="1" showInputMessage="1" showErrorMessage="1" sqref="M19" xr:uid="{00000000-0002-0000-3500-000002000000}">
      <formula1>$AX$3:$AX$5</formula1>
    </dataValidation>
    <dataValidation type="list" allowBlank="1" showInputMessage="1" showErrorMessage="1" sqref="M21" xr:uid="{00000000-0002-0000-3500-000003000000}">
      <formula1>$AX$3:$AX$4</formula1>
    </dataValidation>
    <dataValidation type="list" allowBlank="1" showInputMessage="1" showErrorMessage="1" sqref="L25" xr:uid="{00000000-0002-0000-3500-000004000000}">
      <formula1>$D$101:$D$104</formula1>
    </dataValidation>
  </dataValidations>
  <hyperlinks>
    <hyperlink ref="D8" r:id="rId1" xr:uid="{00000000-0004-0000-35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90465"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90466"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90467"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9046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9046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90470"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90471"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9047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9047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9047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Hoja95">
    <tabColor theme="8" tint="0.79998168889431442"/>
  </sheetPr>
  <dimension ref="A1:CP153"/>
  <sheetViews>
    <sheetView view="pageBreakPreview" topLeftCell="A28" zoomScale="70" zoomScaleNormal="100" zoomScaleSheetLayoutView="7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25-T-CALEÑAS 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25-T-CALEÑAS 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313</v>
      </c>
      <c r="G12" s="31" t="s">
        <v>4</v>
      </c>
      <c r="H12" s="146">
        <v>2</v>
      </c>
      <c r="I12" s="546" t="s">
        <v>5</v>
      </c>
      <c r="J12" s="546"/>
      <c r="K12" s="209" t="s">
        <v>309</v>
      </c>
      <c r="L12" s="32" t="s">
        <v>6</v>
      </c>
      <c r="M12" s="147" t="s">
        <v>314</v>
      </c>
      <c r="N12" s="78"/>
      <c r="O12" s="501" t="s">
        <v>3</v>
      </c>
      <c r="P12" s="501"/>
      <c r="Q12" s="225" t="s">
        <v>234</v>
      </c>
      <c r="R12" s="224" t="str">
        <f>F12</f>
        <v>T-CALEÑAS AP3</v>
      </c>
      <c r="S12" s="224"/>
      <c r="T12" s="502" t="s">
        <v>4</v>
      </c>
      <c r="U12" s="502"/>
      <c r="V12" s="33">
        <f>+H12</f>
        <v>2</v>
      </c>
      <c r="W12" s="547" t="s">
        <v>5</v>
      </c>
      <c r="X12" s="547"/>
      <c r="Y12" s="547"/>
      <c r="Z12" s="547"/>
      <c r="AA12" s="547"/>
      <c r="AB12" s="547"/>
      <c r="AC12" s="34" t="str">
        <f>K12</f>
        <v>1,50m</v>
      </c>
      <c r="AD12" s="548" t="s">
        <v>6</v>
      </c>
      <c r="AE12" s="548"/>
      <c r="AF12" s="35" t="str">
        <f>+M12</f>
        <v>1,80m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312</v>
      </c>
      <c r="E13" s="791"/>
      <c r="F13" s="791"/>
      <c r="G13" s="791"/>
      <c r="H13" s="791"/>
      <c r="I13" s="791"/>
      <c r="J13" s="791"/>
      <c r="K13" s="791"/>
      <c r="L13" s="791"/>
      <c r="M13" s="791"/>
      <c r="N13" s="188"/>
      <c r="O13" s="526" t="s">
        <v>130</v>
      </c>
      <c r="P13" s="526"/>
      <c r="Q13" s="527" t="str">
        <f>D13</f>
        <v>LIMO ARCILLOSO, COLOR MARRÓN, CONSISTENCIA FIRME,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t="s">
        <v>311</v>
      </c>
      <c r="R20" s="148">
        <v>588</v>
      </c>
      <c r="S20" s="149">
        <v>526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6288</v>
      </c>
      <c r="F22" s="219">
        <v>7169.9935320375826</v>
      </c>
      <c r="G22" s="219">
        <v>7307.1531972220873</v>
      </c>
      <c r="H22" s="208">
        <v>6745</v>
      </c>
      <c r="I22" s="174"/>
      <c r="J22" s="578"/>
      <c r="K22" s="578"/>
      <c r="L22" s="578"/>
      <c r="M22" s="104"/>
      <c r="N22" s="103"/>
      <c r="O22" s="579" t="s">
        <v>132</v>
      </c>
      <c r="P22" s="580"/>
      <c r="Q22" s="150">
        <v>8080</v>
      </c>
      <c r="R22" s="219">
        <v>7936</v>
      </c>
      <c r="S22" s="208">
        <v>7899.479289323599</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AL50</f>
        <v>1.8045989780048878E-2</v>
      </c>
      <c r="AJ22" s="42">
        <f>AJ50/1.52</f>
        <v>3.1578947368421054E-2</v>
      </c>
      <c r="AK22" s="42">
        <f>AL22*0.76</f>
        <v>1.6320000000000001E-2</v>
      </c>
      <c r="AL22" s="42">
        <v>2.1473684210526318E-2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3772</v>
      </c>
      <c r="R23" s="150">
        <v>3838</v>
      </c>
      <c r="S23" s="151">
        <v>3909</v>
      </c>
      <c r="T23" s="174"/>
      <c r="U23" s="112">
        <v>2.5000000000000001E-2</v>
      </c>
      <c r="V23" s="113">
        <f>U23*25.4</f>
        <v>0.63500000000000001</v>
      </c>
      <c r="W23" s="581">
        <v>0.104</v>
      </c>
      <c r="X23" s="582"/>
      <c r="Y23" s="449">
        <f>((W23/19.32)*10)</f>
        <v>5.3830227743271217E-2</v>
      </c>
      <c r="Z23" s="450"/>
      <c r="AA23" s="581">
        <v>9.4E-2</v>
      </c>
      <c r="AB23" s="582"/>
      <c r="AC23" s="449">
        <f>((AA23/19.32)*10)</f>
        <v>4.8654244306418216E-2</v>
      </c>
      <c r="AD23" s="450"/>
      <c r="AE23" s="581">
        <f>AK23</f>
        <v>4.8619999999999997E-2</v>
      </c>
      <c r="AF23" s="582"/>
      <c r="AG23" s="114">
        <f>((AE23/19.32)*10)</f>
        <v>2.5165631469979292E-2</v>
      </c>
      <c r="AH23" s="104"/>
      <c r="AI23" s="42">
        <f t="shared" ref="AI23:AI33" si="2">AL51</f>
        <v>9.3649189069095765E-2</v>
      </c>
      <c r="AJ23" s="42">
        <f t="shared" ref="AJ23:AJ33" si="3">AJ51/1.52</f>
        <v>9.407894736842104E-2</v>
      </c>
      <c r="AK23" s="42">
        <f t="shared" ref="AK23:AK33" si="4">AL23*0.76</f>
        <v>4.8619999999999997E-2</v>
      </c>
      <c r="AL23" s="42">
        <v>6.3973684210526308E-2</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11.63</v>
      </c>
      <c r="R24" s="150">
        <v>11.63</v>
      </c>
      <c r="S24" s="151">
        <v>11.66</v>
      </c>
      <c r="T24" s="174"/>
      <c r="U24" s="112">
        <v>0.05</v>
      </c>
      <c r="V24" s="113">
        <f>U24*25.4</f>
        <v>1.27</v>
      </c>
      <c r="W24" s="581">
        <f>AI24</f>
        <v>0.27885803154854477</v>
      </c>
      <c r="X24" s="582"/>
      <c r="Y24" s="449">
        <f>((W24/19.32)*10)</f>
        <v>0.14433645525286998</v>
      </c>
      <c r="Z24" s="450"/>
      <c r="AA24" s="581">
        <v>0.186</v>
      </c>
      <c r="AB24" s="582"/>
      <c r="AC24" s="449">
        <f>((AA24/19.32)*10)</f>
        <v>9.6273291925465826E-2</v>
      </c>
      <c r="AD24" s="450"/>
      <c r="AE24" s="581">
        <f>AK24</f>
        <v>8.9080000000000006E-2</v>
      </c>
      <c r="AF24" s="582"/>
      <c r="AG24" s="114">
        <f>((AE24/19.32)*10)</f>
        <v>4.6107660455486546E-2</v>
      </c>
      <c r="AH24" s="104"/>
      <c r="AI24" s="42">
        <f t="shared" si="2"/>
        <v>0.27885803154854477</v>
      </c>
      <c r="AJ24" s="42">
        <f t="shared" si="3"/>
        <v>0.17236842105263159</v>
      </c>
      <c r="AK24" s="42">
        <f t="shared" si="4"/>
        <v>8.9080000000000006E-2</v>
      </c>
      <c r="AL24" s="42">
        <v>0.11721052631578949</v>
      </c>
      <c r="AO24" s="42">
        <v>0.68400000000000005</v>
      </c>
      <c r="AS24" s="42">
        <f t="shared" si="5"/>
        <v>0.55609756097560981</v>
      </c>
    </row>
    <row r="25" spans="1:45" ht="24.95" customHeight="1" thickBot="1" x14ac:dyDescent="0.3">
      <c r="A25" s="103"/>
      <c r="B25" s="602" t="s">
        <v>69</v>
      </c>
      <c r="C25" s="603"/>
      <c r="D25" s="603"/>
      <c r="E25" s="115">
        <f>E22-E23</f>
        <v>3404</v>
      </c>
      <c r="F25" s="220">
        <f>F22-F23</f>
        <v>4285.9935320375826</v>
      </c>
      <c r="G25" s="220">
        <f>G22-G23</f>
        <v>4423.1531972220873</v>
      </c>
      <c r="H25" s="116">
        <f>H22-H23</f>
        <v>3861</v>
      </c>
      <c r="I25" s="174"/>
      <c r="J25" s="174" t="s">
        <v>127</v>
      </c>
      <c r="K25" s="174"/>
      <c r="L25" s="218" t="s">
        <v>128</v>
      </c>
      <c r="M25" s="155">
        <v>0</v>
      </c>
      <c r="N25" s="103"/>
      <c r="O25" s="604" t="s">
        <v>46</v>
      </c>
      <c r="P25" s="605"/>
      <c r="Q25" s="608">
        <v>15.25</v>
      </c>
      <c r="R25" s="608">
        <v>15.26</v>
      </c>
      <c r="S25" s="610">
        <v>15.21</v>
      </c>
      <c r="T25" s="174"/>
      <c r="U25" s="112">
        <v>7.4999999999999997E-2</v>
      </c>
      <c r="V25" s="113">
        <f>U25*25.4</f>
        <v>1.9049999999999998</v>
      </c>
      <c r="W25" s="581">
        <f>AI25</f>
        <v>0.526373028215952</v>
      </c>
      <c r="X25" s="582"/>
      <c r="Y25" s="449">
        <f>((W25/19.32)*10)</f>
        <v>0.27244980756519255</v>
      </c>
      <c r="Z25" s="450"/>
      <c r="AA25" s="581">
        <v>0.27500000000000002</v>
      </c>
      <c r="AB25" s="582"/>
      <c r="AC25" s="449">
        <f>((AA25/19.32)*10)</f>
        <v>0.14233954451345757</v>
      </c>
      <c r="AD25" s="450"/>
      <c r="AE25" s="581">
        <f>AK25</f>
        <v>0.12988</v>
      </c>
      <c r="AF25" s="582"/>
      <c r="AG25" s="114">
        <f>((AE25/19.32)*10)</f>
        <v>6.7225672877846782E-2</v>
      </c>
      <c r="AH25" s="104"/>
      <c r="AI25" s="42">
        <f t="shared" si="2"/>
        <v>0.526373028215952</v>
      </c>
      <c r="AJ25" s="42">
        <f t="shared" si="3"/>
        <v>0.25131578947368421</v>
      </c>
      <c r="AK25" s="42">
        <f t="shared" si="4"/>
        <v>0.12988</v>
      </c>
      <c r="AL25" s="42">
        <v>0.17089473684210527</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0.72829815596534109</v>
      </c>
      <c r="X26" s="779"/>
      <c r="Y26" s="461">
        <f>((W26/19.32)*10)</f>
        <v>0.37696591923671896</v>
      </c>
      <c r="Z26" s="462"/>
      <c r="AA26" s="746">
        <v>0.376</v>
      </c>
      <c r="AB26" s="747"/>
      <c r="AC26" s="461">
        <f>((AA26/19.32)*10)</f>
        <v>0.19461697722567287</v>
      </c>
      <c r="AD26" s="462"/>
      <c r="AE26" s="746">
        <f>AK26</f>
        <v>0.16830000000000001</v>
      </c>
      <c r="AF26" s="747"/>
      <c r="AG26" s="469">
        <f>((AE26/19.32)*10)</f>
        <v>8.7111801242236025E-2</v>
      </c>
      <c r="AH26" s="104"/>
      <c r="AI26" s="42">
        <f t="shared" si="2"/>
        <v>0.72829815596534109</v>
      </c>
      <c r="AJ26" s="42">
        <f t="shared" si="3"/>
        <v>0.32565789473684209</v>
      </c>
      <c r="AK26" s="42">
        <f t="shared" si="4"/>
        <v>0.16830000000000001</v>
      </c>
      <c r="AL26" s="42">
        <v>0.22144736842105264</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2124.2678851626347</v>
      </c>
      <c r="R27" s="152">
        <f>(PI()*((R25^2)/4)*R24)</f>
        <v>2127.054723675994</v>
      </c>
      <c r="S27" s="153">
        <f>(PI()*((S25^2)/4)*S24)</f>
        <v>2118.5897164080634</v>
      </c>
      <c r="T27" s="174"/>
      <c r="U27" s="600"/>
      <c r="V27" s="601"/>
      <c r="W27" s="780"/>
      <c r="X27" s="781"/>
      <c r="Y27" s="463"/>
      <c r="Z27" s="464"/>
      <c r="AA27" s="748"/>
      <c r="AB27" s="749"/>
      <c r="AC27" s="463"/>
      <c r="AD27" s="464"/>
      <c r="AE27" s="748"/>
      <c r="AF27" s="749"/>
      <c r="AG27" s="470"/>
      <c r="AH27" s="193"/>
      <c r="AI27" s="42">
        <f t="shared" si="2"/>
        <v>0.94959897800488768</v>
      </c>
      <c r="AJ27" s="42">
        <f t="shared" si="3"/>
        <v>0.41644736842105262</v>
      </c>
      <c r="AK27" s="42">
        <f t="shared" si="4"/>
        <v>0.21522000000000002</v>
      </c>
      <c r="AL27" s="42">
        <v>0.28318421052631582</v>
      </c>
      <c r="AO27" s="42">
        <v>2.387</v>
      </c>
      <c r="AS27" s="42">
        <f t="shared" si="5"/>
        <v>1.9406504065040651</v>
      </c>
    </row>
    <row r="28" spans="1:45" ht="24.95" customHeight="1" thickBot="1" x14ac:dyDescent="0.3">
      <c r="A28" s="103"/>
      <c r="B28" s="560" t="s">
        <v>9</v>
      </c>
      <c r="C28" s="561"/>
      <c r="D28" s="561"/>
      <c r="E28" s="148">
        <v>632</v>
      </c>
      <c r="F28" s="148">
        <v>646</v>
      </c>
      <c r="G28" s="148">
        <v>605</v>
      </c>
      <c r="H28" s="149">
        <v>701</v>
      </c>
      <c r="I28" s="174"/>
      <c r="J28" s="597" t="s">
        <v>107</v>
      </c>
      <c r="K28" s="597"/>
      <c r="L28" s="562" t="s">
        <v>119</v>
      </c>
      <c r="M28" s="459">
        <f>IF(M26="","",(100-M26))</f>
        <v>100</v>
      </c>
      <c r="N28" s="103"/>
      <c r="O28" s="625" t="s">
        <v>136</v>
      </c>
      <c r="P28" s="626"/>
      <c r="Q28" s="220">
        <f>Q22-Q23</f>
        <v>4308</v>
      </c>
      <c r="R28" s="220">
        <f>R22-R23</f>
        <v>4098</v>
      </c>
      <c r="S28" s="220">
        <f>S22-S23</f>
        <v>3990.479289323599</v>
      </c>
      <c r="T28" s="174"/>
      <c r="U28" s="627">
        <v>0.125</v>
      </c>
      <c r="V28" s="624">
        <f>U28*25.4</f>
        <v>3.1749999999999998</v>
      </c>
      <c r="W28" s="593">
        <f>AI27</f>
        <v>0.94959897800488768</v>
      </c>
      <c r="X28" s="594"/>
      <c r="Y28" s="439">
        <f>((W28/19.32)*10)</f>
        <v>0.49151085818058371</v>
      </c>
      <c r="Z28" s="440"/>
      <c r="AA28" s="593">
        <v>0.44600000000000001</v>
      </c>
      <c r="AB28" s="594"/>
      <c r="AC28" s="439">
        <f>((AA28/19.32)*10)</f>
        <v>0.2308488612836439</v>
      </c>
      <c r="AD28" s="440"/>
      <c r="AE28" s="593">
        <f>AK27</f>
        <v>0.21522000000000002</v>
      </c>
      <c r="AF28" s="594"/>
      <c r="AG28" s="443">
        <f>((AE28/19.32)*10)</f>
        <v>0.11139751552795032</v>
      </c>
      <c r="AH28" s="104"/>
      <c r="AI28" s="42">
        <f t="shared" si="2"/>
        <v>1.1482948233725838</v>
      </c>
      <c r="AJ28" s="42">
        <f t="shared" si="3"/>
        <v>0.52302631578947367</v>
      </c>
      <c r="AK28" s="42">
        <f t="shared" si="4"/>
        <v>0.27029999999999998</v>
      </c>
      <c r="AL28" s="42">
        <v>0.35565789473684212</v>
      </c>
      <c r="AO28" s="42">
        <v>2.8959999999999999</v>
      </c>
      <c r="AS28" s="42">
        <f t="shared" si="5"/>
        <v>2.3544715447154472</v>
      </c>
    </row>
    <row r="29" spans="1:45" ht="5.0999999999999996" customHeight="1" thickBot="1" x14ac:dyDescent="0.3">
      <c r="A29" s="103"/>
      <c r="B29" s="612" t="s">
        <v>73</v>
      </c>
      <c r="C29" s="613"/>
      <c r="D29" s="614"/>
      <c r="E29" s="618">
        <v>644.75</v>
      </c>
      <c r="F29" s="618">
        <v>721.05</v>
      </c>
      <c r="G29" s="618">
        <v>689.47</v>
      </c>
      <c r="H29" s="620">
        <v>711.53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1.329324594534548</v>
      </c>
      <c r="AJ29" s="42">
        <f t="shared" si="3"/>
        <v>0.62565789473684208</v>
      </c>
      <c r="AK29" s="42">
        <f t="shared" si="4"/>
        <v>0.32334000000000002</v>
      </c>
      <c r="AL29" s="42">
        <v>0.42544736842105263</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16.991809440000001</v>
      </c>
      <c r="N30" s="103"/>
      <c r="O30" s="622" t="s">
        <v>134</v>
      </c>
      <c r="P30" s="623"/>
      <c r="Q30" s="229">
        <f>Q28/Q27</f>
        <v>2.0279928111186307</v>
      </c>
      <c r="R30" s="229">
        <f>R28/R27</f>
        <v>1.9266076957896983</v>
      </c>
      <c r="S30" s="131">
        <f>S28/S27</f>
        <v>1.8835545449966629</v>
      </c>
      <c r="T30" s="174"/>
      <c r="U30" s="120">
        <v>0.15</v>
      </c>
      <c r="V30" s="113">
        <f>U30*25.4</f>
        <v>3.8099999999999996</v>
      </c>
      <c r="W30" s="581">
        <f>AI28</f>
        <v>1.1482948233725838</v>
      </c>
      <c r="X30" s="582"/>
      <c r="Y30" s="449">
        <f>((W30/19.32)*10)</f>
        <v>0.59435549864005366</v>
      </c>
      <c r="Z30" s="450"/>
      <c r="AA30" s="581">
        <f>AJ28</f>
        <v>0.52302631578947367</v>
      </c>
      <c r="AB30" s="582"/>
      <c r="AC30" s="449">
        <f>((AA30/19.32)*10)</f>
        <v>0.27071755475645631</v>
      </c>
      <c r="AD30" s="450"/>
      <c r="AE30" s="581">
        <f>AK28</f>
        <v>0.27029999999999998</v>
      </c>
      <c r="AF30" s="582"/>
      <c r="AG30" s="114">
        <f>((AE30/19.32)*10)</f>
        <v>0.13990683229813664</v>
      </c>
      <c r="AH30" s="104"/>
      <c r="AI30" s="42">
        <f t="shared" si="2"/>
        <v>1.4596356365252166</v>
      </c>
      <c r="AJ30" s="42">
        <f t="shared" si="3"/>
        <v>0.7131578947368421</v>
      </c>
      <c r="AK30" s="42">
        <f t="shared" si="4"/>
        <v>0.36856000000000005</v>
      </c>
      <c r="AL30" s="42">
        <v>0.48494736842105268</v>
      </c>
      <c r="AO30" s="42">
        <v>3.8439999999999999</v>
      </c>
      <c r="AS30" s="42">
        <f t="shared" si="5"/>
        <v>3.1252032520325201</v>
      </c>
    </row>
    <row r="31" spans="1:45" ht="24.95" customHeight="1" thickBot="1" x14ac:dyDescent="0.3">
      <c r="A31" s="103"/>
      <c r="B31" s="576" t="s">
        <v>74</v>
      </c>
      <c r="C31" s="577"/>
      <c r="D31" s="577"/>
      <c r="E31" s="152">
        <v>573.96756936020802</v>
      </c>
      <c r="F31" s="152">
        <v>624.69373440887273</v>
      </c>
      <c r="G31" s="152">
        <v>584.0305238793959</v>
      </c>
      <c r="H31" s="153">
        <v>588.34358755960022</v>
      </c>
      <c r="I31" s="174"/>
      <c r="J31" s="597" t="s">
        <v>138</v>
      </c>
      <c r="K31" s="597"/>
      <c r="L31" s="562" t="s">
        <v>116</v>
      </c>
      <c r="M31" s="457">
        <v>2.72</v>
      </c>
      <c r="N31" s="121"/>
      <c r="O31" s="628" t="s">
        <v>135</v>
      </c>
      <c r="P31" s="629"/>
      <c r="Q31" s="122">
        <f>Q30/(1+Q40/100)</f>
        <v>1.7151619550428112</v>
      </c>
      <c r="R31" s="122">
        <f>R30/(1+R40/100)</f>
        <v>1.6287156852579141</v>
      </c>
      <c r="S31" s="123">
        <f>S30/(1+S40/100)</f>
        <v>1.5937999999999999</v>
      </c>
      <c r="T31" s="174"/>
      <c r="U31" s="627">
        <v>0.17499999999999999</v>
      </c>
      <c r="V31" s="624">
        <f>U31*25.4</f>
        <v>4.4449999999999994</v>
      </c>
      <c r="W31" s="593">
        <f>AI29</f>
        <v>1.329324594534548</v>
      </c>
      <c r="X31" s="594"/>
      <c r="Y31" s="439">
        <f>((W31/19.32)*10)</f>
        <v>0.68805620835121528</v>
      </c>
      <c r="Z31" s="440"/>
      <c r="AA31" s="593">
        <f>AJ29</f>
        <v>0.62565789473684208</v>
      </c>
      <c r="AB31" s="594"/>
      <c r="AC31" s="439">
        <f>((AA31/19.32)*10)</f>
        <v>0.32383949002942136</v>
      </c>
      <c r="AD31" s="440"/>
      <c r="AE31" s="593">
        <f>AK29</f>
        <v>0.32334000000000002</v>
      </c>
      <c r="AF31" s="594"/>
      <c r="AG31" s="443">
        <f>((AE31/19.32)*10)</f>
        <v>0.16736024844720498</v>
      </c>
      <c r="AH31" s="104"/>
      <c r="AI31" s="42">
        <f t="shared" si="2"/>
        <v>1.9808798044878917</v>
      </c>
      <c r="AJ31" s="42">
        <f t="shared" si="3"/>
        <v>1.0848684210526316</v>
      </c>
      <c r="AK31" s="42">
        <f t="shared" si="4"/>
        <v>0.56066000000000005</v>
      </c>
      <c r="AL31" s="42">
        <v>0.73771052631578948</v>
      </c>
      <c r="AO31" s="42">
        <v>5.516</v>
      </c>
      <c r="AS31" s="42">
        <f t="shared" si="5"/>
        <v>4.4845528455284551</v>
      </c>
    </row>
    <row r="32" spans="1:45" ht="5.0999999999999996" customHeight="1" thickBot="1" x14ac:dyDescent="0.3">
      <c r="A32" s="103"/>
      <c r="B32" s="612" t="s">
        <v>75</v>
      </c>
      <c r="C32" s="613"/>
      <c r="D32" s="614"/>
      <c r="E32" s="618">
        <v>49.66</v>
      </c>
      <c r="F32" s="618">
        <v>47.72</v>
      </c>
      <c r="G32" s="618">
        <v>48.8</v>
      </c>
      <c r="H32" s="620">
        <v>46.15</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2.3511075316596313</v>
      </c>
      <c r="AJ32" s="42">
        <f t="shared" si="3"/>
        <v>1.4019736842105261</v>
      </c>
      <c r="AK32" s="42">
        <f t="shared" si="4"/>
        <v>0.72453999999999996</v>
      </c>
      <c r="AL32" s="42">
        <v>0.95334210526315788</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v>
      </c>
      <c r="N33" s="101"/>
      <c r="O33" s="634" t="s">
        <v>25</v>
      </c>
      <c r="P33" s="635"/>
      <c r="Q33" s="635"/>
      <c r="R33" s="635"/>
      <c r="S33" s="636"/>
      <c r="T33" s="174"/>
      <c r="U33" s="117">
        <v>0.2</v>
      </c>
      <c r="V33" s="124">
        <f>U33*25.4</f>
        <v>5.08</v>
      </c>
      <c r="W33" s="581">
        <f>AI30</f>
        <v>1.4596356365252166</v>
      </c>
      <c r="X33" s="582"/>
      <c r="Y33" s="449">
        <f>((W33/19.32)*10)</f>
        <v>0.75550498784949105</v>
      </c>
      <c r="Z33" s="450"/>
      <c r="AA33" s="581">
        <f>AJ30</f>
        <v>0.7131578947368421</v>
      </c>
      <c r="AB33" s="582"/>
      <c r="AC33" s="449">
        <f>((AA33/19.32)*10)</f>
        <v>0.36912934510188511</v>
      </c>
      <c r="AD33" s="450"/>
      <c r="AE33" s="581">
        <f>AK30</f>
        <v>0.36856000000000005</v>
      </c>
      <c r="AF33" s="582"/>
      <c r="AG33" s="144">
        <f>((AE33/19.32)*10)</f>
        <v>0.19076604554865428</v>
      </c>
      <c r="AH33" s="104"/>
      <c r="AI33" s="42">
        <f t="shared" si="2"/>
        <v>2.5650000000000004</v>
      </c>
      <c r="AJ33" s="42">
        <f t="shared" si="3"/>
        <v>1.6875</v>
      </c>
      <c r="AK33" s="42">
        <f t="shared" si="4"/>
        <v>0.8721000000000001</v>
      </c>
      <c r="AL33" s="42">
        <v>1.1475000000000002</v>
      </c>
      <c r="AO33" s="42">
        <v>7.7720000000000002</v>
      </c>
      <c r="AS33" s="42">
        <f t="shared" si="5"/>
        <v>6.3186991869918705</v>
      </c>
    </row>
    <row r="34" spans="1:45" ht="24.95" customHeight="1" thickBot="1" x14ac:dyDescent="0.3">
      <c r="A34" s="103"/>
      <c r="B34" s="602" t="s">
        <v>10</v>
      </c>
      <c r="C34" s="603"/>
      <c r="D34" s="603"/>
      <c r="E34" s="125">
        <f>((E29-E31)/(E31-E32))*100</f>
        <v>13.500173328827772</v>
      </c>
      <c r="F34" s="125">
        <f>((F29-F31)/(F31-F32))*100</f>
        <v>16.700286311966554</v>
      </c>
      <c r="G34" s="125">
        <f>((G29-G31)/(G31-G32))*100</f>
        <v>19.699824919619665</v>
      </c>
      <c r="H34" s="126">
        <f>((H29-H31)/(H31-H32))*100</f>
        <v>22.720005412616313</v>
      </c>
      <c r="I34" s="174"/>
      <c r="J34" s="630" t="s">
        <v>125</v>
      </c>
      <c r="K34" s="630"/>
      <c r="L34" s="184" t="s">
        <v>126</v>
      </c>
      <c r="M34" s="245">
        <v>2.65</v>
      </c>
      <c r="N34" s="128"/>
      <c r="O34" s="631" t="s">
        <v>9</v>
      </c>
      <c r="P34" s="632"/>
      <c r="Q34" s="156">
        <v>326</v>
      </c>
      <c r="R34" s="156">
        <v>672</v>
      </c>
      <c r="S34" s="157">
        <v>603</v>
      </c>
      <c r="T34" s="174"/>
      <c r="U34" s="120">
        <v>0.3</v>
      </c>
      <c r="V34" s="113">
        <f>U34*25.4</f>
        <v>7.6199999999999992</v>
      </c>
      <c r="W34" s="581">
        <f>AI31</f>
        <v>1.9808798044878917</v>
      </c>
      <c r="X34" s="582"/>
      <c r="Y34" s="449">
        <f>((W34/19.32)*10)</f>
        <v>1.0253001058425941</v>
      </c>
      <c r="Z34" s="450"/>
      <c r="AA34" s="449">
        <f>AJ31</f>
        <v>1.0848684210526316</v>
      </c>
      <c r="AB34" s="450"/>
      <c r="AC34" s="449">
        <f>((AA34/19.32)*10)</f>
        <v>0.56152609785332896</v>
      </c>
      <c r="AD34" s="450"/>
      <c r="AE34" s="581">
        <v>0.498</v>
      </c>
      <c r="AF34" s="582"/>
      <c r="AG34" s="114">
        <f>((AE34/19.32)*10)</f>
        <v>0.25776397515527949</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695.67</v>
      </c>
      <c r="R35" s="608">
        <v>544.53</v>
      </c>
      <c r="S35" s="610">
        <v>622.70000000000005</v>
      </c>
      <c r="T35" s="174"/>
      <c r="U35" s="627">
        <v>0.4</v>
      </c>
      <c r="V35" s="624">
        <f>U35*25.4</f>
        <v>10.16</v>
      </c>
      <c r="W35" s="593">
        <f>AI32</f>
        <v>2.3511075316596313</v>
      </c>
      <c r="X35" s="594"/>
      <c r="Y35" s="439">
        <f>((W35/19.32)*10)</f>
        <v>1.2169293642130596</v>
      </c>
      <c r="Z35" s="440"/>
      <c r="AA35" s="593">
        <f>AJ32</f>
        <v>1.4019736842105261</v>
      </c>
      <c r="AB35" s="594"/>
      <c r="AC35" s="439">
        <f>(AA35/19.32)*10</f>
        <v>0.72565925683774635</v>
      </c>
      <c r="AD35" s="440"/>
      <c r="AE35" s="593">
        <v>0.63500000000000001</v>
      </c>
      <c r="AF35" s="594"/>
      <c r="AG35" s="443">
        <f>((AE35/19.32)*10)</f>
        <v>0.32867494824016563</v>
      </c>
      <c r="AH35" s="104"/>
      <c r="AS35" s="42">
        <f t="shared" si="5"/>
        <v>0</v>
      </c>
    </row>
    <row r="36" spans="1:45" ht="20.100000000000001" customHeight="1" thickBot="1" x14ac:dyDescent="0.3">
      <c r="A36" s="103"/>
      <c r="B36" s="639" t="s">
        <v>71</v>
      </c>
      <c r="C36" s="640"/>
      <c r="D36" s="640"/>
      <c r="E36" s="130">
        <f>E25/E24</f>
        <v>1.584729981378026</v>
      </c>
      <c r="F36" s="130">
        <f>F25/F24</f>
        <v>1.995341495362003</v>
      </c>
      <c r="G36" s="130">
        <f>G25/G24</f>
        <v>2.0591960880922193</v>
      </c>
      <c r="H36" s="131">
        <f>H25/H24</f>
        <v>1.7974860335195531</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1.3962357368273042</v>
      </c>
      <c r="F37" s="230">
        <f>F36/(1+F34/100)</f>
        <v>1.7097999999999989</v>
      </c>
      <c r="G37" s="230">
        <f>G36/(1+G34/100)</f>
        <v>1.7203000000000019</v>
      </c>
      <c r="H37" s="123">
        <f>H36/(1+H34/100)</f>
        <v>1.4647049822691429</v>
      </c>
      <c r="I37" s="174"/>
      <c r="J37" s="641" t="s">
        <v>139</v>
      </c>
      <c r="K37" s="641"/>
      <c r="L37" s="643" t="s">
        <v>121</v>
      </c>
      <c r="M37" s="433">
        <f>IF(F74="","",(M42^2*F74+M42*F75+F76))</f>
        <v>1.7320906666666667</v>
      </c>
      <c r="N37" s="101"/>
      <c r="O37" s="576" t="s">
        <v>28</v>
      </c>
      <c r="P37" s="577"/>
      <c r="Q37" s="150">
        <v>603.98</v>
      </c>
      <c r="R37" s="152">
        <v>467.55554384728981</v>
      </c>
      <c r="S37" s="153">
        <v>534.34703681375038</v>
      </c>
      <c r="T37" s="174"/>
      <c r="U37" s="132">
        <v>0.5</v>
      </c>
      <c r="V37" s="133">
        <f>U37*25.4</f>
        <v>12.7</v>
      </c>
      <c r="W37" s="637">
        <f>AI33</f>
        <v>2.5650000000000004</v>
      </c>
      <c r="X37" s="638"/>
      <c r="Y37" s="431">
        <f>((W37/19.32)*10)</f>
        <v>1.3276397515527951</v>
      </c>
      <c r="Z37" s="432"/>
      <c r="AA37" s="637">
        <f>AJ33</f>
        <v>1.6875</v>
      </c>
      <c r="AB37" s="638"/>
      <c r="AC37" s="431">
        <f>((AA37/19.32)*10)</f>
        <v>0.87344720496894412</v>
      </c>
      <c r="AD37" s="432"/>
      <c r="AE37" s="637">
        <v>0.72499999999999998</v>
      </c>
      <c r="AF37" s="638"/>
      <c r="AG37" s="134">
        <f>((AE37/19.32)*10)</f>
        <v>0.37525879917184263</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101.27</v>
      </c>
      <c r="R38" s="647">
        <v>46.7</v>
      </c>
      <c r="S38" s="648">
        <v>48.36</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16.991809440000001</v>
      </c>
      <c r="N40" s="103"/>
      <c r="O40" s="628" t="s">
        <v>10</v>
      </c>
      <c r="P40" s="629"/>
      <c r="Q40" s="125">
        <f>((Q35-Q37)/(Q37-Q38))*100</f>
        <v>18.239143840385101</v>
      </c>
      <c r="R40" s="125">
        <f>((R35-R37)/(R37-R38))*100</f>
        <v>18.289994578434456</v>
      </c>
      <c r="S40" s="126">
        <f>((S35-S37)/(S37-S38))*100</f>
        <v>18.180106976826636</v>
      </c>
      <c r="T40" s="174"/>
      <c r="U40" s="645" t="s">
        <v>151</v>
      </c>
      <c r="V40" s="646"/>
      <c r="W40" s="423">
        <f>(AM79/6.9)*100</f>
        <v>5.463274191836506</v>
      </c>
      <c r="X40" s="423"/>
      <c r="Y40" s="423"/>
      <c r="Z40" s="424"/>
      <c r="AA40" s="425">
        <f>(AO79/6.9)*100</f>
        <v>2.8205359018213456</v>
      </c>
      <c r="AB40" s="426"/>
      <c r="AC40" s="427"/>
      <c r="AD40" s="425">
        <f>(AQ79/6.9)*100</f>
        <v>1.2624898730758842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7.3349998820338937</v>
      </c>
      <c r="X41" s="418"/>
      <c r="Y41" s="418"/>
      <c r="Z41" s="419"/>
      <c r="AA41" s="420">
        <f>(AO83/10.3)*100</f>
        <v>3.5837800495328649</v>
      </c>
      <c r="AB41" s="421"/>
      <c r="AC41" s="418"/>
      <c r="AD41" s="420">
        <f>(AQ83/10.3)*100</f>
        <v>1.8520975295985853</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18.293333333333333</v>
      </c>
      <c r="N42" s="103"/>
      <c r="O42" s="639" t="s">
        <v>9</v>
      </c>
      <c r="P42" s="640"/>
      <c r="Q42" s="148">
        <v>339</v>
      </c>
      <c r="R42" s="148">
        <v>672</v>
      </c>
      <c r="S42" s="149">
        <v>603</v>
      </c>
      <c r="T42" s="174"/>
      <c r="U42" s="651" t="s">
        <v>42</v>
      </c>
      <c r="V42" s="652"/>
      <c r="W42" s="413">
        <f>IF(W40&lt;W41,W40,W41)</f>
        <v>5.463274191836506</v>
      </c>
      <c r="X42" s="414"/>
      <c r="Y42" s="414"/>
      <c r="Z42" s="415"/>
      <c r="AA42" s="416">
        <f>IF(AA40&lt;AA41,AA40,AA41)</f>
        <v>2.8205359018213456</v>
      </c>
      <c r="AB42" s="414"/>
      <c r="AC42" s="415"/>
      <c r="AD42" s="416">
        <f>IF(AD40&lt;AD41,AD40,AD41)</f>
        <v>1.2624898730758842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932.43</v>
      </c>
      <c r="R43" s="608">
        <v>841.17</v>
      </c>
      <c r="S43" s="620">
        <v>601.59</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755.06</v>
      </c>
      <c r="R45" s="152">
        <v>667.13985843468879</v>
      </c>
      <c r="S45" s="153">
        <v>470.38314137681084</v>
      </c>
      <c r="T45" s="174"/>
      <c r="U45" s="656" t="s">
        <v>139</v>
      </c>
      <c r="V45" s="656"/>
      <c r="W45" s="179" t="s">
        <v>121</v>
      </c>
      <c r="X45" s="406">
        <f>MAX(M37:M39)</f>
        <v>1.7320906666666667</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84.58</v>
      </c>
      <c r="R46" s="150">
        <v>46.7</v>
      </c>
      <c r="S46" s="151">
        <v>48.36</v>
      </c>
      <c r="T46" s="174"/>
      <c r="U46" s="555" t="s">
        <v>123</v>
      </c>
      <c r="V46" s="555"/>
      <c r="W46" s="179" t="s">
        <v>41</v>
      </c>
      <c r="X46" s="401">
        <f>MIN(M42:M44)</f>
        <v>18.293333333333333</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26.454182078510925</v>
      </c>
      <c r="R47" s="125">
        <f>((R43-R45)/(R45-R46))*100</f>
        <v>28.049477995235961</v>
      </c>
      <c r="S47" s="126">
        <f>((S43-S45)/(S45-S46))*100</f>
        <v>31.089967766966321</v>
      </c>
      <c r="T47" s="174"/>
      <c r="U47" s="555" t="s">
        <v>162</v>
      </c>
      <c r="V47" s="555"/>
      <c r="W47" s="179" t="s">
        <v>41</v>
      </c>
      <c r="X47" s="402">
        <f>IF(L25=D103,"-",IF(L25=D102,"-",IF(L25=D101,M25)))</f>
        <v>0</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0.17472055030094538</v>
      </c>
      <c r="AG48" s="142">
        <f>IF(AG47&lt;&gt;"",IF(R24&lt;&gt;"",AG47/R24*100,""),"")</f>
        <v>0.4914015477214102</v>
      </c>
      <c r="AH48" s="173">
        <f>IF(AH47&lt;&gt;"",IF(S24&lt;&gt;"",AH47/S24*100,""),"")</f>
        <v>0.83867924528301907</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4.8000000000000001E-2</v>
      </c>
      <c r="AK50" s="42">
        <v>9.5000000000000001E-2</v>
      </c>
      <c r="AL50" s="42">
        <f>2.565*AK50/13.503</f>
        <v>1.8045989780048878E-2</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0.14299999999999999</v>
      </c>
      <c r="AK51" s="42">
        <v>0.49299999999999999</v>
      </c>
      <c r="AL51" s="42">
        <f t="shared" ref="AL51:AL61" si="6">2.565*AK51/13.503</f>
        <v>9.3649189069095765E-2</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0.26200000000000001</v>
      </c>
      <c r="AK52" s="42">
        <v>1.468</v>
      </c>
      <c r="AL52" s="42">
        <f t="shared" si="6"/>
        <v>0.27885803154854477</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0.38200000000000001</v>
      </c>
      <c r="AK53" s="42">
        <v>2.7709999999999999</v>
      </c>
      <c r="AL53" s="42">
        <f t="shared" si="6"/>
        <v>0.526373028215952</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0.495</v>
      </c>
      <c r="AK54" s="42">
        <v>3.8340000000000001</v>
      </c>
      <c r="AL54" s="42">
        <f t="shared" si="6"/>
        <v>0.72829815596534109</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0.63300000000000001</v>
      </c>
      <c r="AK55" s="42">
        <v>4.9989999999999997</v>
      </c>
      <c r="AL55" s="42">
        <f t="shared" si="6"/>
        <v>0.94959897800488768</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0.79500000000000004</v>
      </c>
      <c r="AK56" s="42">
        <v>6.0449999999999999</v>
      </c>
      <c r="AL56" s="42">
        <f t="shared" si="6"/>
        <v>1.1482948233725838</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0.95099999999999996</v>
      </c>
      <c r="AK57" s="42">
        <v>6.9980000000000002</v>
      </c>
      <c r="AL57" s="42">
        <f t="shared" si="6"/>
        <v>1.329324594534548</v>
      </c>
      <c r="AM57" s="42">
        <v>20.577999999999999</v>
      </c>
    </row>
    <row r="58" spans="1:39" ht="15.75" x14ac:dyDescent="0.25">
      <c r="A58" s="103"/>
      <c r="B58" s="174"/>
      <c r="C58" s="174"/>
      <c r="D58" s="174"/>
      <c r="E58" s="174"/>
      <c r="F58" s="174"/>
      <c r="G58" s="174"/>
      <c r="H58" s="174"/>
      <c r="I58" s="174"/>
      <c r="J58" s="689" t="s">
        <v>197</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1.0840000000000001</v>
      </c>
      <c r="AK58" s="42">
        <v>7.6840000000000002</v>
      </c>
      <c r="AL58" s="42">
        <f t="shared" si="6"/>
        <v>1.4596356365252166</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1.649</v>
      </c>
      <c r="AK59" s="42">
        <v>10.428000000000001</v>
      </c>
      <c r="AL59" s="42">
        <f t="shared" si="6"/>
        <v>1.9808798044878917</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2.1309999999999998</v>
      </c>
      <c r="AK60" s="42">
        <v>12.377000000000001</v>
      </c>
      <c r="AL60" s="42">
        <f t="shared" si="6"/>
        <v>2.3511075316596313</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2.5649999999999999</v>
      </c>
      <c r="AK61" s="42">
        <v>13.503</v>
      </c>
      <c r="AL61" s="42">
        <f t="shared" si="6"/>
        <v>2.5650000000000004</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-1.4999999999999999E-2</v>
      </c>
      <c r="G74" s="75">
        <v>-0.12509999999999999</v>
      </c>
      <c r="J74" s="701"/>
      <c r="K74" s="702"/>
      <c r="L74" s="44"/>
      <c r="M74" s="44"/>
      <c r="N74" s="44"/>
    </row>
    <row r="75" spans="1:94" ht="26.25" customHeight="1" thickBot="1" x14ac:dyDescent="0.3">
      <c r="A75" s="11"/>
      <c r="B75" s="377" t="s">
        <v>113</v>
      </c>
      <c r="C75" s="377"/>
      <c r="D75" s="19"/>
      <c r="E75" s="54" t="s">
        <v>12</v>
      </c>
      <c r="F75" s="55">
        <v>0.54879999999999995</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7">((AL75/19.32)*10)</f>
        <v>0</v>
      </c>
      <c r="AN75" s="5">
        <f>AA22</f>
        <v>0</v>
      </c>
      <c r="AO75" s="3">
        <f>((AN75/19.32)*10)</f>
        <v>0</v>
      </c>
      <c r="AP75" s="5">
        <f>AE22</f>
        <v>0</v>
      </c>
      <c r="AQ75" s="161">
        <f t="shared" ref="AQ75:AQ84" si="8">((AP75/19.32)*10)</f>
        <v>0</v>
      </c>
    </row>
    <row r="76" spans="1:94" ht="26.25" customHeight="1" thickBot="1" x14ac:dyDescent="0.3">
      <c r="A76" s="11"/>
      <c r="B76" s="377" t="s">
        <v>114</v>
      </c>
      <c r="C76" s="377"/>
      <c r="D76" s="20"/>
      <c r="E76" s="56" t="s">
        <v>13</v>
      </c>
      <c r="F76" s="57">
        <v>-3.2875999999999999</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9">AJ76*25.4</f>
        <v>0.63500000000000001</v>
      </c>
      <c r="AL76" s="5">
        <f>W23</f>
        <v>0.104</v>
      </c>
      <c r="AM76" s="3">
        <f t="shared" si="7"/>
        <v>5.3830227743271217E-2</v>
      </c>
      <c r="AN76" s="5">
        <f>AA23</f>
        <v>9.4E-2</v>
      </c>
      <c r="AO76" s="3">
        <f t="shared" ref="AO76:AO86" si="10">((AN76/19.32)*10)</f>
        <v>4.8654244306418216E-2</v>
      </c>
      <c r="AP76" s="5">
        <f>AE23</f>
        <v>4.8619999999999997E-2</v>
      </c>
      <c r="AQ76" s="161">
        <f t="shared" si="8"/>
        <v>2.5165631469979292E-2</v>
      </c>
    </row>
    <row r="77" spans="1:94" ht="26.25" customHeight="1" thickTop="1" thickBot="1" x14ac:dyDescent="0.3">
      <c r="A77" s="11"/>
      <c r="B77" s="377" t="s">
        <v>115</v>
      </c>
      <c r="C77" s="377"/>
      <c r="D77" s="15"/>
      <c r="J77" s="380"/>
      <c r="K77" s="381"/>
      <c r="U77" s="44"/>
      <c r="AB77" s="44"/>
      <c r="AC77" s="44"/>
      <c r="AD77" s="44"/>
      <c r="AE77" s="44"/>
      <c r="AJ77" s="160">
        <f>U24</f>
        <v>0.05</v>
      </c>
      <c r="AK77" s="3">
        <f t="shared" si="9"/>
        <v>1.27</v>
      </c>
      <c r="AL77" s="5">
        <f>W24</f>
        <v>0.27885803154854477</v>
      </c>
      <c r="AM77" s="3">
        <f t="shared" si="7"/>
        <v>0.14433645525286998</v>
      </c>
      <c r="AN77" s="5">
        <f>AA24</f>
        <v>0.186</v>
      </c>
      <c r="AO77" s="3">
        <f t="shared" si="10"/>
        <v>9.6273291925465826E-2</v>
      </c>
      <c r="AP77" s="5">
        <f>AE24</f>
        <v>8.9080000000000006E-2</v>
      </c>
      <c r="AQ77" s="161">
        <f t="shared" si="8"/>
        <v>4.6107660455486546E-2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9"/>
        <v>1.9049999999999998</v>
      </c>
      <c r="AL78" s="5">
        <f>W25</f>
        <v>0.526373028215952</v>
      </c>
      <c r="AM78" s="3">
        <f t="shared" si="7"/>
        <v>0.27244980756519255</v>
      </c>
      <c r="AN78" s="5">
        <f>AA25</f>
        <v>0.27500000000000002</v>
      </c>
      <c r="AO78" s="3">
        <f t="shared" si="10"/>
        <v>0.14233954451345757</v>
      </c>
      <c r="AP78" s="5">
        <f>AE25</f>
        <v>0.12988</v>
      </c>
      <c r="AQ78" s="161">
        <f t="shared" si="8"/>
        <v>6.7225672877846782E-2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9"/>
        <v>2.54</v>
      </c>
      <c r="AL79" s="5">
        <f>W26</f>
        <v>0.72829815596534109</v>
      </c>
      <c r="AM79" s="4">
        <f t="shared" si="7"/>
        <v>0.37696591923671896</v>
      </c>
      <c r="AN79" s="5">
        <f>AA26</f>
        <v>0.376</v>
      </c>
      <c r="AO79" s="4">
        <f t="shared" si="10"/>
        <v>0.19461697722567287</v>
      </c>
      <c r="AP79" s="5">
        <f>AE26</f>
        <v>0.16830000000000001</v>
      </c>
      <c r="AQ79" s="162">
        <f t="shared" si="8"/>
        <v>8.7111801242236025E-2</v>
      </c>
      <c r="BB79" s="12">
        <v>17</v>
      </c>
      <c r="BC79" s="12">
        <v>18</v>
      </c>
    </row>
    <row r="80" spans="1:94" ht="42" customHeight="1" thickTop="1" thickBot="1" x14ac:dyDescent="0.3">
      <c r="D80" s="49"/>
      <c r="H80" s="711" t="s">
        <v>105</v>
      </c>
      <c r="I80" s="712"/>
      <c r="J80" s="58"/>
      <c r="AJ80" s="160">
        <f>U28</f>
        <v>0.125</v>
      </c>
      <c r="AK80" s="3">
        <f t="shared" si="9"/>
        <v>3.1749999999999998</v>
      </c>
      <c r="AL80" s="5">
        <f>W28</f>
        <v>0.94959897800488768</v>
      </c>
      <c r="AM80" s="3">
        <f t="shared" si="7"/>
        <v>0.49151085818058371</v>
      </c>
      <c r="AN80" s="5">
        <f>AA28</f>
        <v>0.44600000000000001</v>
      </c>
      <c r="AO80" s="3">
        <f t="shared" si="10"/>
        <v>0.2308488612836439</v>
      </c>
      <c r="AP80" s="5">
        <f>AE28</f>
        <v>0.21522000000000002</v>
      </c>
      <c r="AQ80" s="161">
        <f t="shared" si="8"/>
        <v>0.11139751552795032</v>
      </c>
      <c r="BC80" s="45">
        <v>0.99880400000000003</v>
      </c>
      <c r="BD80" s="45">
        <v>0.99862499999999998</v>
      </c>
    </row>
    <row r="81" spans="2:43" ht="15.75" customHeight="1" x14ac:dyDescent="0.25">
      <c r="AJ81" s="160">
        <f>U30</f>
        <v>0.15</v>
      </c>
      <c r="AK81" s="3">
        <f t="shared" si="9"/>
        <v>3.8099999999999996</v>
      </c>
      <c r="AL81" s="5">
        <f>W30</f>
        <v>1.1482948233725838</v>
      </c>
      <c r="AM81" s="3">
        <f t="shared" si="7"/>
        <v>0.59435549864005366</v>
      </c>
      <c r="AN81" s="5">
        <f>AA30</f>
        <v>0.52302631578947367</v>
      </c>
      <c r="AO81" s="3">
        <f t="shared" si="10"/>
        <v>0.27071755475645631</v>
      </c>
      <c r="AP81" s="5">
        <f>AE30</f>
        <v>0.27029999999999998</v>
      </c>
      <c r="AQ81" s="161">
        <f t="shared" si="8"/>
        <v>0.13990683229813664</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9"/>
        <v>4.4449999999999994</v>
      </c>
      <c r="AL82" s="5">
        <f>W31</f>
        <v>1.329324594534548</v>
      </c>
      <c r="AM82" s="3">
        <f t="shared" si="7"/>
        <v>0.68805620835121528</v>
      </c>
      <c r="AN82" s="5">
        <f>AA31</f>
        <v>0.62565789473684208</v>
      </c>
      <c r="AO82" s="3">
        <f t="shared" si="10"/>
        <v>0.32383949002942136</v>
      </c>
      <c r="AP82" s="5">
        <f>AE31</f>
        <v>0.32334000000000002</v>
      </c>
      <c r="AQ82" s="161">
        <f t="shared" si="8"/>
        <v>0.16736024844720498</v>
      </c>
    </row>
    <row r="83" spans="2:43" ht="15" customHeight="1" x14ac:dyDescent="0.25">
      <c r="B83" s="49"/>
      <c r="C83" s="49"/>
      <c r="D83" s="49">
        <v>0</v>
      </c>
      <c r="E83" s="50">
        <f>M42</f>
        <v>18.293333333333333</v>
      </c>
      <c r="F83" s="49"/>
      <c r="G83" s="43">
        <f>G84/10</f>
        <v>1.9517518211646732</v>
      </c>
      <c r="H83" s="43">
        <f>H84/10</f>
        <v>1.8370150511775083</v>
      </c>
      <c r="I83" s="43">
        <f>I84/10</f>
        <v>1.7410782023972913</v>
      </c>
      <c r="J83" s="43">
        <f>J84/10</f>
        <v>1.6540995223367994</v>
      </c>
      <c r="K83" s="43"/>
      <c r="L83" s="42">
        <v>0</v>
      </c>
      <c r="O83" s="706"/>
      <c r="P83" s="706"/>
      <c r="Q83" s="706"/>
      <c r="R83" s="706"/>
      <c r="S83" s="707"/>
      <c r="W83" s="112"/>
      <c r="AJ83" s="160">
        <f>U33</f>
        <v>0.2</v>
      </c>
      <c r="AK83" s="4">
        <f t="shared" si="9"/>
        <v>5.08</v>
      </c>
      <c r="AL83" s="5">
        <f>W33</f>
        <v>1.4596356365252166</v>
      </c>
      <c r="AM83" s="4">
        <f t="shared" si="7"/>
        <v>0.75550498784949105</v>
      </c>
      <c r="AN83" s="5">
        <f>AA33</f>
        <v>0.7131578947368421</v>
      </c>
      <c r="AO83" s="4">
        <f t="shared" si="10"/>
        <v>0.36912934510188511</v>
      </c>
      <c r="AP83" s="5">
        <f>AE33</f>
        <v>0.36856000000000005</v>
      </c>
      <c r="AQ83" s="162">
        <f t="shared" si="8"/>
        <v>0.19076604554865428</v>
      </c>
    </row>
    <row r="84" spans="2:43" ht="15" customHeight="1" x14ac:dyDescent="0.25">
      <c r="C84" s="94"/>
      <c r="D84" s="94"/>
      <c r="E84" s="94"/>
      <c r="F84" s="49"/>
      <c r="G84" s="43">
        <f>($M$34/(1+(E34*$M$34/100)))*($O$73)</f>
        <v>19.517518211646731</v>
      </c>
      <c r="H84" s="43">
        <f>($M$34/(1+(F34*$M$34/100)))*($O$73)</f>
        <v>18.370150511775083</v>
      </c>
      <c r="I84" s="43">
        <f>($M$34/(1+(G34*$M$34/100)))*($O$73)</f>
        <v>17.410782023972914</v>
      </c>
      <c r="J84" s="43">
        <f>($M$34/(1+(H34*$M$34/100)))*($O$73)</f>
        <v>16.540995223367993</v>
      </c>
      <c r="K84" s="43"/>
      <c r="O84" s="706" t="s">
        <v>146</v>
      </c>
      <c r="P84" s="706"/>
      <c r="Q84" s="706"/>
      <c r="R84" s="706"/>
      <c r="S84" s="707">
        <v>2240</v>
      </c>
      <c r="W84" s="112"/>
      <c r="AJ84" s="160">
        <f>U34</f>
        <v>0.3</v>
      </c>
      <c r="AK84" s="3">
        <f t="shared" si="9"/>
        <v>7.6199999999999992</v>
      </c>
      <c r="AL84" s="5">
        <f>W34</f>
        <v>1.9808798044878917</v>
      </c>
      <c r="AM84" s="3">
        <f t="shared" si="7"/>
        <v>1.0253001058425941</v>
      </c>
      <c r="AN84" s="5">
        <f>AA34</f>
        <v>1.0848684210526316</v>
      </c>
      <c r="AO84" s="3">
        <f t="shared" si="10"/>
        <v>0.56152609785332896</v>
      </c>
      <c r="AP84" s="5">
        <f>AE34</f>
        <v>0.498</v>
      </c>
      <c r="AQ84" s="161">
        <f t="shared" si="8"/>
        <v>0.25776397515527949</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2.3511075316596313</v>
      </c>
      <c r="AM85" s="3">
        <f t="shared" si="7"/>
        <v>1.2169293642130596</v>
      </c>
      <c r="AN85" s="5">
        <f>AA35</f>
        <v>1.4019736842105261</v>
      </c>
      <c r="AO85" s="3">
        <f t="shared" si="10"/>
        <v>0.72565925683774635</v>
      </c>
      <c r="AP85" s="5">
        <f>AE35</f>
        <v>0.63500000000000001</v>
      </c>
      <c r="AQ85" s="161">
        <f>((AP85/19.32)*10)</f>
        <v>0.32867494824016563</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2.5650000000000004</v>
      </c>
      <c r="AM86" s="164">
        <f t="shared" si="7"/>
        <v>1.3276397515527951</v>
      </c>
      <c r="AN86" s="165">
        <f>AA37</f>
        <v>1.6875</v>
      </c>
      <c r="AO86" s="164">
        <f t="shared" si="10"/>
        <v>0.87344720496894412</v>
      </c>
      <c r="AP86" s="165">
        <f>AE37</f>
        <v>0.72499999999999998</v>
      </c>
      <c r="AQ86" s="166">
        <f>((AP86/19.32)*10)</f>
        <v>0.37525879917184263</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1.7151619550428112</v>
      </c>
      <c r="AK91" s="9">
        <f>R31</f>
        <v>1.6287156852579141</v>
      </c>
      <c r="AL91" s="10">
        <f>S31</f>
        <v>1.5937999999999999</v>
      </c>
    </row>
    <row r="92" spans="2:43" ht="21" customHeight="1" thickBot="1" x14ac:dyDescent="0.3">
      <c r="B92" s="92"/>
      <c r="C92" s="93"/>
      <c r="D92" s="93"/>
      <c r="E92" s="93"/>
      <c r="F92" s="62"/>
      <c r="G92" s="63"/>
      <c r="H92" s="49"/>
      <c r="I92" s="49"/>
      <c r="O92" s="725" t="s">
        <v>147</v>
      </c>
      <c r="P92" s="726"/>
      <c r="Q92" s="726"/>
      <c r="R92" s="726"/>
      <c r="S92" s="61">
        <f>M42</f>
        <v>18.293333333333333</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5.463274191836506</v>
      </c>
      <c r="AK94" s="158">
        <f>AA42</f>
        <v>2.8205359018213456</v>
      </c>
      <c r="AL94" s="158">
        <f>AD42</f>
        <v>1.2624898730758842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276" priority="48">
      <formula>LEN(TRIM(D6))=0</formula>
    </cfRule>
  </conditionalFormatting>
  <conditionalFormatting sqref="D6:H10">
    <cfRule type="containsBlanks" dxfId="275" priority="47">
      <formula>LEN(TRIM(D6))=0</formula>
    </cfRule>
  </conditionalFormatting>
  <conditionalFormatting sqref="M19">
    <cfRule type="containsBlanks" dxfId="274" priority="46">
      <formula>LEN(TRIM(M19))=0</formula>
    </cfRule>
  </conditionalFormatting>
  <conditionalFormatting sqref="CP70">
    <cfRule type="containsBlanks" dxfId="273" priority="45">
      <formula>LEN(TRIM(CP70))=0</formula>
    </cfRule>
  </conditionalFormatting>
  <conditionalFormatting sqref="M21">
    <cfRule type="containsBlanks" dxfId="272" priority="44">
      <formula>LEN(TRIM(M21))=0</formula>
    </cfRule>
  </conditionalFormatting>
  <conditionalFormatting sqref="D12:M12">
    <cfRule type="containsBlanks" dxfId="271" priority="43">
      <formula>LEN(TRIM(D12))=0</formula>
    </cfRule>
  </conditionalFormatting>
  <conditionalFormatting sqref="L9:M9">
    <cfRule type="containsBlanks" dxfId="270" priority="42">
      <formula>LEN(TRIM(L9))=0</formula>
    </cfRule>
  </conditionalFormatting>
  <conditionalFormatting sqref="L25">
    <cfRule type="containsBlanks" dxfId="269" priority="41">
      <formula>LEN(TRIM(L25))=0</formula>
    </cfRule>
  </conditionalFormatting>
  <conditionalFormatting sqref="U26:V27 AC33 AC26">
    <cfRule type="cellIs" dxfId="268" priority="40" operator="between">
      <formula>0</formula>
      <formula>500</formula>
    </cfRule>
  </conditionalFormatting>
  <conditionalFormatting sqref="U33:V33">
    <cfRule type="cellIs" dxfId="267" priority="39" operator="between">
      <formula>0</formula>
      <formula>500</formula>
    </cfRule>
  </conditionalFormatting>
  <conditionalFormatting sqref="AF45:AH46">
    <cfRule type="containsBlanks" dxfId="266" priority="38">
      <formula>LEN(TRIM(AF45))=0</formula>
    </cfRule>
  </conditionalFormatting>
  <conditionalFormatting sqref="AF51:AG53">
    <cfRule type="containsBlanks" dxfId="265" priority="37">
      <formula>LEN(TRIM(AF51))=0</formula>
    </cfRule>
  </conditionalFormatting>
  <conditionalFormatting sqref="M25">
    <cfRule type="containsBlanks" dxfId="264" priority="36">
      <formula>LEN(TRIM(M25))=0</formula>
    </cfRule>
  </conditionalFormatting>
  <conditionalFormatting sqref="U26:V27 Y26:Z27 AC26:AD27 AG26:AG27">
    <cfRule type="containsBlanks" dxfId="263" priority="34">
      <formula>LEN(TRIM(U26))=0</formula>
    </cfRule>
    <cfRule type="cellIs" dxfId="262" priority="35" operator="between">
      <formula>0</formula>
      <formula>1000</formula>
    </cfRule>
  </conditionalFormatting>
  <conditionalFormatting sqref="W87:W88">
    <cfRule type="cellIs" dxfId="261" priority="33" operator="between">
      <formula>0</formula>
      <formula>500</formula>
    </cfRule>
  </conditionalFormatting>
  <conditionalFormatting sqref="W94">
    <cfRule type="cellIs" dxfId="260" priority="32" operator="between">
      <formula>0</formula>
      <formula>500</formula>
    </cfRule>
  </conditionalFormatting>
  <conditionalFormatting sqref="W87:W88">
    <cfRule type="containsBlanks" dxfId="259" priority="30">
      <formula>LEN(TRIM(W87))=0</formula>
    </cfRule>
    <cfRule type="cellIs" dxfId="258" priority="31" operator="between">
      <formula>0</formula>
      <formula>1000</formula>
    </cfRule>
  </conditionalFormatting>
  <conditionalFormatting sqref="U33:V33 Y33:Z33 AC33:AD33 AG33">
    <cfRule type="cellIs" dxfId="257" priority="29" operator="between">
      <formula>0</formula>
      <formula>1000</formula>
    </cfRule>
  </conditionalFormatting>
  <conditionalFormatting sqref="Q27:S27">
    <cfRule type="containsBlanks" dxfId="256" priority="27">
      <formula>LEN(TRIM(Q27))=0</formula>
    </cfRule>
    <cfRule type="containsBlanks" dxfId="255" priority="28">
      <formula>LEN(TRIM(Q27))=0</formula>
    </cfRule>
  </conditionalFormatting>
  <conditionalFormatting sqref="W30:W31 W33:W35 W37 W28 W22:W26">
    <cfRule type="containsBlanks" dxfId="254" priority="26">
      <formula>LEN(TRIM(W22))=0</formula>
    </cfRule>
  </conditionalFormatting>
  <conditionalFormatting sqref="W37 W30:W31 W33:W35 W28 W22:W26">
    <cfRule type="containsBlanks" dxfId="253" priority="25">
      <formula>LEN(TRIM(W22))=0</formula>
    </cfRule>
  </conditionalFormatting>
  <conditionalFormatting sqref="W33:X33">
    <cfRule type="cellIs" dxfId="252" priority="24" operator="between">
      <formula>0</formula>
      <formula>1000</formula>
    </cfRule>
  </conditionalFormatting>
  <conditionalFormatting sqref="W30:X37 W26 W28 W22:X25">
    <cfRule type="containsBlanks" dxfId="251" priority="23">
      <formula>LEN(TRIM(W22))=0</formula>
    </cfRule>
  </conditionalFormatting>
  <conditionalFormatting sqref="AA37 AA30:AA31 AA33 AA22:AA26 AA28 AA35">
    <cfRule type="containsBlanks" dxfId="250" priority="22">
      <formula>LEN(TRIM(AA22))=0</formula>
    </cfRule>
  </conditionalFormatting>
  <conditionalFormatting sqref="AA37 AA30:AA31 AA33 AA22:AA26 AA28 AA35">
    <cfRule type="containsBlanks" dxfId="249" priority="21">
      <formula>LEN(TRIM(AA22))=0</formula>
    </cfRule>
  </conditionalFormatting>
  <conditionalFormatting sqref="AA33:AB33">
    <cfRule type="cellIs" dxfId="248" priority="20" operator="between">
      <formula>0</formula>
      <formula>1000</formula>
    </cfRule>
  </conditionalFormatting>
  <conditionalFormatting sqref="AA30:AB30 AA31 AA33:AB33 AA22:AB25 AA26 AA28 AA35:AB37">
    <cfRule type="containsBlanks" dxfId="247" priority="19">
      <formula>LEN(TRIM(AA22))=0</formula>
    </cfRule>
  </conditionalFormatting>
  <conditionalFormatting sqref="AE37 AE28 AE30:AE31 AE33:AE35 AE22:AE26">
    <cfRule type="containsBlanks" dxfId="246" priority="18">
      <formula>LEN(TRIM(AE22))=0</formula>
    </cfRule>
  </conditionalFormatting>
  <conditionalFormatting sqref="AE37 AE28 AE30:AE31 AE33:AE35 AE22:AE26">
    <cfRule type="containsBlanks" dxfId="245" priority="17">
      <formula>LEN(TRIM(AE22))=0</formula>
    </cfRule>
  </conditionalFormatting>
  <conditionalFormatting sqref="AE33:AF33">
    <cfRule type="cellIs" dxfId="244" priority="16" operator="between">
      <formula>0</formula>
      <formula>1000</formula>
    </cfRule>
  </conditionalFormatting>
  <conditionalFormatting sqref="AE33:AF37 AE26 AE28 AE30:AE31 AE22:AF25">
    <cfRule type="containsBlanks" dxfId="243" priority="15">
      <formula>LEN(TRIM(AE22))=0</formula>
    </cfRule>
  </conditionalFormatting>
  <conditionalFormatting sqref="K6:M6">
    <cfRule type="containsBlanks" dxfId="242" priority="14">
      <formula>LEN(TRIM(K6))=0</formula>
    </cfRule>
  </conditionalFormatting>
  <conditionalFormatting sqref="K7:K8">
    <cfRule type="containsBlanks" dxfId="241" priority="13">
      <formula>LEN(TRIM(K7))=0</formula>
    </cfRule>
  </conditionalFormatting>
  <conditionalFormatting sqref="B6:B10">
    <cfRule type="containsBlanks" dxfId="240" priority="12">
      <formula>LEN(TRIM(B6))=0</formula>
    </cfRule>
  </conditionalFormatting>
  <conditionalFormatting sqref="B12:B13">
    <cfRule type="containsBlanks" dxfId="239" priority="11">
      <formula>LEN(TRIM(B12))=0</formula>
    </cfRule>
  </conditionalFormatting>
  <conditionalFormatting sqref="E20:H24">
    <cfRule type="containsBlanks" dxfId="238" priority="10">
      <formula>LEN(TRIM(E20))=0</formula>
    </cfRule>
  </conditionalFormatting>
  <conditionalFormatting sqref="E28:H33">
    <cfRule type="containsBlanks" dxfId="237" priority="9">
      <formula>LEN(TRIM(E28))=0</formula>
    </cfRule>
  </conditionalFormatting>
  <conditionalFormatting sqref="Q20:S26">
    <cfRule type="containsBlanks" dxfId="236" priority="7">
      <formula>LEN(TRIM(Q20))=0</formula>
    </cfRule>
    <cfRule type="containsBlanks" dxfId="235" priority="8">
      <formula>LEN(TRIM(Q20))=0</formula>
    </cfRule>
  </conditionalFormatting>
  <conditionalFormatting sqref="Q34:S39">
    <cfRule type="containsBlanks" dxfId="234" priority="6">
      <formula>LEN(TRIM(Q34))=0</formula>
    </cfRule>
  </conditionalFormatting>
  <conditionalFormatting sqref="Q42:S46">
    <cfRule type="containsBlanks" dxfId="233" priority="5">
      <formula>LEN(TRIM(Q42))=0</formula>
    </cfRule>
  </conditionalFormatting>
  <conditionalFormatting sqref="D13">
    <cfRule type="containsBlanks" dxfId="232" priority="2">
      <formula>LEN(TRIM(D13))=0</formula>
    </cfRule>
  </conditionalFormatting>
  <conditionalFormatting sqref="D13">
    <cfRule type="containsBlanks" dxfId="231" priority="1">
      <formula>LEN(TRIM(D13))=0</formula>
    </cfRule>
  </conditionalFormatting>
  <dataValidations count="5">
    <dataValidation type="list" allowBlank="1" showInputMessage="1" showErrorMessage="1" sqref="D12:E12" xr:uid="{00000000-0002-0000-3600-000000000000}">
      <formula1>$B$87:$B$94</formula1>
    </dataValidation>
    <dataValidation type="list" allowBlank="1" showInputMessage="1" showErrorMessage="1" sqref="CP70" xr:uid="{00000000-0002-0000-3600-000001000000}">
      <formula1>$BA$3:$BA$5</formula1>
    </dataValidation>
    <dataValidation type="list" allowBlank="1" showInputMessage="1" showErrorMessage="1" sqref="M19" xr:uid="{00000000-0002-0000-3600-000002000000}">
      <formula1>$AX$3:$AX$5</formula1>
    </dataValidation>
    <dataValidation type="list" allowBlank="1" showInputMessage="1" showErrorMessage="1" sqref="M21" xr:uid="{00000000-0002-0000-3600-000003000000}">
      <formula1>$AX$3:$AX$4</formula1>
    </dataValidation>
    <dataValidation type="list" allowBlank="1" showInputMessage="1" showErrorMessage="1" sqref="L25" xr:uid="{00000000-0002-0000-3600-000004000000}">
      <formula1>$D$101:$D$104</formula1>
    </dataValidation>
  </dataValidations>
  <hyperlinks>
    <hyperlink ref="D8" r:id="rId1" xr:uid="{00000000-0004-0000-36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91489"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91490"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91491"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9149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9149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91494"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91495"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9149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9149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9149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Hoja96">
    <tabColor theme="8" tint="0.79998168889431442"/>
  </sheetPr>
  <dimension ref="A1:CP153"/>
  <sheetViews>
    <sheetView view="pageBreakPreview" topLeftCell="S28" zoomScale="70" zoomScaleNormal="100" zoomScaleSheetLayoutView="7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25-T-CALEÑAS AP4-1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25-T-CALEÑAS AP4-1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315</v>
      </c>
      <c r="G12" s="31" t="s">
        <v>4</v>
      </c>
      <c r="H12" s="146">
        <v>1</v>
      </c>
      <c r="I12" s="546" t="s">
        <v>5</v>
      </c>
      <c r="J12" s="546"/>
      <c r="K12" s="209" t="s">
        <v>317</v>
      </c>
      <c r="L12" s="32" t="s">
        <v>6</v>
      </c>
      <c r="M12" s="147" t="s">
        <v>318</v>
      </c>
      <c r="N12" s="78"/>
      <c r="O12" s="501" t="s">
        <v>3</v>
      </c>
      <c r="P12" s="501"/>
      <c r="Q12" s="225" t="s">
        <v>234</v>
      </c>
      <c r="R12" s="224" t="str">
        <f>F12</f>
        <v>T-CALEÑAS AP4</v>
      </c>
      <c r="S12" s="224"/>
      <c r="T12" s="502" t="s">
        <v>4</v>
      </c>
      <c r="U12" s="502"/>
      <c r="V12" s="33">
        <f>+H12</f>
        <v>1</v>
      </c>
      <c r="W12" s="547" t="s">
        <v>5</v>
      </c>
      <c r="X12" s="547"/>
      <c r="Y12" s="547"/>
      <c r="Z12" s="547"/>
      <c r="AA12" s="547"/>
      <c r="AB12" s="547"/>
      <c r="AC12" s="34" t="str">
        <f>K12</f>
        <v>0,00m</v>
      </c>
      <c r="AD12" s="548" t="s">
        <v>6</v>
      </c>
      <c r="AE12" s="548"/>
      <c r="AF12" s="35" t="str">
        <f>+M12</f>
        <v>1,20m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316</v>
      </c>
      <c r="E13" s="791"/>
      <c r="F13" s="791"/>
      <c r="G13" s="791"/>
      <c r="H13" s="791"/>
      <c r="I13" s="791"/>
      <c r="J13" s="791"/>
      <c r="K13" s="791"/>
      <c r="L13" s="791"/>
      <c r="M13" s="791"/>
      <c r="N13" s="188"/>
      <c r="O13" s="526" t="s">
        <v>130</v>
      </c>
      <c r="P13" s="526"/>
      <c r="Q13" s="527" t="str">
        <f>D13</f>
        <v>GRAVAS ANGULARES, CON ARENA,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604</v>
      </c>
      <c r="R20" s="148">
        <v>236</v>
      </c>
      <c r="S20" s="149">
        <v>503</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7236</v>
      </c>
      <c r="F22" s="219">
        <v>7894</v>
      </c>
      <c r="G22" s="219">
        <v>8062</v>
      </c>
      <c r="H22" s="151">
        <v>7423</v>
      </c>
      <c r="I22" s="174"/>
      <c r="J22" s="578"/>
      <c r="K22" s="578"/>
      <c r="L22" s="578"/>
      <c r="M22" s="104"/>
      <c r="N22" s="103"/>
      <c r="O22" s="579" t="s">
        <v>132</v>
      </c>
      <c r="P22" s="580"/>
      <c r="Q22" s="150">
        <v>8824</v>
      </c>
      <c r="R22" s="219">
        <v>8415.655373146923</v>
      </c>
      <c r="S22" s="208">
        <v>8132</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0.20300000000000001</v>
      </c>
      <c r="AJ22" s="42">
        <f>AJ50/1.52</f>
        <v>0.13355263157894737</v>
      </c>
      <c r="AK22" s="42">
        <v>0.1024605358435916</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3830</v>
      </c>
      <c r="R23" s="150">
        <v>3703</v>
      </c>
      <c r="S23" s="151">
        <v>3841</v>
      </c>
      <c r="T23" s="174"/>
      <c r="U23" s="112">
        <v>2.5000000000000001E-2</v>
      </c>
      <c r="V23" s="113">
        <f>U23*25.4</f>
        <v>0.63500000000000001</v>
      </c>
      <c r="W23" s="581">
        <f>AI23</f>
        <v>2.2570000000000001</v>
      </c>
      <c r="X23" s="582"/>
      <c r="Y23" s="449">
        <f>((W23/19.32)*10)</f>
        <v>1.1682194616977226</v>
      </c>
      <c r="Z23" s="450"/>
      <c r="AA23" s="581">
        <v>0.97799999999999998</v>
      </c>
      <c r="AB23" s="582"/>
      <c r="AC23" s="449">
        <f>((AA23/19.32)*10)</f>
        <v>0.50621118012422361</v>
      </c>
      <c r="AD23" s="450"/>
      <c r="AE23" s="581">
        <f>AK23</f>
        <v>0.52531354091238236</v>
      </c>
      <c r="AF23" s="582"/>
      <c r="AG23" s="114">
        <f>((AE23/19.32)*10)</f>
        <v>0.27190141869170931</v>
      </c>
      <c r="AH23" s="104"/>
      <c r="AI23" s="42">
        <f t="shared" ref="AI23:AI33" si="2">AJ51</f>
        <v>2.2570000000000001</v>
      </c>
      <c r="AJ23" s="42">
        <f t="shared" ref="AJ23:AJ33" si="3">AJ51/1.52</f>
        <v>1.4848684210526317</v>
      </c>
      <c r="AK23" s="42">
        <v>0.52531354091238236</v>
      </c>
      <c r="AO23" s="42">
        <v>0.247</v>
      </c>
      <c r="AS23" s="42">
        <f t="shared" ref="AS23:AS37" si="4">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11.59</v>
      </c>
      <c r="R24" s="150">
        <v>11.65</v>
      </c>
      <c r="S24" s="151">
        <v>11.63</v>
      </c>
      <c r="T24" s="174"/>
      <c r="U24" s="112">
        <v>0.05</v>
      </c>
      <c r="V24" s="113">
        <f>U24*25.4</f>
        <v>1.27</v>
      </c>
      <c r="W24" s="581">
        <f>AI24</f>
        <v>6.0460000000000003</v>
      </c>
      <c r="X24" s="582"/>
      <c r="Y24" s="449">
        <f>((W24/19.32)*10)</f>
        <v>3.1293995859213251</v>
      </c>
      <c r="Z24" s="450"/>
      <c r="AA24" s="581">
        <v>3.1560000000000001</v>
      </c>
      <c r="AB24" s="582"/>
      <c r="AC24" s="449">
        <f>((AA24/19.32)*10)</f>
        <v>1.6335403726708075</v>
      </c>
      <c r="AD24" s="450"/>
      <c r="AE24" s="581">
        <f>AK24</f>
        <v>1.8670586531498912</v>
      </c>
      <c r="AF24" s="582"/>
      <c r="AG24" s="114">
        <f>((AE24/19.32)*10)</f>
        <v>0.96638646643369097</v>
      </c>
      <c r="AH24" s="104"/>
      <c r="AI24" s="42">
        <f t="shared" si="2"/>
        <v>6.0460000000000003</v>
      </c>
      <c r="AJ24" s="42">
        <f t="shared" si="3"/>
        <v>3.9776315789473684</v>
      </c>
      <c r="AK24" s="42">
        <v>1.8670586531498912</v>
      </c>
      <c r="AO24" s="42">
        <v>0.68400000000000005</v>
      </c>
      <c r="AS24" s="42">
        <f t="shared" si="4"/>
        <v>0.55609756097560981</v>
      </c>
    </row>
    <row r="25" spans="1:45" ht="24.95" customHeight="1" thickBot="1" x14ac:dyDescent="0.3">
      <c r="A25" s="103"/>
      <c r="B25" s="602" t="s">
        <v>69</v>
      </c>
      <c r="C25" s="603"/>
      <c r="D25" s="603"/>
      <c r="E25" s="115">
        <f>E22-E23</f>
        <v>4352</v>
      </c>
      <c r="F25" s="220">
        <f>F22-F23</f>
        <v>5010</v>
      </c>
      <c r="G25" s="220">
        <f>G22-G23</f>
        <v>5178</v>
      </c>
      <c r="H25" s="116">
        <f>H22-H23</f>
        <v>4539</v>
      </c>
      <c r="I25" s="174"/>
      <c r="J25" s="174" t="s">
        <v>127</v>
      </c>
      <c r="K25" s="174"/>
      <c r="L25" s="218" t="s">
        <v>128</v>
      </c>
      <c r="M25" s="155">
        <v>14.67</v>
      </c>
      <c r="N25" s="103"/>
      <c r="O25" s="604" t="s">
        <v>46</v>
      </c>
      <c r="P25" s="605"/>
      <c r="Q25" s="608">
        <v>15.21</v>
      </c>
      <c r="R25" s="608">
        <v>15.26</v>
      </c>
      <c r="S25" s="610">
        <v>15.26</v>
      </c>
      <c r="T25" s="174"/>
      <c r="U25" s="112">
        <v>7.4999999999999997E-2</v>
      </c>
      <c r="V25" s="113">
        <f>U25*25.4</f>
        <v>1.9049999999999998</v>
      </c>
      <c r="W25" s="581">
        <f>AI25</f>
        <v>8.7669999999999995</v>
      </c>
      <c r="X25" s="582"/>
      <c r="Y25" s="449">
        <f>((W25/19.32)*10)</f>
        <v>4.5377846790890262</v>
      </c>
      <c r="Z25" s="450"/>
      <c r="AA25" s="581">
        <v>5.4649999999999999</v>
      </c>
      <c r="AB25" s="582"/>
      <c r="AC25" s="449">
        <f>((AA25/19.32)*10)</f>
        <v>2.8286749482401659</v>
      </c>
      <c r="AD25" s="450"/>
      <c r="AE25" s="581">
        <f>AK25</f>
        <v>3.2177487328023169</v>
      </c>
      <c r="AF25" s="582"/>
      <c r="AG25" s="114">
        <f>((AE25/19.32)*10)</f>
        <v>1.6655014144939528</v>
      </c>
      <c r="AH25" s="104"/>
      <c r="AI25" s="42">
        <f t="shared" si="2"/>
        <v>8.7669999999999995</v>
      </c>
      <c r="AJ25" s="42">
        <f t="shared" si="3"/>
        <v>5.7677631578947368</v>
      </c>
      <c r="AK25" s="42">
        <v>3.2177487328023169</v>
      </c>
      <c r="AO25" s="42">
        <v>1.3149999999999999</v>
      </c>
      <c r="AS25" s="42">
        <f t="shared" si="4"/>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14.67</v>
      </c>
      <c r="N26" s="103"/>
      <c r="O26" s="606"/>
      <c r="P26" s="607"/>
      <c r="Q26" s="609"/>
      <c r="R26" s="609"/>
      <c r="S26" s="611"/>
      <c r="T26" s="174"/>
      <c r="U26" s="600">
        <v>0.1</v>
      </c>
      <c r="V26" s="601">
        <f>U26*25.4</f>
        <v>2.54</v>
      </c>
      <c r="W26" s="778">
        <f>AI26</f>
        <v>11.861000000000001</v>
      </c>
      <c r="X26" s="779"/>
      <c r="Y26" s="461">
        <f>((W26/19.32)*10)</f>
        <v>6.1392339544513463</v>
      </c>
      <c r="Z26" s="462"/>
      <c r="AA26" s="746">
        <v>7.6890000000000001</v>
      </c>
      <c r="AB26" s="747"/>
      <c r="AC26" s="461">
        <f>((AA26/19.32)*10)</f>
        <v>3.9798136645962732</v>
      </c>
      <c r="AD26" s="462"/>
      <c r="AE26" s="746">
        <f>AK26</f>
        <v>3.982950036205648</v>
      </c>
      <c r="AF26" s="747"/>
      <c r="AG26" s="469">
        <f>((AE26/19.32)*10)</f>
        <v>2.0615683417213497</v>
      </c>
      <c r="AH26" s="104"/>
      <c r="AI26" s="42">
        <f t="shared" si="2"/>
        <v>11.861000000000001</v>
      </c>
      <c r="AJ26" s="42">
        <f t="shared" si="3"/>
        <v>7.8032894736842104</v>
      </c>
      <c r="AK26" s="42">
        <v>3.982950036205648</v>
      </c>
      <c r="AO26" s="42">
        <v>1.875</v>
      </c>
      <c r="AS26" s="42">
        <f t="shared" si="4"/>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2105.8709102203647</v>
      </c>
      <c r="R27" s="152">
        <f>(PI()*((R25^2)/4)*R24)</f>
        <v>2130.7125993830891</v>
      </c>
      <c r="S27" s="153">
        <f>(PI()*((S25^2)/4)*S24)</f>
        <v>2127.054723675994</v>
      </c>
      <c r="T27" s="174"/>
      <c r="U27" s="600"/>
      <c r="V27" s="601"/>
      <c r="W27" s="780"/>
      <c r="X27" s="781"/>
      <c r="Y27" s="463"/>
      <c r="Z27" s="464"/>
      <c r="AA27" s="748"/>
      <c r="AB27" s="749"/>
      <c r="AC27" s="463"/>
      <c r="AD27" s="464"/>
      <c r="AE27" s="748"/>
      <c r="AF27" s="749"/>
      <c r="AG27" s="470"/>
      <c r="AH27" s="193"/>
      <c r="AI27" s="42">
        <f t="shared" si="2"/>
        <v>15.189</v>
      </c>
      <c r="AJ27" s="42">
        <f t="shared" si="3"/>
        <v>9.9927631578947373</v>
      </c>
      <c r="AK27" s="42">
        <v>4.5936473569876899</v>
      </c>
      <c r="AO27" s="42">
        <v>2.387</v>
      </c>
      <c r="AS27" s="42">
        <f t="shared" si="4"/>
        <v>1.9406504065040651</v>
      </c>
    </row>
    <row r="28" spans="1:45" ht="24.95" customHeight="1" thickBot="1" x14ac:dyDescent="0.3">
      <c r="A28" s="103"/>
      <c r="B28" s="560" t="s">
        <v>9</v>
      </c>
      <c r="C28" s="561"/>
      <c r="D28" s="561"/>
      <c r="E28" s="148">
        <v>786</v>
      </c>
      <c r="F28" s="148">
        <v>703</v>
      </c>
      <c r="G28" s="148">
        <v>700</v>
      </c>
      <c r="H28" s="149">
        <v>607</v>
      </c>
      <c r="I28" s="174"/>
      <c r="J28" s="597" t="s">
        <v>107</v>
      </c>
      <c r="K28" s="597"/>
      <c r="L28" s="562" t="s">
        <v>119</v>
      </c>
      <c r="M28" s="459">
        <f>IF(M26="","",(100-M26))</f>
        <v>85.33</v>
      </c>
      <c r="N28" s="103"/>
      <c r="O28" s="625" t="s">
        <v>136</v>
      </c>
      <c r="P28" s="626"/>
      <c r="Q28" s="220">
        <f>Q22-Q23</f>
        <v>4994</v>
      </c>
      <c r="R28" s="220">
        <f>R22-R23</f>
        <v>4712.655373146923</v>
      </c>
      <c r="S28" s="220">
        <f>S22-S23</f>
        <v>4291</v>
      </c>
      <c r="T28" s="174"/>
      <c r="U28" s="627">
        <v>0.125</v>
      </c>
      <c r="V28" s="624">
        <f>U28*25.4</f>
        <v>3.1749999999999998</v>
      </c>
      <c r="W28" s="593">
        <f>AI27</f>
        <v>15.189</v>
      </c>
      <c r="X28" s="594"/>
      <c r="Y28" s="439">
        <f>((W28/19.32)*10)</f>
        <v>7.8618012422360248</v>
      </c>
      <c r="Z28" s="440"/>
      <c r="AA28" s="593">
        <f>AJ27</f>
        <v>9.9927631578947373</v>
      </c>
      <c r="AB28" s="594"/>
      <c r="AC28" s="439">
        <f>((AA28/19.32)*10)</f>
        <v>5.1722376593658055</v>
      </c>
      <c r="AD28" s="440"/>
      <c r="AE28" s="593">
        <f>AK27</f>
        <v>4.5936473569876899</v>
      </c>
      <c r="AF28" s="594"/>
      <c r="AG28" s="443">
        <f>((AE28/19.32)*10)</f>
        <v>2.3776642634511851</v>
      </c>
      <c r="AH28" s="104"/>
      <c r="AI28" s="42">
        <f t="shared" si="2"/>
        <v>18.497</v>
      </c>
      <c r="AJ28" s="42">
        <f t="shared" si="3"/>
        <v>12.169078947368421</v>
      </c>
      <c r="AK28" s="42">
        <v>5.1766965966690801</v>
      </c>
      <c r="AO28" s="42">
        <v>2.8959999999999999</v>
      </c>
      <c r="AS28" s="42">
        <f t="shared" si="4"/>
        <v>2.3544715447154472</v>
      </c>
    </row>
    <row r="29" spans="1:45" ht="5.0999999999999996" customHeight="1" thickBot="1" x14ac:dyDescent="0.3">
      <c r="A29" s="103"/>
      <c r="B29" s="612" t="s">
        <v>73</v>
      </c>
      <c r="C29" s="613"/>
      <c r="D29" s="614"/>
      <c r="E29" s="618">
        <v>677.45</v>
      </c>
      <c r="F29" s="618">
        <v>780.82</v>
      </c>
      <c r="G29" s="618">
        <v>771.69</v>
      </c>
      <c r="H29" s="620">
        <v>882.44</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20.992999999999999</v>
      </c>
      <c r="AJ29" s="42">
        <f t="shared" si="3"/>
        <v>13.811184210526315</v>
      </c>
      <c r="AK29" s="42">
        <v>5.7451086169442434</v>
      </c>
      <c r="AO29" s="42">
        <v>3.3879999999999999</v>
      </c>
      <c r="AS29" s="42">
        <f t="shared" si="4"/>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21.9770401409396</v>
      </c>
      <c r="N30" s="103"/>
      <c r="O30" s="622" t="s">
        <v>134</v>
      </c>
      <c r="P30" s="623"/>
      <c r="Q30" s="229">
        <f>Q28/Q27</f>
        <v>2.371465399784364</v>
      </c>
      <c r="R30" s="229">
        <f>R28/R27</f>
        <v>2.211774302414784</v>
      </c>
      <c r="S30" s="131">
        <f>S28/S27</f>
        <v>2.0173434901497305</v>
      </c>
      <c r="T30" s="174"/>
      <c r="U30" s="120">
        <v>0.15</v>
      </c>
      <c r="V30" s="113">
        <f>U30*25.4</f>
        <v>3.8099999999999996</v>
      </c>
      <c r="W30" s="581">
        <f>AI28</f>
        <v>18.497</v>
      </c>
      <c r="X30" s="582"/>
      <c r="Y30" s="449">
        <f>((W30/19.32)*10)</f>
        <v>9.5740165631469978</v>
      </c>
      <c r="Z30" s="450"/>
      <c r="AA30" s="581">
        <f>AJ28</f>
        <v>12.169078947368421</v>
      </c>
      <c r="AB30" s="582"/>
      <c r="AC30" s="449">
        <f>((AA30/19.32)*10)</f>
        <v>6.2986951073335504</v>
      </c>
      <c r="AD30" s="450"/>
      <c r="AE30" s="581">
        <f>AK28</f>
        <v>5.1766965966690801</v>
      </c>
      <c r="AF30" s="582"/>
      <c r="AG30" s="114">
        <f>((AE30/19.32)*10)</f>
        <v>2.6794495841972465</v>
      </c>
      <c r="AH30" s="104"/>
      <c r="AI30" s="42">
        <f t="shared" si="2"/>
        <v>23.091999999999999</v>
      </c>
      <c r="AJ30" s="42">
        <f t="shared" si="3"/>
        <v>15.192105263157893</v>
      </c>
      <c r="AK30" s="42">
        <v>6.2753012309920351</v>
      </c>
      <c r="AO30" s="42">
        <v>3.8439999999999999</v>
      </c>
      <c r="AS30" s="42">
        <f t="shared" si="4"/>
        <v>3.1252032520325201</v>
      </c>
    </row>
    <row r="31" spans="1:45" ht="24.95" customHeight="1" thickBot="1" x14ac:dyDescent="0.3">
      <c r="A31" s="103"/>
      <c r="B31" s="576" t="s">
        <v>74</v>
      </c>
      <c r="C31" s="577"/>
      <c r="D31" s="577"/>
      <c r="E31" s="152">
        <v>659.45876833074999</v>
      </c>
      <c r="F31" s="152">
        <v>740.23442919140723</v>
      </c>
      <c r="G31" s="152">
        <v>712.80426589604667</v>
      </c>
      <c r="H31" s="153">
        <v>791.89791009972316</v>
      </c>
      <c r="I31" s="174"/>
      <c r="J31" s="597" t="s">
        <v>138</v>
      </c>
      <c r="K31" s="597"/>
      <c r="L31" s="562" t="s">
        <v>116</v>
      </c>
      <c r="M31" s="457">
        <v>2.72</v>
      </c>
      <c r="N31" s="121"/>
      <c r="O31" s="628" t="s">
        <v>135</v>
      </c>
      <c r="P31" s="629"/>
      <c r="Q31" s="122">
        <f>Q30/(1+Q40/100)</f>
        <v>2.2064714409725554</v>
      </c>
      <c r="R31" s="122">
        <f>R30/(1+R40/100)</f>
        <v>2.0605310089637983</v>
      </c>
      <c r="S31" s="123">
        <f>S30/(1+S40/100)</f>
        <v>1.8788779312026982</v>
      </c>
      <c r="T31" s="174"/>
      <c r="U31" s="627">
        <v>0.17499999999999999</v>
      </c>
      <c r="V31" s="624">
        <f>U31*25.4</f>
        <v>4.4449999999999994</v>
      </c>
      <c r="W31" s="593">
        <f>AI29</f>
        <v>20.992999999999999</v>
      </c>
      <c r="X31" s="594"/>
      <c r="Y31" s="439">
        <f>((W31/19.32)*10)</f>
        <v>10.865942028985508</v>
      </c>
      <c r="Z31" s="440"/>
      <c r="AA31" s="593">
        <f>AJ29</f>
        <v>13.811184210526315</v>
      </c>
      <c r="AB31" s="594"/>
      <c r="AC31" s="439">
        <f>((AA31/19.32)*10)</f>
        <v>7.1486460717009912</v>
      </c>
      <c r="AD31" s="440"/>
      <c r="AE31" s="593">
        <f>AK29</f>
        <v>5.7451086169442434</v>
      </c>
      <c r="AF31" s="594"/>
      <c r="AG31" s="443">
        <f>((AE31/19.32)*10)</f>
        <v>2.973658704422486</v>
      </c>
      <c r="AH31" s="104"/>
      <c r="AI31" s="42">
        <f t="shared" si="2"/>
        <v>31.68</v>
      </c>
      <c r="AJ31" s="42">
        <f t="shared" si="3"/>
        <v>20.842105263157894</v>
      </c>
      <c r="AK31" s="42">
        <v>8.1504916727009409</v>
      </c>
      <c r="AO31" s="42">
        <v>5.516</v>
      </c>
      <c r="AS31" s="42">
        <f t="shared" si="4"/>
        <v>4.4845528455284551</v>
      </c>
    </row>
    <row r="32" spans="1:45" ht="5.0999999999999996" customHeight="1" thickBot="1" x14ac:dyDescent="0.3">
      <c r="A32" s="103"/>
      <c r="B32" s="612" t="s">
        <v>75</v>
      </c>
      <c r="C32" s="613"/>
      <c r="D32" s="614"/>
      <c r="E32" s="618">
        <v>49.72</v>
      </c>
      <c r="F32" s="618">
        <v>48.83</v>
      </c>
      <c r="G32" s="618">
        <v>48.93</v>
      </c>
      <c r="H32" s="620">
        <v>47.92</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38.340000000000003</v>
      </c>
      <c r="AJ32" s="42">
        <f t="shared" si="3"/>
        <v>25.223684210526319</v>
      </c>
      <c r="AK32" s="42">
        <v>9.7638385228095572</v>
      </c>
      <c r="AO32" s="42">
        <v>6.7220000000000004</v>
      </c>
      <c r="AS32" s="42">
        <f t="shared" si="4"/>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10.199999999999999</v>
      </c>
      <c r="N33" s="101"/>
      <c r="O33" s="634" t="s">
        <v>25</v>
      </c>
      <c r="P33" s="635"/>
      <c r="Q33" s="635"/>
      <c r="R33" s="635"/>
      <c r="S33" s="636"/>
      <c r="T33" s="174"/>
      <c r="U33" s="117">
        <v>0.2</v>
      </c>
      <c r="V33" s="124">
        <f>U33*25.4</f>
        <v>5.08</v>
      </c>
      <c r="W33" s="581">
        <f>AI30</f>
        <v>23.091999999999999</v>
      </c>
      <c r="X33" s="582"/>
      <c r="Y33" s="449">
        <f>((W33/19.32)*10)</f>
        <v>11.952380952380953</v>
      </c>
      <c r="Z33" s="450"/>
      <c r="AA33" s="581">
        <f>AJ30</f>
        <v>15.192105263157893</v>
      </c>
      <c r="AB33" s="582"/>
      <c r="AC33" s="449">
        <f>((AA33/19.32)*10)</f>
        <v>7.8634085213032581</v>
      </c>
      <c r="AD33" s="450"/>
      <c r="AE33" s="581">
        <f>AK30</f>
        <v>6.2753012309920351</v>
      </c>
      <c r="AF33" s="582"/>
      <c r="AG33" s="144">
        <f>((AE33/19.32)*10)</f>
        <v>3.2480855232878025</v>
      </c>
      <c r="AH33" s="104"/>
      <c r="AI33" s="42">
        <f t="shared" si="2"/>
        <v>43.207999999999998</v>
      </c>
      <c r="AJ33" s="42">
        <f t="shared" si="3"/>
        <v>28.426315789473684</v>
      </c>
      <c r="AK33" s="42">
        <v>11.230813178855902</v>
      </c>
      <c r="AO33" s="42">
        <v>7.7720000000000002</v>
      </c>
      <c r="AS33" s="42">
        <f t="shared" si="4"/>
        <v>6.3186991869918705</v>
      </c>
    </row>
    <row r="34" spans="1:45" ht="24.95" customHeight="1" thickBot="1" x14ac:dyDescent="0.3">
      <c r="A34" s="103"/>
      <c r="B34" s="602" t="s">
        <v>10</v>
      </c>
      <c r="C34" s="603"/>
      <c r="D34" s="603"/>
      <c r="E34" s="125">
        <f>((E29-E31)/(E31-E32))*100</f>
        <v>2.9506458509278839</v>
      </c>
      <c r="F34" s="125">
        <f>((F29-F31)/(F31-F32))*100</f>
        <v>5.8700189201936945</v>
      </c>
      <c r="G34" s="125">
        <f>((G29-G31)/(G31-G32))*100</f>
        <v>8.8700130625599591</v>
      </c>
      <c r="H34" s="126">
        <f>((H29-H31)/(H31-H32))*100</f>
        <v>12.169997075335285</v>
      </c>
      <c r="I34" s="174"/>
      <c r="J34" s="630" t="s">
        <v>125</v>
      </c>
      <c r="K34" s="630"/>
      <c r="L34" s="184" t="s">
        <v>126</v>
      </c>
      <c r="M34" s="245">
        <v>2.72</v>
      </c>
      <c r="N34" s="128"/>
      <c r="O34" s="631" t="s">
        <v>9</v>
      </c>
      <c r="P34" s="632"/>
      <c r="Q34" s="156">
        <v>355</v>
      </c>
      <c r="R34" s="156">
        <v>803</v>
      </c>
      <c r="S34" s="157">
        <v>809</v>
      </c>
      <c r="T34" s="174"/>
      <c r="U34" s="120">
        <v>0.3</v>
      </c>
      <c r="V34" s="113">
        <f>U34*25.4</f>
        <v>7.6199999999999992</v>
      </c>
      <c r="W34" s="581">
        <f>AI31</f>
        <v>31.68</v>
      </c>
      <c r="X34" s="582"/>
      <c r="Y34" s="449">
        <f>((W34/19.32)*10)</f>
        <v>16.397515527950311</v>
      </c>
      <c r="Z34" s="450"/>
      <c r="AA34" s="449">
        <v>18.463999999999999</v>
      </c>
      <c r="AB34" s="450"/>
      <c r="AC34" s="449">
        <f>((AA34/19.32)*10)</f>
        <v>9.5569358178053818</v>
      </c>
      <c r="AD34" s="450"/>
      <c r="AE34" s="581">
        <f>AK31</f>
        <v>8.1504916727009409</v>
      </c>
      <c r="AF34" s="582"/>
      <c r="AG34" s="114">
        <f>((AE34/19.32)*10)</f>
        <v>4.2186809900108386</v>
      </c>
      <c r="AH34" s="104"/>
      <c r="AS34" s="42">
        <f t="shared" si="4"/>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840.31</v>
      </c>
      <c r="R35" s="608">
        <v>796.04</v>
      </c>
      <c r="S35" s="610">
        <v>877.23</v>
      </c>
      <c r="T35" s="174"/>
      <c r="U35" s="627">
        <v>0.4</v>
      </c>
      <c r="V35" s="624">
        <f>U35*25.4</f>
        <v>10.16</v>
      </c>
      <c r="W35" s="593">
        <f>AI32</f>
        <v>38.340000000000003</v>
      </c>
      <c r="X35" s="594"/>
      <c r="Y35" s="439">
        <f>((W35/19.32)*10)</f>
        <v>19.844720496894411</v>
      </c>
      <c r="Z35" s="440"/>
      <c r="AA35" s="593">
        <v>20.782</v>
      </c>
      <c r="AB35" s="594"/>
      <c r="AC35" s="439">
        <f>(AA35/19.32)*10</f>
        <v>10.756728778467908</v>
      </c>
      <c r="AD35" s="440"/>
      <c r="AE35" s="593">
        <f>AK32</f>
        <v>9.7638385228095572</v>
      </c>
      <c r="AF35" s="594"/>
      <c r="AG35" s="443">
        <f>((AE35/19.32)*10)</f>
        <v>5.0537466474169541</v>
      </c>
      <c r="AH35" s="104"/>
      <c r="AS35" s="42">
        <f t="shared" si="4"/>
        <v>0</v>
      </c>
    </row>
    <row r="36" spans="1:45" ht="20.100000000000001" customHeight="1" thickBot="1" x14ac:dyDescent="0.3">
      <c r="A36" s="103"/>
      <c r="B36" s="639" t="s">
        <v>71</v>
      </c>
      <c r="C36" s="640"/>
      <c r="D36" s="640"/>
      <c r="E36" s="130">
        <f>E25/E24</f>
        <v>2.0260707635009312</v>
      </c>
      <c r="F36" s="130">
        <f>F25/F24</f>
        <v>2.3324022346368714</v>
      </c>
      <c r="G36" s="130">
        <f>G25/G24</f>
        <v>2.4106145251396649</v>
      </c>
      <c r="H36" s="131">
        <f>H25/H24</f>
        <v>2.1131284916201118</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4"/>
        <v>0</v>
      </c>
    </row>
    <row r="37" spans="1:45" ht="24.95" customHeight="1" thickBot="1" x14ac:dyDescent="0.3">
      <c r="A37" s="103"/>
      <c r="B37" s="602" t="s">
        <v>72</v>
      </c>
      <c r="C37" s="603"/>
      <c r="D37" s="603"/>
      <c r="E37" s="122">
        <f>E36/(1+E34/100)</f>
        <v>1.9680019943096554</v>
      </c>
      <c r="F37" s="230">
        <f>F36/(1+F34/100)</f>
        <v>2.203080965155082</v>
      </c>
      <c r="G37" s="230">
        <f>G36/(1+G34/100)</f>
        <v>2.2142134985824367</v>
      </c>
      <c r="H37" s="123">
        <f>H36/(1+H34/100)</f>
        <v>1.8838624825860508</v>
      </c>
      <c r="I37" s="174"/>
      <c r="J37" s="641" t="s">
        <v>139</v>
      </c>
      <c r="K37" s="641"/>
      <c r="L37" s="643" t="s">
        <v>121</v>
      </c>
      <c r="M37" s="433">
        <f>IF(F74="","",(M42^2*F74+M42*F75+F76))</f>
        <v>2.2402691275167785</v>
      </c>
      <c r="N37" s="101"/>
      <c r="O37" s="576" t="s">
        <v>28</v>
      </c>
      <c r="P37" s="577"/>
      <c r="Q37" s="150">
        <v>789.19</v>
      </c>
      <c r="R37" s="152">
        <v>744.7727281652526</v>
      </c>
      <c r="S37" s="153">
        <v>820.35073050321262</v>
      </c>
      <c r="T37" s="174"/>
      <c r="U37" s="132">
        <v>0.5</v>
      </c>
      <c r="V37" s="133">
        <f>U37*25.4</f>
        <v>12.7</v>
      </c>
      <c r="W37" s="637">
        <f>AI33</f>
        <v>43.207999999999998</v>
      </c>
      <c r="X37" s="638"/>
      <c r="Y37" s="431">
        <f>((W37/19.32)*10)</f>
        <v>22.364389233954451</v>
      </c>
      <c r="Z37" s="432"/>
      <c r="AA37" s="637">
        <v>22.465299999999999</v>
      </c>
      <c r="AB37" s="638"/>
      <c r="AC37" s="431">
        <f>((AA37/19.32)*10)</f>
        <v>11.628002070393375</v>
      </c>
      <c r="AD37" s="432"/>
      <c r="AE37" s="637">
        <v>11.026</v>
      </c>
      <c r="AF37" s="638"/>
      <c r="AG37" s="134">
        <f>((AE37/19.32)*10)</f>
        <v>5.7070393374741197</v>
      </c>
      <c r="AH37" s="104"/>
      <c r="AS37" s="42">
        <f t="shared" si="4"/>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105.56</v>
      </c>
      <c r="R38" s="647">
        <v>46.31</v>
      </c>
      <c r="S38" s="648">
        <v>48.54</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2.3107315316938992</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21.9770401409396</v>
      </c>
      <c r="N40" s="103"/>
      <c r="O40" s="628" t="s">
        <v>10</v>
      </c>
      <c r="P40" s="629"/>
      <c r="Q40" s="125">
        <f>((Q35-Q37)/(Q37-Q38))*100</f>
        <v>7.4777291809896989</v>
      </c>
      <c r="R40" s="125">
        <f>((R35-R37)/(R37-R38))*100</f>
        <v>7.3400154034586924</v>
      </c>
      <c r="S40" s="126">
        <f>((S35-S37)/(S37-S38))*100</f>
        <v>7.3695878081019561</v>
      </c>
      <c r="T40" s="174"/>
      <c r="U40" s="645" t="s">
        <v>151</v>
      </c>
      <c r="V40" s="646"/>
      <c r="W40" s="423">
        <f>(AM79/6.9)*100</f>
        <v>88.974405136976031</v>
      </c>
      <c r="X40" s="423"/>
      <c r="Y40" s="423"/>
      <c r="Z40" s="424"/>
      <c r="AA40" s="425">
        <f>(AO79/6.9)*100</f>
        <v>57.678458907192365</v>
      </c>
      <c r="AB40" s="426"/>
      <c r="AC40" s="427"/>
      <c r="AD40" s="425">
        <f>(AQ79/6.9)*100</f>
        <v>29.877802053932601</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22.668276325917155</v>
      </c>
      <c r="N41" s="138"/>
      <c r="O41" s="565" t="s">
        <v>36</v>
      </c>
      <c r="P41" s="566"/>
      <c r="Q41" s="566"/>
      <c r="R41" s="566"/>
      <c r="S41" s="567"/>
      <c r="T41" s="174"/>
      <c r="U41" s="653" t="s">
        <v>152</v>
      </c>
      <c r="V41" s="654"/>
      <c r="W41" s="418">
        <f>(AM83/10.3)*100</f>
        <v>116.04253351826166</v>
      </c>
      <c r="X41" s="418"/>
      <c r="Y41" s="418"/>
      <c r="Z41" s="419"/>
      <c r="AA41" s="420">
        <f>(AO83/10.3)*100</f>
        <v>76.343772051487932</v>
      </c>
      <c r="AB41" s="421"/>
      <c r="AC41" s="418"/>
      <c r="AD41" s="420">
        <f>(AQ83/10.3)*100</f>
        <v>31.534810905706816</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7.2550335570469802</v>
      </c>
      <c r="N42" s="103"/>
      <c r="O42" s="639" t="s">
        <v>9</v>
      </c>
      <c r="P42" s="640"/>
      <c r="Q42" s="148">
        <v>347</v>
      </c>
      <c r="R42" s="148">
        <v>693</v>
      </c>
      <c r="S42" s="149">
        <v>784</v>
      </c>
      <c r="T42" s="174"/>
      <c r="U42" s="651" t="s">
        <v>42</v>
      </c>
      <c r="V42" s="652"/>
      <c r="W42" s="413">
        <f>IF(W40&lt;W41,W40,W41)</f>
        <v>88.974405136976031</v>
      </c>
      <c r="X42" s="414"/>
      <c r="Y42" s="414"/>
      <c r="Z42" s="415"/>
      <c r="AA42" s="416">
        <f>IF(AA40&lt;AA41,AA40,AA41)</f>
        <v>57.678458907192365</v>
      </c>
      <c r="AB42" s="414"/>
      <c r="AC42" s="415"/>
      <c r="AD42" s="416">
        <f>IF(AD40&lt;AD41,AD40,AD41)</f>
        <v>29.877802053932601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5.7912751677852352</v>
      </c>
      <c r="N43" s="103"/>
      <c r="O43" s="612" t="s">
        <v>49</v>
      </c>
      <c r="P43" s="614"/>
      <c r="Q43" s="608">
        <v>1105.3499999999999</v>
      </c>
      <c r="R43" s="608">
        <v>977.41</v>
      </c>
      <c r="S43" s="620">
        <v>911.68</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1024.8599999999999</v>
      </c>
      <c r="R45" s="152">
        <v>893.36347660945751</v>
      </c>
      <c r="S45" s="153">
        <v>825.43404641775442</v>
      </c>
      <c r="T45" s="174"/>
      <c r="U45" s="656" t="s">
        <v>139</v>
      </c>
      <c r="V45" s="656"/>
      <c r="W45" s="179" t="s">
        <v>121</v>
      </c>
      <c r="X45" s="406">
        <f>MAX(M37:M39)</f>
        <v>2.3107315316938992</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101.24</v>
      </c>
      <c r="R46" s="150">
        <v>47.75</v>
      </c>
      <c r="S46" s="151">
        <v>46.29</v>
      </c>
      <c r="T46" s="174"/>
      <c r="U46" s="555" t="s">
        <v>123</v>
      </c>
      <c r="V46" s="555"/>
      <c r="W46" s="179" t="s">
        <v>41</v>
      </c>
      <c r="X46" s="401">
        <f>MIN(M42:M44)</f>
        <v>5.7912751677852352</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8.7146228968623483</v>
      </c>
      <c r="R47" s="125">
        <f>((R43-R45)/(R45-R46))*100</f>
        <v>9.9391182514654908</v>
      </c>
      <c r="S47" s="126">
        <f>((S43-S45)/(S45-S46))*100</f>
        <v>11.069320747399122</v>
      </c>
      <c r="T47" s="174"/>
      <c r="U47" s="555" t="s">
        <v>162</v>
      </c>
      <c r="V47" s="555"/>
      <c r="W47" s="179" t="s">
        <v>41</v>
      </c>
      <c r="X47" s="402">
        <f>IF(L25=D103,"-",IF(L25=D102,"-",IF(L25=D101,M25)))</f>
        <v>14.67</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0.17532355478861045</v>
      </c>
      <c r="AG48" s="142">
        <f>IF(AG47&lt;&gt;"",IF(R24&lt;&gt;"",AG47/R24*100,""),"")</f>
        <v>0.49055793991416324</v>
      </c>
      <c r="AH48" s="173">
        <f>IF(AH47&lt;&gt;"",IF(S24&lt;&gt;"",AH47/S24*100,""),"")</f>
        <v>0.84084264832330202</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0.20300000000000001</v>
      </c>
      <c r="AK50" s="42">
        <v>0.126</v>
      </c>
      <c r="AL50" s="42">
        <f>11.23*AK50/13.81</f>
        <v>0.1024605358435916</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2.2570000000000001</v>
      </c>
      <c r="AK51" s="42">
        <v>0.64600000000000002</v>
      </c>
      <c r="AL51" s="42">
        <f t="shared" ref="AL51:AL61" si="5">11.23*AK51/13.81</f>
        <v>0.52531354091238236</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6.0460000000000003</v>
      </c>
      <c r="AK52" s="42">
        <v>2.2959999999999998</v>
      </c>
      <c r="AL52" s="42">
        <f t="shared" si="5"/>
        <v>1.8670586531498912</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8.7669999999999995</v>
      </c>
      <c r="AK53" s="42">
        <v>3.9569999999999999</v>
      </c>
      <c r="AL53" s="42">
        <f t="shared" si="5"/>
        <v>3.2177487328023169</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11.861000000000001</v>
      </c>
      <c r="AK54" s="42">
        <v>4.8979999999999997</v>
      </c>
      <c r="AL54" s="42">
        <f t="shared" si="5"/>
        <v>3.982950036205648</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15.189</v>
      </c>
      <c r="AK55" s="42">
        <v>5.649</v>
      </c>
      <c r="AL55" s="42">
        <f t="shared" si="5"/>
        <v>4.5936473569876899</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18.497</v>
      </c>
      <c r="AK56" s="42">
        <v>6.3659999999999997</v>
      </c>
      <c r="AL56" s="42">
        <f t="shared" si="5"/>
        <v>5.1766965966690801</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20.992999999999999</v>
      </c>
      <c r="AK57" s="42">
        <v>7.0650000000000004</v>
      </c>
      <c r="AL57" s="42">
        <f t="shared" si="5"/>
        <v>5.7451086169442434</v>
      </c>
      <c r="AM57" s="42">
        <v>20.577999999999999</v>
      </c>
    </row>
    <row r="58" spans="1:39" ht="15.75" x14ac:dyDescent="0.25">
      <c r="A58" s="103"/>
      <c r="B58" s="174"/>
      <c r="C58" s="174"/>
      <c r="D58" s="174"/>
      <c r="E58" s="174"/>
      <c r="F58" s="174"/>
      <c r="G58" s="174"/>
      <c r="H58" s="174"/>
      <c r="I58" s="174"/>
      <c r="J58" s="689" t="s">
        <v>189</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23.091999999999999</v>
      </c>
      <c r="AK58" s="42">
        <v>7.7169999999999996</v>
      </c>
      <c r="AL58" s="42">
        <f t="shared" si="5"/>
        <v>6.2753012309920351</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31.68</v>
      </c>
      <c r="AK59" s="42">
        <v>10.023</v>
      </c>
      <c r="AL59" s="42">
        <f t="shared" si="5"/>
        <v>8.1504916727009409</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38.340000000000003</v>
      </c>
      <c r="AK60" s="42">
        <v>12.007</v>
      </c>
      <c r="AL60" s="42">
        <f t="shared" si="5"/>
        <v>9.7638385228095572</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43.207999999999998</v>
      </c>
      <c r="AK61" s="42">
        <v>13.811</v>
      </c>
      <c r="AL61" s="42">
        <f t="shared" si="5"/>
        <v>11.230813178855902</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10.199999999999999</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-1.49E-2</v>
      </c>
      <c r="G74" s="75">
        <v>-0.12509999999999999</v>
      </c>
      <c r="J74" s="701"/>
      <c r="K74" s="702"/>
      <c r="L74" s="44"/>
      <c r="M74" s="44"/>
      <c r="N74" s="44"/>
    </row>
    <row r="75" spans="1:94" ht="26.25" customHeight="1" thickBot="1" x14ac:dyDescent="0.3">
      <c r="A75" s="11"/>
      <c r="B75" s="377" t="s">
        <v>113</v>
      </c>
      <c r="C75" s="377"/>
      <c r="D75" s="19"/>
      <c r="E75" s="54" t="s">
        <v>12</v>
      </c>
      <c r="F75" s="55">
        <v>0.2162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1.456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2.2570000000000001</v>
      </c>
      <c r="AM76" s="3">
        <f t="shared" si="6"/>
        <v>1.1682194616977226</v>
      </c>
      <c r="AN76" s="5">
        <f>AA23</f>
        <v>0.97799999999999998</v>
      </c>
      <c r="AO76" s="3">
        <f t="shared" ref="AO76:AO86" si="9">((AN76/19.32)*10)</f>
        <v>0.50621118012422361</v>
      </c>
      <c r="AP76" s="5">
        <f>AE23</f>
        <v>0.52531354091238236</v>
      </c>
      <c r="AQ76" s="161">
        <f t="shared" si="7"/>
        <v>0.27190141869170931</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6.0460000000000003</v>
      </c>
      <c r="AM77" s="3">
        <f t="shared" si="6"/>
        <v>3.1293995859213251</v>
      </c>
      <c r="AN77" s="5">
        <f>AA24</f>
        <v>3.1560000000000001</v>
      </c>
      <c r="AO77" s="3">
        <f t="shared" si="9"/>
        <v>1.6335403726708075</v>
      </c>
      <c r="AP77" s="5">
        <f>AE24</f>
        <v>1.8670586531498912</v>
      </c>
      <c r="AQ77" s="161">
        <f t="shared" si="7"/>
        <v>0.96638646643369097</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8.7669999999999995</v>
      </c>
      <c r="AM78" s="3">
        <f t="shared" si="6"/>
        <v>4.5377846790890262</v>
      </c>
      <c r="AN78" s="5">
        <f>AA25</f>
        <v>5.4649999999999999</v>
      </c>
      <c r="AO78" s="3">
        <f t="shared" si="9"/>
        <v>2.8286749482401659</v>
      </c>
      <c r="AP78" s="5">
        <f>AE25</f>
        <v>3.2177487328023169</v>
      </c>
      <c r="AQ78" s="161">
        <f t="shared" si="7"/>
        <v>1.6655014144939528</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11.861000000000001</v>
      </c>
      <c r="AM79" s="4">
        <f t="shared" si="6"/>
        <v>6.1392339544513463</v>
      </c>
      <c r="AN79" s="5">
        <f>AA26</f>
        <v>7.6890000000000001</v>
      </c>
      <c r="AO79" s="4">
        <f t="shared" si="9"/>
        <v>3.9798136645962732</v>
      </c>
      <c r="AP79" s="5">
        <f>AE26</f>
        <v>3.982950036205648</v>
      </c>
      <c r="AQ79" s="162">
        <f t="shared" si="7"/>
        <v>2.0615683417213497</v>
      </c>
      <c r="BB79" s="12">
        <v>17</v>
      </c>
      <c r="BC79" s="12">
        <v>18</v>
      </c>
    </row>
    <row r="80" spans="1:94" ht="42" customHeight="1" thickTop="1" thickBot="1" x14ac:dyDescent="0.3">
      <c r="D80" s="49"/>
      <c r="H80" s="711" t="s">
        <v>105</v>
      </c>
      <c r="I80" s="712"/>
      <c r="J80" s="58"/>
      <c r="AJ80" s="160">
        <f>U28</f>
        <v>0.125</v>
      </c>
      <c r="AK80" s="3">
        <f t="shared" si="8"/>
        <v>3.1749999999999998</v>
      </c>
      <c r="AL80" s="5">
        <f>W28</f>
        <v>15.189</v>
      </c>
      <c r="AM80" s="3">
        <f t="shared" si="6"/>
        <v>7.8618012422360248</v>
      </c>
      <c r="AN80" s="5">
        <f>AA28</f>
        <v>9.9927631578947373</v>
      </c>
      <c r="AO80" s="3">
        <f t="shared" si="9"/>
        <v>5.1722376593658055</v>
      </c>
      <c r="AP80" s="5">
        <f>AE28</f>
        <v>4.5936473569876899</v>
      </c>
      <c r="AQ80" s="161">
        <f t="shared" si="7"/>
        <v>2.3776642634511851</v>
      </c>
      <c r="BC80" s="45">
        <v>0.99880400000000003</v>
      </c>
      <c r="BD80" s="45">
        <v>0.99862499999999998</v>
      </c>
    </row>
    <row r="81" spans="2:43" ht="15.75" customHeight="1" x14ac:dyDescent="0.25">
      <c r="AJ81" s="160">
        <f>U30</f>
        <v>0.15</v>
      </c>
      <c r="AK81" s="3">
        <f t="shared" si="8"/>
        <v>3.8099999999999996</v>
      </c>
      <c r="AL81" s="5">
        <f>W30</f>
        <v>18.497</v>
      </c>
      <c r="AM81" s="3">
        <f t="shared" si="6"/>
        <v>9.5740165631469978</v>
      </c>
      <c r="AN81" s="5">
        <f>AA30</f>
        <v>12.169078947368421</v>
      </c>
      <c r="AO81" s="3">
        <f t="shared" si="9"/>
        <v>6.2986951073335504</v>
      </c>
      <c r="AP81" s="5">
        <f>AE30</f>
        <v>5.1766965966690801</v>
      </c>
      <c r="AQ81" s="161">
        <f t="shared" si="7"/>
        <v>2.6794495841972465</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20.992999999999999</v>
      </c>
      <c r="AM82" s="3">
        <f t="shared" si="6"/>
        <v>10.865942028985508</v>
      </c>
      <c r="AN82" s="5">
        <f>AA31</f>
        <v>13.811184210526315</v>
      </c>
      <c r="AO82" s="3">
        <f t="shared" si="9"/>
        <v>7.1486460717009912</v>
      </c>
      <c r="AP82" s="5">
        <f>AE31</f>
        <v>5.7451086169442434</v>
      </c>
      <c r="AQ82" s="161">
        <f t="shared" si="7"/>
        <v>2.973658704422486</v>
      </c>
    </row>
    <row r="83" spans="2:43" ht="15" customHeight="1" x14ac:dyDescent="0.25">
      <c r="B83" s="49"/>
      <c r="C83" s="49"/>
      <c r="D83" s="49">
        <v>0</v>
      </c>
      <c r="E83" s="50">
        <f>M42</f>
        <v>7.2550335570469802</v>
      </c>
      <c r="F83" s="49"/>
      <c r="G83" s="43">
        <f>G84/10</f>
        <v>2.5682763855399937</v>
      </c>
      <c r="H83" s="43">
        <f>H84/10</f>
        <v>2.3924160522295055</v>
      </c>
      <c r="I83" s="43">
        <f>I84/10</f>
        <v>2.2351403133024088</v>
      </c>
      <c r="J83" s="43">
        <f>J84/10</f>
        <v>2.0844103230420155</v>
      </c>
      <c r="K83" s="43"/>
      <c r="L83" s="42">
        <v>0</v>
      </c>
      <c r="O83" s="706"/>
      <c r="P83" s="706"/>
      <c r="Q83" s="706"/>
      <c r="R83" s="706"/>
      <c r="S83" s="707"/>
      <c r="W83" s="112"/>
      <c r="AJ83" s="160">
        <f>U33</f>
        <v>0.2</v>
      </c>
      <c r="AK83" s="4">
        <f t="shared" si="8"/>
        <v>5.08</v>
      </c>
      <c r="AL83" s="5">
        <f>W33</f>
        <v>23.091999999999999</v>
      </c>
      <c r="AM83" s="4">
        <f t="shared" si="6"/>
        <v>11.952380952380953</v>
      </c>
      <c r="AN83" s="5">
        <f>AA33</f>
        <v>15.192105263157893</v>
      </c>
      <c r="AO83" s="4">
        <f t="shared" si="9"/>
        <v>7.8634085213032581</v>
      </c>
      <c r="AP83" s="5">
        <f>AE33</f>
        <v>6.2753012309920351</v>
      </c>
      <c r="AQ83" s="162">
        <f t="shared" si="7"/>
        <v>3.2480855232878025</v>
      </c>
    </row>
    <row r="84" spans="2:43" ht="15" customHeight="1" x14ac:dyDescent="0.25">
      <c r="C84" s="94"/>
      <c r="D84" s="94"/>
      <c r="E84" s="94"/>
      <c r="F84" s="49"/>
      <c r="G84" s="43">
        <f>($M$34/(1+(E34*$M$34/100)))*($O$73)</f>
        <v>25.682763855399937</v>
      </c>
      <c r="H84" s="43">
        <f>($M$34/(1+(F34*$M$34/100)))*($O$73)</f>
        <v>23.924160522295054</v>
      </c>
      <c r="I84" s="43">
        <f>($M$34/(1+(G34*$M$34/100)))*($O$73)</f>
        <v>22.351403133024089</v>
      </c>
      <c r="J84" s="43">
        <f>($M$34/(1+(H34*$M$34/100)))*($O$73)</f>
        <v>20.844103230420156</v>
      </c>
      <c r="K84" s="43"/>
      <c r="O84" s="706" t="s">
        <v>146</v>
      </c>
      <c r="P84" s="706"/>
      <c r="Q84" s="706"/>
      <c r="R84" s="706"/>
      <c r="S84" s="707">
        <v>2240</v>
      </c>
      <c r="W84" s="112"/>
      <c r="AJ84" s="160">
        <f>U34</f>
        <v>0.3</v>
      </c>
      <c r="AK84" s="3">
        <f t="shared" si="8"/>
        <v>7.6199999999999992</v>
      </c>
      <c r="AL84" s="5">
        <f>W34</f>
        <v>31.68</v>
      </c>
      <c r="AM84" s="3">
        <f t="shared" si="6"/>
        <v>16.397515527950311</v>
      </c>
      <c r="AN84" s="5">
        <f>AA34</f>
        <v>18.463999999999999</v>
      </c>
      <c r="AO84" s="3">
        <f t="shared" si="9"/>
        <v>9.5569358178053818</v>
      </c>
      <c r="AP84" s="5">
        <f>AE34</f>
        <v>8.1504916727009409</v>
      </c>
      <c r="AQ84" s="161">
        <f t="shared" si="7"/>
        <v>4.2186809900108386</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38.340000000000003</v>
      </c>
      <c r="AM85" s="3">
        <f t="shared" si="6"/>
        <v>19.844720496894411</v>
      </c>
      <c r="AN85" s="5">
        <f>AA35</f>
        <v>20.782</v>
      </c>
      <c r="AO85" s="3">
        <f t="shared" si="9"/>
        <v>10.756728778467908</v>
      </c>
      <c r="AP85" s="5">
        <f>AE35</f>
        <v>9.7638385228095572</v>
      </c>
      <c r="AQ85" s="161">
        <f>((AP85/19.32)*10)</f>
        <v>5.0537466474169541</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43.207999999999998</v>
      </c>
      <c r="AM86" s="164">
        <f t="shared" si="6"/>
        <v>22.364389233954451</v>
      </c>
      <c r="AN86" s="165">
        <f>AA37</f>
        <v>22.465299999999999</v>
      </c>
      <c r="AO86" s="164">
        <f t="shared" si="9"/>
        <v>11.628002070393375</v>
      </c>
      <c r="AP86" s="165">
        <f>AE37</f>
        <v>11.026</v>
      </c>
      <c r="AQ86" s="166">
        <f>((AP86/19.32)*10)</f>
        <v>5.7070393374741197</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2.2064714409725554</v>
      </c>
      <c r="AK91" s="9">
        <f>R31</f>
        <v>2.0605310089637983</v>
      </c>
      <c r="AL91" s="10">
        <f>S31</f>
        <v>1.8788779312026982</v>
      </c>
    </row>
    <row r="92" spans="2:43" ht="21" customHeight="1" thickBot="1" x14ac:dyDescent="0.3">
      <c r="B92" s="92"/>
      <c r="C92" s="93"/>
      <c r="D92" s="93"/>
      <c r="E92" s="93"/>
      <c r="F92" s="62"/>
      <c r="G92" s="63"/>
      <c r="H92" s="49"/>
      <c r="I92" s="49"/>
      <c r="O92" s="725" t="s">
        <v>147</v>
      </c>
      <c r="P92" s="726"/>
      <c r="Q92" s="726"/>
      <c r="R92" s="726"/>
      <c r="S92" s="61">
        <f>M42</f>
        <v>7.2550335570469802</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88.974405136976031</v>
      </c>
      <c r="AK94" s="158">
        <f>AA42</f>
        <v>57.678458907192365</v>
      </c>
      <c r="AL94" s="158">
        <f>AD42</f>
        <v>29.877802053932601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 ref="B82:C82"/>
    <mergeCell ref="D82:E82"/>
    <mergeCell ref="F82:K82"/>
    <mergeCell ref="O82:R83"/>
    <mergeCell ref="S82:S83"/>
    <mergeCell ref="O84:R85"/>
    <mergeCell ref="S84:S85"/>
    <mergeCell ref="B76:C76"/>
    <mergeCell ref="J76:K77"/>
    <mergeCell ref="B77:C77"/>
    <mergeCell ref="B78:C78"/>
    <mergeCell ref="H79:J79"/>
    <mergeCell ref="H80:I80"/>
    <mergeCell ref="A67:M67"/>
    <mergeCell ref="O67:AH67"/>
    <mergeCell ref="B69:C69"/>
    <mergeCell ref="B71:C71"/>
    <mergeCell ref="B72:C72"/>
    <mergeCell ref="B73:C73"/>
    <mergeCell ref="J73:K75"/>
    <mergeCell ref="B74:C74"/>
    <mergeCell ref="B75:C75"/>
    <mergeCell ref="C62:H62"/>
    <mergeCell ref="C63:H63"/>
    <mergeCell ref="B64:M64"/>
    <mergeCell ref="O64:AH64"/>
    <mergeCell ref="B65:M66"/>
    <mergeCell ref="O65:AH66"/>
    <mergeCell ref="J58:L58"/>
    <mergeCell ref="J59:L59"/>
    <mergeCell ref="AA60:AD60"/>
    <mergeCell ref="AF60:AH60"/>
    <mergeCell ref="AA61:AD62"/>
    <mergeCell ref="AF61:AH62"/>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J46:L46"/>
    <mergeCell ref="O46:P46"/>
    <mergeCell ref="U46:V46"/>
    <mergeCell ref="X46:Z46"/>
    <mergeCell ref="AB46:AE46"/>
    <mergeCell ref="O47:P47"/>
    <mergeCell ref="U47:V47"/>
    <mergeCell ref="X47:Z47"/>
    <mergeCell ref="AB47:AE47"/>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2:K42"/>
    <mergeCell ref="O42:P42"/>
    <mergeCell ref="U42:V42"/>
    <mergeCell ref="W42:Z42"/>
    <mergeCell ref="AA42:AC42"/>
    <mergeCell ref="AD42:AG42"/>
    <mergeCell ref="J41:K41"/>
    <mergeCell ref="O41:S41"/>
    <mergeCell ref="U41:V41"/>
    <mergeCell ref="W41:Z41"/>
    <mergeCell ref="AA41:AC41"/>
    <mergeCell ref="AD41:AG41"/>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B11:L11"/>
    <mergeCell ref="O11:AH11"/>
    <mergeCell ref="B12:C12"/>
    <mergeCell ref="D12:E12"/>
    <mergeCell ref="I12:J12"/>
    <mergeCell ref="O12:P12"/>
    <mergeCell ref="T12:U12"/>
    <mergeCell ref="W12:AB12"/>
    <mergeCell ref="AD12:AE12"/>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s>
  <conditionalFormatting sqref="D6:D10 D12 F12:M12 L9:M9 I6:J10">
    <cfRule type="containsBlanks" dxfId="230" priority="48">
      <formula>LEN(TRIM(D6))=0</formula>
    </cfRule>
  </conditionalFormatting>
  <conditionalFormatting sqref="D6:H10">
    <cfRule type="containsBlanks" dxfId="229" priority="47">
      <formula>LEN(TRIM(D6))=0</formula>
    </cfRule>
  </conditionalFormatting>
  <conditionalFormatting sqref="M19">
    <cfRule type="containsBlanks" dxfId="228" priority="46">
      <formula>LEN(TRIM(M19))=0</formula>
    </cfRule>
  </conditionalFormatting>
  <conditionalFormatting sqref="CP70">
    <cfRule type="containsBlanks" dxfId="227" priority="45">
      <formula>LEN(TRIM(CP70))=0</formula>
    </cfRule>
  </conditionalFormatting>
  <conditionalFormatting sqref="M21">
    <cfRule type="containsBlanks" dxfId="226" priority="44">
      <formula>LEN(TRIM(M21))=0</formula>
    </cfRule>
  </conditionalFormatting>
  <conditionalFormatting sqref="D12:M12">
    <cfRule type="containsBlanks" dxfId="225" priority="43">
      <formula>LEN(TRIM(D12))=0</formula>
    </cfRule>
  </conditionalFormatting>
  <conditionalFormatting sqref="L9:M9">
    <cfRule type="containsBlanks" dxfId="224" priority="42">
      <formula>LEN(TRIM(L9))=0</formula>
    </cfRule>
  </conditionalFormatting>
  <conditionalFormatting sqref="L25">
    <cfRule type="containsBlanks" dxfId="223" priority="41">
      <formula>LEN(TRIM(L25))=0</formula>
    </cfRule>
  </conditionalFormatting>
  <conditionalFormatting sqref="U26:V27 AC33 AC26">
    <cfRule type="cellIs" dxfId="222" priority="40" operator="between">
      <formula>0</formula>
      <formula>500</formula>
    </cfRule>
  </conditionalFormatting>
  <conditionalFormatting sqref="U33:V33">
    <cfRule type="cellIs" dxfId="221" priority="39" operator="between">
      <formula>0</formula>
      <formula>500</formula>
    </cfRule>
  </conditionalFormatting>
  <conditionalFormatting sqref="AF45:AH46">
    <cfRule type="containsBlanks" dxfId="220" priority="38">
      <formula>LEN(TRIM(AF45))=0</formula>
    </cfRule>
  </conditionalFormatting>
  <conditionalFormatting sqref="AF51:AG53">
    <cfRule type="containsBlanks" dxfId="219" priority="37">
      <formula>LEN(TRIM(AF51))=0</formula>
    </cfRule>
  </conditionalFormatting>
  <conditionalFormatting sqref="M25">
    <cfRule type="containsBlanks" dxfId="218" priority="36">
      <formula>LEN(TRIM(M25))=0</formula>
    </cfRule>
  </conditionalFormatting>
  <conditionalFormatting sqref="U26:V27 Y26:Z27 AC26:AD27 AG26:AG27">
    <cfRule type="containsBlanks" dxfId="217" priority="34">
      <formula>LEN(TRIM(U26))=0</formula>
    </cfRule>
    <cfRule type="cellIs" dxfId="216" priority="35" operator="between">
      <formula>0</formula>
      <formula>1000</formula>
    </cfRule>
  </conditionalFormatting>
  <conditionalFormatting sqref="W87:W88">
    <cfRule type="cellIs" dxfId="215" priority="33" operator="between">
      <formula>0</formula>
      <formula>500</formula>
    </cfRule>
  </conditionalFormatting>
  <conditionalFormatting sqref="W94">
    <cfRule type="cellIs" dxfId="214" priority="32" operator="between">
      <formula>0</formula>
      <formula>500</formula>
    </cfRule>
  </conditionalFormatting>
  <conditionalFormatting sqref="W87:W88">
    <cfRule type="containsBlanks" dxfId="213" priority="30">
      <formula>LEN(TRIM(W87))=0</formula>
    </cfRule>
    <cfRule type="cellIs" dxfId="212" priority="31" operator="between">
      <formula>0</formula>
      <formula>1000</formula>
    </cfRule>
  </conditionalFormatting>
  <conditionalFormatting sqref="U33:V33 Y33:Z33 AC33:AD33 AG33">
    <cfRule type="cellIs" dxfId="211" priority="29" operator="between">
      <formula>0</formula>
      <formula>1000</formula>
    </cfRule>
  </conditionalFormatting>
  <conditionalFormatting sqref="Q27:S27">
    <cfRule type="containsBlanks" dxfId="210" priority="27">
      <formula>LEN(TRIM(Q27))=0</formula>
    </cfRule>
    <cfRule type="containsBlanks" dxfId="209" priority="28">
      <formula>LEN(TRIM(Q27))=0</formula>
    </cfRule>
  </conditionalFormatting>
  <conditionalFormatting sqref="W30:W31 W33:W35 W37 W28 W22:W26">
    <cfRule type="containsBlanks" dxfId="208" priority="26">
      <formula>LEN(TRIM(W22))=0</formula>
    </cfRule>
  </conditionalFormatting>
  <conditionalFormatting sqref="W37 W30:W31 W33:W35 W28 W22:W26">
    <cfRule type="containsBlanks" dxfId="207" priority="25">
      <formula>LEN(TRIM(W22))=0</formula>
    </cfRule>
  </conditionalFormatting>
  <conditionalFormatting sqref="W33:X33">
    <cfRule type="cellIs" dxfId="206" priority="24" operator="between">
      <formula>0</formula>
      <formula>1000</formula>
    </cfRule>
  </conditionalFormatting>
  <conditionalFormatting sqref="W30:X37 W26 W28 W22:X25">
    <cfRule type="containsBlanks" dxfId="205" priority="23">
      <formula>LEN(TRIM(W22))=0</formula>
    </cfRule>
  </conditionalFormatting>
  <conditionalFormatting sqref="AA37 AA30:AA31 AA33 AA22:AA26 AA28 AA35">
    <cfRule type="containsBlanks" dxfId="204" priority="22">
      <formula>LEN(TRIM(AA22))=0</formula>
    </cfRule>
  </conditionalFormatting>
  <conditionalFormatting sqref="AA37 AA30:AA31 AA33 AA22:AA26 AA28 AA35">
    <cfRule type="containsBlanks" dxfId="203" priority="21">
      <formula>LEN(TRIM(AA22))=0</formula>
    </cfRule>
  </conditionalFormatting>
  <conditionalFormatting sqref="AA33:AB33">
    <cfRule type="cellIs" dxfId="202" priority="20" operator="between">
      <formula>0</formula>
      <formula>1000</formula>
    </cfRule>
  </conditionalFormatting>
  <conditionalFormatting sqref="AA30:AB30 AA31 AA33:AB33 AA22:AB25 AA26 AA28 AA35:AB37">
    <cfRule type="containsBlanks" dxfId="201" priority="19">
      <formula>LEN(TRIM(AA22))=0</formula>
    </cfRule>
  </conditionalFormatting>
  <conditionalFormatting sqref="AE37 AE28 AE30:AE31 AE33:AE35 AE22:AE26">
    <cfRule type="containsBlanks" dxfId="200" priority="18">
      <formula>LEN(TRIM(AE22))=0</formula>
    </cfRule>
  </conditionalFormatting>
  <conditionalFormatting sqref="AE37 AE28 AE30:AE31 AE33:AE35 AE22:AE26">
    <cfRule type="containsBlanks" dxfId="199" priority="17">
      <formula>LEN(TRIM(AE22))=0</formula>
    </cfRule>
  </conditionalFormatting>
  <conditionalFormatting sqref="AE33:AF33">
    <cfRule type="cellIs" dxfId="198" priority="16" operator="between">
      <formula>0</formula>
      <formula>1000</formula>
    </cfRule>
  </conditionalFormatting>
  <conditionalFormatting sqref="AE33:AF37 AE26 AE28 AE30:AE31 AE22:AF25">
    <cfRule type="containsBlanks" dxfId="197" priority="15">
      <formula>LEN(TRIM(AE22))=0</formula>
    </cfRule>
  </conditionalFormatting>
  <conditionalFormatting sqref="K6:M6">
    <cfRule type="containsBlanks" dxfId="196" priority="14">
      <formula>LEN(TRIM(K6))=0</formula>
    </cfRule>
  </conditionalFormatting>
  <conditionalFormatting sqref="K7:K8">
    <cfRule type="containsBlanks" dxfId="195" priority="13">
      <formula>LEN(TRIM(K7))=0</formula>
    </cfRule>
  </conditionalFormatting>
  <conditionalFormatting sqref="B6:B10">
    <cfRule type="containsBlanks" dxfId="194" priority="12">
      <formula>LEN(TRIM(B6))=0</formula>
    </cfRule>
  </conditionalFormatting>
  <conditionalFormatting sqref="B12:B13">
    <cfRule type="containsBlanks" dxfId="193" priority="11">
      <formula>LEN(TRIM(B12))=0</formula>
    </cfRule>
  </conditionalFormatting>
  <conditionalFormatting sqref="E20:H24">
    <cfRule type="containsBlanks" dxfId="192" priority="10">
      <formula>LEN(TRIM(E20))=0</formula>
    </cfRule>
  </conditionalFormatting>
  <conditionalFormatting sqref="E28:H33">
    <cfRule type="containsBlanks" dxfId="191" priority="9">
      <formula>LEN(TRIM(E28))=0</formula>
    </cfRule>
  </conditionalFormatting>
  <conditionalFormatting sqref="Q20:S26">
    <cfRule type="containsBlanks" dxfId="190" priority="7">
      <formula>LEN(TRIM(Q20))=0</formula>
    </cfRule>
    <cfRule type="containsBlanks" dxfId="189" priority="8">
      <formula>LEN(TRIM(Q20))=0</formula>
    </cfRule>
  </conditionalFormatting>
  <conditionalFormatting sqref="Q34:S39">
    <cfRule type="containsBlanks" dxfId="188" priority="6">
      <formula>LEN(TRIM(Q34))=0</formula>
    </cfRule>
  </conditionalFormatting>
  <conditionalFormatting sqref="Q42:S46">
    <cfRule type="containsBlanks" dxfId="187" priority="5">
      <formula>LEN(TRIM(Q42))=0</formula>
    </cfRule>
  </conditionalFormatting>
  <conditionalFormatting sqref="D13">
    <cfRule type="containsBlanks" dxfId="186" priority="2">
      <formula>LEN(TRIM(D13))=0</formula>
    </cfRule>
  </conditionalFormatting>
  <conditionalFormatting sqref="D13">
    <cfRule type="containsBlanks" dxfId="185" priority="1">
      <formula>LEN(TRIM(D13))=0</formula>
    </cfRule>
  </conditionalFormatting>
  <dataValidations count="5">
    <dataValidation type="list" allowBlank="1" showInputMessage="1" showErrorMessage="1" sqref="L25" xr:uid="{00000000-0002-0000-3700-000000000000}">
      <formula1>$D$101:$D$104</formula1>
    </dataValidation>
    <dataValidation type="list" allowBlank="1" showInputMessage="1" showErrorMessage="1" sqref="M21" xr:uid="{00000000-0002-0000-3700-000001000000}">
      <formula1>$AX$3:$AX$4</formula1>
    </dataValidation>
    <dataValidation type="list" allowBlank="1" showInputMessage="1" showErrorMessage="1" sqref="M19" xr:uid="{00000000-0002-0000-3700-000002000000}">
      <formula1>$AX$3:$AX$5</formula1>
    </dataValidation>
    <dataValidation type="list" allowBlank="1" showInputMessage="1" showErrorMessage="1" sqref="CP70" xr:uid="{00000000-0002-0000-3700-000003000000}">
      <formula1>$BA$3:$BA$5</formula1>
    </dataValidation>
    <dataValidation type="list" allowBlank="1" showInputMessage="1" showErrorMessage="1" sqref="D12:E12" xr:uid="{00000000-0002-0000-3700-000004000000}">
      <formula1>$B$87:$B$94</formula1>
    </dataValidation>
  </dataValidations>
  <hyperlinks>
    <hyperlink ref="D8" r:id="rId1" xr:uid="{00000000-0004-0000-37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92513"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92514"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92515"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9251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9251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92518"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92519"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9252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9252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9252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Hoja97">
    <tabColor rgb="FF7030A0"/>
  </sheetPr>
  <dimension ref="A1:CP153"/>
  <sheetViews>
    <sheetView view="pageBreakPreview" topLeftCell="A4" zoomScale="55" zoomScaleNormal="100" zoomScaleSheetLayoutView="55"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25-UNI VALLE AP1-2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25-UNI VALLE AP1-2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319</v>
      </c>
      <c r="G12" s="31" t="s">
        <v>4</v>
      </c>
      <c r="H12" s="146">
        <v>2</v>
      </c>
      <c r="I12" s="546" t="s">
        <v>5</v>
      </c>
      <c r="J12" s="546"/>
      <c r="K12" s="209" t="s">
        <v>320</v>
      </c>
      <c r="L12" s="32" t="s">
        <v>6</v>
      </c>
      <c r="M12" s="147" t="s">
        <v>314</v>
      </c>
      <c r="N12" s="78"/>
      <c r="O12" s="501" t="s">
        <v>3</v>
      </c>
      <c r="P12" s="501"/>
      <c r="Q12" s="225" t="s">
        <v>234</v>
      </c>
      <c r="R12" s="224" t="str">
        <f>F12</f>
        <v>UNI VALLE AP1</v>
      </c>
      <c r="S12" s="224"/>
      <c r="T12" s="502" t="s">
        <v>4</v>
      </c>
      <c r="U12" s="502"/>
      <c r="V12" s="33">
        <f>+H12</f>
        <v>2</v>
      </c>
      <c r="W12" s="547" t="s">
        <v>5</v>
      </c>
      <c r="X12" s="547"/>
      <c r="Y12" s="547"/>
      <c r="Z12" s="547"/>
      <c r="AA12" s="547"/>
      <c r="AB12" s="547"/>
      <c r="AC12" s="34" t="str">
        <f>K12</f>
        <v>0,65m</v>
      </c>
      <c r="AD12" s="548" t="s">
        <v>6</v>
      </c>
      <c r="AE12" s="548"/>
      <c r="AF12" s="35" t="str">
        <f>+M12</f>
        <v>1,80m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316</v>
      </c>
      <c r="E13" s="791"/>
      <c r="F13" s="791"/>
      <c r="G13" s="791"/>
      <c r="H13" s="791"/>
      <c r="I13" s="791"/>
      <c r="J13" s="791"/>
      <c r="K13" s="791"/>
      <c r="L13" s="791"/>
      <c r="M13" s="791"/>
      <c r="N13" s="188"/>
      <c r="O13" s="526" t="s">
        <v>130</v>
      </c>
      <c r="P13" s="526"/>
      <c r="Q13" s="527" t="str">
        <f>D13</f>
        <v>GRAVAS ANGULARES, CON ARENA, COLOR MARRÓN,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504</v>
      </c>
      <c r="R20" s="148">
        <v>526</v>
      </c>
      <c r="S20" s="149">
        <v>522</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219">
        <v>6484.9247178586129</v>
      </c>
      <c r="F22" s="219">
        <v>7333.6270094381107</v>
      </c>
      <c r="G22" s="219">
        <v>7492.7063144947142</v>
      </c>
      <c r="H22" s="208">
        <v>6930.2785714889378</v>
      </c>
      <c r="I22" s="174"/>
      <c r="J22" s="578"/>
      <c r="K22" s="578"/>
      <c r="L22" s="578"/>
      <c r="M22" s="104"/>
      <c r="N22" s="103"/>
      <c r="O22" s="579" t="s">
        <v>132</v>
      </c>
      <c r="P22" s="580"/>
      <c r="Q22" s="219">
        <v>8176.9983802159286</v>
      </c>
      <c r="R22" s="219">
        <v>8009.8648727405334</v>
      </c>
      <c r="S22" s="208">
        <v>7570.8187942590985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0.04</v>
      </c>
      <c r="AJ22" s="42">
        <f>AJ50/1.52</f>
        <v>2.6315789473684209E-2</v>
      </c>
      <c r="AK22" s="42">
        <f>AJ22*0.68</f>
        <v>1.7894736842105262E-2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3788</v>
      </c>
      <c r="R23" s="150">
        <v>3876</v>
      </c>
      <c r="S23" s="151">
        <v>3844</v>
      </c>
      <c r="T23" s="174"/>
      <c r="U23" s="112">
        <v>2.5000000000000001E-2</v>
      </c>
      <c r="V23" s="113">
        <f>U23*25.4</f>
        <v>0.63500000000000001</v>
      </c>
      <c r="W23" s="581">
        <f>AI23</f>
        <v>0.12</v>
      </c>
      <c r="X23" s="582"/>
      <c r="Y23" s="449">
        <f>((W23/19.32)*10)</f>
        <v>6.2111801242236017E-2</v>
      </c>
      <c r="Z23" s="450"/>
      <c r="AA23" s="581">
        <f>AJ23</f>
        <v>7.8947368421052627E-2</v>
      </c>
      <c r="AB23" s="582"/>
      <c r="AC23" s="449">
        <f>((AA23/19.32)*10)</f>
        <v>4.0863027133050012E-2</v>
      </c>
      <c r="AD23" s="450"/>
      <c r="AE23" s="581">
        <f>AK23</f>
        <v>5.3684210526315793E-2</v>
      </c>
      <c r="AF23" s="582"/>
      <c r="AG23" s="114">
        <f>((AE23/19.32)*10)</f>
        <v>2.7786858450474013E-2</v>
      </c>
      <c r="AH23" s="104"/>
      <c r="AI23" s="42">
        <f t="shared" ref="AI23:AI33" si="2">AJ51</f>
        <v>0.12</v>
      </c>
      <c r="AJ23" s="42">
        <f t="shared" ref="AJ23:AJ33" si="3">AJ51/1.52</f>
        <v>7.8947368421052627E-2</v>
      </c>
      <c r="AK23" s="42">
        <f t="shared" ref="AK23:AK33" si="4">AJ23*0.68</f>
        <v>5.3684210526315793E-2</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11.22</v>
      </c>
      <c r="R24" s="150">
        <v>11.64</v>
      </c>
      <c r="S24" s="151">
        <v>11.66</v>
      </c>
      <c r="T24" s="174"/>
      <c r="U24" s="112">
        <v>0.05</v>
      </c>
      <c r="V24" s="113">
        <f>U24*25.4</f>
        <v>1.27</v>
      </c>
      <c r="W24" s="581">
        <f>AI24</f>
        <v>0.22600000000000001</v>
      </c>
      <c r="X24" s="582"/>
      <c r="Y24" s="449">
        <f>((W24/19.32)*10)</f>
        <v>0.11697722567287785</v>
      </c>
      <c r="Z24" s="450"/>
      <c r="AA24" s="581">
        <f>AJ24</f>
        <v>0.14868421052631578</v>
      </c>
      <c r="AB24" s="582"/>
      <c r="AC24" s="449">
        <f>((AA24/19.32)*10)</f>
        <v>7.6958701100577523E-2</v>
      </c>
      <c r="AD24" s="450"/>
      <c r="AE24" s="581">
        <f>AK24</f>
        <v>0.10110526315789474</v>
      </c>
      <c r="AF24" s="582"/>
      <c r="AG24" s="114">
        <f>((AE24/19.32)*10)</f>
        <v>5.2331916748392722E-2</v>
      </c>
      <c r="AH24" s="104"/>
      <c r="AI24" s="42">
        <f t="shared" si="2"/>
        <v>0.22600000000000001</v>
      </c>
      <c r="AJ24" s="42">
        <f t="shared" si="3"/>
        <v>0.14868421052631578</v>
      </c>
      <c r="AK24" s="42">
        <f t="shared" si="4"/>
        <v>0.10110526315789474</v>
      </c>
      <c r="AO24" s="42">
        <v>0.68400000000000005</v>
      </c>
      <c r="AS24" s="42">
        <f t="shared" si="5"/>
        <v>0.55609756097560981</v>
      </c>
    </row>
    <row r="25" spans="1:45" ht="24.95" customHeight="1" thickBot="1" x14ac:dyDescent="0.3">
      <c r="A25" s="103"/>
      <c r="B25" s="602" t="s">
        <v>69</v>
      </c>
      <c r="C25" s="603"/>
      <c r="D25" s="603"/>
      <c r="E25" s="115">
        <f>E22-E23</f>
        <v>3600.9247178586129</v>
      </c>
      <c r="F25" s="220">
        <f>F22-F23</f>
        <v>4449.6270094381107</v>
      </c>
      <c r="G25" s="220">
        <f>G22-G23</f>
        <v>4608.7063144947142</v>
      </c>
      <c r="H25" s="116">
        <f>H22-H23</f>
        <v>4046.2785714889378</v>
      </c>
      <c r="I25" s="174"/>
      <c r="J25" s="174" t="s">
        <v>127</v>
      </c>
      <c r="K25" s="174"/>
      <c r="L25" s="218" t="s">
        <v>128</v>
      </c>
      <c r="M25" s="155">
        <v>16.07</v>
      </c>
      <c r="N25" s="103"/>
      <c r="O25" s="604" t="s">
        <v>46</v>
      </c>
      <c r="P25" s="605"/>
      <c r="Q25" s="608">
        <v>15.25</v>
      </c>
      <c r="R25" s="608">
        <v>15.27</v>
      </c>
      <c r="S25" s="610">
        <v>15.24</v>
      </c>
      <c r="T25" s="174"/>
      <c r="U25" s="112">
        <v>7.4999999999999997E-2</v>
      </c>
      <c r="V25" s="113">
        <f>U25*25.4</f>
        <v>1.9049999999999998</v>
      </c>
      <c r="W25" s="581">
        <f>AI25</f>
        <v>0.34399999999999997</v>
      </c>
      <c r="X25" s="582"/>
      <c r="Y25" s="449">
        <f>((W25/19.32)*10)</f>
        <v>0.17805383022774324</v>
      </c>
      <c r="Z25" s="450"/>
      <c r="AA25" s="581">
        <f>AJ25</f>
        <v>0.22631578947368419</v>
      </c>
      <c r="AB25" s="582"/>
      <c r="AC25" s="449">
        <f>((AA25/19.32)*10)</f>
        <v>0.11714067778141003</v>
      </c>
      <c r="AD25" s="450"/>
      <c r="AE25" s="581">
        <f>AK25</f>
        <v>0.15389473684210525</v>
      </c>
      <c r="AF25" s="582"/>
      <c r="AG25" s="114">
        <f>((AE25/19.32)*10)</f>
        <v>7.9655660891358837E-2</v>
      </c>
      <c r="AH25" s="104"/>
      <c r="AI25" s="42">
        <f t="shared" si="2"/>
        <v>0.34399999999999997</v>
      </c>
      <c r="AJ25" s="42">
        <f t="shared" si="3"/>
        <v>0.22631578947368419</v>
      </c>
      <c r="AK25" s="42">
        <f t="shared" si="4"/>
        <v>0.15389473684210525</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16.07</v>
      </c>
      <c r="N26" s="103"/>
      <c r="O26" s="606"/>
      <c r="P26" s="607"/>
      <c r="Q26" s="609"/>
      <c r="R26" s="609"/>
      <c r="S26" s="611"/>
      <c r="T26" s="174"/>
      <c r="U26" s="600">
        <v>0.1</v>
      </c>
      <c r="V26" s="601">
        <f>U26*25.4</f>
        <v>2.54</v>
      </c>
      <c r="W26" s="778">
        <f>AI26</f>
        <v>0.45200000000000001</v>
      </c>
      <c r="X26" s="779"/>
      <c r="Y26" s="461">
        <f>((W26/19.32)*10)</f>
        <v>0.23395445134575571</v>
      </c>
      <c r="Z26" s="462"/>
      <c r="AA26" s="746">
        <f>AJ26</f>
        <v>0.29736842105263156</v>
      </c>
      <c r="AB26" s="747"/>
      <c r="AC26" s="461">
        <f>((AA26/19.32)*10)</f>
        <v>0.15391740220115505</v>
      </c>
      <c r="AD26" s="462"/>
      <c r="AE26" s="746">
        <f>AK26</f>
        <v>0.20221052631578948</v>
      </c>
      <c r="AF26" s="747"/>
      <c r="AG26" s="469">
        <f>((AE26/19.32)*10)</f>
        <v>0.10466383349678544</v>
      </c>
      <c r="AH26" s="104"/>
      <c r="AI26" s="42">
        <f t="shared" si="2"/>
        <v>0.45200000000000001</v>
      </c>
      <c r="AJ26" s="42">
        <f t="shared" si="3"/>
        <v>0.29736842105263156</v>
      </c>
      <c r="AK26" s="42">
        <f t="shared" si="4"/>
        <v>0.20221052631578948</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2049.3796794088362</v>
      </c>
      <c r="R27" s="152">
        <f>(PI()*((R25^2)/4)*R24)</f>
        <v>2131.6747246996219</v>
      </c>
      <c r="S27" s="153">
        <f>(PI()*((S25^2)/4)*S24)</f>
        <v>2126.9553142596565</v>
      </c>
      <c r="T27" s="174"/>
      <c r="U27" s="600"/>
      <c r="V27" s="601"/>
      <c r="W27" s="780"/>
      <c r="X27" s="781"/>
      <c r="Y27" s="463"/>
      <c r="Z27" s="464"/>
      <c r="AA27" s="748"/>
      <c r="AB27" s="749"/>
      <c r="AC27" s="463"/>
      <c r="AD27" s="464"/>
      <c r="AE27" s="748"/>
      <c r="AF27" s="749"/>
      <c r="AG27" s="470"/>
      <c r="AH27" s="193"/>
      <c r="AI27" s="42">
        <f t="shared" si="2"/>
        <v>0.55400000000000005</v>
      </c>
      <c r="AJ27" s="42">
        <f t="shared" si="3"/>
        <v>0.36447368421052634</v>
      </c>
      <c r="AK27" s="42">
        <f t="shared" si="4"/>
        <v>0.24784210526315792</v>
      </c>
      <c r="AO27" s="42">
        <v>2.387</v>
      </c>
      <c r="AS27" s="42">
        <f t="shared" si="5"/>
        <v>1.9406504065040651</v>
      </c>
    </row>
    <row r="28" spans="1:45" ht="24.95" customHeight="1" thickBot="1" x14ac:dyDescent="0.3">
      <c r="A28" s="103"/>
      <c r="B28" s="560" t="s">
        <v>9</v>
      </c>
      <c r="C28" s="561"/>
      <c r="D28" s="561"/>
      <c r="E28" s="148">
        <v>631</v>
      </c>
      <c r="F28" s="148">
        <v>646</v>
      </c>
      <c r="G28" s="148">
        <v>725</v>
      </c>
      <c r="H28" s="149">
        <v>708</v>
      </c>
      <c r="I28" s="174"/>
      <c r="J28" s="597" t="s">
        <v>107</v>
      </c>
      <c r="K28" s="597"/>
      <c r="L28" s="562" t="s">
        <v>119</v>
      </c>
      <c r="M28" s="459">
        <f>IF(M26="","",(100-M26))</f>
        <v>83.93</v>
      </c>
      <c r="N28" s="103"/>
      <c r="O28" s="625" t="s">
        <v>136</v>
      </c>
      <c r="P28" s="626"/>
      <c r="Q28" s="220">
        <f>Q22-Q23</f>
        <v>4388.9983802159286</v>
      </c>
      <c r="R28" s="220">
        <f>R22-R23</f>
        <v>4133.8648727405334</v>
      </c>
      <c r="S28" s="220">
        <f>S22-S23</f>
        <v>3726.8187942590985</v>
      </c>
      <c r="T28" s="174"/>
      <c r="U28" s="627">
        <v>0.125</v>
      </c>
      <c r="V28" s="624">
        <f>U28*25.4</f>
        <v>3.1749999999999998</v>
      </c>
      <c r="W28" s="593">
        <f>AI27</f>
        <v>0.55400000000000005</v>
      </c>
      <c r="X28" s="594"/>
      <c r="Y28" s="439">
        <f>((W28/19.32)*10)</f>
        <v>0.28674948240165632</v>
      </c>
      <c r="Z28" s="440"/>
      <c r="AA28" s="593">
        <f>AJ27</f>
        <v>0.36447368421052634</v>
      </c>
      <c r="AB28" s="594"/>
      <c r="AC28" s="439">
        <f>((AA28/19.32)*10)</f>
        <v>0.18865097526424759</v>
      </c>
      <c r="AD28" s="440"/>
      <c r="AE28" s="593">
        <f>AK27</f>
        <v>0.24784210526315792</v>
      </c>
      <c r="AF28" s="594"/>
      <c r="AG28" s="443">
        <f>((AE28/19.32)*10)</f>
        <v>0.12828266317968837</v>
      </c>
      <c r="AH28" s="104"/>
      <c r="AI28" s="42">
        <f t="shared" si="2"/>
        <v>0.66800000000000004</v>
      </c>
      <c r="AJ28" s="42">
        <f t="shared" si="3"/>
        <v>0.43947368421052635</v>
      </c>
      <c r="AK28" s="42">
        <f t="shared" si="4"/>
        <v>0.29884210526315796</v>
      </c>
      <c r="AO28" s="42">
        <v>2.8959999999999999</v>
      </c>
      <c r="AS28" s="42">
        <f t="shared" si="5"/>
        <v>2.3544715447154472</v>
      </c>
    </row>
    <row r="29" spans="1:45" ht="5.0999999999999996" customHeight="1" thickBot="1" x14ac:dyDescent="0.3">
      <c r="A29" s="103"/>
      <c r="B29" s="612" t="s">
        <v>73</v>
      </c>
      <c r="C29" s="613"/>
      <c r="D29" s="614"/>
      <c r="E29" s="618">
        <v>774.81</v>
      </c>
      <c r="F29" s="618">
        <v>623.9</v>
      </c>
      <c r="G29" s="618">
        <v>833.01</v>
      </c>
      <c r="H29" s="620">
        <v>711.06</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0.78500000000000003</v>
      </c>
      <c r="AJ29" s="42">
        <f t="shared" si="3"/>
        <v>0.51644736842105265</v>
      </c>
      <c r="AK29" s="42">
        <f t="shared" si="4"/>
        <v>0.35118421052631582</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17.852419786184218</v>
      </c>
      <c r="N30" s="103"/>
      <c r="O30" s="622" t="s">
        <v>134</v>
      </c>
      <c r="P30" s="623"/>
      <c r="Q30" s="229">
        <f>Q28/Q27</f>
        <v>2.1416228648670796</v>
      </c>
      <c r="R30" s="229">
        <f>R28/R27</f>
        <v>1.939256878566707</v>
      </c>
      <c r="S30" s="131">
        <f>S28/S27</f>
        <v>1.7521848105005051</v>
      </c>
      <c r="T30" s="174"/>
      <c r="U30" s="120">
        <v>0.15</v>
      </c>
      <c r="V30" s="113">
        <f>U30*25.4</f>
        <v>3.8099999999999996</v>
      </c>
      <c r="W30" s="581">
        <f>AI28</f>
        <v>0.66800000000000004</v>
      </c>
      <c r="X30" s="582"/>
      <c r="Y30" s="449">
        <f>((W30/19.32)*10)</f>
        <v>0.3457556935817806</v>
      </c>
      <c r="Z30" s="450"/>
      <c r="AA30" s="581">
        <f>AJ28</f>
        <v>0.43947368421052635</v>
      </c>
      <c r="AB30" s="582"/>
      <c r="AC30" s="449">
        <f>((AA30/19.32)*10)</f>
        <v>0.2274708510406451</v>
      </c>
      <c r="AD30" s="450"/>
      <c r="AE30" s="581">
        <f>AK28</f>
        <v>0.29884210526315796</v>
      </c>
      <c r="AF30" s="582"/>
      <c r="AG30" s="114">
        <f>((AE30/19.32)*10)</f>
        <v>0.1546801787076387</v>
      </c>
      <c r="AH30" s="104"/>
      <c r="AI30" s="42">
        <f t="shared" si="2"/>
        <v>0.88600000000000001</v>
      </c>
      <c r="AJ30" s="42">
        <f t="shared" si="3"/>
        <v>0.58289473684210524</v>
      </c>
      <c r="AK30" s="42">
        <f t="shared" si="4"/>
        <v>0.39636842105263159</v>
      </c>
      <c r="AO30" s="42">
        <v>3.8439999999999999</v>
      </c>
      <c r="AS30" s="42">
        <f t="shared" si="5"/>
        <v>3.1252032520325201</v>
      </c>
    </row>
    <row r="31" spans="1:45" ht="24.95" customHeight="1" thickBot="1" x14ac:dyDescent="0.3">
      <c r="A31" s="103"/>
      <c r="B31" s="576" t="s">
        <v>74</v>
      </c>
      <c r="C31" s="577"/>
      <c r="D31" s="577"/>
      <c r="E31" s="152">
        <v>680.08745353089716</v>
      </c>
      <c r="F31" s="152">
        <v>537.43959199512346</v>
      </c>
      <c r="G31" s="152">
        <v>696.61574557414485</v>
      </c>
      <c r="H31" s="153">
        <v>589.3104776308088</v>
      </c>
      <c r="I31" s="174"/>
      <c r="J31" s="597" t="s">
        <v>138</v>
      </c>
      <c r="K31" s="597"/>
      <c r="L31" s="562" t="s">
        <v>116</v>
      </c>
      <c r="M31" s="457">
        <v>2.72</v>
      </c>
      <c r="N31" s="121"/>
      <c r="O31" s="628" t="s">
        <v>135</v>
      </c>
      <c r="P31" s="629"/>
      <c r="Q31" s="122">
        <f>Q30/(1+Q40/100)</f>
        <v>1.7940000000000005</v>
      </c>
      <c r="R31" s="122">
        <f>R30/(1+R40/100)</f>
        <v>1.6254000000000013</v>
      </c>
      <c r="S31" s="123">
        <f>S30/(1+S40/100)</f>
        <v>1.4692139649286298</v>
      </c>
      <c r="T31" s="174"/>
      <c r="U31" s="627">
        <v>0.17499999999999999</v>
      </c>
      <c r="V31" s="624">
        <f>U31*25.4</f>
        <v>4.4449999999999994</v>
      </c>
      <c r="W31" s="593">
        <f>AI29</f>
        <v>0.78500000000000003</v>
      </c>
      <c r="X31" s="594"/>
      <c r="Y31" s="439">
        <f>((W31/19.32)*10)</f>
        <v>0.40631469979296064</v>
      </c>
      <c r="Z31" s="440"/>
      <c r="AA31" s="593">
        <f>AJ29</f>
        <v>0.51644736842105265</v>
      </c>
      <c r="AB31" s="594"/>
      <c r="AC31" s="439">
        <f>((AA31/19.32)*10)</f>
        <v>0.26731230249536886</v>
      </c>
      <c r="AD31" s="440"/>
      <c r="AE31" s="593">
        <f>AK29</f>
        <v>0.35118421052631582</v>
      </c>
      <c r="AF31" s="594"/>
      <c r="AG31" s="443">
        <f>((AE31/19.32)*10)</f>
        <v>0.18177236569685085</v>
      </c>
      <c r="AH31" s="104"/>
      <c r="AI31" s="42">
        <f t="shared" si="2"/>
        <v>1.2210000000000001</v>
      </c>
      <c r="AJ31" s="42">
        <f t="shared" si="3"/>
        <v>0.80328947368421055</v>
      </c>
      <c r="AK31" s="42">
        <f t="shared" si="4"/>
        <v>0.54623684210526324</v>
      </c>
      <c r="AO31" s="42">
        <v>5.516</v>
      </c>
      <c r="AS31" s="42">
        <f t="shared" si="5"/>
        <v>4.4845528455284551</v>
      </c>
    </row>
    <row r="32" spans="1:45" ht="5.0999999999999996" customHeight="1" thickBot="1" x14ac:dyDescent="0.3">
      <c r="A32" s="103"/>
      <c r="B32" s="612" t="s">
        <v>75</v>
      </c>
      <c r="C32" s="613"/>
      <c r="D32" s="614"/>
      <c r="E32" s="618">
        <v>47.76</v>
      </c>
      <c r="F32" s="618">
        <v>48.41</v>
      </c>
      <c r="G32" s="618">
        <v>46.5</v>
      </c>
      <c r="H32" s="620">
        <v>47.72</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1.526</v>
      </c>
      <c r="AJ32" s="42">
        <f t="shared" si="3"/>
        <v>1.0039473684210527</v>
      </c>
      <c r="AK32" s="42">
        <f t="shared" si="4"/>
        <v>0.68268421052631589</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10.1</v>
      </c>
      <c r="N33" s="101"/>
      <c r="O33" s="634" t="s">
        <v>25</v>
      </c>
      <c r="P33" s="635"/>
      <c r="Q33" s="635"/>
      <c r="R33" s="635"/>
      <c r="S33" s="636"/>
      <c r="T33" s="174"/>
      <c r="U33" s="117">
        <v>0.2</v>
      </c>
      <c r="V33" s="124">
        <f>U33*25.4</f>
        <v>5.08</v>
      </c>
      <c r="W33" s="581">
        <f>AI30</f>
        <v>0.88600000000000001</v>
      </c>
      <c r="X33" s="582"/>
      <c r="Y33" s="449">
        <f>((W33/19.32)*10)</f>
        <v>0.45859213250517594</v>
      </c>
      <c r="Z33" s="450"/>
      <c r="AA33" s="581">
        <f>AJ30</f>
        <v>0.58289473684210524</v>
      </c>
      <c r="AB33" s="582"/>
      <c r="AC33" s="449">
        <f>((AA33/19.32)*10)</f>
        <v>0.30170535033235257</v>
      </c>
      <c r="AD33" s="450"/>
      <c r="AE33" s="581">
        <f>AK30</f>
        <v>0.39636842105263159</v>
      </c>
      <c r="AF33" s="582"/>
      <c r="AG33" s="144">
        <f>((AE33/19.32)*10)</f>
        <v>0.20515963822599981</v>
      </c>
      <c r="AH33" s="104"/>
      <c r="AI33" s="42">
        <f t="shared" si="2"/>
        <v>1.8029999999999999</v>
      </c>
      <c r="AJ33" s="42">
        <f t="shared" si="3"/>
        <v>1.1861842105263158</v>
      </c>
      <c r="AK33" s="42">
        <f t="shared" si="4"/>
        <v>0.80660526315789483</v>
      </c>
      <c r="AO33" s="42">
        <v>7.7720000000000002</v>
      </c>
      <c r="AS33" s="42">
        <f t="shared" si="5"/>
        <v>6.3186991869918705</v>
      </c>
    </row>
    <row r="34" spans="1:45" ht="24.95" customHeight="1" thickBot="1" x14ac:dyDescent="0.3">
      <c r="A34" s="103"/>
      <c r="B34" s="602" t="s">
        <v>10</v>
      </c>
      <c r="C34" s="603"/>
      <c r="D34" s="603"/>
      <c r="E34" s="125">
        <f>((E29-E31)/(E31-E32))*100</f>
        <v>14.979983225490997</v>
      </c>
      <c r="F34" s="125">
        <f>((F29-F31)/(F31-F32))*100</f>
        <v>17.679995120978013</v>
      </c>
      <c r="G34" s="125">
        <f>((G29-G31)/(G31-G32))*100</f>
        <v>20.979995539932599</v>
      </c>
      <c r="H34" s="126">
        <f>((H29-H31)/(H31-H32))*100</f>
        <v>22.479996860688033</v>
      </c>
      <c r="I34" s="174"/>
      <c r="J34" s="630" t="s">
        <v>125</v>
      </c>
      <c r="K34" s="630"/>
      <c r="L34" s="184" t="s">
        <v>126</v>
      </c>
      <c r="M34" s="245">
        <v>2.79</v>
      </c>
      <c r="N34" s="128"/>
      <c r="O34" s="631" t="s">
        <v>9</v>
      </c>
      <c r="P34" s="632"/>
      <c r="Q34" s="156">
        <v>314</v>
      </c>
      <c r="R34" s="156">
        <v>672</v>
      </c>
      <c r="S34" s="157">
        <v>680</v>
      </c>
      <c r="T34" s="174"/>
      <c r="U34" s="120">
        <v>0.3</v>
      </c>
      <c r="V34" s="113">
        <f>U34*25.4</f>
        <v>7.6199999999999992</v>
      </c>
      <c r="W34" s="581">
        <f>AI31</f>
        <v>1.2210000000000001</v>
      </c>
      <c r="X34" s="582"/>
      <c r="Y34" s="449">
        <f>((W34/19.32)*10)</f>
        <v>0.63198757763975155</v>
      </c>
      <c r="Z34" s="450"/>
      <c r="AA34" s="449">
        <f>AJ31</f>
        <v>0.80328947368421055</v>
      </c>
      <c r="AB34" s="450"/>
      <c r="AC34" s="449">
        <f>((AA34/19.32)*10)</f>
        <v>0.41578130107878392</v>
      </c>
      <c r="AD34" s="450"/>
      <c r="AE34" s="581">
        <f>AK31</f>
        <v>0.54623684210526324</v>
      </c>
      <c r="AF34" s="582"/>
      <c r="AG34" s="114">
        <f>((AE34/19.32)*10)</f>
        <v>0.28273128473357312</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683.39</v>
      </c>
      <c r="R35" s="608">
        <v>746.42</v>
      </c>
      <c r="S35" s="610">
        <v>642.25</v>
      </c>
      <c r="T35" s="174"/>
      <c r="U35" s="627">
        <v>0.4</v>
      </c>
      <c r="V35" s="624">
        <f>U35*25.4</f>
        <v>10.16</v>
      </c>
      <c r="W35" s="593">
        <f>AI32</f>
        <v>1.526</v>
      </c>
      <c r="X35" s="594"/>
      <c r="Y35" s="439">
        <f>((W35/19.32)*10)</f>
        <v>0.78985507246376818</v>
      </c>
      <c r="Z35" s="440"/>
      <c r="AA35" s="593">
        <f>AJ32</f>
        <v>1.0039473684210527</v>
      </c>
      <c r="AB35" s="594"/>
      <c r="AC35" s="439">
        <f>(AA35/19.32)*10</f>
        <v>0.51964149504195278</v>
      </c>
      <c r="AD35" s="440"/>
      <c r="AE35" s="593">
        <f>AK32</f>
        <v>0.68268421052631589</v>
      </c>
      <c r="AF35" s="594"/>
      <c r="AG35" s="443">
        <f>((AE35/19.32)*10)</f>
        <v>0.3533562166285279</v>
      </c>
      <c r="AH35" s="104"/>
      <c r="AS35" s="42">
        <f t="shared" si="5"/>
        <v>0</v>
      </c>
    </row>
    <row r="36" spans="1:45" ht="20.100000000000001" customHeight="1" thickBot="1" x14ac:dyDescent="0.3">
      <c r="A36" s="103"/>
      <c r="B36" s="639" t="s">
        <v>71</v>
      </c>
      <c r="C36" s="640"/>
      <c r="D36" s="640"/>
      <c r="E36" s="130">
        <f>E25/E24</f>
        <v>1.6764081554276595</v>
      </c>
      <c r="F36" s="130">
        <f>F25/F24</f>
        <v>2.0715209541145767</v>
      </c>
      <c r="G36" s="130">
        <f>G25/G24</f>
        <v>2.1455802209007051</v>
      </c>
      <c r="H36" s="131">
        <f>H25/H24</f>
        <v>1.8837423517173826</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1.4580000000000009</v>
      </c>
      <c r="F37" s="230">
        <f>F36/(1+F34/100)</f>
        <v>1.7603000000000004</v>
      </c>
      <c r="G37" s="230">
        <f>G36/(1+G34/100)</f>
        <v>1.7735000000000005</v>
      </c>
      <c r="H37" s="123">
        <f>H36/(1+H34/100)</f>
        <v>1.5380000000000003</v>
      </c>
      <c r="I37" s="174"/>
      <c r="J37" s="641" t="s">
        <v>139</v>
      </c>
      <c r="K37" s="641"/>
      <c r="L37" s="643" t="s">
        <v>121</v>
      </c>
      <c r="M37" s="433">
        <f>IF(F74="","",(M42^2*F74+M42*F75+F76))</f>
        <v>1.8198185307017551</v>
      </c>
      <c r="N37" s="101"/>
      <c r="O37" s="576" t="s">
        <v>28</v>
      </c>
      <c r="P37" s="577"/>
      <c r="Q37" s="150">
        <v>588.78</v>
      </c>
      <c r="R37" s="152">
        <v>633.27817279112708</v>
      </c>
      <c r="S37" s="153">
        <v>546.36336244727886</v>
      </c>
      <c r="T37" s="174"/>
      <c r="U37" s="132">
        <v>0.5</v>
      </c>
      <c r="V37" s="133">
        <f>U37*25.4</f>
        <v>12.7</v>
      </c>
      <c r="W37" s="637">
        <f>AI33</f>
        <v>1.8029999999999999</v>
      </c>
      <c r="X37" s="638"/>
      <c r="Y37" s="431">
        <f>((W37/19.32)*10)</f>
        <v>0.93322981366459623</v>
      </c>
      <c r="Z37" s="432"/>
      <c r="AA37" s="637">
        <f>AJ33</f>
        <v>1.1861842105263158</v>
      </c>
      <c r="AB37" s="638"/>
      <c r="AC37" s="431">
        <f>((AA37/19.32)*10)</f>
        <v>0.61396698267407657</v>
      </c>
      <c r="AD37" s="432"/>
      <c r="AE37" s="637">
        <f>AK33</f>
        <v>0.80660526315789483</v>
      </c>
      <c r="AF37" s="638"/>
      <c r="AG37" s="134">
        <f>((AE37/19.32)*10)</f>
        <v>0.41749754821837204</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100.52</v>
      </c>
      <c r="R38" s="647">
        <v>47.34</v>
      </c>
      <c r="S38" s="648">
        <v>48.51</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f>IF(M41="-","-",IF(M37="","",(M37*M41)/M40))</f>
        <v>1.9283266729019299</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17.852419786184218</v>
      </c>
      <c r="N40" s="103"/>
      <c r="O40" s="628" t="s">
        <v>10</v>
      </c>
      <c r="P40" s="629"/>
      <c r="Q40" s="125">
        <f>((Q35-Q37)/(Q37-Q38))*100</f>
        <v>19.376971285790361</v>
      </c>
      <c r="R40" s="125">
        <f>((R35-R37)/(R37-R38))*100</f>
        <v>19.30951633854469</v>
      </c>
      <c r="S40" s="126">
        <f>((S35-S37)/(S37-S38))*100</f>
        <v>19.260016058016529</v>
      </c>
      <c r="T40" s="174"/>
      <c r="U40" s="645" t="s">
        <v>151</v>
      </c>
      <c r="V40" s="646"/>
      <c r="W40" s="423">
        <f>(AM79/6.9)*100</f>
        <v>3.3906442224022566</v>
      </c>
      <c r="X40" s="423"/>
      <c r="Y40" s="423"/>
      <c r="Z40" s="424"/>
      <c r="AA40" s="425">
        <f>(AO79/6.9)*100</f>
        <v>2.2306869884225367</v>
      </c>
      <c r="AB40" s="426"/>
      <c r="AC40" s="427"/>
      <c r="AD40" s="425">
        <f>(AQ79/6.9)*100</f>
        <v>1.5168671521273251</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f>IF(M25&lt;=5,"-",IF(M25&gt;5,IF(M25="","",((100*M30*M33*M31)/(M30*M26+M31*M28*M33)))))</f>
        <v>18.916884661167931</v>
      </c>
      <c r="N41" s="138"/>
      <c r="O41" s="565" t="s">
        <v>36</v>
      </c>
      <c r="P41" s="566"/>
      <c r="Q41" s="566"/>
      <c r="R41" s="566"/>
      <c r="S41" s="567"/>
      <c r="T41" s="174"/>
      <c r="U41" s="653" t="s">
        <v>152</v>
      </c>
      <c r="V41" s="654"/>
      <c r="W41" s="418">
        <f>(AM83/10.3)*100</f>
        <v>4.452350801021125</v>
      </c>
      <c r="X41" s="418"/>
      <c r="Y41" s="418"/>
      <c r="Z41" s="419"/>
      <c r="AA41" s="420">
        <f>(AO83/10.3)*100</f>
        <v>2.9291781585665295</v>
      </c>
      <c r="AB41" s="421"/>
      <c r="AC41" s="418"/>
      <c r="AD41" s="420">
        <f>(AQ83/10.3)*100</f>
        <v>1.9918411478252407</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19.028508771929825</v>
      </c>
      <c r="N42" s="103"/>
      <c r="O42" s="639" t="s">
        <v>9</v>
      </c>
      <c r="P42" s="640"/>
      <c r="Q42" s="148">
        <v>343</v>
      </c>
      <c r="R42" s="148">
        <v>754</v>
      </c>
      <c r="S42" s="149">
        <v>762</v>
      </c>
      <c r="T42" s="174"/>
      <c r="U42" s="651" t="s">
        <v>42</v>
      </c>
      <c r="V42" s="652"/>
      <c r="W42" s="413">
        <f>IF(W40&lt;W41,W40,W41)</f>
        <v>3.3906442224022566</v>
      </c>
      <c r="X42" s="414"/>
      <c r="Y42" s="414"/>
      <c r="Z42" s="415"/>
      <c r="AA42" s="416">
        <f>IF(AA40&lt;AA41,AA40,AA41)</f>
        <v>2.2306869884225367</v>
      </c>
      <c r="AB42" s="414"/>
      <c r="AC42" s="415"/>
      <c r="AD42" s="416">
        <f>IF(AD40&lt;AD41,AD40,AD41)</f>
        <v>1.5168671521273251</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f>IF(M41="-","-",(M42*S94)+(S93*S95))</f>
        <v>14.62138157894737</v>
      </c>
      <c r="N43" s="103"/>
      <c r="O43" s="612" t="s">
        <v>49</v>
      </c>
      <c r="P43" s="614"/>
      <c r="Q43" s="608">
        <v>936.88</v>
      </c>
      <c r="R43" s="608">
        <v>851.8</v>
      </c>
      <c r="S43" s="620">
        <v>744.23</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756.36</v>
      </c>
      <c r="R45" s="152">
        <v>669.49124467357069</v>
      </c>
      <c r="S45" s="153">
        <v>575.11969795299285</v>
      </c>
      <c r="T45" s="174"/>
      <c r="U45" s="656" t="s">
        <v>139</v>
      </c>
      <c r="V45" s="656"/>
      <c r="W45" s="179" t="s">
        <v>121</v>
      </c>
      <c r="X45" s="406">
        <f>MAX(M37:M39)</f>
        <v>1.9283266729019299</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83.92</v>
      </c>
      <c r="R46" s="150">
        <v>48.76</v>
      </c>
      <c r="S46" s="151">
        <v>47.31</v>
      </c>
      <c r="T46" s="174"/>
      <c r="U46" s="555" t="s">
        <v>123</v>
      </c>
      <c r="V46" s="555"/>
      <c r="W46" s="179" t="s">
        <v>41</v>
      </c>
      <c r="X46" s="401">
        <f>MIN(M42:M44)</f>
        <v>14.62138157894737</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26.845517815715898</v>
      </c>
      <c r="R47" s="125">
        <f>((R43-R45)/(R45-R46))*100</f>
        <v>29.369998190167074</v>
      </c>
      <c r="S47" s="126">
        <f>((S43-S45)/(S45-S46))*100</f>
        <v>32.040014176107142</v>
      </c>
      <c r="T47" s="174"/>
      <c r="U47" s="555" t="s">
        <v>162</v>
      </c>
      <c r="V47" s="555"/>
      <c r="W47" s="179" t="s">
        <v>41</v>
      </c>
      <c r="X47" s="402">
        <f>IF(L25=D103,"-",IF(L25=D102,"-",IF(L25=D101,M25)))</f>
        <v>16.07</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0.181105169340463</v>
      </c>
      <c r="AG48" s="142">
        <f>IF(AG47&lt;&gt;"",IF(R24&lt;&gt;"",AG47/R24*100,""),"")</f>
        <v>0.49097938144329906</v>
      </c>
      <c r="AH48" s="173">
        <f>IF(AH47&lt;&gt;"",IF(S24&lt;&gt;"",AH47/S24*100,""),"")</f>
        <v>0.83867924528301907</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0.04</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0.12</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0.22600000000000001</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0.34399999999999997</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0.45200000000000001</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0.55400000000000005</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0.66800000000000004</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0.78500000000000003</v>
      </c>
      <c r="AM57" s="42">
        <v>20.577999999999999</v>
      </c>
    </row>
    <row r="58" spans="1:39" ht="15.75" x14ac:dyDescent="0.25">
      <c r="A58" s="103"/>
      <c r="B58" s="174"/>
      <c r="C58" s="174"/>
      <c r="D58" s="174"/>
      <c r="E58" s="174"/>
      <c r="F58" s="174"/>
      <c r="G58" s="174"/>
      <c r="H58" s="174"/>
      <c r="I58" s="174"/>
      <c r="J58" s="689" t="s">
        <v>189</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0.88600000000000001</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1.2210000000000001</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1.526</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1.8029999999999999</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10.1</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-2.2800000000000001E-2</v>
      </c>
      <c r="G74" s="75">
        <v>-0.12509999999999999</v>
      </c>
      <c r="J74" s="701"/>
      <c r="K74" s="702"/>
      <c r="L74" s="44"/>
      <c r="M74" s="44"/>
      <c r="N74" s="44"/>
    </row>
    <row r="75" spans="1:94" ht="26.25" customHeight="1" thickBot="1" x14ac:dyDescent="0.3">
      <c r="A75" s="11"/>
      <c r="B75" s="377" t="s">
        <v>113</v>
      </c>
      <c r="C75" s="377"/>
      <c r="D75" s="19"/>
      <c r="E75" s="54" t="s">
        <v>12</v>
      </c>
      <c r="F75" s="55">
        <v>0.86770000000000003</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-6.4356999999999998</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0.12</v>
      </c>
      <c r="AM76" s="3">
        <f t="shared" si="6"/>
        <v>6.2111801242236017E-2</v>
      </c>
      <c r="AN76" s="5">
        <f>AA23</f>
        <v>7.8947368421052627E-2</v>
      </c>
      <c r="AO76" s="3">
        <f t="shared" ref="AO76:AO86" si="9">((AN76/19.32)*10)</f>
        <v>4.0863027133050012E-2</v>
      </c>
      <c r="AP76" s="5">
        <f>AE23</f>
        <v>5.3684210526315793E-2</v>
      </c>
      <c r="AQ76" s="161">
        <f t="shared" si="7"/>
        <v>2.7786858450474013E-2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0.22600000000000001</v>
      </c>
      <c r="AM77" s="3">
        <f t="shared" si="6"/>
        <v>0.11697722567287785</v>
      </c>
      <c r="AN77" s="5">
        <f>AA24</f>
        <v>0.14868421052631578</v>
      </c>
      <c r="AO77" s="3">
        <f t="shared" si="9"/>
        <v>7.6958701100577523E-2</v>
      </c>
      <c r="AP77" s="5">
        <f>AE24</f>
        <v>0.10110526315789474</v>
      </c>
      <c r="AQ77" s="161">
        <f t="shared" si="7"/>
        <v>5.2331916748392722E-2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0.34399999999999997</v>
      </c>
      <c r="AM78" s="3">
        <f t="shared" si="6"/>
        <v>0.17805383022774324</v>
      </c>
      <c r="AN78" s="5">
        <f>AA25</f>
        <v>0.22631578947368419</v>
      </c>
      <c r="AO78" s="3">
        <f t="shared" si="9"/>
        <v>0.11714067778141003</v>
      </c>
      <c r="AP78" s="5">
        <f>AE25</f>
        <v>0.15389473684210525</v>
      </c>
      <c r="AQ78" s="161">
        <f t="shared" si="7"/>
        <v>7.9655660891358837E-2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0.45200000000000001</v>
      </c>
      <c r="AM79" s="4">
        <f t="shared" si="6"/>
        <v>0.23395445134575571</v>
      </c>
      <c r="AN79" s="5">
        <f>AA26</f>
        <v>0.29736842105263156</v>
      </c>
      <c r="AO79" s="4">
        <f t="shared" si="9"/>
        <v>0.15391740220115505</v>
      </c>
      <c r="AP79" s="5">
        <f>AE26</f>
        <v>0.20221052631578948</v>
      </c>
      <c r="AQ79" s="162">
        <f t="shared" si="7"/>
        <v>0.10466383349678544</v>
      </c>
      <c r="BB79" s="12">
        <v>17</v>
      </c>
      <c r="BC79" s="12">
        <v>18</v>
      </c>
    </row>
    <row r="80" spans="1:94" ht="42" customHeight="1" thickTop="1" thickBot="1" x14ac:dyDescent="0.3">
      <c r="D80" s="49"/>
      <c r="H80" s="711" t="s">
        <v>105</v>
      </c>
      <c r="I80" s="712"/>
      <c r="J80" s="58"/>
      <c r="AJ80" s="160">
        <f>U28</f>
        <v>0.125</v>
      </c>
      <c r="AK80" s="3">
        <f t="shared" si="8"/>
        <v>3.1749999999999998</v>
      </c>
      <c r="AL80" s="5">
        <f>W28</f>
        <v>0.55400000000000005</v>
      </c>
      <c r="AM80" s="3">
        <f t="shared" si="6"/>
        <v>0.28674948240165632</v>
      </c>
      <c r="AN80" s="5">
        <f>AA28</f>
        <v>0.36447368421052634</v>
      </c>
      <c r="AO80" s="3">
        <f t="shared" si="9"/>
        <v>0.18865097526424759</v>
      </c>
      <c r="AP80" s="5">
        <f>AE28</f>
        <v>0.24784210526315792</v>
      </c>
      <c r="AQ80" s="161">
        <f t="shared" si="7"/>
        <v>0.12828266317968837</v>
      </c>
      <c r="BC80" s="45">
        <v>0.99880400000000003</v>
      </c>
      <c r="BD80" s="45">
        <v>0.99862499999999998</v>
      </c>
    </row>
    <row r="81" spans="2:43" ht="15.75" customHeight="1" x14ac:dyDescent="0.25">
      <c r="AJ81" s="160">
        <f>U30</f>
        <v>0.15</v>
      </c>
      <c r="AK81" s="3">
        <f t="shared" si="8"/>
        <v>3.8099999999999996</v>
      </c>
      <c r="AL81" s="5">
        <f>W30</f>
        <v>0.66800000000000004</v>
      </c>
      <c r="AM81" s="3">
        <f t="shared" si="6"/>
        <v>0.3457556935817806</v>
      </c>
      <c r="AN81" s="5">
        <f>AA30</f>
        <v>0.43947368421052635</v>
      </c>
      <c r="AO81" s="3">
        <f t="shared" si="9"/>
        <v>0.2274708510406451</v>
      </c>
      <c r="AP81" s="5">
        <f>AE30</f>
        <v>0.29884210526315796</v>
      </c>
      <c r="AQ81" s="161">
        <f t="shared" si="7"/>
        <v>0.1546801787076387</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0.78500000000000003</v>
      </c>
      <c r="AM82" s="3">
        <f t="shared" si="6"/>
        <v>0.40631469979296064</v>
      </c>
      <c r="AN82" s="5">
        <f>AA31</f>
        <v>0.51644736842105265</v>
      </c>
      <c r="AO82" s="3">
        <f t="shared" si="9"/>
        <v>0.26731230249536886</v>
      </c>
      <c r="AP82" s="5">
        <f>AE31</f>
        <v>0.35118421052631582</v>
      </c>
      <c r="AQ82" s="161">
        <f t="shared" si="7"/>
        <v>0.18177236569685085</v>
      </c>
    </row>
    <row r="83" spans="2:43" ht="15" customHeight="1" x14ac:dyDescent="0.25">
      <c r="B83" s="49"/>
      <c r="C83" s="49"/>
      <c r="D83" s="49">
        <v>0</v>
      </c>
      <c r="E83" s="50">
        <f>M42</f>
        <v>19.028508771929825</v>
      </c>
      <c r="F83" s="49"/>
      <c r="G83" s="43">
        <f>G84/10</f>
        <v>1.9873174855403632</v>
      </c>
      <c r="H83" s="43">
        <f>H84/10</f>
        <v>1.8870642835840254</v>
      </c>
      <c r="I83" s="43">
        <f>I84/10</f>
        <v>1.7774714990085616</v>
      </c>
      <c r="J83" s="43">
        <f>J84/10</f>
        <v>1.7317563948685879</v>
      </c>
      <c r="K83" s="43"/>
      <c r="L83" s="42">
        <v>0</v>
      </c>
      <c r="O83" s="706"/>
      <c r="P83" s="706"/>
      <c r="Q83" s="706"/>
      <c r="R83" s="706"/>
      <c r="S83" s="707"/>
      <c r="W83" s="112"/>
      <c r="AJ83" s="160">
        <f>U33</f>
        <v>0.2</v>
      </c>
      <c r="AK83" s="4">
        <f t="shared" si="8"/>
        <v>5.08</v>
      </c>
      <c r="AL83" s="5">
        <f>W33</f>
        <v>0.88600000000000001</v>
      </c>
      <c r="AM83" s="4">
        <f t="shared" si="6"/>
        <v>0.45859213250517594</v>
      </c>
      <c r="AN83" s="5">
        <f>AA33</f>
        <v>0.58289473684210524</v>
      </c>
      <c r="AO83" s="4">
        <f t="shared" si="9"/>
        <v>0.30170535033235257</v>
      </c>
      <c r="AP83" s="5">
        <f>AE33</f>
        <v>0.39636842105263159</v>
      </c>
      <c r="AQ83" s="162">
        <f t="shared" si="7"/>
        <v>0.20515963822599981</v>
      </c>
    </row>
    <row r="84" spans="2:43" ht="15" customHeight="1" x14ac:dyDescent="0.25">
      <c r="C84" s="94"/>
      <c r="D84" s="94"/>
      <c r="E84" s="94"/>
      <c r="F84" s="49"/>
      <c r="G84" s="43">
        <f>($M$34/(1+(E34*$M$34/100)))*($O$73)</f>
        <v>19.873174855403633</v>
      </c>
      <c r="H84" s="43">
        <f>($M$34/(1+(F34*$M$34/100)))*($O$73)</f>
        <v>18.870642835840254</v>
      </c>
      <c r="I84" s="43">
        <f>($M$34/(1+(G34*$M$34/100)))*($O$73)</f>
        <v>17.774714990085617</v>
      </c>
      <c r="J84" s="43">
        <f>($M$34/(1+(H34*$M$34/100)))*($O$73)</f>
        <v>17.31756394868588</v>
      </c>
      <c r="K84" s="43"/>
      <c r="O84" s="706" t="s">
        <v>146</v>
      </c>
      <c r="P84" s="706"/>
      <c r="Q84" s="706"/>
      <c r="R84" s="706"/>
      <c r="S84" s="707">
        <v>2240</v>
      </c>
      <c r="W84" s="112"/>
      <c r="AJ84" s="160">
        <f>U34</f>
        <v>0.3</v>
      </c>
      <c r="AK84" s="3">
        <f t="shared" si="8"/>
        <v>7.6199999999999992</v>
      </c>
      <c r="AL84" s="5">
        <f>W34</f>
        <v>1.2210000000000001</v>
      </c>
      <c r="AM84" s="3">
        <f t="shared" si="6"/>
        <v>0.63198757763975155</v>
      </c>
      <c r="AN84" s="5">
        <f>AA34</f>
        <v>0.80328947368421055</v>
      </c>
      <c r="AO84" s="3">
        <f t="shared" si="9"/>
        <v>0.41578130107878392</v>
      </c>
      <c r="AP84" s="5">
        <f>AE34</f>
        <v>0.54623684210526324</v>
      </c>
      <c r="AQ84" s="161">
        <f t="shared" si="7"/>
        <v>0.28273128473357312</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1.526</v>
      </c>
      <c r="AM85" s="3">
        <f t="shared" si="6"/>
        <v>0.78985507246376818</v>
      </c>
      <c r="AN85" s="5">
        <f>AA35</f>
        <v>1.0039473684210527</v>
      </c>
      <c r="AO85" s="3">
        <f t="shared" si="9"/>
        <v>0.51964149504195278</v>
      </c>
      <c r="AP85" s="5">
        <f>AE35</f>
        <v>0.68268421052631589</v>
      </c>
      <c r="AQ85" s="161">
        <f>((AP85/19.32)*10)</f>
        <v>0.3533562166285279</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1.8029999999999999</v>
      </c>
      <c r="AM86" s="164">
        <f t="shared" si="6"/>
        <v>0.93322981366459623</v>
      </c>
      <c r="AN86" s="165">
        <f>AA37</f>
        <v>1.1861842105263158</v>
      </c>
      <c r="AO86" s="164">
        <f t="shared" si="9"/>
        <v>0.61396698267407657</v>
      </c>
      <c r="AP86" s="165">
        <f>AE37</f>
        <v>0.80660526315789483</v>
      </c>
      <c r="AQ86" s="166">
        <f>((AP86/19.32)*10)</f>
        <v>0.41749754821837204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1.7940000000000005</v>
      </c>
      <c r="AK91" s="9">
        <f>R31</f>
        <v>1.6254000000000013</v>
      </c>
      <c r="AL91" s="10">
        <f>S31</f>
        <v>1.4692139649286298</v>
      </c>
    </row>
    <row r="92" spans="2:43" ht="21" customHeight="1" thickBot="1" x14ac:dyDescent="0.3">
      <c r="B92" s="92"/>
      <c r="C92" s="93"/>
      <c r="D92" s="93"/>
      <c r="E92" s="93"/>
      <c r="F92" s="62"/>
      <c r="G92" s="63"/>
      <c r="H92" s="49"/>
      <c r="I92" s="49"/>
      <c r="O92" s="725" t="s">
        <v>147</v>
      </c>
      <c r="P92" s="726"/>
      <c r="Q92" s="726"/>
      <c r="R92" s="726"/>
      <c r="S92" s="61">
        <f>M42</f>
        <v>19.028508771929825</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3.3906442224022566</v>
      </c>
      <c r="AK94" s="158">
        <f>AA42</f>
        <v>2.2306869884225367</v>
      </c>
      <c r="AL94" s="158">
        <f>AD42</f>
        <v>1.5168671521273251</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84" priority="46">
      <formula>LEN(TRIM(D6))=0</formula>
    </cfRule>
  </conditionalFormatting>
  <conditionalFormatting sqref="D6:H10">
    <cfRule type="containsBlanks" dxfId="183" priority="45">
      <formula>LEN(TRIM(D6))=0</formula>
    </cfRule>
  </conditionalFormatting>
  <conditionalFormatting sqref="M19">
    <cfRule type="containsBlanks" dxfId="182" priority="44">
      <formula>LEN(TRIM(M19))=0</formula>
    </cfRule>
  </conditionalFormatting>
  <conditionalFormatting sqref="CP70">
    <cfRule type="containsBlanks" dxfId="181" priority="43">
      <formula>LEN(TRIM(CP70))=0</formula>
    </cfRule>
  </conditionalFormatting>
  <conditionalFormatting sqref="M21">
    <cfRule type="containsBlanks" dxfId="180" priority="42">
      <formula>LEN(TRIM(M21))=0</formula>
    </cfRule>
  </conditionalFormatting>
  <conditionalFormatting sqref="D12:M12">
    <cfRule type="containsBlanks" dxfId="179" priority="41">
      <formula>LEN(TRIM(D12))=0</formula>
    </cfRule>
  </conditionalFormatting>
  <conditionalFormatting sqref="L9:M9">
    <cfRule type="containsBlanks" dxfId="178" priority="40">
      <formula>LEN(TRIM(L9))=0</formula>
    </cfRule>
  </conditionalFormatting>
  <conditionalFormatting sqref="L25">
    <cfRule type="containsBlanks" dxfId="177" priority="39">
      <formula>LEN(TRIM(L25))=0</formula>
    </cfRule>
  </conditionalFormatting>
  <conditionalFormatting sqref="U26:V27 AC33 AC26">
    <cfRule type="cellIs" dxfId="176" priority="38" operator="between">
      <formula>0</formula>
      <formula>500</formula>
    </cfRule>
  </conditionalFormatting>
  <conditionalFormatting sqref="U33:V33">
    <cfRule type="cellIs" dxfId="175" priority="37" operator="between">
      <formula>0</formula>
      <formula>500</formula>
    </cfRule>
  </conditionalFormatting>
  <conditionalFormatting sqref="AF45:AH46">
    <cfRule type="containsBlanks" dxfId="174" priority="36">
      <formula>LEN(TRIM(AF45))=0</formula>
    </cfRule>
  </conditionalFormatting>
  <conditionalFormatting sqref="AF51:AG53">
    <cfRule type="containsBlanks" dxfId="173" priority="35">
      <formula>LEN(TRIM(AF51))=0</formula>
    </cfRule>
  </conditionalFormatting>
  <conditionalFormatting sqref="M25">
    <cfRule type="containsBlanks" dxfId="172" priority="34">
      <formula>LEN(TRIM(M25))=0</formula>
    </cfRule>
  </conditionalFormatting>
  <conditionalFormatting sqref="U26:V27 Y26:Z27 AC26:AD27 AG26:AG27">
    <cfRule type="containsBlanks" dxfId="171" priority="32">
      <formula>LEN(TRIM(U26))=0</formula>
    </cfRule>
    <cfRule type="cellIs" dxfId="170" priority="33" operator="between">
      <formula>0</formula>
      <formula>1000</formula>
    </cfRule>
  </conditionalFormatting>
  <conditionalFormatting sqref="W87:W88">
    <cfRule type="cellIs" dxfId="169" priority="31" operator="between">
      <formula>0</formula>
      <formula>500</formula>
    </cfRule>
  </conditionalFormatting>
  <conditionalFormatting sqref="W94">
    <cfRule type="cellIs" dxfId="168" priority="30" operator="between">
      <formula>0</formula>
      <formula>500</formula>
    </cfRule>
  </conditionalFormatting>
  <conditionalFormatting sqref="W87:W88">
    <cfRule type="containsBlanks" dxfId="167" priority="28">
      <formula>LEN(TRIM(W87))=0</formula>
    </cfRule>
    <cfRule type="cellIs" dxfId="166" priority="29" operator="between">
      <formula>0</formula>
      <formula>1000</formula>
    </cfRule>
  </conditionalFormatting>
  <conditionalFormatting sqref="U33:V33 Y33:Z33 AC33:AD33 AG33">
    <cfRule type="cellIs" dxfId="165" priority="27" operator="between">
      <formula>0</formula>
      <formula>1000</formula>
    </cfRule>
  </conditionalFormatting>
  <conditionalFormatting sqref="Q27:S27">
    <cfRule type="containsBlanks" dxfId="164" priority="25">
      <formula>LEN(TRIM(Q27))=0</formula>
    </cfRule>
    <cfRule type="containsBlanks" dxfId="163" priority="26">
      <formula>LEN(TRIM(Q27))=0</formula>
    </cfRule>
  </conditionalFormatting>
  <conditionalFormatting sqref="W30:W31 W33:W35 W37 W28 W22:W26">
    <cfRule type="containsBlanks" dxfId="162" priority="24">
      <formula>LEN(TRIM(W22))=0</formula>
    </cfRule>
  </conditionalFormatting>
  <conditionalFormatting sqref="W37 W30:W31 W33:W35 W28 W22:W26">
    <cfRule type="containsBlanks" dxfId="161" priority="23">
      <formula>LEN(TRIM(W22))=0</formula>
    </cfRule>
  </conditionalFormatting>
  <conditionalFormatting sqref="W33:X33">
    <cfRule type="cellIs" dxfId="160" priority="22" operator="between">
      <formula>0</formula>
      <formula>1000</formula>
    </cfRule>
  </conditionalFormatting>
  <conditionalFormatting sqref="W30:X37 W26 W28 W22:X25">
    <cfRule type="containsBlanks" dxfId="159" priority="21">
      <formula>LEN(TRIM(W22))=0</formula>
    </cfRule>
  </conditionalFormatting>
  <conditionalFormatting sqref="AA37 AA30:AA31 AA33 AA22:AA26 AA28 AA35">
    <cfRule type="containsBlanks" dxfId="158" priority="20">
      <formula>LEN(TRIM(AA22))=0</formula>
    </cfRule>
  </conditionalFormatting>
  <conditionalFormatting sqref="AA37 AA30:AA31 AA33 AA22:AA26 AA28 AA35">
    <cfRule type="containsBlanks" dxfId="157" priority="19">
      <formula>LEN(TRIM(AA22))=0</formula>
    </cfRule>
  </conditionalFormatting>
  <conditionalFormatting sqref="AA33:AB33">
    <cfRule type="cellIs" dxfId="156" priority="18" operator="between">
      <formula>0</formula>
      <formula>1000</formula>
    </cfRule>
  </conditionalFormatting>
  <conditionalFormatting sqref="AA30:AB30 AA31 AA33:AB33 AA22:AB25 AA26 AA28 AA35:AB37">
    <cfRule type="containsBlanks" dxfId="155" priority="17">
      <formula>LEN(TRIM(AA22))=0</formula>
    </cfRule>
  </conditionalFormatting>
  <conditionalFormatting sqref="AE37 AE28 AE30:AE31 AE33:AE35 AE22:AE26">
    <cfRule type="containsBlanks" dxfId="154" priority="16">
      <formula>LEN(TRIM(AE22))=0</formula>
    </cfRule>
  </conditionalFormatting>
  <conditionalFormatting sqref="AE37 AE28 AE30:AE31 AE33:AE35 AE22:AE26">
    <cfRule type="containsBlanks" dxfId="153" priority="15">
      <formula>LEN(TRIM(AE22))=0</formula>
    </cfRule>
  </conditionalFormatting>
  <conditionalFormatting sqref="AE33:AF33">
    <cfRule type="cellIs" dxfId="152" priority="14" operator="between">
      <formula>0</formula>
      <formula>1000</formula>
    </cfRule>
  </conditionalFormatting>
  <conditionalFormatting sqref="AE33:AF37 AE26 AE28 AE30:AE31 AE22:AF25">
    <cfRule type="containsBlanks" dxfId="151" priority="13">
      <formula>LEN(TRIM(AE22))=0</formula>
    </cfRule>
  </conditionalFormatting>
  <conditionalFormatting sqref="K6:M6">
    <cfRule type="containsBlanks" dxfId="150" priority="12">
      <formula>LEN(TRIM(K6))=0</formula>
    </cfRule>
  </conditionalFormatting>
  <conditionalFormatting sqref="K7:K8">
    <cfRule type="containsBlanks" dxfId="149" priority="11">
      <formula>LEN(TRIM(K7))=0</formula>
    </cfRule>
  </conditionalFormatting>
  <conditionalFormatting sqref="B6:B10">
    <cfRule type="containsBlanks" dxfId="148" priority="10">
      <formula>LEN(TRIM(B6))=0</formula>
    </cfRule>
  </conditionalFormatting>
  <conditionalFormatting sqref="B12:B13">
    <cfRule type="containsBlanks" dxfId="147" priority="9">
      <formula>LEN(TRIM(B12))=0</formula>
    </cfRule>
  </conditionalFormatting>
  <conditionalFormatting sqref="E20:H24">
    <cfRule type="containsBlanks" dxfId="146" priority="8">
      <formula>LEN(TRIM(E20))=0</formula>
    </cfRule>
  </conditionalFormatting>
  <conditionalFormatting sqref="E28:H33">
    <cfRule type="containsBlanks" dxfId="145" priority="7">
      <formula>LEN(TRIM(E28))=0</formula>
    </cfRule>
  </conditionalFormatting>
  <conditionalFormatting sqref="Q20:S26">
    <cfRule type="containsBlanks" dxfId="144" priority="5">
      <formula>LEN(TRIM(Q20))=0</formula>
    </cfRule>
    <cfRule type="containsBlanks" dxfId="143" priority="6">
      <formula>LEN(TRIM(Q20))=0</formula>
    </cfRule>
  </conditionalFormatting>
  <conditionalFormatting sqref="Q34:S39">
    <cfRule type="containsBlanks" dxfId="142" priority="4">
      <formula>LEN(TRIM(Q34))=0</formula>
    </cfRule>
  </conditionalFormatting>
  <conditionalFormatting sqref="Q42:S46">
    <cfRule type="containsBlanks" dxfId="141" priority="3">
      <formula>LEN(TRIM(Q42))=0</formula>
    </cfRule>
  </conditionalFormatting>
  <conditionalFormatting sqref="D13">
    <cfRule type="containsBlanks" dxfId="140" priority="2">
      <formula>LEN(TRIM(D13))=0</formula>
    </cfRule>
  </conditionalFormatting>
  <conditionalFormatting sqref="D13">
    <cfRule type="containsBlanks" dxfId="139" priority="1">
      <formula>LEN(TRIM(D13))=0</formula>
    </cfRule>
  </conditionalFormatting>
  <dataValidations count="5">
    <dataValidation type="list" allowBlank="1" showInputMessage="1" showErrorMessage="1" sqref="D12:E12" xr:uid="{00000000-0002-0000-3800-000000000000}">
      <formula1>$B$87:$B$94</formula1>
    </dataValidation>
    <dataValidation type="list" allowBlank="1" showInputMessage="1" showErrorMessage="1" sqref="CP70" xr:uid="{00000000-0002-0000-3800-000001000000}">
      <formula1>$BA$3:$BA$5</formula1>
    </dataValidation>
    <dataValidation type="list" allowBlank="1" showInputMessage="1" showErrorMessage="1" sqref="M19" xr:uid="{00000000-0002-0000-3800-000002000000}">
      <formula1>$AX$3:$AX$5</formula1>
    </dataValidation>
    <dataValidation type="list" allowBlank="1" showInputMessage="1" showErrorMessage="1" sqref="M21" xr:uid="{00000000-0002-0000-3800-000003000000}">
      <formula1>$AX$3:$AX$4</formula1>
    </dataValidation>
    <dataValidation type="list" allowBlank="1" showInputMessage="1" showErrorMessage="1" sqref="L25" xr:uid="{00000000-0002-0000-3800-000004000000}">
      <formula1>$D$101:$D$104</formula1>
    </dataValidation>
  </dataValidations>
  <hyperlinks>
    <hyperlink ref="D8" r:id="rId1" xr:uid="{00000000-0004-0000-38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95585"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95586"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95587"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95588"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95589"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95590"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95591"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95592"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95593"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95594"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Hoja98">
    <tabColor theme="9" tint="0.79998168889431442"/>
  </sheetPr>
  <dimension ref="A1:CP153"/>
  <sheetViews>
    <sheetView view="pageBreakPreview" topLeftCell="Q39" zoomScale="55" zoomScaleNormal="100" zoomScaleSheetLayoutView="55"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25-UNIVALLE AP2-1</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25-UNIVALLE AP2-1</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329</v>
      </c>
      <c r="G12" s="31" t="s">
        <v>4</v>
      </c>
      <c r="H12" s="146">
        <v>1</v>
      </c>
      <c r="I12" s="546" t="s">
        <v>5</v>
      </c>
      <c r="J12" s="546"/>
      <c r="K12" s="209" t="s">
        <v>317</v>
      </c>
      <c r="L12" s="32" t="s">
        <v>6</v>
      </c>
      <c r="M12" s="147" t="s">
        <v>297</v>
      </c>
      <c r="N12" s="78"/>
      <c r="O12" s="501" t="s">
        <v>3</v>
      </c>
      <c r="P12" s="501"/>
      <c r="Q12" s="225" t="s">
        <v>234</v>
      </c>
      <c r="R12" s="224" t="str">
        <f>F12</f>
        <v>UNIVALLE AP2</v>
      </c>
      <c r="S12" s="224"/>
      <c r="T12" s="502" t="s">
        <v>4</v>
      </c>
      <c r="U12" s="502"/>
      <c r="V12" s="33">
        <f>+H12</f>
        <v>1</v>
      </c>
      <c r="W12" s="547" t="s">
        <v>5</v>
      </c>
      <c r="X12" s="547"/>
      <c r="Y12" s="547"/>
      <c r="Z12" s="547"/>
      <c r="AA12" s="547"/>
      <c r="AB12" s="547"/>
      <c r="AC12" s="34" t="str">
        <f>K12</f>
        <v>0,00m</v>
      </c>
      <c r="AD12" s="548" t="s">
        <v>6</v>
      </c>
      <c r="AE12" s="548"/>
      <c r="AF12" s="35" t="str">
        <f>+M12</f>
        <v>0,90m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321</v>
      </c>
      <c r="E13" s="791"/>
      <c r="F13" s="791"/>
      <c r="G13" s="791"/>
      <c r="H13" s="791"/>
      <c r="I13" s="791"/>
      <c r="J13" s="791"/>
      <c r="K13" s="791"/>
      <c r="L13" s="791"/>
      <c r="M13" s="791"/>
      <c r="N13" s="188"/>
      <c r="O13" s="526" t="s">
        <v>130</v>
      </c>
      <c r="P13" s="526"/>
      <c r="Q13" s="527" t="str">
        <f>D13</f>
        <v>LIMO DE ALTA PLASTICIDAD, COLOR MARRÓN DE CONSISTENCIA FIRME EN CONDICIÓN HÚMEDA, PRESENCIA DE RAÍCES.</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541</v>
      </c>
      <c r="R20" s="148">
        <v>518</v>
      </c>
      <c r="S20" s="149">
        <v>306</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7236</v>
      </c>
      <c r="F22" s="219">
        <v>7894</v>
      </c>
      <c r="G22" s="219">
        <v>8062</v>
      </c>
      <c r="H22" s="208">
        <v>6876</v>
      </c>
      <c r="I22" s="174"/>
      <c r="J22" s="578"/>
      <c r="K22" s="578"/>
      <c r="L22" s="578"/>
      <c r="M22" s="104"/>
      <c r="N22" s="103"/>
      <c r="O22" s="579" t="s">
        <v>132</v>
      </c>
      <c r="P22" s="580"/>
      <c r="Q22" s="150">
        <v>8945</v>
      </c>
      <c r="R22" s="219">
        <v>8463.644797241006</v>
      </c>
      <c r="S22" s="208">
        <v>7878.6557753146944</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3.6999999999999998E-2</v>
      </c>
      <c r="AJ22" s="42">
        <f>AJ50/1.52</f>
        <v>2.4342105263157894E-2</v>
      </c>
      <c r="AK22" s="42">
        <f>AJ22*0.68</f>
        <v>1.6552631578947371E-2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3858</v>
      </c>
      <c r="R23" s="150">
        <v>3810</v>
      </c>
      <c r="S23" s="151">
        <v>3822</v>
      </c>
      <c r="T23" s="174"/>
      <c r="U23" s="112">
        <v>2.5000000000000001E-2</v>
      </c>
      <c r="V23" s="113">
        <f>U23*25.4</f>
        <v>0.63500000000000001</v>
      </c>
      <c r="W23" s="581">
        <f>AI23</f>
        <v>0.13400000000000001</v>
      </c>
      <c r="X23" s="582"/>
      <c r="Y23" s="449">
        <f>((W23/19.32)*10)</f>
        <v>6.9358178053830224E-2</v>
      </c>
      <c r="Z23" s="450"/>
      <c r="AA23" s="581">
        <f>AJ23</f>
        <v>8.8157894736842116E-2</v>
      </c>
      <c r="AB23" s="582"/>
      <c r="AC23" s="449">
        <f>((AA23/19.32)*10)</f>
        <v>4.5630380298572526E-2</v>
      </c>
      <c r="AD23" s="450"/>
      <c r="AE23" s="581">
        <f>AK23</f>
        <v>5.9947368421052645E-2</v>
      </c>
      <c r="AF23" s="582"/>
      <c r="AG23" s="114">
        <f>((AE23/19.32)*10)</f>
        <v>3.1028658603029322E-2</v>
      </c>
      <c r="AH23" s="104"/>
      <c r="AI23" s="42">
        <f t="shared" ref="AI23:AI33" si="2">AJ51</f>
        <v>0.13400000000000001</v>
      </c>
      <c r="AJ23" s="42">
        <f t="shared" ref="AJ23:AJ33" si="3">AJ51/1.52</f>
        <v>8.8157894736842116E-2</v>
      </c>
      <c r="AK23" s="42">
        <f t="shared" ref="AK23:AK33" si="4">AJ23*0.68</f>
        <v>5.9947368421052645E-2</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11.62</v>
      </c>
      <c r="R24" s="150">
        <v>11.65</v>
      </c>
      <c r="S24" s="151">
        <v>11.64</v>
      </c>
      <c r="T24" s="174"/>
      <c r="U24" s="112">
        <v>0.05</v>
      </c>
      <c r="V24" s="113">
        <f>U24*25.4</f>
        <v>1.27</v>
      </c>
      <c r="W24" s="581">
        <f>AI24</f>
        <v>0.24299999999999999</v>
      </c>
      <c r="X24" s="582"/>
      <c r="Y24" s="449">
        <f>((W24/19.32)*10)</f>
        <v>0.12577639751552794</v>
      </c>
      <c r="Z24" s="450"/>
      <c r="AA24" s="581">
        <f>AJ24</f>
        <v>0.15986842105263158</v>
      </c>
      <c r="AB24" s="582"/>
      <c r="AC24" s="449">
        <f>((AA24/19.32)*10)</f>
        <v>8.274762994442629E-2</v>
      </c>
      <c r="AD24" s="450"/>
      <c r="AE24" s="581">
        <f>AK24</f>
        <v>0.10871052631578948</v>
      </c>
      <c r="AF24" s="582"/>
      <c r="AG24" s="114">
        <f>((AE24/19.32)*10)</f>
        <v>5.6268388362209876E-2</v>
      </c>
      <c r="AH24" s="104"/>
      <c r="AI24" s="42">
        <f t="shared" si="2"/>
        <v>0.24299999999999999</v>
      </c>
      <c r="AJ24" s="42">
        <f t="shared" si="3"/>
        <v>0.15986842105263158</v>
      </c>
      <c r="AK24" s="42">
        <f t="shared" si="4"/>
        <v>0.10871052631578948</v>
      </c>
      <c r="AO24" s="42">
        <v>0.68400000000000005</v>
      </c>
      <c r="AS24" s="42">
        <f t="shared" si="5"/>
        <v>0.55609756097560981</v>
      </c>
    </row>
    <row r="25" spans="1:45" ht="24.95" customHeight="1" thickBot="1" x14ac:dyDescent="0.3">
      <c r="A25" s="103"/>
      <c r="B25" s="602" t="s">
        <v>69</v>
      </c>
      <c r="C25" s="603"/>
      <c r="D25" s="603"/>
      <c r="E25" s="115">
        <f>E22-E23</f>
        <v>4352</v>
      </c>
      <c r="F25" s="220">
        <f>F22-F23</f>
        <v>5010</v>
      </c>
      <c r="G25" s="220">
        <f>G22-G23</f>
        <v>5178</v>
      </c>
      <c r="H25" s="116">
        <f>H22-H23</f>
        <v>3992</v>
      </c>
      <c r="I25" s="174"/>
      <c r="J25" s="174" t="s">
        <v>127</v>
      </c>
      <c r="K25" s="174"/>
      <c r="L25" s="218" t="s">
        <v>128</v>
      </c>
      <c r="M25" s="155">
        <v>0</v>
      </c>
      <c r="N25" s="103"/>
      <c r="O25" s="604" t="s">
        <v>46</v>
      </c>
      <c r="P25" s="605"/>
      <c r="Q25" s="608">
        <v>15.28</v>
      </c>
      <c r="R25" s="608">
        <v>15.27</v>
      </c>
      <c r="S25" s="610">
        <v>15.23</v>
      </c>
      <c r="T25" s="174"/>
      <c r="U25" s="112">
        <v>7.4999999999999997E-2</v>
      </c>
      <c r="V25" s="113">
        <f>U25*25.4</f>
        <v>1.9049999999999998</v>
      </c>
      <c r="W25" s="581">
        <f>AI25</f>
        <v>0.38600000000000001</v>
      </c>
      <c r="X25" s="582"/>
      <c r="Y25" s="449">
        <f>((W25/19.32)*10)</f>
        <v>0.19979296066252589</v>
      </c>
      <c r="Z25" s="450"/>
      <c r="AA25" s="581">
        <f>AJ25</f>
        <v>0.25394736842105264</v>
      </c>
      <c r="AB25" s="582"/>
      <c r="AC25" s="449">
        <f>((AA25/19.32)*10)</f>
        <v>0.13144273727797756</v>
      </c>
      <c r="AD25" s="450"/>
      <c r="AE25" s="581">
        <f>AK25</f>
        <v>0.1726842105263158</v>
      </c>
      <c r="AF25" s="582"/>
      <c r="AG25" s="114">
        <f>((AE25/19.32)*10)</f>
        <v>8.9381061349024737E-2</v>
      </c>
      <c r="AH25" s="104"/>
      <c r="AI25" s="42">
        <f t="shared" si="2"/>
        <v>0.38600000000000001</v>
      </c>
      <c r="AJ25" s="42">
        <f t="shared" si="3"/>
        <v>0.25394736842105264</v>
      </c>
      <c r="AK25" s="42">
        <f t="shared" si="4"/>
        <v>0.1726842105263158</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0.52200000000000002</v>
      </c>
      <c r="X26" s="779"/>
      <c r="Y26" s="461">
        <f>((W26/19.32)*10)</f>
        <v>0.27018633540372672</v>
      </c>
      <c r="Z26" s="462"/>
      <c r="AA26" s="746">
        <f>AJ26</f>
        <v>0.34342105263157896</v>
      </c>
      <c r="AB26" s="747"/>
      <c r="AC26" s="461">
        <f>((AA26/19.32)*10)</f>
        <v>0.17775416802876756</v>
      </c>
      <c r="AD26" s="462"/>
      <c r="AE26" s="746">
        <f>AK26</f>
        <v>0.23352631578947372</v>
      </c>
      <c r="AF26" s="747"/>
      <c r="AG26" s="469">
        <f>((AE26/19.32)*10)</f>
        <v>0.12087283425956197</v>
      </c>
      <c r="AH26" s="104"/>
      <c r="AI26" s="42">
        <f t="shared" si="2"/>
        <v>0.52200000000000002</v>
      </c>
      <c r="AJ26" s="42">
        <f t="shared" si="3"/>
        <v>0.34342105263157896</v>
      </c>
      <c r="AK26" s="42">
        <f t="shared" si="4"/>
        <v>0.23352631578947372</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2130.8001461455669</v>
      </c>
      <c r="R27" s="152">
        <f>(PI()*((R25^2)/4)*R24)</f>
        <v>2133.5060603737625</v>
      </c>
      <c r="S27" s="153">
        <f>(PI()*((S25^2)/4)*S24)</f>
        <v>2120.5214424608475</v>
      </c>
      <c r="T27" s="174"/>
      <c r="U27" s="600"/>
      <c r="V27" s="601"/>
      <c r="W27" s="780"/>
      <c r="X27" s="781"/>
      <c r="Y27" s="463"/>
      <c r="Z27" s="464"/>
      <c r="AA27" s="748"/>
      <c r="AB27" s="749"/>
      <c r="AC27" s="463"/>
      <c r="AD27" s="464"/>
      <c r="AE27" s="748"/>
      <c r="AF27" s="749"/>
      <c r="AG27" s="470"/>
      <c r="AH27" s="193"/>
      <c r="AI27" s="42">
        <f t="shared" si="2"/>
        <v>0.66900000000000004</v>
      </c>
      <c r="AJ27" s="42">
        <f t="shared" si="3"/>
        <v>0.44013157894736843</v>
      </c>
      <c r="AK27" s="42">
        <f t="shared" si="4"/>
        <v>0.29928947368421055</v>
      </c>
      <c r="AO27" s="42">
        <v>2.387</v>
      </c>
      <c r="AS27" s="42">
        <f t="shared" si="5"/>
        <v>1.9406504065040651</v>
      </c>
    </row>
    <row r="28" spans="1:45" ht="24.95" customHeight="1" thickBot="1" x14ac:dyDescent="0.3">
      <c r="A28" s="103"/>
      <c r="B28" s="560" t="s">
        <v>9</v>
      </c>
      <c r="C28" s="561"/>
      <c r="D28" s="561"/>
      <c r="E28" s="148">
        <v>606</v>
      </c>
      <c r="F28" s="148">
        <v>647</v>
      </c>
      <c r="G28" s="148">
        <v>747</v>
      </c>
      <c r="H28" s="149">
        <v>302</v>
      </c>
      <c r="I28" s="174"/>
      <c r="J28" s="597" t="s">
        <v>107</v>
      </c>
      <c r="K28" s="597"/>
      <c r="L28" s="562" t="s">
        <v>119</v>
      </c>
      <c r="M28" s="459">
        <f>IF(M26="","",(100-M26))</f>
        <v>100</v>
      </c>
      <c r="N28" s="103"/>
      <c r="O28" s="625" t="s">
        <v>136</v>
      </c>
      <c r="P28" s="626"/>
      <c r="Q28" s="220">
        <f>Q22-Q23</f>
        <v>5087</v>
      </c>
      <c r="R28" s="220">
        <f>R22-R23</f>
        <v>4653.644797241006</v>
      </c>
      <c r="S28" s="220">
        <f>S22-S23</f>
        <v>4056.6557753146944</v>
      </c>
      <c r="T28" s="174"/>
      <c r="U28" s="627">
        <v>0.125</v>
      </c>
      <c r="V28" s="624">
        <f>U28*25.4</f>
        <v>3.1749999999999998</v>
      </c>
      <c r="W28" s="593">
        <f>AI27</f>
        <v>0.66900000000000004</v>
      </c>
      <c r="X28" s="594"/>
      <c r="Y28" s="439">
        <f>((W28/19.32)*10)</f>
        <v>0.34627329192546585</v>
      </c>
      <c r="Z28" s="440"/>
      <c r="AA28" s="593">
        <f>AJ27</f>
        <v>0.44013157894736843</v>
      </c>
      <c r="AB28" s="594"/>
      <c r="AC28" s="439">
        <f>((AA28/19.32)*10)</f>
        <v>0.22781137626675385</v>
      </c>
      <c r="AD28" s="440"/>
      <c r="AE28" s="593">
        <f>AK27</f>
        <v>0.29928947368421055</v>
      </c>
      <c r="AF28" s="594"/>
      <c r="AG28" s="443">
        <f>((AE28/19.32)*10)</f>
        <v>0.15491173586139262</v>
      </c>
      <c r="AH28" s="104"/>
      <c r="AI28" s="42">
        <f t="shared" si="2"/>
        <v>0.86</v>
      </c>
      <c r="AJ28" s="42">
        <f t="shared" si="3"/>
        <v>0.56578947368421051</v>
      </c>
      <c r="AK28" s="42">
        <f t="shared" si="4"/>
        <v>0.38473684210526315</v>
      </c>
      <c r="AO28" s="42">
        <v>2.8959999999999999</v>
      </c>
      <c r="AS28" s="42">
        <f t="shared" si="5"/>
        <v>2.3544715447154472</v>
      </c>
    </row>
    <row r="29" spans="1:45" ht="5.0999999999999996" customHeight="1" thickBot="1" x14ac:dyDescent="0.3">
      <c r="A29" s="103"/>
      <c r="B29" s="612" t="s">
        <v>73</v>
      </c>
      <c r="C29" s="613"/>
      <c r="D29" s="614"/>
      <c r="E29" s="618">
        <v>773.65</v>
      </c>
      <c r="F29" s="618">
        <v>712.33</v>
      </c>
      <c r="G29" s="618">
        <v>891.02</v>
      </c>
      <c r="H29" s="620">
        <v>725.31</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1.038</v>
      </c>
      <c r="AJ29" s="42">
        <f t="shared" si="3"/>
        <v>0.68289473684210533</v>
      </c>
      <c r="AK29" s="42">
        <f t="shared" si="4"/>
        <v>0.46436842105263165</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20.176341190476172</v>
      </c>
      <c r="N30" s="103"/>
      <c r="O30" s="622" t="s">
        <v>134</v>
      </c>
      <c r="P30" s="623"/>
      <c r="Q30" s="229">
        <f>Q28/Q27</f>
        <v>2.3873660836760981</v>
      </c>
      <c r="R30" s="229">
        <f>R28/R27</f>
        <v>2.1812193945330289</v>
      </c>
      <c r="S30" s="131">
        <f>S28/S27</f>
        <v>1.913046335719661</v>
      </c>
      <c r="T30" s="174"/>
      <c r="U30" s="120">
        <v>0.15</v>
      </c>
      <c r="V30" s="113">
        <f>U30*25.4</f>
        <v>3.8099999999999996</v>
      </c>
      <c r="W30" s="581">
        <f>AI28</f>
        <v>0.86</v>
      </c>
      <c r="X30" s="582"/>
      <c r="Y30" s="449">
        <f>((W30/19.32)*10)</f>
        <v>0.44513457556935815</v>
      </c>
      <c r="Z30" s="450"/>
      <c r="AA30" s="581">
        <f>AJ28</f>
        <v>0.56578947368421051</v>
      </c>
      <c r="AB30" s="582"/>
      <c r="AC30" s="449">
        <f>((AA30/19.32)*10)</f>
        <v>0.2928516944535251</v>
      </c>
      <c r="AD30" s="450"/>
      <c r="AE30" s="581">
        <f>AK28</f>
        <v>0.38473684210526315</v>
      </c>
      <c r="AF30" s="582"/>
      <c r="AG30" s="114">
        <f>((AE30/19.32)*10)</f>
        <v>0.19913915222839706</v>
      </c>
      <c r="AH30" s="104"/>
      <c r="AI30" s="42">
        <f t="shared" si="2"/>
        <v>1.175</v>
      </c>
      <c r="AJ30" s="42">
        <f t="shared" si="3"/>
        <v>0.77302631578947367</v>
      </c>
      <c r="AK30" s="42">
        <f t="shared" si="4"/>
        <v>0.5256578947368421</v>
      </c>
      <c r="AO30" s="42">
        <v>3.8439999999999999</v>
      </c>
      <c r="AS30" s="42">
        <f t="shared" si="5"/>
        <v>3.1252032520325201</v>
      </c>
    </row>
    <row r="31" spans="1:45" ht="24.95" customHeight="1" thickBot="1" x14ac:dyDescent="0.3">
      <c r="A31" s="103"/>
      <c r="B31" s="576" t="s">
        <v>74</v>
      </c>
      <c r="C31" s="577"/>
      <c r="D31" s="577"/>
      <c r="E31" s="152">
        <v>677.50746249103315</v>
      </c>
      <c r="F31" s="152">
        <v>609.0229587967566</v>
      </c>
      <c r="G31" s="152">
        <v>742.43311864272255</v>
      </c>
      <c r="H31" s="153">
        <v>590.93658014188497</v>
      </c>
      <c r="I31" s="174"/>
      <c r="J31" s="597" t="s">
        <v>138</v>
      </c>
      <c r="K31" s="597"/>
      <c r="L31" s="562" t="s">
        <v>116</v>
      </c>
      <c r="M31" s="457">
        <v>2.72</v>
      </c>
      <c r="N31" s="121"/>
      <c r="O31" s="628" t="s">
        <v>135</v>
      </c>
      <c r="P31" s="629"/>
      <c r="Q31" s="122">
        <f>Q30/(1+Q40/100)</f>
        <v>1.9932100429112996</v>
      </c>
      <c r="R31" s="122">
        <f>R30/(1+R40/100)</f>
        <v>1.8230000000000002</v>
      </c>
      <c r="S31" s="123">
        <f>S30/(1+S40/100)</f>
        <v>1.5970000000000006</v>
      </c>
      <c r="T31" s="174"/>
      <c r="U31" s="627">
        <v>0.17499999999999999</v>
      </c>
      <c r="V31" s="624">
        <f>U31*25.4</f>
        <v>4.4449999999999994</v>
      </c>
      <c r="W31" s="593">
        <f>AI29</f>
        <v>1.038</v>
      </c>
      <c r="X31" s="594"/>
      <c r="Y31" s="439">
        <f>((W31/19.32)*10)</f>
        <v>0.53726708074534157</v>
      </c>
      <c r="Z31" s="440"/>
      <c r="AA31" s="593">
        <f>AJ29</f>
        <v>0.68289473684210533</v>
      </c>
      <c r="AB31" s="594"/>
      <c r="AC31" s="439">
        <f>((AA31/19.32)*10)</f>
        <v>0.35346518470088267</v>
      </c>
      <c r="AD31" s="440"/>
      <c r="AE31" s="593">
        <f>AK29</f>
        <v>0.46436842105263165</v>
      </c>
      <c r="AF31" s="594"/>
      <c r="AG31" s="443">
        <f>((AE31/19.32)*10)</f>
        <v>0.24035632559660025</v>
      </c>
      <c r="AH31" s="104"/>
      <c r="AI31" s="42">
        <f t="shared" si="2"/>
        <v>1.623</v>
      </c>
      <c r="AJ31" s="42">
        <f t="shared" si="3"/>
        <v>1.0677631578947369</v>
      </c>
      <c r="AK31" s="42">
        <f t="shared" si="4"/>
        <v>0.72607894736842116</v>
      </c>
      <c r="AO31" s="42">
        <v>5.516</v>
      </c>
      <c r="AS31" s="42">
        <f t="shared" si="5"/>
        <v>4.4845528455284551</v>
      </c>
    </row>
    <row r="32" spans="1:45" ht="5.0999999999999996" customHeight="1" thickBot="1" x14ac:dyDescent="0.3">
      <c r="A32" s="103"/>
      <c r="B32" s="612" t="s">
        <v>75</v>
      </c>
      <c r="C32" s="613"/>
      <c r="D32" s="614"/>
      <c r="E32" s="618">
        <v>40.380000000000003</v>
      </c>
      <c r="F32" s="618">
        <v>41.09</v>
      </c>
      <c r="G32" s="618">
        <v>51.01</v>
      </c>
      <c r="H32" s="620">
        <v>40</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1.994</v>
      </c>
      <c r="AJ32" s="42">
        <f t="shared" si="3"/>
        <v>1.3118421052631579</v>
      </c>
      <c r="AK32" s="42">
        <f t="shared" si="4"/>
        <v>0.89205263157894743</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11.3</v>
      </c>
      <c r="N33" s="101"/>
      <c r="O33" s="634" t="s">
        <v>25</v>
      </c>
      <c r="P33" s="635"/>
      <c r="Q33" s="635"/>
      <c r="R33" s="635"/>
      <c r="S33" s="636"/>
      <c r="T33" s="174"/>
      <c r="U33" s="117">
        <v>0.2</v>
      </c>
      <c r="V33" s="124">
        <f>U33*25.4</f>
        <v>5.08</v>
      </c>
      <c r="W33" s="581">
        <f>AI30</f>
        <v>1.175</v>
      </c>
      <c r="X33" s="582"/>
      <c r="Y33" s="449">
        <f>((W33/19.32)*10)</f>
        <v>0.60817805383022772</v>
      </c>
      <c r="Z33" s="450"/>
      <c r="AA33" s="581">
        <f>AJ30</f>
        <v>0.77302631578947367</v>
      </c>
      <c r="AB33" s="582"/>
      <c r="AC33" s="449">
        <f>((AA33/19.32)*10)</f>
        <v>0.40011714067778142</v>
      </c>
      <c r="AD33" s="450"/>
      <c r="AE33" s="581">
        <f>AK30</f>
        <v>0.5256578947368421</v>
      </c>
      <c r="AF33" s="582"/>
      <c r="AG33" s="144">
        <f>((AE33/19.32)*10)</f>
        <v>0.27207965566089132</v>
      </c>
      <c r="AH33" s="104"/>
      <c r="AI33" s="42">
        <f t="shared" si="2"/>
        <v>2.3490000000000002</v>
      </c>
      <c r="AJ33" s="42">
        <f t="shared" si="3"/>
        <v>1.5453947368421053</v>
      </c>
      <c r="AK33" s="42">
        <f t="shared" si="4"/>
        <v>1.0508684210526316</v>
      </c>
      <c r="AO33" s="42">
        <v>7.7720000000000002</v>
      </c>
      <c r="AS33" s="42">
        <f t="shared" si="5"/>
        <v>6.3186991869918705</v>
      </c>
    </row>
    <row r="34" spans="1:45" ht="24.95" customHeight="1" thickBot="1" x14ac:dyDescent="0.3">
      <c r="A34" s="103"/>
      <c r="B34" s="602" t="s">
        <v>10</v>
      </c>
      <c r="C34" s="603"/>
      <c r="D34" s="603"/>
      <c r="E34" s="125">
        <f>((E29-E31)/(E31-E32))*100</f>
        <v>15.090000536638289</v>
      </c>
      <c r="F34" s="125">
        <f>((F29-F31)/(F31-F32))*100</f>
        <v>18.190006338444153</v>
      </c>
      <c r="G34" s="125">
        <f>((G29-G31)/(G31-G32))*100</f>
        <v>21.490007688628705</v>
      </c>
      <c r="H34" s="126">
        <f>((H29-H31)/(H31-H32))*100</f>
        <v>24.389997814904437</v>
      </c>
      <c r="I34" s="174"/>
      <c r="J34" s="630" t="s">
        <v>125</v>
      </c>
      <c r="K34" s="630"/>
      <c r="L34" s="184" t="s">
        <v>126</v>
      </c>
      <c r="M34" s="245">
        <v>2.8</v>
      </c>
      <c r="N34" s="128"/>
      <c r="O34" s="631" t="s">
        <v>9</v>
      </c>
      <c r="P34" s="632"/>
      <c r="Q34" s="156">
        <v>339</v>
      </c>
      <c r="R34" s="156">
        <v>803</v>
      </c>
      <c r="S34" s="157">
        <v>809</v>
      </c>
      <c r="T34" s="174"/>
      <c r="U34" s="120">
        <v>0.3</v>
      </c>
      <c r="V34" s="113">
        <f>U34*25.4</f>
        <v>7.6199999999999992</v>
      </c>
      <c r="W34" s="581">
        <f>AI31</f>
        <v>1.623</v>
      </c>
      <c r="X34" s="582"/>
      <c r="Y34" s="449">
        <f>((W34/19.32)*10)</f>
        <v>0.84006211180124213</v>
      </c>
      <c r="Z34" s="450"/>
      <c r="AA34" s="449">
        <f>AJ31</f>
        <v>1.0677631578947369</v>
      </c>
      <c r="AB34" s="450"/>
      <c r="AC34" s="449">
        <f>((AA34/19.32)*10)</f>
        <v>0.55267244197450149</v>
      </c>
      <c r="AD34" s="450"/>
      <c r="AE34" s="581">
        <f>AK31</f>
        <v>0.72607894736842116</v>
      </c>
      <c r="AF34" s="582"/>
      <c r="AG34" s="114">
        <f>((AE34/19.32)*10)</f>
        <v>0.37581726054266107</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837.09</v>
      </c>
      <c r="R35" s="608">
        <v>796.04</v>
      </c>
      <c r="S35" s="610">
        <v>877.23</v>
      </c>
      <c r="T35" s="174"/>
      <c r="U35" s="627">
        <v>0.4</v>
      </c>
      <c r="V35" s="624">
        <f>U35*25.4</f>
        <v>10.16</v>
      </c>
      <c r="W35" s="593">
        <f>AI32</f>
        <v>1.994</v>
      </c>
      <c r="X35" s="594"/>
      <c r="Y35" s="439">
        <f>((W35/19.32)*10)</f>
        <v>1.0320910973084887</v>
      </c>
      <c r="Z35" s="440"/>
      <c r="AA35" s="593">
        <f>AJ32</f>
        <v>1.3118421052631579</v>
      </c>
      <c r="AB35" s="594"/>
      <c r="AC35" s="439">
        <f>(AA35/19.32)*10</f>
        <v>0.67900730086084771</v>
      </c>
      <c r="AD35" s="440"/>
      <c r="AE35" s="593">
        <f>AK32</f>
        <v>0.89205263157894743</v>
      </c>
      <c r="AF35" s="594"/>
      <c r="AG35" s="443">
        <f>((AE35/19.32)*10)</f>
        <v>0.46172496458537654</v>
      </c>
      <c r="AH35" s="104"/>
      <c r="AS35" s="42">
        <f t="shared" si="5"/>
        <v>0</v>
      </c>
    </row>
    <row r="36" spans="1:45" ht="20.100000000000001" customHeight="1" thickBot="1" x14ac:dyDescent="0.3">
      <c r="A36" s="103"/>
      <c r="B36" s="639" t="s">
        <v>71</v>
      </c>
      <c r="C36" s="640"/>
      <c r="D36" s="640"/>
      <c r="E36" s="130">
        <f>E25/E24</f>
        <v>2.0260707635009312</v>
      </c>
      <c r="F36" s="130">
        <f>F25/F24</f>
        <v>2.3324022346368714</v>
      </c>
      <c r="G36" s="130">
        <f>G25/G24</f>
        <v>2.4106145251396649</v>
      </c>
      <c r="H36" s="131">
        <f>H25/H24</f>
        <v>1.8584729981378025</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1.7604229334032737</v>
      </c>
      <c r="F37" s="230">
        <f>F36/(1+F34/100)</f>
        <v>1.9734343933935483</v>
      </c>
      <c r="G37" s="230">
        <f>G36/(1+G34/100)</f>
        <v>1.9842080604010821</v>
      </c>
      <c r="H37" s="123">
        <f>H36/(1+H34/100)</f>
        <v>1.4940694837082149</v>
      </c>
      <c r="I37" s="174"/>
      <c r="J37" s="641" t="s">
        <v>139</v>
      </c>
      <c r="K37" s="641"/>
      <c r="L37" s="643" t="s">
        <v>121</v>
      </c>
      <c r="M37" s="433">
        <f>IF(F74="","",(M42^2*F74+M42*F75+F76))</f>
        <v>2.0567116402116383</v>
      </c>
      <c r="N37" s="101"/>
      <c r="O37" s="576" t="s">
        <v>28</v>
      </c>
      <c r="P37" s="577"/>
      <c r="Q37" s="150">
        <v>712.85</v>
      </c>
      <c r="R37" s="152">
        <v>672.91262118777161</v>
      </c>
      <c r="S37" s="153">
        <v>740.32561192672279</v>
      </c>
      <c r="T37" s="174"/>
      <c r="U37" s="132">
        <v>0.5</v>
      </c>
      <c r="V37" s="133">
        <f>U37*25.4</f>
        <v>12.7</v>
      </c>
      <c r="W37" s="637">
        <f>AI33</f>
        <v>2.3490000000000002</v>
      </c>
      <c r="X37" s="638"/>
      <c r="Y37" s="431">
        <f>((W37/19.32)*10)</f>
        <v>1.2158385093167703</v>
      </c>
      <c r="Z37" s="432"/>
      <c r="AA37" s="637">
        <f>AJ33</f>
        <v>1.5453947368421053</v>
      </c>
      <c r="AB37" s="638"/>
      <c r="AC37" s="431">
        <f>((AA37/19.32)*10)</f>
        <v>0.79989375612945401</v>
      </c>
      <c r="AD37" s="432"/>
      <c r="AE37" s="637">
        <f>AK33</f>
        <v>1.0508684210526316</v>
      </c>
      <c r="AF37" s="638"/>
      <c r="AG37" s="134">
        <f>((AE37/19.32)*10)</f>
        <v>0.54392775416802874</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84.58</v>
      </c>
      <c r="R38" s="647">
        <v>46.31</v>
      </c>
      <c r="S38" s="648">
        <v>48.54</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20.176341190476172</v>
      </c>
      <c r="N40" s="103"/>
      <c r="O40" s="628" t="s">
        <v>10</v>
      </c>
      <c r="P40" s="629"/>
      <c r="Q40" s="125">
        <f>((Q35-Q37)/(Q37-Q38))*100</f>
        <v>19.774937526859475</v>
      </c>
      <c r="R40" s="125">
        <f>((R35-R37)/(R37-R38))*100</f>
        <v>19.649994214647766</v>
      </c>
      <c r="S40" s="126">
        <f>((S35-S37)/(S37-S38))*100</f>
        <v>19.790002236672535</v>
      </c>
      <c r="T40" s="174"/>
      <c r="U40" s="645" t="s">
        <v>151</v>
      </c>
      <c r="V40" s="646"/>
      <c r="W40" s="423">
        <f>(AM79/6.9)*100</f>
        <v>3.915743991358358</v>
      </c>
      <c r="X40" s="423"/>
      <c r="Y40" s="423"/>
      <c r="Z40" s="424"/>
      <c r="AA40" s="425">
        <f>(AO79/6.9)*100</f>
        <v>2.5761473627357616</v>
      </c>
      <c r="AB40" s="426"/>
      <c r="AC40" s="427"/>
      <c r="AD40" s="425">
        <f>(AQ79/6.9)*100</f>
        <v>1.7517802066603183</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5.9046412993225985</v>
      </c>
      <c r="X41" s="418"/>
      <c r="Y41" s="418"/>
      <c r="Z41" s="419"/>
      <c r="AA41" s="420">
        <f>(AO83/10.3)*100</f>
        <v>3.8846324337648683</v>
      </c>
      <c r="AB41" s="421"/>
      <c r="AC41" s="418"/>
      <c r="AD41" s="420">
        <f>(AQ83/10.3)*100</f>
        <v>2.6415500549601094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19.105820105820104</v>
      </c>
      <c r="N42" s="103"/>
      <c r="O42" s="639" t="s">
        <v>9</v>
      </c>
      <c r="P42" s="640"/>
      <c r="Q42" s="148">
        <v>347</v>
      </c>
      <c r="R42" s="148">
        <v>834</v>
      </c>
      <c r="S42" s="149">
        <v>901</v>
      </c>
      <c r="T42" s="174"/>
      <c r="U42" s="651" t="s">
        <v>42</v>
      </c>
      <c r="V42" s="652"/>
      <c r="W42" s="413">
        <f>IF(W40&lt;W41,W40,W41)</f>
        <v>3.915743991358358</v>
      </c>
      <c r="X42" s="414"/>
      <c r="Y42" s="414"/>
      <c r="Z42" s="415"/>
      <c r="AA42" s="416">
        <f>IF(AA40&lt;AA41,AA40,AA41)</f>
        <v>2.5761473627357616</v>
      </c>
      <c r="AB42" s="414"/>
      <c r="AC42" s="415"/>
      <c r="AD42" s="416">
        <f>IF(AD40&lt;AD41,AD40,AD41)</f>
        <v>1.7517802066603183</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895.24</v>
      </c>
      <c r="R43" s="608">
        <v>977.12</v>
      </c>
      <c r="S43" s="620">
        <v>903.97</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713.94</v>
      </c>
      <c r="R45" s="152">
        <v>750.53287141511589</v>
      </c>
      <c r="S45" s="153">
        <v>681.80740405184281</v>
      </c>
      <c r="T45" s="174"/>
      <c r="U45" s="656" t="s">
        <v>139</v>
      </c>
      <c r="V45" s="656"/>
      <c r="W45" s="179" t="s">
        <v>121</v>
      </c>
      <c r="X45" s="406">
        <f>MAX(M37:M39)</f>
        <v>2.0567116402116383</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101.24</v>
      </c>
      <c r="R46" s="150">
        <v>41.34</v>
      </c>
      <c r="S46" s="151">
        <v>40.090000000000003</v>
      </c>
      <c r="T46" s="174"/>
      <c r="U46" s="555" t="s">
        <v>123</v>
      </c>
      <c r="V46" s="555"/>
      <c r="W46" s="179" t="s">
        <v>41</v>
      </c>
      <c r="X46" s="401">
        <f>MIN(M42:M44)</f>
        <v>19.105820105820104</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29.590337848865666</v>
      </c>
      <c r="R47" s="125">
        <f>((R43-R45)/(R45-R46))*100</f>
        <v>31.950000869686491</v>
      </c>
      <c r="S47" s="126">
        <f>((S43-S45)/(S45-S46))*100</f>
        <v>34.620004778646965</v>
      </c>
      <c r="T47" s="174"/>
      <c r="U47" s="555" t="s">
        <v>162</v>
      </c>
      <c r="V47" s="555"/>
      <c r="W47" s="179" t="s">
        <v>41</v>
      </c>
      <c r="X47" s="402">
        <f>IF(L25=D103,"-",IF(L25=D102,"-",IF(L25=D101,M25)))</f>
        <v>0</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0.17487091222030937</v>
      </c>
      <c r="AG48" s="142">
        <f>IF(AG47&lt;&gt;"",IF(R24&lt;&gt;"",AG47/R24*100,""),"")</f>
        <v>0.49055793991416324</v>
      </c>
      <c r="AH48" s="173">
        <f>IF(AH47&lt;&gt;"",IF(S24&lt;&gt;"",AH47/S24*100,""),"")</f>
        <v>0.84012027491408947</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3.6999999999999998E-2</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0.13400000000000001</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0.24299999999999999</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0.38600000000000001</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0.52200000000000002</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0.66900000000000004</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0.86</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1.038</v>
      </c>
      <c r="AM57" s="42">
        <v>20.577999999999999</v>
      </c>
    </row>
    <row r="58" spans="1:39" ht="15.75" x14ac:dyDescent="0.25">
      <c r="A58" s="103"/>
      <c r="B58" s="174"/>
      <c r="C58" s="174"/>
      <c r="D58" s="174"/>
      <c r="E58" s="174"/>
      <c r="F58" s="174"/>
      <c r="G58" s="174"/>
      <c r="H58" s="174"/>
      <c r="I58" s="174"/>
      <c r="J58" s="689" t="s">
        <v>189</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1.175</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1.623</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1.994</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2.3490000000000002</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11.3</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-1.89E-2</v>
      </c>
      <c r="G74" s="75">
        <v>-0.12509999999999999</v>
      </c>
      <c r="J74" s="701"/>
      <c r="K74" s="702"/>
      <c r="L74" s="44"/>
      <c r="M74" s="44"/>
      <c r="N74" s="44"/>
    </row>
    <row r="75" spans="1:94" ht="26.25" customHeight="1" thickBot="1" x14ac:dyDescent="0.3">
      <c r="A75" s="11"/>
      <c r="B75" s="377" t="s">
        <v>113</v>
      </c>
      <c r="C75" s="377"/>
      <c r="D75" s="19"/>
      <c r="E75" s="54" t="s">
        <v>12</v>
      </c>
      <c r="F75" s="55">
        <v>0.72219999999999995</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-4.8423999999999996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0.13400000000000001</v>
      </c>
      <c r="AM76" s="3">
        <f t="shared" si="6"/>
        <v>6.9358178053830224E-2</v>
      </c>
      <c r="AN76" s="5">
        <f>AA23</f>
        <v>8.8157894736842116E-2</v>
      </c>
      <c r="AO76" s="3">
        <f t="shared" ref="AO76:AO86" si="9">((AN76/19.32)*10)</f>
        <v>4.5630380298572526E-2</v>
      </c>
      <c r="AP76" s="5">
        <f>AE23</f>
        <v>5.9947368421052645E-2</v>
      </c>
      <c r="AQ76" s="161">
        <f t="shared" si="7"/>
        <v>3.1028658603029322E-2</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0.24299999999999999</v>
      </c>
      <c r="AM77" s="3">
        <f t="shared" si="6"/>
        <v>0.12577639751552794</v>
      </c>
      <c r="AN77" s="5">
        <f>AA24</f>
        <v>0.15986842105263158</v>
      </c>
      <c r="AO77" s="3">
        <f t="shared" si="9"/>
        <v>8.274762994442629E-2</v>
      </c>
      <c r="AP77" s="5">
        <f>AE24</f>
        <v>0.10871052631578948</v>
      </c>
      <c r="AQ77" s="161">
        <f t="shared" si="7"/>
        <v>5.6268388362209876E-2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0.38600000000000001</v>
      </c>
      <c r="AM78" s="3">
        <f t="shared" si="6"/>
        <v>0.19979296066252589</v>
      </c>
      <c r="AN78" s="5">
        <f>AA25</f>
        <v>0.25394736842105264</v>
      </c>
      <c r="AO78" s="3">
        <f t="shared" si="9"/>
        <v>0.13144273727797756</v>
      </c>
      <c r="AP78" s="5">
        <f>AE25</f>
        <v>0.1726842105263158</v>
      </c>
      <c r="AQ78" s="161">
        <f t="shared" si="7"/>
        <v>8.9381061349024737E-2</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0.52200000000000002</v>
      </c>
      <c r="AM79" s="4">
        <f t="shared" si="6"/>
        <v>0.27018633540372672</v>
      </c>
      <c r="AN79" s="5">
        <f>AA26</f>
        <v>0.34342105263157896</v>
      </c>
      <c r="AO79" s="4">
        <f t="shared" si="9"/>
        <v>0.17775416802876756</v>
      </c>
      <c r="AP79" s="5">
        <f>AE26</f>
        <v>0.23352631578947372</v>
      </c>
      <c r="AQ79" s="162">
        <f t="shared" si="7"/>
        <v>0.12087283425956197</v>
      </c>
      <c r="BB79" s="12">
        <v>17</v>
      </c>
      <c r="BC79" s="12">
        <v>18</v>
      </c>
    </row>
    <row r="80" spans="1:94" ht="42" customHeight="1" thickTop="1" thickBot="1" x14ac:dyDescent="0.3">
      <c r="D80" s="49"/>
      <c r="H80" s="711" t="s">
        <v>105</v>
      </c>
      <c r="I80" s="712"/>
      <c r="J80" s="58"/>
      <c r="AJ80" s="160">
        <f>U28</f>
        <v>0.125</v>
      </c>
      <c r="AK80" s="3">
        <f t="shared" si="8"/>
        <v>3.1749999999999998</v>
      </c>
      <c r="AL80" s="5">
        <f>W28</f>
        <v>0.66900000000000004</v>
      </c>
      <c r="AM80" s="3">
        <f t="shared" si="6"/>
        <v>0.34627329192546585</v>
      </c>
      <c r="AN80" s="5">
        <f>AA28</f>
        <v>0.44013157894736843</v>
      </c>
      <c r="AO80" s="3">
        <f t="shared" si="9"/>
        <v>0.22781137626675385</v>
      </c>
      <c r="AP80" s="5">
        <f>AE28</f>
        <v>0.29928947368421055</v>
      </c>
      <c r="AQ80" s="161">
        <f t="shared" si="7"/>
        <v>0.15491173586139262</v>
      </c>
      <c r="BC80" s="45">
        <v>0.99880400000000003</v>
      </c>
      <c r="BD80" s="45">
        <v>0.99862499999999998</v>
      </c>
    </row>
    <row r="81" spans="2:43" ht="15.75" customHeight="1" x14ac:dyDescent="0.25">
      <c r="AJ81" s="160">
        <f>U30</f>
        <v>0.15</v>
      </c>
      <c r="AK81" s="3">
        <f t="shared" si="8"/>
        <v>3.8099999999999996</v>
      </c>
      <c r="AL81" s="5">
        <f>W30</f>
        <v>0.86</v>
      </c>
      <c r="AM81" s="3">
        <f t="shared" si="6"/>
        <v>0.44513457556935815</v>
      </c>
      <c r="AN81" s="5">
        <f>AA30</f>
        <v>0.56578947368421051</v>
      </c>
      <c r="AO81" s="3">
        <f t="shared" si="9"/>
        <v>0.2928516944535251</v>
      </c>
      <c r="AP81" s="5">
        <f>AE30</f>
        <v>0.38473684210526315</v>
      </c>
      <c r="AQ81" s="161">
        <f t="shared" si="7"/>
        <v>0.19913915222839706</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1.038</v>
      </c>
      <c r="AM82" s="3">
        <f t="shared" si="6"/>
        <v>0.53726708074534157</v>
      </c>
      <c r="AN82" s="5">
        <f>AA31</f>
        <v>0.68289473684210533</v>
      </c>
      <c r="AO82" s="3">
        <f t="shared" si="9"/>
        <v>0.35346518470088267</v>
      </c>
      <c r="AP82" s="5">
        <f>AE31</f>
        <v>0.46436842105263165</v>
      </c>
      <c r="AQ82" s="161">
        <f t="shared" si="7"/>
        <v>0.24035632559660025</v>
      </c>
    </row>
    <row r="83" spans="2:43" ht="15" customHeight="1" x14ac:dyDescent="0.25">
      <c r="B83" s="49"/>
      <c r="C83" s="49"/>
      <c r="D83" s="49">
        <v>0</v>
      </c>
      <c r="E83" s="50">
        <f>M42</f>
        <v>19.105820105820104</v>
      </c>
      <c r="F83" s="49"/>
      <c r="G83" s="43">
        <f>G84/10</f>
        <v>2.224221780065748</v>
      </c>
      <c r="H83" s="43">
        <f>H84/10</f>
        <v>2.0963080247758739</v>
      </c>
      <c r="I83" s="43">
        <f>I84/10</f>
        <v>1.9753762047910013</v>
      </c>
      <c r="J83" s="43">
        <f>J84/10</f>
        <v>1.8800656686161243</v>
      </c>
      <c r="K83" s="43"/>
      <c r="L83" s="42">
        <v>0</v>
      </c>
      <c r="O83" s="706"/>
      <c r="P83" s="706"/>
      <c r="Q83" s="706"/>
      <c r="R83" s="706"/>
      <c r="S83" s="707"/>
      <c r="W83" s="112"/>
      <c r="AJ83" s="160">
        <f>U33</f>
        <v>0.2</v>
      </c>
      <c r="AK83" s="4">
        <f t="shared" si="8"/>
        <v>5.08</v>
      </c>
      <c r="AL83" s="5">
        <f>W33</f>
        <v>1.175</v>
      </c>
      <c r="AM83" s="4">
        <f t="shared" si="6"/>
        <v>0.60817805383022772</v>
      </c>
      <c r="AN83" s="5">
        <f>AA33</f>
        <v>0.77302631578947367</v>
      </c>
      <c r="AO83" s="4">
        <f t="shared" si="9"/>
        <v>0.40011714067778142</v>
      </c>
      <c r="AP83" s="5">
        <f>AE33</f>
        <v>0.5256578947368421</v>
      </c>
      <c r="AQ83" s="162">
        <f t="shared" si="7"/>
        <v>0.27207965566089132</v>
      </c>
    </row>
    <row r="84" spans="2:43" ht="15" customHeight="1" x14ac:dyDescent="0.25">
      <c r="C84" s="94"/>
      <c r="D84" s="94"/>
      <c r="E84" s="94"/>
      <c r="F84" s="49"/>
      <c r="G84" s="43">
        <f>($M$34/(1+(E34*$M$34/100)))*($O$73)</f>
        <v>22.242217800657482</v>
      </c>
      <c r="H84" s="43">
        <f>($M$34/(1+(F34*$M$34/100)))*($O$73)</f>
        <v>20.963080247758739</v>
      </c>
      <c r="I84" s="43">
        <f>($M$34/(1+(G34*$M$34/100)))*($O$73)</f>
        <v>19.753762047910012</v>
      </c>
      <c r="J84" s="43">
        <f>($M$34/(1+(H34*$M$34/100)))*($O$73)</f>
        <v>18.800656686161243</v>
      </c>
      <c r="K84" s="43"/>
      <c r="O84" s="706" t="s">
        <v>146</v>
      </c>
      <c r="P84" s="706"/>
      <c r="Q84" s="706"/>
      <c r="R84" s="706"/>
      <c r="S84" s="707">
        <v>2240</v>
      </c>
      <c r="W84" s="112"/>
      <c r="AJ84" s="160">
        <f>U34</f>
        <v>0.3</v>
      </c>
      <c r="AK84" s="3">
        <f t="shared" si="8"/>
        <v>7.6199999999999992</v>
      </c>
      <c r="AL84" s="5">
        <f>W34</f>
        <v>1.623</v>
      </c>
      <c r="AM84" s="3">
        <f t="shared" si="6"/>
        <v>0.84006211180124213</v>
      </c>
      <c r="AN84" s="5">
        <f>AA34</f>
        <v>1.0677631578947369</v>
      </c>
      <c r="AO84" s="3">
        <f t="shared" si="9"/>
        <v>0.55267244197450149</v>
      </c>
      <c r="AP84" s="5">
        <f>AE34</f>
        <v>0.72607894736842116</v>
      </c>
      <c r="AQ84" s="161">
        <f t="shared" si="7"/>
        <v>0.37581726054266107</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1.994</v>
      </c>
      <c r="AM85" s="3">
        <f t="shared" si="6"/>
        <v>1.0320910973084887</v>
      </c>
      <c r="AN85" s="5">
        <f>AA35</f>
        <v>1.3118421052631579</v>
      </c>
      <c r="AO85" s="3">
        <f t="shared" si="9"/>
        <v>0.67900730086084771</v>
      </c>
      <c r="AP85" s="5">
        <f>AE35</f>
        <v>0.89205263157894743</v>
      </c>
      <c r="AQ85" s="161">
        <f>((AP85/19.32)*10)</f>
        <v>0.46172496458537654</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2.3490000000000002</v>
      </c>
      <c r="AM86" s="164">
        <f t="shared" si="6"/>
        <v>1.2158385093167703</v>
      </c>
      <c r="AN86" s="165">
        <f>AA37</f>
        <v>1.5453947368421053</v>
      </c>
      <c r="AO86" s="164">
        <f t="shared" si="9"/>
        <v>0.79989375612945401</v>
      </c>
      <c r="AP86" s="165">
        <f>AE37</f>
        <v>1.0508684210526316</v>
      </c>
      <c r="AQ86" s="166">
        <f>((AP86/19.32)*10)</f>
        <v>0.54392775416802874</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1.9932100429112996</v>
      </c>
      <c r="AK91" s="9">
        <f>R31</f>
        <v>1.8230000000000002</v>
      </c>
      <c r="AL91" s="10">
        <f>S31</f>
        <v>1.5970000000000006</v>
      </c>
    </row>
    <row r="92" spans="2:43" ht="21" customHeight="1" thickBot="1" x14ac:dyDescent="0.3">
      <c r="B92" s="92"/>
      <c r="C92" s="93"/>
      <c r="D92" s="93"/>
      <c r="E92" s="93"/>
      <c r="F92" s="62"/>
      <c r="G92" s="63"/>
      <c r="H92" s="49"/>
      <c r="I92" s="49"/>
      <c r="O92" s="725" t="s">
        <v>147</v>
      </c>
      <c r="P92" s="726"/>
      <c r="Q92" s="726"/>
      <c r="R92" s="726"/>
      <c r="S92" s="61">
        <f>M42</f>
        <v>19.105820105820104</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3.915743991358358</v>
      </c>
      <c r="AK94" s="158">
        <f>AA42</f>
        <v>2.5761473627357616</v>
      </c>
      <c r="AL94" s="158">
        <f>AD42</f>
        <v>1.7517802066603183</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138" priority="48">
      <formula>LEN(TRIM(D6))=0</formula>
    </cfRule>
  </conditionalFormatting>
  <conditionalFormatting sqref="D6:H10">
    <cfRule type="containsBlanks" dxfId="137" priority="47">
      <formula>LEN(TRIM(D6))=0</formula>
    </cfRule>
  </conditionalFormatting>
  <conditionalFormatting sqref="M19">
    <cfRule type="containsBlanks" dxfId="136" priority="46">
      <formula>LEN(TRIM(M19))=0</formula>
    </cfRule>
  </conditionalFormatting>
  <conditionalFormatting sqref="CP70">
    <cfRule type="containsBlanks" dxfId="135" priority="45">
      <formula>LEN(TRIM(CP70))=0</formula>
    </cfRule>
  </conditionalFormatting>
  <conditionalFormatting sqref="M21">
    <cfRule type="containsBlanks" dxfId="134" priority="44">
      <formula>LEN(TRIM(M21))=0</formula>
    </cfRule>
  </conditionalFormatting>
  <conditionalFormatting sqref="D12:M12">
    <cfRule type="containsBlanks" dxfId="133" priority="43">
      <formula>LEN(TRIM(D12))=0</formula>
    </cfRule>
  </conditionalFormatting>
  <conditionalFormatting sqref="L9:M9">
    <cfRule type="containsBlanks" dxfId="132" priority="42">
      <formula>LEN(TRIM(L9))=0</formula>
    </cfRule>
  </conditionalFormatting>
  <conditionalFormatting sqref="L25">
    <cfRule type="containsBlanks" dxfId="131" priority="41">
      <formula>LEN(TRIM(L25))=0</formula>
    </cfRule>
  </conditionalFormatting>
  <conditionalFormatting sqref="U26:V27 AC33 AC26">
    <cfRule type="cellIs" dxfId="130" priority="40" operator="between">
      <formula>0</formula>
      <formula>500</formula>
    </cfRule>
  </conditionalFormatting>
  <conditionalFormatting sqref="U33:V33">
    <cfRule type="cellIs" dxfId="129" priority="39" operator="between">
      <formula>0</formula>
      <formula>500</formula>
    </cfRule>
  </conditionalFormatting>
  <conditionalFormatting sqref="AF45:AH46">
    <cfRule type="containsBlanks" dxfId="128" priority="38">
      <formula>LEN(TRIM(AF45))=0</formula>
    </cfRule>
  </conditionalFormatting>
  <conditionalFormatting sqref="AF51:AG53">
    <cfRule type="containsBlanks" dxfId="127" priority="37">
      <formula>LEN(TRIM(AF51))=0</formula>
    </cfRule>
  </conditionalFormatting>
  <conditionalFormatting sqref="M25">
    <cfRule type="containsBlanks" dxfId="126" priority="36">
      <formula>LEN(TRIM(M25))=0</formula>
    </cfRule>
  </conditionalFormatting>
  <conditionalFormatting sqref="U26:V27 Y26:Z27 AC26:AD27 AG26:AG27">
    <cfRule type="containsBlanks" dxfId="125" priority="34">
      <formula>LEN(TRIM(U26))=0</formula>
    </cfRule>
    <cfRule type="cellIs" dxfId="124" priority="35" operator="between">
      <formula>0</formula>
      <formula>1000</formula>
    </cfRule>
  </conditionalFormatting>
  <conditionalFormatting sqref="W87:W88">
    <cfRule type="cellIs" dxfId="123" priority="33" operator="between">
      <formula>0</formula>
      <formula>500</formula>
    </cfRule>
  </conditionalFormatting>
  <conditionalFormatting sqref="W94">
    <cfRule type="cellIs" dxfId="122" priority="32" operator="between">
      <formula>0</formula>
      <formula>500</formula>
    </cfRule>
  </conditionalFormatting>
  <conditionalFormatting sqref="W87:W88">
    <cfRule type="containsBlanks" dxfId="121" priority="30">
      <formula>LEN(TRIM(W87))=0</formula>
    </cfRule>
    <cfRule type="cellIs" dxfId="120" priority="31" operator="between">
      <formula>0</formula>
      <formula>1000</formula>
    </cfRule>
  </conditionalFormatting>
  <conditionalFormatting sqref="U33:V33 Y33:Z33 AC33:AD33 AG33">
    <cfRule type="cellIs" dxfId="119" priority="29" operator="between">
      <formula>0</formula>
      <formula>1000</formula>
    </cfRule>
  </conditionalFormatting>
  <conditionalFormatting sqref="Q27:S27">
    <cfRule type="containsBlanks" dxfId="118" priority="27">
      <formula>LEN(TRIM(Q27))=0</formula>
    </cfRule>
    <cfRule type="containsBlanks" dxfId="117" priority="28">
      <formula>LEN(TRIM(Q27))=0</formula>
    </cfRule>
  </conditionalFormatting>
  <conditionalFormatting sqref="W30:W31 W33:W35 W37 W28 W22:W26">
    <cfRule type="containsBlanks" dxfId="116" priority="26">
      <formula>LEN(TRIM(W22))=0</formula>
    </cfRule>
  </conditionalFormatting>
  <conditionalFormatting sqref="W37 W30:W31 W33:W35 W28 W22:W26">
    <cfRule type="containsBlanks" dxfId="115" priority="25">
      <formula>LEN(TRIM(W22))=0</formula>
    </cfRule>
  </conditionalFormatting>
  <conditionalFormatting sqref="W33:X33">
    <cfRule type="cellIs" dxfId="114" priority="24" operator="between">
      <formula>0</formula>
      <formula>1000</formula>
    </cfRule>
  </conditionalFormatting>
  <conditionalFormatting sqref="W30:X37 W26 W28 W22:X25">
    <cfRule type="containsBlanks" dxfId="113" priority="23">
      <formula>LEN(TRIM(W22))=0</formula>
    </cfRule>
  </conditionalFormatting>
  <conditionalFormatting sqref="AA37 AA30:AA31 AA33 AA22:AA26 AA28 AA35">
    <cfRule type="containsBlanks" dxfId="112" priority="22">
      <formula>LEN(TRIM(AA22))=0</formula>
    </cfRule>
  </conditionalFormatting>
  <conditionalFormatting sqref="AA37 AA30:AA31 AA33 AA22:AA26 AA28 AA35">
    <cfRule type="containsBlanks" dxfId="111" priority="21">
      <formula>LEN(TRIM(AA22))=0</formula>
    </cfRule>
  </conditionalFormatting>
  <conditionalFormatting sqref="AA33:AB33">
    <cfRule type="cellIs" dxfId="110" priority="20" operator="between">
      <formula>0</formula>
      <formula>1000</formula>
    </cfRule>
  </conditionalFormatting>
  <conditionalFormatting sqref="AA30:AB30 AA31 AA33:AB33 AA22:AB25 AA26 AA28 AA35:AB37">
    <cfRule type="containsBlanks" dxfId="109" priority="19">
      <formula>LEN(TRIM(AA22))=0</formula>
    </cfRule>
  </conditionalFormatting>
  <conditionalFormatting sqref="AE37 AE28 AE30:AE31 AE33:AE35 AE22:AE26">
    <cfRule type="containsBlanks" dxfId="108" priority="18">
      <formula>LEN(TRIM(AE22))=0</formula>
    </cfRule>
  </conditionalFormatting>
  <conditionalFormatting sqref="AE37 AE28 AE30:AE31 AE33:AE35 AE22:AE26">
    <cfRule type="containsBlanks" dxfId="107" priority="17">
      <formula>LEN(TRIM(AE22))=0</formula>
    </cfRule>
  </conditionalFormatting>
  <conditionalFormatting sqref="AE33:AF33">
    <cfRule type="cellIs" dxfId="106" priority="16" operator="between">
      <formula>0</formula>
      <formula>1000</formula>
    </cfRule>
  </conditionalFormatting>
  <conditionalFormatting sqref="AE33:AF37 AE26 AE28 AE30:AE31 AE22:AF25">
    <cfRule type="containsBlanks" dxfId="105" priority="15">
      <formula>LEN(TRIM(AE22))=0</formula>
    </cfRule>
  </conditionalFormatting>
  <conditionalFormatting sqref="K6:M6">
    <cfRule type="containsBlanks" dxfId="104" priority="14">
      <formula>LEN(TRIM(K6))=0</formula>
    </cfRule>
  </conditionalFormatting>
  <conditionalFormatting sqref="K7:K8">
    <cfRule type="containsBlanks" dxfId="103" priority="13">
      <formula>LEN(TRIM(K7))=0</formula>
    </cfRule>
  </conditionalFormatting>
  <conditionalFormatting sqref="B6:B10">
    <cfRule type="containsBlanks" dxfId="102" priority="12">
      <formula>LEN(TRIM(B6))=0</formula>
    </cfRule>
  </conditionalFormatting>
  <conditionalFormatting sqref="B12:B13">
    <cfRule type="containsBlanks" dxfId="101" priority="11">
      <formula>LEN(TRIM(B12))=0</formula>
    </cfRule>
  </conditionalFormatting>
  <conditionalFormatting sqref="E20:H24">
    <cfRule type="containsBlanks" dxfId="100" priority="10">
      <formula>LEN(TRIM(E20))=0</formula>
    </cfRule>
  </conditionalFormatting>
  <conditionalFormatting sqref="E28:H33">
    <cfRule type="containsBlanks" dxfId="99" priority="9">
      <formula>LEN(TRIM(E28))=0</formula>
    </cfRule>
  </conditionalFormatting>
  <conditionalFormatting sqref="Q20:S26">
    <cfRule type="containsBlanks" dxfId="98" priority="7">
      <formula>LEN(TRIM(Q20))=0</formula>
    </cfRule>
    <cfRule type="containsBlanks" dxfId="97" priority="8">
      <formula>LEN(TRIM(Q20))=0</formula>
    </cfRule>
  </conditionalFormatting>
  <conditionalFormatting sqref="Q34:S39">
    <cfRule type="containsBlanks" dxfId="96" priority="6">
      <formula>LEN(TRIM(Q34))=0</formula>
    </cfRule>
  </conditionalFormatting>
  <conditionalFormatting sqref="Q42:S46">
    <cfRule type="containsBlanks" dxfId="95" priority="5">
      <formula>LEN(TRIM(Q42))=0</formula>
    </cfRule>
  </conditionalFormatting>
  <conditionalFormatting sqref="D13">
    <cfRule type="containsBlanks" dxfId="94" priority="2">
      <formula>LEN(TRIM(D13))=0</formula>
    </cfRule>
  </conditionalFormatting>
  <conditionalFormatting sqref="D13">
    <cfRule type="containsBlanks" dxfId="93" priority="1">
      <formula>LEN(TRIM(D13))=0</formula>
    </cfRule>
  </conditionalFormatting>
  <dataValidations count="5">
    <dataValidation type="list" allowBlank="1" showInputMessage="1" showErrorMessage="1" sqref="L25" xr:uid="{00000000-0002-0000-3900-000000000000}">
      <formula1>$D$101:$D$104</formula1>
    </dataValidation>
    <dataValidation type="list" allowBlank="1" showInputMessage="1" showErrorMessage="1" sqref="M21" xr:uid="{00000000-0002-0000-3900-000001000000}">
      <formula1>$AX$3:$AX$4</formula1>
    </dataValidation>
    <dataValidation type="list" allowBlank="1" showInputMessage="1" showErrorMessage="1" sqref="M19" xr:uid="{00000000-0002-0000-3900-000002000000}">
      <formula1>$AX$3:$AX$5</formula1>
    </dataValidation>
    <dataValidation type="list" allowBlank="1" showInputMessage="1" showErrorMessage="1" sqref="CP70" xr:uid="{00000000-0002-0000-3900-000003000000}">
      <formula1>$BA$3:$BA$5</formula1>
    </dataValidation>
    <dataValidation type="list" allowBlank="1" showInputMessage="1" showErrorMessage="1" sqref="D12:E12" xr:uid="{00000000-0002-0000-3900-000004000000}">
      <formula1>$B$87:$B$94</formula1>
    </dataValidation>
  </dataValidations>
  <hyperlinks>
    <hyperlink ref="D8" r:id="rId1" xr:uid="{00000000-0004-0000-39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96609"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96610"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96611"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96612"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96613"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96614"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96615"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96616"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96617"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96618"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Hoja99">
    <tabColor theme="9" tint="0.79998168889431442"/>
  </sheetPr>
  <dimension ref="A1:CP153"/>
  <sheetViews>
    <sheetView view="pageBreakPreview" topLeftCell="T16" zoomScale="70" zoomScaleNormal="100" zoomScaleSheetLayoutView="70"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25-UNIVALLE AP3-2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25-UNIVALLE AP3-2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328</v>
      </c>
      <c r="G12" s="31" t="s">
        <v>4</v>
      </c>
      <c r="H12" s="146">
        <v>2</v>
      </c>
      <c r="I12" s="546" t="s">
        <v>5</v>
      </c>
      <c r="J12" s="546"/>
      <c r="K12" s="209">
        <v>0.7</v>
      </c>
      <c r="L12" s="32" t="s">
        <v>6</v>
      </c>
      <c r="M12" s="147" t="s">
        <v>318</v>
      </c>
      <c r="N12" s="78"/>
      <c r="O12" s="501" t="s">
        <v>3</v>
      </c>
      <c r="P12" s="501"/>
      <c r="Q12" s="225" t="s">
        <v>234</v>
      </c>
      <c r="R12" s="224" t="str">
        <f>F12</f>
        <v>UNIVALLE AP3</v>
      </c>
      <c r="S12" s="224"/>
      <c r="T12" s="502" t="s">
        <v>4</v>
      </c>
      <c r="U12" s="502"/>
      <c r="V12" s="33">
        <f>+H12</f>
        <v>2</v>
      </c>
      <c r="W12" s="547" t="s">
        <v>5</v>
      </c>
      <c r="X12" s="547"/>
      <c r="Y12" s="547"/>
      <c r="Z12" s="547"/>
      <c r="AA12" s="547"/>
      <c r="AB12" s="547"/>
      <c r="AC12" s="34">
        <f>K12</f>
        <v>0.7</v>
      </c>
      <c r="AD12" s="548" t="s">
        <v>6</v>
      </c>
      <c r="AE12" s="548"/>
      <c r="AF12" s="35" t="str">
        <f>+M12</f>
        <v>1,20m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322</v>
      </c>
      <c r="E13" s="791"/>
      <c r="F13" s="791"/>
      <c r="G13" s="791"/>
      <c r="H13" s="791"/>
      <c r="I13" s="791"/>
      <c r="J13" s="791"/>
      <c r="K13" s="791"/>
      <c r="L13" s="791"/>
      <c r="M13" s="791"/>
      <c r="N13" s="188"/>
      <c r="O13" s="526" t="s">
        <v>130</v>
      </c>
      <c r="P13" s="526"/>
      <c r="Q13" s="527" t="str">
        <f>D13</f>
        <v>LIMO DE ALTA PLASTICIDAD, COLOR MARRÓN CON VETAS DE OXIDACIÓN, CONSISTENCIA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540</v>
      </c>
      <c r="R20" s="148">
        <v>507</v>
      </c>
      <c r="S20" s="149">
        <v>518</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150">
        <v>6325</v>
      </c>
      <c r="F22" s="219">
        <v>6761.7942575231118</v>
      </c>
      <c r="G22" s="219">
        <v>6907.9569675204802</v>
      </c>
      <c r="H22" s="151">
        <v>6678</v>
      </c>
      <c r="I22" s="174"/>
      <c r="J22" s="578"/>
      <c r="K22" s="578"/>
      <c r="L22" s="578"/>
      <c r="M22" s="104"/>
      <c r="N22" s="103"/>
      <c r="O22" s="579" t="s">
        <v>132</v>
      </c>
      <c r="P22" s="580"/>
      <c r="Q22" s="150">
        <v>7568</v>
      </c>
      <c r="R22" s="219">
        <v>7577.4883772771991</v>
      </c>
      <c r="S22" s="208">
        <v>7125</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0.20300000000000001</v>
      </c>
      <c r="AJ22" s="42">
        <f>AJ50/1.52</f>
        <v>0.13355263157894737</v>
      </c>
      <c r="AK22" s="42">
        <f>AJ22*0.68</f>
        <v>9.0815789473684211E-2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3794</v>
      </c>
      <c r="R23" s="150">
        <v>3825</v>
      </c>
      <c r="S23" s="151">
        <v>3841</v>
      </c>
      <c r="T23" s="174"/>
      <c r="U23" s="112">
        <v>2.5000000000000001E-2</v>
      </c>
      <c r="V23" s="113">
        <f>U23*25.4</f>
        <v>0.63500000000000001</v>
      </c>
      <c r="W23" s="581">
        <f>AI23</f>
        <v>2.2570000000000001</v>
      </c>
      <c r="X23" s="582"/>
      <c r="Y23" s="449">
        <f>((W23/19.32)*10)</f>
        <v>1.1682194616977226</v>
      </c>
      <c r="Z23" s="450"/>
      <c r="AA23" s="581">
        <f>AJ23</f>
        <v>1.4848684210526317</v>
      </c>
      <c r="AB23" s="582"/>
      <c r="AC23" s="449">
        <f>((AA23/19.32)*10)</f>
        <v>0.76856543532744914</v>
      </c>
      <c r="AD23" s="450"/>
      <c r="AE23" s="581">
        <f>AK23</f>
        <v>1.0097105263157897</v>
      </c>
      <c r="AF23" s="582"/>
      <c r="AG23" s="114">
        <f>((AE23/19.32)*10)</f>
        <v>0.52262449602266547</v>
      </c>
      <c r="AH23" s="104"/>
      <c r="AI23" s="42">
        <f t="shared" ref="AI23:AI33" si="2">AJ51</f>
        <v>2.2570000000000001</v>
      </c>
      <c r="AJ23" s="42">
        <f t="shared" ref="AJ23:AJ33" si="3">AJ51/1.52</f>
        <v>1.4848684210526317</v>
      </c>
      <c r="AK23" s="42">
        <f t="shared" ref="AK23:AK33" si="4">AJ23*0.68</f>
        <v>1.0097105263157897</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11.2</v>
      </c>
      <c r="R24" s="150">
        <v>11.62</v>
      </c>
      <c r="S24" s="151">
        <v>11.6</v>
      </c>
      <c r="T24" s="174"/>
      <c r="U24" s="112">
        <v>0.05</v>
      </c>
      <c r="V24" s="113">
        <f>U24*25.4</f>
        <v>1.27</v>
      </c>
      <c r="W24" s="581">
        <f>AI24</f>
        <v>6.0460000000000003</v>
      </c>
      <c r="X24" s="582"/>
      <c r="Y24" s="449">
        <f>((W24/19.32)*10)</f>
        <v>3.1293995859213251</v>
      </c>
      <c r="Z24" s="450"/>
      <c r="AA24" s="581">
        <f>AJ24</f>
        <v>3.9776315789473684</v>
      </c>
      <c r="AB24" s="582"/>
      <c r="AC24" s="449">
        <f>((AA24/19.32)*10)</f>
        <v>2.0588155170535032</v>
      </c>
      <c r="AD24" s="450"/>
      <c r="AE24" s="581">
        <f>AK24</f>
        <v>2.7047894736842109</v>
      </c>
      <c r="AF24" s="582"/>
      <c r="AG24" s="114">
        <f>((AE24/19.32)*10)</f>
        <v>1.3999945515963823</v>
      </c>
      <c r="AH24" s="104"/>
      <c r="AI24" s="42">
        <f t="shared" si="2"/>
        <v>6.0460000000000003</v>
      </c>
      <c r="AJ24" s="42">
        <f t="shared" si="3"/>
        <v>3.9776315789473684</v>
      </c>
      <c r="AK24" s="42">
        <f t="shared" si="4"/>
        <v>2.7047894736842109</v>
      </c>
      <c r="AO24" s="42">
        <v>0.68400000000000005</v>
      </c>
      <c r="AS24" s="42">
        <f t="shared" si="5"/>
        <v>0.55609756097560981</v>
      </c>
    </row>
    <row r="25" spans="1:45" ht="24.95" customHeight="1" thickBot="1" x14ac:dyDescent="0.3">
      <c r="A25" s="103"/>
      <c r="B25" s="602" t="s">
        <v>69</v>
      </c>
      <c r="C25" s="603"/>
      <c r="D25" s="603"/>
      <c r="E25" s="115">
        <f>E22-E23</f>
        <v>3441</v>
      </c>
      <c r="F25" s="220">
        <f>F22-F23</f>
        <v>3877.7942575231118</v>
      </c>
      <c r="G25" s="220">
        <f>G22-G23</f>
        <v>4023.9569675204802</v>
      </c>
      <c r="H25" s="116">
        <f>H22-H23</f>
        <v>3794</v>
      </c>
      <c r="I25" s="174"/>
      <c r="J25" s="174" t="s">
        <v>127</v>
      </c>
      <c r="K25" s="174"/>
      <c r="L25" s="218" t="s">
        <v>128</v>
      </c>
      <c r="M25" s="155">
        <v>0</v>
      </c>
      <c r="N25" s="103"/>
      <c r="O25" s="604" t="s">
        <v>46</v>
      </c>
      <c r="P25" s="605"/>
      <c r="Q25" s="608">
        <v>15.25</v>
      </c>
      <c r="R25" s="608">
        <v>15.26</v>
      </c>
      <c r="S25" s="610">
        <v>15.26</v>
      </c>
      <c r="T25" s="174"/>
      <c r="U25" s="112">
        <v>7.4999999999999997E-2</v>
      </c>
      <c r="V25" s="113">
        <f>U25*25.4</f>
        <v>1.9049999999999998</v>
      </c>
      <c r="W25" s="581">
        <f>AI25</f>
        <v>8.7669999999999995</v>
      </c>
      <c r="X25" s="582"/>
      <c r="Y25" s="449">
        <f>((W25/19.32)*10)</f>
        <v>4.5377846790890262</v>
      </c>
      <c r="Z25" s="450"/>
      <c r="AA25" s="581">
        <f>AJ25</f>
        <v>5.7677631578947368</v>
      </c>
      <c r="AB25" s="582"/>
      <c r="AC25" s="449">
        <f>((AA25/19.32)*10)</f>
        <v>2.9853846572954126</v>
      </c>
      <c r="AD25" s="450"/>
      <c r="AE25" s="581">
        <f>AK25</f>
        <v>3.9220789473684214</v>
      </c>
      <c r="AF25" s="582"/>
      <c r="AG25" s="114">
        <f>((AE25/19.32)*10)</f>
        <v>2.0300615669608808</v>
      </c>
      <c r="AH25" s="104"/>
      <c r="AI25" s="42">
        <f t="shared" si="2"/>
        <v>8.7669999999999995</v>
      </c>
      <c r="AJ25" s="42">
        <f t="shared" si="3"/>
        <v>5.7677631578947368</v>
      </c>
      <c r="AK25" s="42">
        <f t="shared" si="4"/>
        <v>3.9220789473684214</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11.861000000000001</v>
      </c>
      <c r="X26" s="779"/>
      <c r="Y26" s="461">
        <f>((W26/19.32)*10)</f>
        <v>6.1392339544513463</v>
      </c>
      <c r="Z26" s="462"/>
      <c r="AA26" s="746">
        <f>AJ26</f>
        <v>7.8032894736842104</v>
      </c>
      <c r="AB26" s="747"/>
      <c r="AC26" s="461">
        <f>((AA26/19.32)*10)</f>
        <v>4.0389697068758847</v>
      </c>
      <c r="AD26" s="462"/>
      <c r="AE26" s="746">
        <f>AK26</f>
        <v>5.3062368421052639</v>
      </c>
      <c r="AF26" s="747"/>
      <c r="AG26" s="469">
        <f>((AE26/19.32)*10)</f>
        <v>2.7464994006756021</v>
      </c>
      <c r="AH26" s="104"/>
      <c r="AI26" s="42">
        <f t="shared" si="2"/>
        <v>11.861000000000001</v>
      </c>
      <c r="AJ26" s="42">
        <f t="shared" si="3"/>
        <v>7.8032894736842104</v>
      </c>
      <c r="AK26" s="42">
        <f t="shared" si="4"/>
        <v>5.3062368421052639</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2045.7265962013335</v>
      </c>
      <c r="R27" s="152">
        <f>(PI()*((R25^2)/4)*R24)</f>
        <v>2125.2257858224461</v>
      </c>
      <c r="S27" s="153">
        <f>(PI()*((S25^2)/4)*S24)</f>
        <v>2121.5679101153505</v>
      </c>
      <c r="T27" s="174"/>
      <c r="U27" s="600"/>
      <c r="V27" s="601"/>
      <c r="W27" s="780"/>
      <c r="X27" s="781"/>
      <c r="Y27" s="463"/>
      <c r="Z27" s="464"/>
      <c r="AA27" s="748"/>
      <c r="AB27" s="749"/>
      <c r="AC27" s="463"/>
      <c r="AD27" s="464"/>
      <c r="AE27" s="748"/>
      <c r="AF27" s="749"/>
      <c r="AG27" s="470"/>
      <c r="AH27" s="193"/>
      <c r="AI27" s="42">
        <f t="shared" si="2"/>
        <v>15.189</v>
      </c>
      <c r="AJ27" s="42">
        <f t="shared" si="3"/>
        <v>9.9927631578947373</v>
      </c>
      <c r="AK27" s="42">
        <f t="shared" si="4"/>
        <v>6.7950789473684221</v>
      </c>
      <c r="AO27" s="42">
        <v>2.387</v>
      </c>
      <c r="AS27" s="42">
        <f t="shared" si="5"/>
        <v>1.9406504065040651</v>
      </c>
    </row>
    <row r="28" spans="1:45" ht="24.95" customHeight="1" thickBot="1" x14ac:dyDescent="0.3">
      <c r="A28" s="103"/>
      <c r="B28" s="560" t="s">
        <v>9</v>
      </c>
      <c r="C28" s="561"/>
      <c r="D28" s="561"/>
      <c r="E28" s="148">
        <v>711</v>
      </c>
      <c r="F28" s="148">
        <v>747</v>
      </c>
      <c r="G28" s="148">
        <v>738</v>
      </c>
      <c r="H28" s="149">
        <v>806</v>
      </c>
      <c r="I28" s="174"/>
      <c r="J28" s="597" t="s">
        <v>107</v>
      </c>
      <c r="K28" s="597"/>
      <c r="L28" s="562" t="s">
        <v>119</v>
      </c>
      <c r="M28" s="459">
        <f>IF(M26="","",(100-M26))</f>
        <v>100</v>
      </c>
      <c r="N28" s="103"/>
      <c r="O28" s="625" t="s">
        <v>136</v>
      </c>
      <c r="P28" s="626"/>
      <c r="Q28" s="220">
        <f>Q22-Q23</f>
        <v>3774</v>
      </c>
      <c r="R28" s="220">
        <f>R22-R23</f>
        <v>3752.4883772771991</v>
      </c>
      <c r="S28" s="220">
        <f>S22-S23</f>
        <v>3284</v>
      </c>
      <c r="T28" s="174"/>
      <c r="U28" s="627">
        <v>0.125</v>
      </c>
      <c r="V28" s="624">
        <f>U28*25.4</f>
        <v>3.1749999999999998</v>
      </c>
      <c r="W28" s="593">
        <f>AI27</f>
        <v>15.189</v>
      </c>
      <c r="X28" s="594"/>
      <c r="Y28" s="439">
        <f>((W28/19.32)*10)</f>
        <v>7.8618012422360248</v>
      </c>
      <c r="Z28" s="440"/>
      <c r="AA28" s="593">
        <f>AJ27</f>
        <v>9.9927631578947373</v>
      </c>
      <c r="AB28" s="594"/>
      <c r="AC28" s="439">
        <f>((AA28/19.32)*10)</f>
        <v>5.1722376593658055</v>
      </c>
      <c r="AD28" s="440"/>
      <c r="AE28" s="593">
        <f>AK27</f>
        <v>6.7950789473684221</v>
      </c>
      <c r="AF28" s="594"/>
      <c r="AG28" s="443">
        <f>((AE28/19.32)*10)</f>
        <v>3.5171216083687487</v>
      </c>
      <c r="AH28" s="104"/>
      <c r="AI28" s="42">
        <f t="shared" si="2"/>
        <v>18.497</v>
      </c>
      <c r="AJ28" s="42">
        <f t="shared" si="3"/>
        <v>12.169078947368421</v>
      </c>
      <c r="AK28" s="42">
        <f t="shared" si="4"/>
        <v>8.2749736842105275</v>
      </c>
      <c r="AO28" s="42">
        <v>2.8959999999999999</v>
      </c>
      <c r="AS28" s="42">
        <f t="shared" si="5"/>
        <v>2.3544715447154472</v>
      </c>
    </row>
    <row r="29" spans="1:45" ht="5.0999999999999996" customHeight="1" thickBot="1" x14ac:dyDescent="0.3">
      <c r="A29" s="103"/>
      <c r="B29" s="612" t="s">
        <v>73</v>
      </c>
      <c r="C29" s="613"/>
      <c r="D29" s="614"/>
      <c r="E29" s="618">
        <v>798.04</v>
      </c>
      <c r="F29" s="618">
        <v>722.77</v>
      </c>
      <c r="G29" s="618">
        <v>849.12</v>
      </c>
      <c r="H29" s="620">
        <v>704.8</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20.992999999999999</v>
      </c>
      <c r="AJ29" s="42">
        <f t="shared" si="3"/>
        <v>13.811184210526315</v>
      </c>
      <c r="AK29" s="42">
        <f t="shared" si="4"/>
        <v>9.3916052631578957</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12.672687838235314</v>
      </c>
      <c r="N30" s="103"/>
      <c r="O30" s="622" t="s">
        <v>134</v>
      </c>
      <c r="P30" s="623"/>
      <c r="Q30" s="229">
        <f>Q28/Q27</f>
        <v>1.8448213006605383</v>
      </c>
      <c r="R30" s="229">
        <f>R28/R27</f>
        <v>1.7656892751397775</v>
      </c>
      <c r="S30" s="131">
        <f>S28/S27</f>
        <v>1.5479117987891549</v>
      </c>
      <c r="T30" s="174"/>
      <c r="U30" s="120">
        <v>0.15</v>
      </c>
      <c r="V30" s="113">
        <f>U30*25.4</f>
        <v>3.8099999999999996</v>
      </c>
      <c r="W30" s="581">
        <f>AI28</f>
        <v>18.497</v>
      </c>
      <c r="X30" s="582"/>
      <c r="Y30" s="449">
        <f>((W30/19.32)*10)</f>
        <v>9.5740165631469978</v>
      </c>
      <c r="Z30" s="450"/>
      <c r="AA30" s="581">
        <f>AJ28</f>
        <v>12.169078947368421</v>
      </c>
      <c r="AB30" s="582"/>
      <c r="AC30" s="449">
        <f>((AA30/19.32)*10)</f>
        <v>6.2986951073335504</v>
      </c>
      <c r="AD30" s="450"/>
      <c r="AE30" s="581">
        <f>AK28</f>
        <v>8.2749736842105275</v>
      </c>
      <c r="AF30" s="582"/>
      <c r="AG30" s="114">
        <f>((AE30/19.32)*10)</f>
        <v>4.2831126729868156</v>
      </c>
      <c r="AH30" s="104"/>
      <c r="AI30" s="42">
        <f t="shared" si="2"/>
        <v>23.091999999999999</v>
      </c>
      <c r="AJ30" s="42">
        <f t="shared" si="3"/>
        <v>15.192105263157893</v>
      </c>
      <c r="AK30" s="42">
        <f t="shared" si="4"/>
        <v>10.330631578947369</v>
      </c>
      <c r="AO30" s="42">
        <v>3.8439999999999999</v>
      </c>
      <c r="AS30" s="42">
        <f t="shared" si="5"/>
        <v>3.1252032520325201</v>
      </c>
    </row>
    <row r="31" spans="1:45" ht="24.95" customHeight="1" thickBot="1" x14ac:dyDescent="0.3">
      <c r="A31" s="103"/>
      <c r="B31" s="576" t="s">
        <v>74</v>
      </c>
      <c r="C31" s="577"/>
      <c r="D31" s="577"/>
      <c r="E31" s="152">
        <v>604.02807827011168</v>
      </c>
      <c r="F31" s="152">
        <v>536.96029048572848</v>
      </c>
      <c r="G31" s="152">
        <v>617.47001538372422</v>
      </c>
      <c r="H31" s="153">
        <v>505.19284957337749</v>
      </c>
      <c r="I31" s="174"/>
      <c r="J31" s="597" t="s">
        <v>138</v>
      </c>
      <c r="K31" s="597"/>
      <c r="L31" s="562" t="s">
        <v>116</v>
      </c>
      <c r="M31" s="457">
        <v>2.72</v>
      </c>
      <c r="N31" s="121"/>
      <c r="O31" s="628" t="s">
        <v>135</v>
      </c>
      <c r="P31" s="629"/>
      <c r="Q31" s="122">
        <f>Q30/(1+Q40/100)</f>
        <v>1.3263204843476175</v>
      </c>
      <c r="R31" s="122">
        <f>R30/(1+R40/100)</f>
        <v>1.2690000000000008</v>
      </c>
      <c r="S31" s="123">
        <f>S30/(1+S40/100)</f>
        <v>1.1134453771968511</v>
      </c>
      <c r="T31" s="174"/>
      <c r="U31" s="627">
        <v>0.17499999999999999</v>
      </c>
      <c r="V31" s="624">
        <f>U31*25.4</f>
        <v>4.4449999999999994</v>
      </c>
      <c r="W31" s="593">
        <f>AI29</f>
        <v>20.992999999999999</v>
      </c>
      <c r="X31" s="594"/>
      <c r="Y31" s="439">
        <f>((W31/19.32)*10)</f>
        <v>10.865942028985508</v>
      </c>
      <c r="Z31" s="440"/>
      <c r="AA31" s="593">
        <f>AJ29</f>
        <v>13.811184210526315</v>
      </c>
      <c r="AB31" s="594"/>
      <c r="AC31" s="439">
        <f>((AA31/19.32)*10)</f>
        <v>7.1486460717009912</v>
      </c>
      <c r="AD31" s="440"/>
      <c r="AE31" s="593">
        <f>AK29</f>
        <v>9.3916052631578957</v>
      </c>
      <c r="AF31" s="594"/>
      <c r="AG31" s="443">
        <f>((AE31/19.32)*10)</f>
        <v>4.8610793287566745</v>
      </c>
      <c r="AH31" s="104"/>
      <c r="AI31" s="42">
        <f t="shared" si="2"/>
        <v>31.68</v>
      </c>
      <c r="AJ31" s="42">
        <f t="shared" si="3"/>
        <v>20.842105263157894</v>
      </c>
      <c r="AK31" s="42">
        <f t="shared" si="4"/>
        <v>14.172631578947369</v>
      </c>
      <c r="AO31" s="42">
        <v>5.516</v>
      </c>
      <c r="AS31" s="42">
        <f t="shared" si="5"/>
        <v>4.4845528455284551</v>
      </c>
    </row>
    <row r="32" spans="1:45" ht="5.0999999999999996" customHeight="1" thickBot="1" x14ac:dyDescent="0.3">
      <c r="A32" s="103"/>
      <c r="B32" s="612" t="s">
        <v>75</v>
      </c>
      <c r="C32" s="613"/>
      <c r="D32" s="614"/>
      <c r="E32" s="618">
        <v>40.19</v>
      </c>
      <c r="F32" s="618">
        <v>40.01</v>
      </c>
      <c r="G32" s="618">
        <v>49.56</v>
      </c>
      <c r="H32" s="620">
        <v>41.53</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38.340000000000003</v>
      </c>
      <c r="AJ32" s="42">
        <f t="shared" si="3"/>
        <v>25.223684210526319</v>
      </c>
      <c r="AK32" s="42">
        <f t="shared" si="4"/>
        <v>17.1521052631579</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10.3</v>
      </c>
      <c r="N33" s="101"/>
      <c r="O33" s="634" t="s">
        <v>25</v>
      </c>
      <c r="P33" s="635"/>
      <c r="Q33" s="635"/>
      <c r="R33" s="635"/>
      <c r="S33" s="636"/>
      <c r="T33" s="174"/>
      <c r="U33" s="117">
        <v>0.2</v>
      </c>
      <c r="V33" s="124">
        <f>U33*25.4</f>
        <v>5.08</v>
      </c>
      <c r="W33" s="581">
        <f>AI30</f>
        <v>23.091999999999999</v>
      </c>
      <c r="X33" s="582"/>
      <c r="Y33" s="449">
        <f>((W33/19.32)*10)</f>
        <v>11.952380952380953</v>
      </c>
      <c r="Z33" s="450"/>
      <c r="AA33" s="581">
        <f>AJ30</f>
        <v>15.192105263157893</v>
      </c>
      <c r="AB33" s="582"/>
      <c r="AC33" s="449">
        <f>((AA33/19.32)*10)</f>
        <v>7.8634085213032581</v>
      </c>
      <c r="AD33" s="450"/>
      <c r="AE33" s="581">
        <f>AK30</f>
        <v>10.330631578947369</v>
      </c>
      <c r="AF33" s="582"/>
      <c r="AG33" s="144">
        <f>((AE33/19.32)*10)</f>
        <v>5.3471177944862163</v>
      </c>
      <c r="AH33" s="104"/>
      <c r="AI33" s="42">
        <f t="shared" si="2"/>
        <v>43.207999999999998</v>
      </c>
      <c r="AJ33" s="42">
        <f t="shared" si="3"/>
        <v>28.426315789473684</v>
      </c>
      <c r="AK33" s="42">
        <f t="shared" si="4"/>
        <v>19.329894736842107</v>
      </c>
      <c r="AO33" s="42">
        <v>7.7720000000000002</v>
      </c>
      <c r="AS33" s="42">
        <f t="shared" si="5"/>
        <v>6.3186991869918705</v>
      </c>
    </row>
    <row r="34" spans="1:45" ht="24.95" customHeight="1" thickBot="1" x14ac:dyDescent="0.3">
      <c r="A34" s="103"/>
      <c r="B34" s="602" t="s">
        <v>10</v>
      </c>
      <c r="C34" s="603"/>
      <c r="D34" s="603"/>
      <c r="E34" s="125">
        <f>((E29-E31)/(E31-E32))*100</f>
        <v>34.409155608136331</v>
      </c>
      <c r="F34" s="125">
        <f>((F29-F31)/(F31-F32))*100</f>
        <v>37.389999175301341</v>
      </c>
      <c r="G34" s="125">
        <f>((G29-G31)/(G31-G32))*100</f>
        <v>40.789910081046031</v>
      </c>
      <c r="H34" s="126">
        <f>((H29-H31)/(H31-H32))*100</f>
        <v>43.050063340266256</v>
      </c>
      <c r="I34" s="174"/>
      <c r="J34" s="630" t="s">
        <v>125</v>
      </c>
      <c r="K34" s="630"/>
      <c r="L34" s="184" t="s">
        <v>126</v>
      </c>
      <c r="M34" s="245">
        <v>2.75</v>
      </c>
      <c r="N34" s="128"/>
      <c r="O34" s="631" t="s">
        <v>9</v>
      </c>
      <c r="P34" s="632"/>
      <c r="Q34" s="156">
        <v>343</v>
      </c>
      <c r="R34" s="156">
        <v>823</v>
      </c>
      <c r="S34" s="157">
        <v>709</v>
      </c>
      <c r="T34" s="174"/>
      <c r="U34" s="120">
        <v>0.3</v>
      </c>
      <c r="V34" s="113">
        <f>U34*25.4</f>
        <v>7.6199999999999992</v>
      </c>
      <c r="W34" s="581">
        <f>AI31</f>
        <v>31.68</v>
      </c>
      <c r="X34" s="582"/>
      <c r="Y34" s="449">
        <f>((W34/19.32)*10)</f>
        <v>16.397515527950311</v>
      </c>
      <c r="Z34" s="450"/>
      <c r="AA34" s="449">
        <f>AJ31</f>
        <v>20.842105263157894</v>
      </c>
      <c r="AB34" s="450"/>
      <c r="AC34" s="449">
        <f>((AA34/19.32)*10)</f>
        <v>10.787839163125204</v>
      </c>
      <c r="AD34" s="450"/>
      <c r="AE34" s="581">
        <f>AK31</f>
        <v>14.172631578947369</v>
      </c>
      <c r="AF34" s="582"/>
      <c r="AG34" s="114">
        <f>((AE34/19.32)*10)</f>
        <v>7.3357306309251396</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725.07</v>
      </c>
      <c r="R35" s="608">
        <v>810.77</v>
      </c>
      <c r="S35" s="610">
        <v>655.82</v>
      </c>
      <c r="T35" s="174"/>
      <c r="U35" s="627">
        <v>0.4</v>
      </c>
      <c r="V35" s="624">
        <f>U35*25.4</f>
        <v>10.16</v>
      </c>
      <c r="W35" s="593">
        <f>AI32</f>
        <v>38.340000000000003</v>
      </c>
      <c r="X35" s="594"/>
      <c r="Y35" s="439">
        <f>((W35/19.32)*10)</f>
        <v>19.844720496894411</v>
      </c>
      <c r="Z35" s="440"/>
      <c r="AA35" s="593">
        <f>AJ32</f>
        <v>25.223684210526319</v>
      </c>
      <c r="AB35" s="594"/>
      <c r="AC35" s="439">
        <f>(AA35/19.32)*10</f>
        <v>13.055737169009483</v>
      </c>
      <c r="AD35" s="440"/>
      <c r="AE35" s="593">
        <f>AK32</f>
        <v>17.1521052631579</v>
      </c>
      <c r="AF35" s="594"/>
      <c r="AG35" s="443">
        <f>((AE35/19.32)*10)</f>
        <v>8.8779012749264492</v>
      </c>
      <c r="AH35" s="104"/>
      <c r="AS35" s="42">
        <f t="shared" si="5"/>
        <v>0</v>
      </c>
    </row>
    <row r="36" spans="1:45" ht="20.100000000000001" customHeight="1" thickBot="1" x14ac:dyDescent="0.3">
      <c r="A36" s="103"/>
      <c r="B36" s="639" t="s">
        <v>71</v>
      </c>
      <c r="C36" s="640"/>
      <c r="D36" s="640"/>
      <c r="E36" s="130">
        <f>E25/E24</f>
        <v>1.6019553072625698</v>
      </c>
      <c r="F36" s="130">
        <f>F25/F24</f>
        <v>1.8053045891634598</v>
      </c>
      <c r="G36" s="130">
        <f>G25/G24</f>
        <v>1.8733505435383986</v>
      </c>
      <c r="H36" s="131">
        <f>H25/H24</f>
        <v>1.7662942271880819</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1.1918498408940208</v>
      </c>
      <c r="F37" s="230">
        <f>F36/(1+F34/100)</f>
        <v>1.3140000000000001</v>
      </c>
      <c r="G37" s="230">
        <f>G36/(1+G34/100)</f>
        <v>1.3306</v>
      </c>
      <c r="H37" s="123">
        <f>H36/(1+H34/100)</f>
        <v>1.2347385145763154</v>
      </c>
      <c r="I37" s="174"/>
      <c r="J37" s="641" t="s">
        <v>139</v>
      </c>
      <c r="K37" s="641"/>
      <c r="L37" s="643" t="s">
        <v>121</v>
      </c>
      <c r="M37" s="433">
        <f>IF(F74="","",(M42^2*F74+M42*F75+F76))</f>
        <v>1.2918132352941196</v>
      </c>
      <c r="N37" s="101"/>
      <c r="O37" s="576" t="s">
        <v>28</v>
      </c>
      <c r="P37" s="577"/>
      <c r="Q37" s="150">
        <v>544.87</v>
      </c>
      <c r="R37" s="152">
        <v>594.14892431463682</v>
      </c>
      <c r="S37" s="153">
        <v>482.96380370579101</v>
      </c>
      <c r="T37" s="174"/>
      <c r="U37" s="132">
        <v>0.5</v>
      </c>
      <c r="V37" s="133">
        <f>U37*25.4</f>
        <v>12.7</v>
      </c>
      <c r="W37" s="637">
        <f>AI33</f>
        <v>43.207999999999998</v>
      </c>
      <c r="X37" s="638"/>
      <c r="Y37" s="431">
        <f>((W37/19.32)*10)</f>
        <v>22.364389233954451</v>
      </c>
      <c r="Z37" s="432"/>
      <c r="AA37" s="637">
        <f>AJ33</f>
        <v>28.426315789473684</v>
      </c>
      <c r="AB37" s="638"/>
      <c r="AC37" s="431">
        <f>((AA37/19.32)*10)</f>
        <v>14.713413969706874</v>
      </c>
      <c r="AD37" s="432"/>
      <c r="AE37" s="637">
        <f>AK33</f>
        <v>19.329894736842107</v>
      </c>
      <c r="AF37" s="638"/>
      <c r="AG37" s="134">
        <f>((AE37/19.32)*10)</f>
        <v>10.005121499400676</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83.92</v>
      </c>
      <c r="R38" s="647">
        <v>40.700000000000003</v>
      </c>
      <c r="S38" s="648">
        <v>39.97</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12.672687838235314</v>
      </c>
      <c r="N40" s="103"/>
      <c r="O40" s="628" t="s">
        <v>10</v>
      </c>
      <c r="P40" s="629"/>
      <c r="Q40" s="125">
        <f>((Q35-Q37)/(Q37-Q38))*100</f>
        <v>39.093177134179427</v>
      </c>
      <c r="R40" s="125">
        <f>((R35-R37)/(R37-R38))*100</f>
        <v>39.140210806916969</v>
      </c>
      <c r="S40" s="126">
        <f>((S35-S37)/(S37-S38))*100</f>
        <v>39.020003180227185</v>
      </c>
      <c r="T40" s="174"/>
      <c r="U40" s="645" t="s">
        <v>151</v>
      </c>
      <c r="V40" s="646"/>
      <c r="W40" s="423">
        <f>(AM79/6.9)*100</f>
        <v>88.974405136976031</v>
      </c>
      <c r="X40" s="423"/>
      <c r="Y40" s="423"/>
      <c r="Z40" s="424"/>
      <c r="AA40" s="425">
        <f>(AO79/6.9)*100</f>
        <v>58.535792853273691</v>
      </c>
      <c r="AB40" s="426"/>
      <c r="AC40" s="427"/>
      <c r="AD40" s="425">
        <f>(AQ79/6.9)*100</f>
        <v>39.804339140226112</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116.04253351826166</v>
      </c>
      <c r="X41" s="418"/>
      <c r="Y41" s="418"/>
      <c r="Z41" s="419"/>
      <c r="AA41" s="420">
        <f>(AO83/10.3)*100</f>
        <v>76.343772051487932</v>
      </c>
      <c r="AB41" s="421"/>
      <c r="AC41" s="418"/>
      <c r="AD41" s="420">
        <f>(AQ83/10.3)*100</f>
        <v>51.913764995011803</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38.955882352941181</v>
      </c>
      <c r="N42" s="103"/>
      <c r="O42" s="639" t="s">
        <v>9</v>
      </c>
      <c r="P42" s="640"/>
      <c r="Q42" s="148">
        <v>326</v>
      </c>
      <c r="R42" s="148">
        <v>746</v>
      </c>
      <c r="S42" s="149">
        <v>708</v>
      </c>
      <c r="T42" s="174"/>
      <c r="U42" s="651" t="s">
        <v>42</v>
      </c>
      <c r="V42" s="652"/>
      <c r="W42" s="413">
        <f>IF(W40&lt;W41,W40,W41)</f>
        <v>88.974405136976031</v>
      </c>
      <c r="X42" s="414"/>
      <c r="Y42" s="414"/>
      <c r="Z42" s="415"/>
      <c r="AA42" s="416">
        <f>IF(AA40&lt;AA41,AA40,AA41)</f>
        <v>58.535792853273691</v>
      </c>
      <c r="AB42" s="414"/>
      <c r="AC42" s="415"/>
      <c r="AD42" s="416">
        <f>IF(AD40&lt;AD41,AD40,AD41)</f>
        <v>39.804339140226112</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818.93</v>
      </c>
      <c r="R43" s="608">
        <v>805.89</v>
      </c>
      <c r="S43" s="620">
        <v>672.55</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608.76</v>
      </c>
      <c r="R45" s="152">
        <v>574.25718862631527</v>
      </c>
      <c r="S45" s="153">
        <v>473.433812098168</v>
      </c>
      <c r="T45" s="174"/>
      <c r="U45" s="656" t="s">
        <v>139</v>
      </c>
      <c r="V45" s="656"/>
      <c r="W45" s="179" t="s">
        <v>121</v>
      </c>
      <c r="X45" s="406">
        <f>MAX(M37:M39)</f>
        <v>1.2918132352941196</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101.24</v>
      </c>
      <c r="R46" s="150">
        <v>47.58</v>
      </c>
      <c r="S46" s="151">
        <v>40.76</v>
      </c>
      <c r="T46" s="174"/>
      <c r="U46" s="555" t="s">
        <v>123</v>
      </c>
      <c r="V46" s="555"/>
      <c r="W46" s="179" t="s">
        <v>41</v>
      </c>
      <c r="X46" s="401">
        <f>MIN(M42:M44)</f>
        <v>38.955882352941181</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41.411175914249675</v>
      </c>
      <c r="R47" s="125">
        <f>((R43-R45)/(R45-R46))*100</f>
        <v>43.980034901042849</v>
      </c>
      <c r="S47" s="126">
        <f>((S43-S45)/(S45-S46))*100</f>
        <v>46.019930565304264</v>
      </c>
      <c r="T47" s="174"/>
      <c r="U47" s="555" t="s">
        <v>162</v>
      </c>
      <c r="V47" s="555"/>
      <c r="W47" s="179" t="s">
        <v>41</v>
      </c>
      <c r="X47" s="402">
        <f>IF(L25=D103,"-",IF(L25=D102,"-",IF(L25=D101,M25)))</f>
        <v>0</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0.18142857142857099</v>
      </c>
      <c r="AG48" s="142">
        <f>IF(AG47&lt;&gt;"",IF(R24&lt;&gt;"",AG47/R24*100,""),"")</f>
        <v>0.49182444061962149</v>
      </c>
      <c r="AH48" s="173">
        <f>IF(AH47&lt;&gt;"",IF(S24&lt;&gt;"",AH47/S24*100,""),"")</f>
        <v>0.84301724137931056</v>
      </c>
    </row>
    <row r="49" spans="1:39"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39"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0.20300000000000001</v>
      </c>
      <c r="AM50" s="42">
        <v>0.13300000000000001</v>
      </c>
    </row>
    <row r="51" spans="1:39"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2.2570000000000001</v>
      </c>
      <c r="AM51" s="42">
        <v>0.94899999999999995</v>
      </c>
    </row>
    <row r="52" spans="1:39"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6.0460000000000003</v>
      </c>
      <c r="AM52" s="42">
        <v>4.4459999999999997</v>
      </c>
    </row>
    <row r="53" spans="1:39"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8.7669999999999995</v>
      </c>
      <c r="AM53" s="42">
        <v>7.94</v>
      </c>
    </row>
    <row r="54" spans="1:39"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11.861000000000001</v>
      </c>
      <c r="AM54" s="42">
        <v>10.547000000000001</v>
      </c>
    </row>
    <row r="55" spans="1:39"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15.189</v>
      </c>
      <c r="AM55" s="42">
        <v>13.459</v>
      </c>
    </row>
    <row r="56" spans="1:39"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18.497</v>
      </c>
      <c r="AM56" s="42">
        <v>17.001000000000001</v>
      </c>
    </row>
    <row r="57" spans="1:39"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20.992999999999999</v>
      </c>
      <c r="AM57" s="42">
        <v>20.577999999999999</v>
      </c>
    </row>
    <row r="58" spans="1:39" ht="15.75" x14ac:dyDescent="0.25">
      <c r="A58" s="103"/>
      <c r="B58" s="174"/>
      <c r="C58" s="174"/>
      <c r="D58" s="174"/>
      <c r="E58" s="174"/>
      <c r="F58" s="174"/>
      <c r="G58" s="174"/>
      <c r="H58" s="174"/>
      <c r="I58" s="174"/>
      <c r="J58" s="689" t="s">
        <v>189</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23.091999999999999</v>
      </c>
      <c r="AM58" s="42">
        <v>23.263000000000002</v>
      </c>
    </row>
    <row r="59" spans="1:39"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31.68</v>
      </c>
      <c r="AM59" s="42">
        <v>31.195</v>
      </c>
    </row>
    <row r="60" spans="1:39"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38.340000000000003</v>
      </c>
      <c r="AM60" s="42">
        <v>38.353000000000002</v>
      </c>
    </row>
    <row r="61" spans="1:39"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43.207999999999998</v>
      </c>
      <c r="AM61" s="42">
        <v>44.945999999999998</v>
      </c>
    </row>
    <row r="62" spans="1:39"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39"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39"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10.3</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-6.7999999999999996E-3</v>
      </c>
      <c r="G74" s="75">
        <v>-0.12509999999999999</v>
      </c>
      <c r="J74" s="701"/>
      <c r="K74" s="702"/>
      <c r="L74" s="44"/>
      <c r="M74" s="44"/>
      <c r="N74" s="44"/>
    </row>
    <row r="75" spans="1:94" ht="26.25" customHeight="1" thickBot="1" x14ac:dyDescent="0.3">
      <c r="A75" s="11"/>
      <c r="B75" s="377" t="s">
        <v>113</v>
      </c>
      <c r="C75" s="377"/>
      <c r="D75" s="19"/>
      <c r="E75" s="54" t="s">
        <v>12</v>
      </c>
      <c r="F75" s="55">
        <v>0.52980000000000005</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6">((AL75/19.32)*10)</f>
        <v>0</v>
      </c>
      <c r="AN75" s="5">
        <f>AA22</f>
        <v>0</v>
      </c>
      <c r="AO75" s="3">
        <f>((AN75/19.32)*10)</f>
        <v>0</v>
      </c>
      <c r="AP75" s="5">
        <f>AE22</f>
        <v>0</v>
      </c>
      <c r="AQ75" s="161">
        <f t="shared" ref="AQ75:AQ84" si="7">((AP75/19.32)*10)</f>
        <v>0</v>
      </c>
    </row>
    <row r="76" spans="1:94" ht="26.25" customHeight="1" thickBot="1" x14ac:dyDescent="0.3">
      <c r="A76" s="11"/>
      <c r="B76" s="377" t="s">
        <v>114</v>
      </c>
      <c r="C76" s="377"/>
      <c r="D76" s="20"/>
      <c r="E76" s="56" t="s">
        <v>13</v>
      </c>
      <c r="F76" s="57">
        <v>-9.0275999999999996</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8">AJ76*25.4</f>
        <v>0.63500000000000001</v>
      </c>
      <c r="AL76" s="5">
        <f>W23</f>
        <v>2.2570000000000001</v>
      </c>
      <c r="AM76" s="3">
        <f t="shared" si="6"/>
        <v>1.1682194616977226</v>
      </c>
      <c r="AN76" s="5">
        <f>AA23</f>
        <v>1.4848684210526317</v>
      </c>
      <c r="AO76" s="3">
        <f t="shared" ref="AO76:AO86" si="9">((AN76/19.32)*10)</f>
        <v>0.76856543532744914</v>
      </c>
      <c r="AP76" s="5">
        <f>AE23</f>
        <v>1.0097105263157897</v>
      </c>
      <c r="AQ76" s="161">
        <f t="shared" si="7"/>
        <v>0.52262449602266547</v>
      </c>
    </row>
    <row r="77" spans="1:94" ht="26.25" customHeight="1" thickTop="1" thickBot="1" x14ac:dyDescent="0.3">
      <c r="A77" s="11"/>
      <c r="B77" s="377" t="s">
        <v>115</v>
      </c>
      <c r="C77" s="377"/>
      <c r="D77" s="15"/>
      <c r="J77" s="380"/>
      <c r="K77" s="381"/>
      <c r="U77" s="44"/>
      <c r="AB77" s="44"/>
      <c r="AC77" s="44"/>
      <c r="AD77" s="44"/>
      <c r="AE77" s="44"/>
      <c r="AJ77" s="160">
        <f>U24</f>
        <v>0.05</v>
      </c>
      <c r="AK77" s="3">
        <f t="shared" si="8"/>
        <v>1.27</v>
      </c>
      <c r="AL77" s="5">
        <f>W24</f>
        <v>6.0460000000000003</v>
      </c>
      <c r="AM77" s="3">
        <f t="shared" si="6"/>
        <v>3.1293995859213251</v>
      </c>
      <c r="AN77" s="5">
        <f>AA24</f>
        <v>3.9776315789473684</v>
      </c>
      <c r="AO77" s="3">
        <f t="shared" si="9"/>
        <v>2.0588155170535032</v>
      </c>
      <c r="AP77" s="5">
        <f>AE24</f>
        <v>2.7047894736842109</v>
      </c>
      <c r="AQ77" s="161">
        <f t="shared" si="7"/>
        <v>1.3999945515963823</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8"/>
        <v>1.9049999999999998</v>
      </c>
      <c r="AL78" s="5">
        <f>W25</f>
        <v>8.7669999999999995</v>
      </c>
      <c r="AM78" s="3">
        <f t="shared" si="6"/>
        <v>4.5377846790890262</v>
      </c>
      <c r="AN78" s="5">
        <f>AA25</f>
        <v>5.7677631578947368</v>
      </c>
      <c r="AO78" s="3">
        <f t="shared" si="9"/>
        <v>2.9853846572954126</v>
      </c>
      <c r="AP78" s="5">
        <f>AE25</f>
        <v>3.9220789473684214</v>
      </c>
      <c r="AQ78" s="161">
        <f t="shared" si="7"/>
        <v>2.0300615669608808</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8"/>
        <v>2.54</v>
      </c>
      <c r="AL79" s="5">
        <f>W26</f>
        <v>11.861000000000001</v>
      </c>
      <c r="AM79" s="4">
        <f t="shared" si="6"/>
        <v>6.1392339544513463</v>
      </c>
      <c r="AN79" s="5">
        <f>AA26</f>
        <v>7.8032894736842104</v>
      </c>
      <c r="AO79" s="4">
        <f t="shared" si="9"/>
        <v>4.0389697068758847</v>
      </c>
      <c r="AP79" s="5">
        <f>AE26</f>
        <v>5.3062368421052639</v>
      </c>
      <c r="AQ79" s="162">
        <f t="shared" si="7"/>
        <v>2.7464994006756021</v>
      </c>
      <c r="BB79" s="12">
        <v>17</v>
      </c>
      <c r="BC79" s="12">
        <v>18</v>
      </c>
    </row>
    <row r="80" spans="1:94" ht="42" customHeight="1" thickTop="1" thickBot="1" x14ac:dyDescent="0.3">
      <c r="D80" s="49"/>
      <c r="H80" s="711" t="s">
        <v>105</v>
      </c>
      <c r="I80" s="712"/>
      <c r="J80" s="58"/>
      <c r="AJ80" s="160">
        <f>U28</f>
        <v>0.125</v>
      </c>
      <c r="AK80" s="3">
        <f t="shared" si="8"/>
        <v>3.1749999999999998</v>
      </c>
      <c r="AL80" s="5">
        <f>W28</f>
        <v>15.189</v>
      </c>
      <c r="AM80" s="3">
        <f t="shared" si="6"/>
        <v>7.8618012422360248</v>
      </c>
      <c r="AN80" s="5">
        <f>AA28</f>
        <v>9.9927631578947373</v>
      </c>
      <c r="AO80" s="3">
        <f t="shared" si="9"/>
        <v>5.1722376593658055</v>
      </c>
      <c r="AP80" s="5">
        <f>AE28</f>
        <v>6.7950789473684221</v>
      </c>
      <c r="AQ80" s="161">
        <f t="shared" si="7"/>
        <v>3.5171216083687487</v>
      </c>
      <c r="BC80" s="45">
        <v>0.99880400000000003</v>
      </c>
      <c r="BD80" s="45">
        <v>0.99862499999999998</v>
      </c>
    </row>
    <row r="81" spans="2:43" ht="15.75" customHeight="1" x14ac:dyDescent="0.25">
      <c r="AJ81" s="160">
        <f>U30</f>
        <v>0.15</v>
      </c>
      <c r="AK81" s="3">
        <f t="shared" si="8"/>
        <v>3.8099999999999996</v>
      </c>
      <c r="AL81" s="5">
        <f>W30</f>
        <v>18.497</v>
      </c>
      <c r="AM81" s="3">
        <f t="shared" si="6"/>
        <v>9.5740165631469978</v>
      </c>
      <c r="AN81" s="5">
        <f>AA30</f>
        <v>12.169078947368421</v>
      </c>
      <c r="AO81" s="3">
        <f t="shared" si="9"/>
        <v>6.2986951073335504</v>
      </c>
      <c r="AP81" s="5">
        <f>AE30</f>
        <v>8.2749736842105275</v>
      </c>
      <c r="AQ81" s="161">
        <f t="shared" si="7"/>
        <v>4.2831126729868156</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8"/>
        <v>4.4449999999999994</v>
      </c>
      <c r="AL82" s="5">
        <f>W31</f>
        <v>20.992999999999999</v>
      </c>
      <c r="AM82" s="3">
        <f t="shared" si="6"/>
        <v>10.865942028985508</v>
      </c>
      <c r="AN82" s="5">
        <f>AA31</f>
        <v>13.811184210526315</v>
      </c>
      <c r="AO82" s="3">
        <f t="shared" si="9"/>
        <v>7.1486460717009912</v>
      </c>
      <c r="AP82" s="5">
        <f>AE31</f>
        <v>9.3916052631578957</v>
      </c>
      <c r="AQ82" s="161">
        <f t="shared" si="7"/>
        <v>4.8610793287566745</v>
      </c>
    </row>
    <row r="83" spans="2:43" ht="15" customHeight="1" x14ac:dyDescent="0.25">
      <c r="B83" s="49"/>
      <c r="C83" s="49"/>
      <c r="D83" s="49">
        <v>0</v>
      </c>
      <c r="E83" s="50">
        <f>M42</f>
        <v>38.955882352941181</v>
      </c>
      <c r="F83" s="49"/>
      <c r="G83" s="43">
        <f>G84/10</f>
        <v>1.4553615468650853</v>
      </c>
      <c r="H83" s="43">
        <f>H84/10</f>
        <v>1.396541326367863</v>
      </c>
      <c r="I83" s="43">
        <f>I84/10</f>
        <v>1.3350002008507675</v>
      </c>
      <c r="J83" s="43">
        <f>J84/10</f>
        <v>1.2970054333703116</v>
      </c>
      <c r="K83" s="43"/>
      <c r="L83" s="42">
        <v>0</v>
      </c>
      <c r="O83" s="706"/>
      <c r="P83" s="706"/>
      <c r="Q83" s="706"/>
      <c r="R83" s="706"/>
      <c r="S83" s="707"/>
      <c r="W83" s="112"/>
      <c r="AJ83" s="160">
        <f>U33</f>
        <v>0.2</v>
      </c>
      <c r="AK83" s="4">
        <f t="shared" si="8"/>
        <v>5.08</v>
      </c>
      <c r="AL83" s="5">
        <f>W33</f>
        <v>23.091999999999999</v>
      </c>
      <c r="AM83" s="4">
        <f t="shared" si="6"/>
        <v>11.952380952380953</v>
      </c>
      <c r="AN83" s="5">
        <f>AA33</f>
        <v>15.192105263157893</v>
      </c>
      <c r="AO83" s="4">
        <f t="shared" si="9"/>
        <v>7.8634085213032581</v>
      </c>
      <c r="AP83" s="5">
        <f>AE33</f>
        <v>10.330631578947369</v>
      </c>
      <c r="AQ83" s="162">
        <f t="shared" si="7"/>
        <v>5.3471177944862163</v>
      </c>
    </row>
    <row r="84" spans="2:43" ht="15" customHeight="1" x14ac:dyDescent="0.25">
      <c r="C84" s="94"/>
      <c r="D84" s="94"/>
      <c r="E84" s="94"/>
      <c r="F84" s="49"/>
      <c r="G84" s="43">
        <f>($M$34/(1+(E34*$M$34/100)))*($O$73)</f>
        <v>14.553615468650854</v>
      </c>
      <c r="H84" s="43">
        <f>($M$34/(1+(F34*$M$34/100)))*($O$73)</f>
        <v>13.965413263678629</v>
      </c>
      <c r="I84" s="43">
        <f>($M$34/(1+(G34*$M$34/100)))*($O$73)</f>
        <v>13.350002008507674</v>
      </c>
      <c r="J84" s="43">
        <f>($M$34/(1+(H34*$M$34/100)))*($O$73)</f>
        <v>12.970054333703116</v>
      </c>
      <c r="K84" s="43"/>
      <c r="O84" s="706" t="s">
        <v>146</v>
      </c>
      <c r="P84" s="706"/>
      <c r="Q84" s="706"/>
      <c r="R84" s="706"/>
      <c r="S84" s="707">
        <v>2240</v>
      </c>
      <c r="W84" s="112"/>
      <c r="AJ84" s="160">
        <f>U34</f>
        <v>0.3</v>
      </c>
      <c r="AK84" s="3">
        <f t="shared" si="8"/>
        <v>7.6199999999999992</v>
      </c>
      <c r="AL84" s="5">
        <f>W34</f>
        <v>31.68</v>
      </c>
      <c r="AM84" s="3">
        <f t="shared" si="6"/>
        <v>16.397515527950311</v>
      </c>
      <c r="AN84" s="5">
        <f>AA34</f>
        <v>20.842105263157894</v>
      </c>
      <c r="AO84" s="3">
        <f t="shared" si="9"/>
        <v>10.787839163125204</v>
      </c>
      <c r="AP84" s="5">
        <f>AE34</f>
        <v>14.172631578947369</v>
      </c>
      <c r="AQ84" s="161">
        <f t="shared" si="7"/>
        <v>7.3357306309251396</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38.340000000000003</v>
      </c>
      <c r="AM85" s="3">
        <f t="shared" si="6"/>
        <v>19.844720496894411</v>
      </c>
      <c r="AN85" s="5">
        <f>AA35</f>
        <v>25.223684210526319</v>
      </c>
      <c r="AO85" s="3">
        <f t="shared" si="9"/>
        <v>13.055737169009483</v>
      </c>
      <c r="AP85" s="5">
        <f>AE35</f>
        <v>17.1521052631579</v>
      </c>
      <c r="AQ85" s="161">
        <f>((AP85/19.32)*10)</f>
        <v>8.8779012749264492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43.207999999999998</v>
      </c>
      <c r="AM86" s="164">
        <f t="shared" si="6"/>
        <v>22.364389233954451</v>
      </c>
      <c r="AN86" s="165">
        <f>AA37</f>
        <v>28.426315789473684</v>
      </c>
      <c r="AO86" s="164">
        <f t="shared" si="9"/>
        <v>14.713413969706874</v>
      </c>
      <c r="AP86" s="165">
        <f>AE37</f>
        <v>19.329894736842107</v>
      </c>
      <c r="AQ86" s="166">
        <f>((AP86/19.32)*10)</f>
        <v>10.005121499400676</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1.3263204843476175</v>
      </c>
      <c r="AK91" s="9">
        <f>R31</f>
        <v>1.2690000000000008</v>
      </c>
      <c r="AL91" s="10">
        <f>S31</f>
        <v>1.1134453771968511</v>
      </c>
    </row>
    <row r="92" spans="2:43" ht="21" customHeight="1" thickBot="1" x14ac:dyDescent="0.3">
      <c r="B92" s="92"/>
      <c r="C92" s="93"/>
      <c r="D92" s="93"/>
      <c r="E92" s="93"/>
      <c r="F92" s="62"/>
      <c r="G92" s="63"/>
      <c r="H92" s="49"/>
      <c r="I92" s="49"/>
      <c r="O92" s="725" t="s">
        <v>147</v>
      </c>
      <c r="P92" s="726"/>
      <c r="Q92" s="726"/>
      <c r="R92" s="726"/>
      <c r="S92" s="61">
        <f>M42</f>
        <v>38.955882352941181</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88.974405136976031</v>
      </c>
      <c r="AK94" s="158">
        <f>AA42</f>
        <v>58.535792853273691</v>
      </c>
      <c r="AL94" s="158">
        <f>AD42</f>
        <v>39.804339140226112</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92" priority="48">
      <formula>LEN(TRIM(D6))=0</formula>
    </cfRule>
  </conditionalFormatting>
  <conditionalFormatting sqref="D6:H10">
    <cfRule type="containsBlanks" dxfId="91" priority="47">
      <formula>LEN(TRIM(D6))=0</formula>
    </cfRule>
  </conditionalFormatting>
  <conditionalFormatting sqref="M19">
    <cfRule type="containsBlanks" dxfId="90" priority="46">
      <formula>LEN(TRIM(M19))=0</formula>
    </cfRule>
  </conditionalFormatting>
  <conditionalFormatting sqref="CP70">
    <cfRule type="containsBlanks" dxfId="89" priority="45">
      <formula>LEN(TRIM(CP70))=0</formula>
    </cfRule>
  </conditionalFormatting>
  <conditionalFormatting sqref="M21">
    <cfRule type="containsBlanks" dxfId="88" priority="44">
      <formula>LEN(TRIM(M21))=0</formula>
    </cfRule>
  </conditionalFormatting>
  <conditionalFormatting sqref="D12:M12">
    <cfRule type="containsBlanks" dxfId="87" priority="43">
      <formula>LEN(TRIM(D12))=0</formula>
    </cfRule>
  </conditionalFormatting>
  <conditionalFormatting sqref="L9:M9">
    <cfRule type="containsBlanks" dxfId="86" priority="42">
      <formula>LEN(TRIM(L9))=0</formula>
    </cfRule>
  </conditionalFormatting>
  <conditionalFormatting sqref="L25">
    <cfRule type="containsBlanks" dxfId="85" priority="41">
      <formula>LEN(TRIM(L25))=0</formula>
    </cfRule>
  </conditionalFormatting>
  <conditionalFormatting sqref="U26:V27 AC33 AC26">
    <cfRule type="cellIs" dxfId="84" priority="40" operator="between">
      <formula>0</formula>
      <formula>500</formula>
    </cfRule>
  </conditionalFormatting>
  <conditionalFormatting sqref="U33:V33">
    <cfRule type="cellIs" dxfId="83" priority="39" operator="between">
      <formula>0</formula>
      <formula>500</formula>
    </cfRule>
  </conditionalFormatting>
  <conditionalFormatting sqref="AF45:AH46">
    <cfRule type="containsBlanks" dxfId="82" priority="38">
      <formula>LEN(TRIM(AF45))=0</formula>
    </cfRule>
  </conditionalFormatting>
  <conditionalFormatting sqref="AF51:AG53">
    <cfRule type="containsBlanks" dxfId="81" priority="37">
      <formula>LEN(TRIM(AF51))=0</formula>
    </cfRule>
  </conditionalFormatting>
  <conditionalFormatting sqref="M25">
    <cfRule type="containsBlanks" dxfId="80" priority="36">
      <formula>LEN(TRIM(M25))=0</formula>
    </cfRule>
  </conditionalFormatting>
  <conditionalFormatting sqref="U26:V27 Y26:Z27 AC26:AD27 AG26:AG27">
    <cfRule type="containsBlanks" dxfId="79" priority="34">
      <formula>LEN(TRIM(U26))=0</formula>
    </cfRule>
    <cfRule type="cellIs" dxfId="78" priority="35" operator="between">
      <formula>0</formula>
      <formula>1000</formula>
    </cfRule>
  </conditionalFormatting>
  <conditionalFormatting sqref="W87:W88">
    <cfRule type="cellIs" dxfId="77" priority="33" operator="between">
      <formula>0</formula>
      <formula>500</formula>
    </cfRule>
  </conditionalFormatting>
  <conditionalFormatting sqref="W94">
    <cfRule type="cellIs" dxfId="76" priority="32" operator="between">
      <formula>0</formula>
      <formula>500</formula>
    </cfRule>
  </conditionalFormatting>
  <conditionalFormatting sqref="W87:W88">
    <cfRule type="containsBlanks" dxfId="75" priority="30">
      <formula>LEN(TRIM(W87))=0</formula>
    </cfRule>
    <cfRule type="cellIs" dxfId="74" priority="31" operator="between">
      <formula>0</formula>
      <formula>1000</formula>
    </cfRule>
  </conditionalFormatting>
  <conditionalFormatting sqref="U33:V33 Y33:Z33 AC33:AD33 AG33">
    <cfRule type="cellIs" dxfId="73" priority="29" operator="between">
      <formula>0</formula>
      <formula>1000</formula>
    </cfRule>
  </conditionalFormatting>
  <conditionalFormatting sqref="Q27:S27">
    <cfRule type="containsBlanks" dxfId="72" priority="27">
      <formula>LEN(TRIM(Q27))=0</formula>
    </cfRule>
    <cfRule type="containsBlanks" dxfId="71" priority="28">
      <formula>LEN(TRIM(Q27))=0</formula>
    </cfRule>
  </conditionalFormatting>
  <conditionalFormatting sqref="W30:W31 W33:W35 W37 W28 W22:W26">
    <cfRule type="containsBlanks" dxfId="70" priority="26">
      <formula>LEN(TRIM(W22))=0</formula>
    </cfRule>
  </conditionalFormatting>
  <conditionalFormatting sqref="W37 W30:W31 W33:W35 W28 W22:W26">
    <cfRule type="containsBlanks" dxfId="69" priority="25">
      <formula>LEN(TRIM(W22))=0</formula>
    </cfRule>
  </conditionalFormatting>
  <conditionalFormatting sqref="W33:X33">
    <cfRule type="cellIs" dxfId="68" priority="24" operator="between">
      <formula>0</formula>
      <formula>1000</formula>
    </cfRule>
  </conditionalFormatting>
  <conditionalFormatting sqref="W30:X37 W26 W28 W22:X25">
    <cfRule type="containsBlanks" dxfId="67" priority="23">
      <formula>LEN(TRIM(W22))=0</formula>
    </cfRule>
  </conditionalFormatting>
  <conditionalFormatting sqref="AA37 AA30:AA31 AA33 AA22:AA26 AA28 AA35">
    <cfRule type="containsBlanks" dxfId="66" priority="22">
      <formula>LEN(TRIM(AA22))=0</formula>
    </cfRule>
  </conditionalFormatting>
  <conditionalFormatting sqref="AA37 AA30:AA31 AA33 AA22:AA26 AA28 AA35">
    <cfRule type="containsBlanks" dxfId="65" priority="21">
      <formula>LEN(TRIM(AA22))=0</formula>
    </cfRule>
  </conditionalFormatting>
  <conditionalFormatting sqref="AA33:AB33">
    <cfRule type="cellIs" dxfId="64" priority="20" operator="between">
      <formula>0</formula>
      <formula>1000</formula>
    </cfRule>
  </conditionalFormatting>
  <conditionalFormatting sqref="AA30:AB30 AA31 AA33:AB33 AA22:AB25 AA26 AA28 AA35:AB37">
    <cfRule type="containsBlanks" dxfId="63" priority="19">
      <formula>LEN(TRIM(AA22))=0</formula>
    </cfRule>
  </conditionalFormatting>
  <conditionalFormatting sqref="AE37 AE28 AE30:AE31 AE33:AE35 AE22:AE26">
    <cfRule type="containsBlanks" dxfId="62" priority="18">
      <formula>LEN(TRIM(AE22))=0</formula>
    </cfRule>
  </conditionalFormatting>
  <conditionalFormatting sqref="AE37 AE28 AE30:AE31 AE33:AE35 AE22:AE26">
    <cfRule type="containsBlanks" dxfId="61" priority="17">
      <formula>LEN(TRIM(AE22))=0</formula>
    </cfRule>
  </conditionalFormatting>
  <conditionalFormatting sqref="AE33:AF33">
    <cfRule type="cellIs" dxfId="60" priority="16" operator="between">
      <formula>0</formula>
      <formula>1000</formula>
    </cfRule>
  </conditionalFormatting>
  <conditionalFormatting sqref="AE33:AF37 AE26 AE28 AE30:AE31 AE22:AF25">
    <cfRule type="containsBlanks" dxfId="59" priority="15">
      <formula>LEN(TRIM(AE22))=0</formula>
    </cfRule>
  </conditionalFormatting>
  <conditionalFormatting sqref="K6:M6">
    <cfRule type="containsBlanks" dxfId="58" priority="14">
      <formula>LEN(TRIM(K6))=0</formula>
    </cfRule>
  </conditionalFormatting>
  <conditionalFormatting sqref="K7:K8">
    <cfRule type="containsBlanks" dxfId="57" priority="13">
      <formula>LEN(TRIM(K7))=0</formula>
    </cfRule>
  </conditionalFormatting>
  <conditionalFormatting sqref="B6:B10">
    <cfRule type="containsBlanks" dxfId="56" priority="12">
      <formula>LEN(TRIM(B6))=0</formula>
    </cfRule>
  </conditionalFormatting>
  <conditionalFormatting sqref="B12:B13">
    <cfRule type="containsBlanks" dxfId="55" priority="11">
      <formula>LEN(TRIM(B12))=0</formula>
    </cfRule>
  </conditionalFormatting>
  <conditionalFormatting sqref="E20:H24">
    <cfRule type="containsBlanks" dxfId="54" priority="10">
      <formula>LEN(TRIM(E20))=0</formula>
    </cfRule>
  </conditionalFormatting>
  <conditionalFormatting sqref="E28:H33">
    <cfRule type="containsBlanks" dxfId="53" priority="9">
      <formula>LEN(TRIM(E28))=0</formula>
    </cfRule>
  </conditionalFormatting>
  <conditionalFormatting sqref="Q20:S26">
    <cfRule type="containsBlanks" dxfId="52" priority="7">
      <formula>LEN(TRIM(Q20))=0</formula>
    </cfRule>
    <cfRule type="containsBlanks" dxfId="51" priority="8">
      <formula>LEN(TRIM(Q20))=0</formula>
    </cfRule>
  </conditionalFormatting>
  <conditionalFormatting sqref="Q34:S39">
    <cfRule type="containsBlanks" dxfId="50" priority="6">
      <formula>LEN(TRIM(Q34))=0</formula>
    </cfRule>
  </conditionalFormatting>
  <conditionalFormatting sqref="Q42:S46">
    <cfRule type="containsBlanks" dxfId="49" priority="5">
      <formula>LEN(TRIM(Q42))=0</formula>
    </cfRule>
  </conditionalFormatting>
  <conditionalFormatting sqref="D13">
    <cfRule type="containsBlanks" dxfId="48" priority="2">
      <formula>LEN(TRIM(D13))=0</formula>
    </cfRule>
  </conditionalFormatting>
  <conditionalFormatting sqref="D13">
    <cfRule type="containsBlanks" dxfId="47" priority="1">
      <formula>LEN(TRIM(D13))=0</formula>
    </cfRule>
  </conditionalFormatting>
  <dataValidations count="5">
    <dataValidation type="list" allowBlank="1" showInputMessage="1" showErrorMessage="1" sqref="D12:E12" xr:uid="{00000000-0002-0000-3A00-000000000000}">
      <formula1>$B$87:$B$94</formula1>
    </dataValidation>
    <dataValidation type="list" allowBlank="1" showInputMessage="1" showErrorMessage="1" sqref="CP70" xr:uid="{00000000-0002-0000-3A00-000001000000}">
      <formula1>$BA$3:$BA$5</formula1>
    </dataValidation>
    <dataValidation type="list" allowBlank="1" showInputMessage="1" showErrorMessage="1" sqref="M19" xr:uid="{00000000-0002-0000-3A00-000002000000}">
      <formula1>$AX$3:$AX$5</formula1>
    </dataValidation>
    <dataValidation type="list" allowBlank="1" showInputMessage="1" showErrorMessage="1" sqref="M21" xr:uid="{00000000-0002-0000-3A00-000003000000}">
      <formula1>$AX$3:$AX$4</formula1>
    </dataValidation>
    <dataValidation type="list" allowBlank="1" showInputMessage="1" showErrorMessage="1" sqref="L25" xr:uid="{00000000-0002-0000-3A00-000004000000}">
      <formula1>$D$101:$D$104</formula1>
    </dataValidation>
  </dataValidations>
  <hyperlinks>
    <hyperlink ref="D8" r:id="rId1" xr:uid="{00000000-0004-0000-3A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97633"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97634"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97635"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97636"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97637"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97638"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97639"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97640"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97641"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97642"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Hoja100">
    <tabColor rgb="FFFFFF00"/>
  </sheetPr>
  <dimension ref="A1:CP153"/>
  <sheetViews>
    <sheetView view="pageBreakPreview" topLeftCell="O42" zoomScale="55" zoomScaleNormal="100" zoomScaleSheetLayoutView="55" workbookViewId="0">
      <selection activeCell="Q13" sqref="Q13:AH13"/>
    </sheetView>
  </sheetViews>
  <sheetFormatPr baseColWidth="10" defaultRowHeight="15" x14ac:dyDescent="0.25"/>
  <cols>
    <col min="1" max="1" width="0.7109375" style="42" customWidth="1"/>
    <col min="2" max="2" width="34.42578125" style="42" customWidth="1"/>
    <col min="3" max="3" width="20" style="42" customWidth="1"/>
    <col min="4" max="4" width="15.28515625" style="42" customWidth="1"/>
    <col min="5" max="8" width="23.7109375" style="42" customWidth="1"/>
    <col min="9" max="9" width="14.7109375" style="42" customWidth="1"/>
    <col min="10" max="10" width="35.85546875" style="42" customWidth="1"/>
    <col min="11" max="11" width="35.140625" style="42" customWidth="1"/>
    <col min="12" max="12" width="16.42578125" style="42" customWidth="1"/>
    <col min="13" max="13" width="23.85546875" style="42" customWidth="1"/>
    <col min="14" max="14" width="0.7109375" style="42" customWidth="1"/>
    <col min="15" max="15" width="30.5703125" style="42" customWidth="1"/>
    <col min="16" max="16" width="20" style="42" customWidth="1"/>
    <col min="17" max="19" width="21.7109375" style="42" customWidth="1"/>
    <col min="20" max="20" width="1.28515625" style="42" customWidth="1"/>
    <col min="21" max="22" width="23.7109375" style="42" customWidth="1"/>
    <col min="23" max="23" width="17" style="42" customWidth="1"/>
    <col min="24" max="25" width="3" style="42" customWidth="1"/>
    <col min="26" max="26" width="15.7109375" style="42" customWidth="1"/>
    <col min="27" max="27" width="6.85546875" style="42" customWidth="1"/>
    <col min="28" max="28" width="11.28515625" style="42" customWidth="1"/>
    <col min="29" max="29" width="15.7109375" style="42" customWidth="1"/>
    <col min="30" max="31" width="4.85546875" style="42" customWidth="1"/>
    <col min="32" max="32" width="15.7109375" style="42" customWidth="1"/>
    <col min="33" max="33" width="16.28515625" style="42" customWidth="1"/>
    <col min="34" max="34" width="14.7109375" style="42" customWidth="1"/>
    <col min="35" max="36" width="18.85546875" style="42" customWidth="1"/>
    <col min="37" max="43" width="25.5703125" style="42" customWidth="1"/>
    <col min="44" max="49" width="11.42578125" style="42"/>
    <col min="50" max="50" width="32" style="42" customWidth="1"/>
    <col min="51" max="51" width="19.5703125" style="42" customWidth="1"/>
    <col min="52" max="52" width="38.85546875" style="42" customWidth="1"/>
    <col min="53" max="53" width="11.42578125" style="42"/>
    <col min="54" max="54" width="16" style="42" customWidth="1"/>
    <col min="55" max="16384" width="11.42578125" style="42"/>
  </cols>
  <sheetData>
    <row r="1" spans="1:57" s="22" customFormat="1" ht="20.25" customHeight="1" x14ac:dyDescent="0.25">
      <c r="A1" s="95"/>
      <c r="B1" s="502"/>
      <c r="C1" s="502"/>
      <c r="D1" s="502"/>
      <c r="E1" s="505" t="s">
        <v>51</v>
      </c>
      <c r="F1" s="502"/>
      <c r="G1" s="502"/>
      <c r="H1" s="502"/>
      <c r="I1" s="502"/>
      <c r="J1" s="502"/>
      <c r="K1" s="506"/>
      <c r="L1" s="507" t="s">
        <v>173</v>
      </c>
      <c r="M1" s="508"/>
      <c r="N1" s="189"/>
      <c r="O1" s="502"/>
      <c r="P1" s="502"/>
      <c r="Q1" s="506"/>
      <c r="R1" s="502" t="str">
        <f>E1</f>
        <v>INFORME DE RESULTADOS</v>
      </c>
      <c r="S1" s="502"/>
      <c r="T1" s="502"/>
      <c r="U1" s="502"/>
      <c r="V1" s="502"/>
      <c r="W1" s="502"/>
      <c r="X1" s="502"/>
      <c r="Y1" s="502"/>
      <c r="Z1" s="502"/>
      <c r="AA1" s="502"/>
      <c r="AB1" s="502"/>
      <c r="AC1" s="502"/>
      <c r="AD1" s="502"/>
      <c r="AE1" s="506"/>
      <c r="AF1" s="507" t="s">
        <v>175</v>
      </c>
      <c r="AG1" s="511"/>
      <c r="AH1" s="508"/>
      <c r="AK1" s="22" t="s">
        <v>160</v>
      </c>
      <c r="AS1" s="24"/>
      <c r="AT1" s="24"/>
      <c r="AU1" s="24"/>
      <c r="AV1" s="24" t="s">
        <v>77</v>
      </c>
      <c r="AW1" s="22" t="s">
        <v>45</v>
      </c>
      <c r="AX1" s="24" t="s">
        <v>82</v>
      </c>
      <c r="AY1" s="24" t="s">
        <v>85</v>
      </c>
      <c r="AZ1" s="24" t="s">
        <v>88</v>
      </c>
      <c r="BA1" s="24"/>
      <c r="BB1" s="24"/>
      <c r="BC1" s="24"/>
    </row>
    <row r="2" spans="1:57" s="22" customFormat="1" ht="20.25" customHeight="1" x14ac:dyDescent="0.25">
      <c r="A2" s="90"/>
      <c r="B2" s="503"/>
      <c r="C2" s="503"/>
      <c r="D2" s="503"/>
      <c r="E2" s="512" t="s">
        <v>188</v>
      </c>
      <c r="F2" s="513"/>
      <c r="G2" s="513"/>
      <c r="H2" s="513"/>
      <c r="I2" s="513"/>
      <c r="J2" s="513"/>
      <c r="K2" s="514"/>
      <c r="L2" s="488" t="s">
        <v>206</v>
      </c>
      <c r="M2" s="489"/>
      <c r="N2" s="190"/>
      <c r="O2" s="503"/>
      <c r="P2" s="503"/>
      <c r="Q2" s="509"/>
      <c r="R2" s="513" t="s">
        <v>50</v>
      </c>
      <c r="S2" s="513"/>
      <c r="T2" s="513"/>
      <c r="U2" s="513"/>
      <c r="V2" s="513"/>
      <c r="W2" s="513"/>
      <c r="X2" s="513"/>
      <c r="Y2" s="513"/>
      <c r="Z2" s="513"/>
      <c r="AA2" s="513"/>
      <c r="AB2" s="513"/>
      <c r="AC2" s="513"/>
      <c r="AD2" s="513"/>
      <c r="AE2" s="514"/>
      <c r="AF2" s="488" t="s">
        <v>206</v>
      </c>
      <c r="AG2" s="518"/>
      <c r="AH2" s="489"/>
      <c r="AS2" s="24"/>
      <c r="AT2" s="24"/>
      <c r="AU2" s="24"/>
      <c r="AV2" s="24"/>
      <c r="AX2" s="24"/>
      <c r="AY2" s="24"/>
      <c r="AZ2" s="24"/>
      <c r="BA2" s="24"/>
      <c r="BB2" s="24"/>
      <c r="BC2" s="24"/>
    </row>
    <row r="3" spans="1:57" s="22" customFormat="1" ht="20.25" customHeight="1" x14ac:dyDescent="0.25">
      <c r="A3" s="90"/>
      <c r="B3" s="503"/>
      <c r="C3" s="503"/>
      <c r="D3" s="503"/>
      <c r="E3" s="512"/>
      <c r="F3" s="513"/>
      <c r="G3" s="513"/>
      <c r="H3" s="513"/>
      <c r="I3" s="513"/>
      <c r="J3" s="513"/>
      <c r="K3" s="514"/>
      <c r="L3" s="488" t="s">
        <v>0</v>
      </c>
      <c r="M3" s="489" t="s">
        <v>0</v>
      </c>
      <c r="N3" s="190"/>
      <c r="O3" s="503"/>
      <c r="P3" s="503"/>
      <c r="Q3" s="509"/>
      <c r="R3" s="513"/>
      <c r="S3" s="513"/>
      <c r="T3" s="513"/>
      <c r="U3" s="513"/>
      <c r="V3" s="513"/>
      <c r="W3" s="513"/>
      <c r="X3" s="513"/>
      <c r="Y3" s="513"/>
      <c r="Z3" s="513"/>
      <c r="AA3" s="513"/>
      <c r="AB3" s="513"/>
      <c r="AC3" s="513"/>
      <c r="AD3" s="513"/>
      <c r="AE3" s="514"/>
      <c r="AF3" s="199"/>
      <c r="AG3" s="200" t="s">
        <v>0</v>
      </c>
      <c r="AH3" s="201"/>
      <c r="AR3" s="46" t="s">
        <v>52</v>
      </c>
      <c r="AS3" s="46"/>
      <c r="AT3" s="46"/>
      <c r="AU3" s="46"/>
      <c r="AV3" s="24" t="s">
        <v>78</v>
      </c>
      <c r="AW3" s="24" t="s">
        <v>81</v>
      </c>
      <c r="AX3" s="24" t="s">
        <v>84</v>
      </c>
      <c r="AY3" s="47" t="s">
        <v>86</v>
      </c>
      <c r="AZ3" s="25" t="s">
        <v>89</v>
      </c>
      <c r="BA3" s="24"/>
      <c r="BB3" s="24"/>
      <c r="BC3" s="24"/>
    </row>
    <row r="4" spans="1:57" s="22" customFormat="1" ht="20.25" customHeight="1" thickBot="1" x14ac:dyDescent="0.3">
      <c r="A4" s="96"/>
      <c r="B4" s="504"/>
      <c r="C4" s="504"/>
      <c r="D4" s="504"/>
      <c r="E4" s="515"/>
      <c r="F4" s="516"/>
      <c r="G4" s="516"/>
      <c r="H4" s="516"/>
      <c r="I4" s="516"/>
      <c r="J4" s="516"/>
      <c r="K4" s="517"/>
      <c r="L4" s="490" t="s">
        <v>205</v>
      </c>
      <c r="M4" s="491"/>
      <c r="N4" s="191"/>
      <c r="O4" s="504"/>
      <c r="P4" s="504"/>
      <c r="Q4" s="510"/>
      <c r="R4" s="516"/>
      <c r="S4" s="516"/>
      <c r="T4" s="516"/>
      <c r="U4" s="516"/>
      <c r="V4" s="516"/>
      <c r="W4" s="516"/>
      <c r="X4" s="516"/>
      <c r="Y4" s="516"/>
      <c r="Z4" s="516"/>
      <c r="AA4" s="516"/>
      <c r="AB4" s="516"/>
      <c r="AC4" s="516"/>
      <c r="AD4" s="516"/>
      <c r="AE4" s="517"/>
      <c r="AF4" s="490" t="s">
        <v>205</v>
      </c>
      <c r="AG4" s="492"/>
      <c r="AH4" s="491"/>
      <c r="AR4" s="46"/>
      <c r="AS4" s="46"/>
      <c r="AT4" s="46"/>
      <c r="AU4" s="46"/>
      <c r="AV4" s="24" t="s">
        <v>79</v>
      </c>
      <c r="AW4" s="24" t="s">
        <v>80</v>
      </c>
      <c r="AX4" s="24" t="s">
        <v>83</v>
      </c>
      <c r="AY4" s="47" t="s">
        <v>87</v>
      </c>
      <c r="AZ4" s="25" t="s">
        <v>44</v>
      </c>
      <c r="BA4" s="24"/>
      <c r="BB4" s="24"/>
      <c r="BC4" s="24"/>
    </row>
    <row r="5" spans="1:57" s="22" customFormat="1" ht="3.95" customHeight="1" thickBot="1" x14ac:dyDescent="0.3">
      <c r="A5" s="90"/>
      <c r="B5" s="493"/>
      <c r="C5" s="493"/>
      <c r="D5" s="493"/>
      <c r="E5" s="493"/>
      <c r="F5" s="493"/>
      <c r="G5" s="493"/>
      <c r="H5" s="493"/>
      <c r="I5" s="493"/>
      <c r="J5" s="493"/>
      <c r="K5" s="493"/>
      <c r="L5" s="493"/>
      <c r="M5" s="30"/>
      <c r="N5" s="90"/>
      <c r="O5" s="493"/>
      <c r="P5" s="493"/>
      <c r="Q5" s="493"/>
      <c r="R5" s="494"/>
      <c r="S5" s="494"/>
      <c r="T5" s="494"/>
      <c r="U5" s="494"/>
      <c r="V5" s="494"/>
      <c r="W5" s="494"/>
      <c r="X5" s="494"/>
      <c r="Y5" s="494"/>
      <c r="Z5" s="494"/>
      <c r="AA5" s="494"/>
      <c r="AB5" s="494"/>
      <c r="AC5" s="494"/>
      <c r="AD5" s="494"/>
      <c r="AE5" s="494"/>
      <c r="AF5" s="494"/>
      <c r="AG5" s="494"/>
      <c r="AH5" s="495"/>
      <c r="AI5" s="79"/>
      <c r="AJ5" s="79"/>
      <c r="AK5" s="79"/>
      <c r="AL5" s="79"/>
      <c r="AM5" s="79"/>
      <c r="AN5" s="79"/>
      <c r="AO5" s="79"/>
      <c r="AP5" s="79"/>
      <c r="AQ5" s="79"/>
      <c r="AT5" s="46"/>
      <c r="AU5" s="46"/>
      <c r="AV5" s="46"/>
      <c r="AW5" s="46"/>
      <c r="AX5" s="24"/>
      <c r="AY5" s="24"/>
      <c r="AZ5" s="24"/>
      <c r="BA5" s="47"/>
      <c r="BB5" s="25" t="s">
        <v>90</v>
      </c>
      <c r="BC5" s="24"/>
      <c r="BD5" s="24"/>
      <c r="BE5" s="24"/>
    </row>
    <row r="6" spans="1:57" s="22" customFormat="1" ht="22.5" customHeight="1" x14ac:dyDescent="0.25">
      <c r="A6" s="95"/>
      <c r="B6" s="769" t="s">
        <v>1</v>
      </c>
      <c r="C6" s="769"/>
      <c r="D6" s="497" t="s">
        <v>208</v>
      </c>
      <c r="E6" s="497"/>
      <c r="F6" s="497"/>
      <c r="G6" s="497"/>
      <c r="H6" s="497"/>
      <c r="I6" s="498" t="s">
        <v>53</v>
      </c>
      <c r="J6" s="498"/>
      <c r="K6" s="499">
        <v>45884</v>
      </c>
      <c r="L6" s="499"/>
      <c r="M6" s="500"/>
      <c r="N6" s="88"/>
      <c r="O6" s="501" t="str">
        <f>B6</f>
        <v>CLIENTE:</v>
      </c>
      <c r="P6" s="501"/>
      <c r="Q6" s="519" t="str">
        <f>+D6</f>
        <v>Consorcio constructor nueva malla vial del valle</v>
      </c>
      <c r="R6" s="519"/>
      <c r="S6" s="519"/>
      <c r="T6" s="519"/>
      <c r="U6" s="519"/>
      <c r="V6" s="519"/>
      <c r="W6" s="520" t="str">
        <f>I6</f>
        <v>FECHA DE RECEPCIÓN:</v>
      </c>
      <c r="X6" s="520"/>
      <c r="Y6" s="520"/>
      <c r="Z6" s="520"/>
      <c r="AA6" s="520"/>
      <c r="AB6" s="521">
        <f>K6</f>
        <v>45884</v>
      </c>
      <c r="AC6" s="521"/>
      <c r="AD6" s="521"/>
      <c r="AE6" s="521"/>
      <c r="AF6" s="521"/>
      <c r="AG6" s="87"/>
      <c r="AH6" s="21"/>
      <c r="AR6" s="24"/>
      <c r="AS6" s="24"/>
      <c r="AT6" s="24"/>
      <c r="AV6" s="24"/>
      <c r="AW6" s="24"/>
      <c r="AX6" s="24"/>
      <c r="AY6" s="25"/>
      <c r="AZ6" s="24"/>
      <c r="BA6" s="24"/>
      <c r="BB6" s="24"/>
      <c r="BE6" s="23" t="s">
        <v>54</v>
      </c>
    </row>
    <row r="7" spans="1:57" s="22" customFormat="1" ht="26.25" customHeight="1" x14ac:dyDescent="0.25">
      <c r="A7" s="90"/>
      <c r="B7" s="768" t="s">
        <v>2</v>
      </c>
      <c r="C7" s="768"/>
      <c r="D7" s="479" t="s">
        <v>209</v>
      </c>
      <c r="E7" s="479"/>
      <c r="F7" s="479"/>
      <c r="G7" s="479"/>
      <c r="H7" s="479"/>
      <c r="I7" s="523" t="s">
        <v>55</v>
      </c>
      <c r="J7" s="523"/>
      <c r="K7" s="524">
        <v>45944</v>
      </c>
      <c r="L7" s="524"/>
      <c r="M7" s="525"/>
      <c r="N7" s="89"/>
      <c r="O7" s="526" t="str">
        <f>B7</f>
        <v>PROYECTO:</v>
      </c>
      <c r="P7" s="526"/>
      <c r="Q7" s="527" t="str">
        <f>D7</f>
        <v>Exploración geotécnica sectores paraderos y puentes peatonales Cali</v>
      </c>
      <c r="R7" s="527"/>
      <c r="S7" s="527"/>
      <c r="T7" s="527"/>
      <c r="U7" s="527"/>
      <c r="V7" s="527"/>
      <c r="W7" s="528" t="str">
        <f>I7</f>
        <v xml:space="preserve">FECHA DE EJECUCIÓN: </v>
      </c>
      <c r="X7" s="528"/>
      <c r="Y7" s="528"/>
      <c r="Z7" s="528"/>
      <c r="AA7" s="528"/>
      <c r="AB7" s="529">
        <f>K7</f>
        <v>45944</v>
      </c>
      <c r="AC7" s="529"/>
      <c r="AD7" s="529"/>
      <c r="AE7" s="529"/>
      <c r="AF7" s="529"/>
      <c r="AG7" s="211"/>
      <c r="AH7" s="26"/>
      <c r="AR7" s="24"/>
      <c r="AS7" s="24"/>
      <c r="AT7" s="24"/>
      <c r="AU7" s="24"/>
      <c r="AV7" s="24"/>
      <c r="AW7" s="24"/>
      <c r="AX7" s="24"/>
      <c r="AY7" s="24"/>
      <c r="AZ7" s="24"/>
      <c r="BA7" s="24"/>
      <c r="BB7" s="24"/>
      <c r="BE7" s="23" t="s">
        <v>56</v>
      </c>
    </row>
    <row r="8" spans="1:57" s="22" customFormat="1" ht="22.5" customHeight="1" x14ac:dyDescent="0.25">
      <c r="A8" s="90"/>
      <c r="B8" s="768" t="s">
        <v>57</v>
      </c>
      <c r="C8" s="768"/>
      <c r="D8" s="530" t="s">
        <v>210</v>
      </c>
      <c r="E8" s="482"/>
      <c r="F8" s="482"/>
      <c r="G8" s="482"/>
      <c r="H8" s="482"/>
      <c r="I8" s="523" t="s">
        <v>58</v>
      </c>
      <c r="J8" s="523"/>
      <c r="K8" s="524">
        <v>45937</v>
      </c>
      <c r="L8" s="524"/>
      <c r="M8" s="525"/>
      <c r="N8" s="89"/>
      <c r="O8" s="526" t="str">
        <f>B8</f>
        <v>CORREO ELECTRÓNICO:</v>
      </c>
      <c r="P8" s="526"/>
      <c r="Q8" s="531" t="str">
        <f>D8</f>
        <v>GERENCIA.DCMING@GMAIL.COM</v>
      </c>
      <c r="R8" s="531"/>
      <c r="S8" s="531"/>
      <c r="T8" s="531"/>
      <c r="U8" s="531"/>
      <c r="V8" s="531"/>
      <c r="W8" s="528" t="str">
        <f>I8</f>
        <v>FECHA DE EMISIÓN:</v>
      </c>
      <c r="X8" s="528"/>
      <c r="Y8" s="528"/>
      <c r="Z8" s="528"/>
      <c r="AA8" s="528"/>
      <c r="AB8" s="529">
        <f>K8</f>
        <v>45937</v>
      </c>
      <c r="AC8" s="529"/>
      <c r="AD8" s="529"/>
      <c r="AE8" s="529"/>
      <c r="AF8" s="529"/>
      <c r="AG8" s="211"/>
      <c r="AH8" s="26"/>
      <c r="AR8" s="24"/>
      <c r="AS8" s="24"/>
      <c r="AT8" s="24"/>
      <c r="AU8" s="24"/>
      <c r="AV8" s="22">
        <f>17-2.57</f>
        <v>14.43</v>
      </c>
      <c r="AW8" s="24"/>
      <c r="AX8" s="24"/>
      <c r="AY8" s="24"/>
      <c r="AZ8" s="24"/>
      <c r="BA8" s="24"/>
      <c r="BB8" s="24"/>
      <c r="BE8" s="23" t="s">
        <v>59</v>
      </c>
    </row>
    <row r="9" spans="1:57" s="22" customFormat="1" ht="22.5" customHeight="1" x14ac:dyDescent="0.25">
      <c r="A9" s="90"/>
      <c r="B9" s="768" t="s">
        <v>60</v>
      </c>
      <c r="C9" s="768"/>
      <c r="D9" s="482" t="s">
        <v>211</v>
      </c>
      <c r="E9" s="482"/>
      <c r="F9" s="482"/>
      <c r="G9" s="482"/>
      <c r="H9" s="482"/>
      <c r="I9" s="523" t="s">
        <v>61</v>
      </c>
      <c r="J9" s="523"/>
      <c r="K9" s="27" t="s">
        <v>62</v>
      </c>
      <c r="L9" s="28" t="s">
        <v>219</v>
      </c>
      <c r="M9" s="97" t="s">
        <v>195</v>
      </c>
      <c r="N9" s="89"/>
      <c r="O9" s="526" t="str">
        <f>B9</f>
        <v>LOCALIZACIÓN:</v>
      </c>
      <c r="P9" s="526"/>
      <c r="Q9" s="531" t="str">
        <f>D9</f>
        <v>Cali</v>
      </c>
      <c r="R9" s="531"/>
      <c r="S9" s="531"/>
      <c r="T9" s="531"/>
      <c r="U9" s="531"/>
      <c r="V9" s="531"/>
      <c r="W9" s="528" t="str">
        <f>I9</f>
        <v xml:space="preserve">ORDEN INTERNA: </v>
      </c>
      <c r="X9" s="528"/>
      <c r="Y9" s="528"/>
      <c r="Z9" s="528"/>
      <c r="AA9" s="528"/>
      <c r="AB9" s="222" t="s">
        <v>62</v>
      </c>
      <c r="AC9" s="241" t="s">
        <v>219</v>
      </c>
      <c r="AD9" s="241" t="s">
        <v>6</v>
      </c>
      <c r="AE9" s="532" t="s">
        <v>195</v>
      </c>
      <c r="AF9" s="532"/>
      <c r="AG9" s="212"/>
      <c r="AH9" s="26"/>
      <c r="AR9" s="24"/>
      <c r="AS9" s="24"/>
      <c r="AT9" s="24"/>
      <c r="AU9" s="24"/>
      <c r="AV9" s="24"/>
      <c r="AW9" s="24"/>
      <c r="AX9" s="24"/>
      <c r="AY9" s="24"/>
      <c r="AZ9" s="24"/>
      <c r="BA9" s="24"/>
      <c r="BB9" s="24"/>
      <c r="BE9" s="23" t="s">
        <v>63</v>
      </c>
    </row>
    <row r="10" spans="1:57" s="22" customFormat="1" ht="22.5" customHeight="1" thickBot="1" x14ac:dyDescent="0.3">
      <c r="A10" s="90"/>
      <c r="B10" s="771" t="s">
        <v>64</v>
      </c>
      <c r="C10" s="771"/>
      <c r="D10" s="482" t="s">
        <v>184</v>
      </c>
      <c r="E10" s="482"/>
      <c r="F10" s="482"/>
      <c r="G10" s="482"/>
      <c r="H10" s="482"/>
      <c r="I10" s="535" t="s">
        <v>65</v>
      </c>
      <c r="J10" s="535"/>
      <c r="K10" s="536" t="str">
        <f>CONCATENATE(L9,," ",M9,"-",F12,,"-",H12)</f>
        <v>056 25-UNIVALLE AP4-2</v>
      </c>
      <c r="L10" s="536"/>
      <c r="M10" s="537"/>
      <c r="N10" s="80"/>
      <c r="O10" s="538" t="str">
        <f>B10</f>
        <v>MUESTRA TOMADA POR:</v>
      </c>
      <c r="P10" s="538"/>
      <c r="Q10" s="539" t="str">
        <f>D10</f>
        <v>CLIENTE</v>
      </c>
      <c r="R10" s="539"/>
      <c r="S10" s="539"/>
      <c r="T10" s="539"/>
      <c r="U10" s="539"/>
      <c r="V10" s="539"/>
      <c r="W10" s="540" t="str">
        <f>I10</f>
        <v>INFORME ID No:</v>
      </c>
      <c r="X10" s="540"/>
      <c r="Y10" s="540"/>
      <c r="Z10" s="540"/>
      <c r="AA10" s="540"/>
      <c r="AB10" s="539" t="str">
        <f>CONCATENATE(L9,," ",M9,"-",F12,,"-",H12)</f>
        <v>056 25-UNIVALLE AP4-2</v>
      </c>
      <c r="AC10" s="539"/>
      <c r="AD10" s="539"/>
      <c r="AE10" s="539"/>
      <c r="AF10" s="539"/>
      <c r="AG10" s="29"/>
      <c r="AH10" s="30"/>
      <c r="AR10" s="24"/>
      <c r="AS10" s="24"/>
      <c r="AT10" s="24"/>
      <c r="AU10" s="24"/>
      <c r="AV10" s="24"/>
      <c r="AW10" s="24"/>
      <c r="AX10" s="24"/>
      <c r="AY10" s="24"/>
      <c r="AZ10" s="24"/>
      <c r="BA10" s="24"/>
      <c r="BB10" s="24"/>
      <c r="BE10" s="23" t="s">
        <v>66</v>
      </c>
    </row>
    <row r="11" spans="1:57" s="22" customFormat="1" ht="3.95" customHeight="1" thickBot="1" x14ac:dyDescent="0.3">
      <c r="A11" s="96"/>
      <c r="B11" s="542"/>
      <c r="C11" s="542"/>
      <c r="D11" s="542"/>
      <c r="E11" s="542"/>
      <c r="F11" s="542"/>
      <c r="G11" s="542"/>
      <c r="H11" s="542"/>
      <c r="I11" s="542"/>
      <c r="J11" s="542"/>
      <c r="K11" s="542"/>
      <c r="L11" s="542"/>
      <c r="M11" s="98"/>
      <c r="N11" s="90"/>
      <c r="O11" s="543"/>
      <c r="P11" s="543"/>
      <c r="Q11" s="543"/>
      <c r="R11" s="543"/>
      <c r="S11" s="543"/>
      <c r="T11" s="543"/>
      <c r="U11" s="543"/>
      <c r="V11" s="543"/>
      <c r="W11" s="543"/>
      <c r="X11" s="543"/>
      <c r="Y11" s="543"/>
      <c r="Z11" s="543"/>
      <c r="AA11" s="543"/>
      <c r="AB11" s="543"/>
      <c r="AC11" s="543"/>
      <c r="AD11" s="543"/>
      <c r="AE11" s="543"/>
      <c r="AF11" s="543"/>
      <c r="AG11" s="543"/>
      <c r="AH11" s="544"/>
      <c r="AI11" s="79"/>
      <c r="AT11" s="23"/>
      <c r="AU11" s="24"/>
      <c r="AV11" s="24"/>
      <c r="AW11" s="24"/>
      <c r="AX11" s="24"/>
      <c r="AY11" s="24"/>
      <c r="AZ11" s="24"/>
      <c r="BA11" s="24"/>
      <c r="BB11" s="24"/>
      <c r="BC11" s="24"/>
      <c r="BD11" s="24"/>
      <c r="BE11" s="24"/>
    </row>
    <row r="12" spans="1:57" s="22" customFormat="1" ht="22.5" customHeight="1" x14ac:dyDescent="0.25">
      <c r="A12" s="95"/>
      <c r="B12" s="769" t="s">
        <v>3</v>
      </c>
      <c r="C12" s="769"/>
      <c r="D12" s="545" t="s">
        <v>234</v>
      </c>
      <c r="E12" s="545"/>
      <c r="F12" s="145" t="s">
        <v>327</v>
      </c>
      <c r="G12" s="31" t="s">
        <v>4</v>
      </c>
      <c r="H12" s="146">
        <v>2</v>
      </c>
      <c r="I12" s="546" t="s">
        <v>5</v>
      </c>
      <c r="J12" s="546"/>
      <c r="K12" s="209">
        <v>0.4</v>
      </c>
      <c r="L12" s="32" t="s">
        <v>6</v>
      </c>
      <c r="M12" s="147" t="s">
        <v>318</v>
      </c>
      <c r="N12" s="78"/>
      <c r="O12" s="501" t="s">
        <v>3</v>
      </c>
      <c r="P12" s="501"/>
      <c r="Q12" s="225" t="s">
        <v>234</v>
      </c>
      <c r="R12" s="224" t="s">
        <v>324</v>
      </c>
      <c r="S12" s="224"/>
      <c r="T12" s="502" t="s">
        <v>4</v>
      </c>
      <c r="U12" s="502"/>
      <c r="V12" s="33"/>
      <c r="W12" s="547" t="s">
        <v>5</v>
      </c>
      <c r="X12" s="547"/>
      <c r="Y12" s="547"/>
      <c r="Z12" s="547"/>
      <c r="AA12" s="547"/>
      <c r="AB12" s="547"/>
      <c r="AC12" s="34" t="s">
        <v>325</v>
      </c>
      <c r="AD12" s="548" t="s">
        <v>6</v>
      </c>
      <c r="AE12" s="548"/>
      <c r="AF12" s="35" t="str">
        <f>+M12</f>
        <v>1,20m</v>
      </c>
      <c r="AG12" s="37"/>
      <c r="AH12" s="21"/>
      <c r="AT12" s="23"/>
      <c r="AU12" s="24"/>
      <c r="AV12" s="24"/>
      <c r="AW12" s="24"/>
      <c r="AX12" s="24"/>
      <c r="AY12" s="24"/>
      <c r="AZ12" s="24"/>
      <c r="BA12" s="24"/>
      <c r="BB12" s="24"/>
      <c r="BC12" s="24"/>
      <c r="BD12" s="24"/>
      <c r="BE12" s="24"/>
    </row>
    <row r="13" spans="1:57" s="22" customFormat="1" ht="22.5" customHeight="1" x14ac:dyDescent="0.25">
      <c r="A13" s="90"/>
      <c r="B13" s="768" t="s">
        <v>130</v>
      </c>
      <c r="C13" s="768"/>
      <c r="D13" s="791" t="s">
        <v>326</v>
      </c>
      <c r="E13" s="791"/>
      <c r="F13" s="791"/>
      <c r="G13" s="791"/>
      <c r="H13" s="791"/>
      <c r="I13" s="791"/>
      <c r="J13" s="791"/>
      <c r="K13" s="791"/>
      <c r="L13" s="791"/>
      <c r="M13" s="791"/>
      <c r="N13" s="188"/>
      <c r="O13" s="526" t="s">
        <v>130</v>
      </c>
      <c r="P13" s="526"/>
      <c r="Q13" s="527" t="str">
        <f>D13</f>
        <v>LIMO DE ALTA PLASTICIDAD COLOR MARRÓN CONSISTENCIA DURA, EN CONDICIÓN HÚMEDA.</v>
      </c>
      <c r="R13" s="527"/>
      <c r="S13" s="527"/>
      <c r="T13" s="527"/>
      <c r="U13" s="527"/>
      <c r="V13" s="527"/>
      <c r="W13" s="527"/>
      <c r="X13" s="527"/>
      <c r="Y13" s="527"/>
      <c r="Z13" s="527"/>
      <c r="AA13" s="527"/>
      <c r="AB13" s="527"/>
      <c r="AC13" s="527"/>
      <c r="AD13" s="527"/>
      <c r="AE13" s="527"/>
      <c r="AF13" s="527"/>
      <c r="AG13" s="527"/>
      <c r="AH13" s="553"/>
      <c r="AI13" s="79"/>
      <c r="AT13" s="23"/>
      <c r="AU13" s="24"/>
      <c r="AV13" s="24"/>
      <c r="AW13" s="24"/>
      <c r="AX13" s="24"/>
      <c r="AY13" s="24"/>
      <c r="AZ13" s="24"/>
      <c r="BA13" s="24"/>
      <c r="BB13" s="24"/>
      <c r="BC13" s="24"/>
      <c r="BD13" s="24"/>
      <c r="BE13" s="24"/>
    </row>
    <row r="14" spans="1:57" s="22" customFormat="1" ht="6.95" customHeight="1" thickBot="1" x14ac:dyDescent="0.3">
      <c r="A14" s="96"/>
      <c r="B14" s="48"/>
      <c r="C14" s="48"/>
      <c r="D14" s="99"/>
      <c r="E14" s="99"/>
      <c r="F14" s="99"/>
      <c r="G14" s="99"/>
      <c r="H14" s="99"/>
      <c r="I14" s="99"/>
      <c r="J14" s="99"/>
      <c r="K14" s="99"/>
      <c r="L14" s="99"/>
      <c r="M14" s="100"/>
      <c r="N14" s="80"/>
      <c r="O14" s="81"/>
      <c r="P14" s="36"/>
      <c r="Q14" s="29"/>
      <c r="R14" s="29"/>
      <c r="S14" s="29"/>
      <c r="T14" s="29"/>
      <c r="U14" s="29"/>
      <c r="V14" s="29"/>
      <c r="W14" s="29"/>
      <c r="X14" s="29"/>
      <c r="Y14" s="29"/>
      <c r="Z14" s="29"/>
      <c r="AA14" s="29"/>
      <c r="AB14" s="29"/>
      <c r="AC14" s="29"/>
      <c r="AD14" s="29"/>
      <c r="AE14" s="29"/>
      <c r="AF14" s="29"/>
      <c r="AG14" s="29"/>
      <c r="AH14" s="91"/>
      <c r="AI14" s="79"/>
      <c r="AU14" s="24"/>
      <c r="AV14" s="24"/>
      <c r="AW14" s="24"/>
      <c r="AX14" s="24"/>
      <c r="AY14" s="24"/>
      <c r="AZ14" s="24"/>
      <c r="BA14" s="24"/>
      <c r="BB14" s="24"/>
      <c r="BC14" s="24"/>
      <c r="BD14" s="24"/>
      <c r="BE14" s="24"/>
    </row>
    <row r="15" spans="1:57" ht="5.25" customHeight="1" x14ac:dyDescent="0.25">
      <c r="A15" s="554"/>
      <c r="B15" s="555"/>
      <c r="C15" s="555"/>
      <c r="D15" s="555"/>
      <c r="E15" s="555"/>
      <c r="F15" s="555"/>
      <c r="G15" s="555"/>
      <c r="H15" s="555"/>
      <c r="I15" s="555"/>
      <c r="J15" s="555"/>
      <c r="K15" s="555"/>
      <c r="L15" s="555"/>
      <c r="M15" s="556"/>
      <c r="N15" s="103"/>
      <c r="O15" s="174"/>
      <c r="P15" s="174"/>
      <c r="Q15" s="174"/>
      <c r="R15" s="174"/>
      <c r="S15" s="174"/>
      <c r="T15" s="174"/>
      <c r="U15" s="174"/>
      <c r="V15" s="174"/>
      <c r="W15" s="174"/>
      <c r="X15" s="174"/>
      <c r="Y15" s="174"/>
      <c r="Z15" s="174"/>
      <c r="AA15" s="174"/>
      <c r="AB15" s="174"/>
      <c r="AC15" s="174"/>
      <c r="AD15" s="174"/>
      <c r="AE15" s="174"/>
      <c r="AF15" s="174"/>
      <c r="AG15" s="174"/>
      <c r="AH15" s="104"/>
    </row>
    <row r="16" spans="1:57" ht="20.100000000000001" customHeight="1" x14ac:dyDescent="0.35">
      <c r="A16" s="103"/>
      <c r="B16" s="551" t="s">
        <v>93</v>
      </c>
      <c r="C16" s="551"/>
      <c r="D16" s="182"/>
      <c r="E16" s="551" t="s">
        <v>94</v>
      </c>
      <c r="F16" s="551"/>
      <c r="G16" s="174"/>
      <c r="H16" s="174"/>
      <c r="I16" s="179"/>
      <c r="J16" s="179"/>
      <c r="K16" s="179"/>
      <c r="L16" s="179"/>
      <c r="M16" s="102"/>
      <c r="N16" s="103"/>
      <c r="O16" s="549" t="s">
        <v>93</v>
      </c>
      <c r="P16" s="549"/>
      <c r="Q16" s="213"/>
      <c r="R16" s="549" t="s">
        <v>154</v>
      </c>
      <c r="S16" s="549"/>
      <c r="T16" s="549"/>
      <c r="U16" s="549"/>
      <c r="V16" s="174"/>
      <c r="W16" s="549" t="s">
        <v>37</v>
      </c>
      <c r="X16" s="549"/>
      <c r="Y16" s="549"/>
      <c r="Z16" s="549"/>
      <c r="AA16" s="549" t="s">
        <v>39</v>
      </c>
      <c r="AB16" s="549"/>
      <c r="AC16" s="549"/>
      <c r="AD16" s="550" t="s">
        <v>158</v>
      </c>
      <c r="AE16" s="550"/>
      <c r="AF16" s="550"/>
      <c r="AG16" s="550"/>
      <c r="AH16" s="102"/>
    </row>
    <row r="17" spans="1:45" ht="24" customHeight="1" x14ac:dyDescent="0.25">
      <c r="A17" s="103"/>
      <c r="B17" s="551" t="s">
        <v>164</v>
      </c>
      <c r="C17" s="551"/>
      <c r="D17" s="182"/>
      <c r="E17" s="182" t="s">
        <v>76</v>
      </c>
      <c r="F17" s="182" t="s">
        <v>95</v>
      </c>
      <c r="G17" s="174"/>
      <c r="H17" s="174"/>
      <c r="I17" s="174" t="s">
        <v>100</v>
      </c>
      <c r="J17" s="174"/>
      <c r="K17" s="174"/>
      <c r="L17" s="174"/>
      <c r="M17" s="104"/>
      <c r="N17" s="103"/>
      <c r="O17" s="552" t="s">
        <v>166</v>
      </c>
      <c r="P17" s="552"/>
      <c r="Q17" s="213"/>
      <c r="R17" s="549" t="s">
        <v>167</v>
      </c>
      <c r="S17" s="549"/>
      <c r="T17" s="549"/>
      <c r="U17" s="549"/>
      <c r="V17" s="174"/>
      <c r="W17" s="549" t="s">
        <v>38</v>
      </c>
      <c r="X17" s="549"/>
      <c r="Y17" s="549"/>
      <c r="Z17" s="549"/>
      <c r="AA17" s="549" t="s">
        <v>40</v>
      </c>
      <c r="AB17" s="549"/>
      <c r="AC17" s="549"/>
      <c r="AD17" s="549" t="s">
        <v>155</v>
      </c>
      <c r="AE17" s="549"/>
      <c r="AF17" s="549"/>
      <c r="AG17" s="549"/>
      <c r="AH17" s="104"/>
    </row>
    <row r="18" spans="1:45" ht="6" customHeight="1" thickBot="1" x14ac:dyDescent="0.3">
      <c r="A18" s="103"/>
      <c r="B18" s="174"/>
      <c r="C18" s="174"/>
      <c r="D18" s="174"/>
      <c r="E18" s="174"/>
      <c r="F18" s="174"/>
      <c r="G18" s="174"/>
      <c r="H18" s="174"/>
      <c r="I18" s="174"/>
      <c r="J18" s="174"/>
      <c r="K18" s="174"/>
      <c r="L18" s="174"/>
      <c r="M18" s="104"/>
      <c r="N18" s="103"/>
      <c r="O18" s="174"/>
      <c r="P18" s="174"/>
      <c r="Q18" s="174"/>
      <c r="R18" s="174"/>
      <c r="S18" s="174"/>
      <c r="T18" s="174"/>
      <c r="U18" s="174"/>
      <c r="V18" s="174"/>
      <c r="W18" s="174"/>
      <c r="X18" s="174"/>
      <c r="Y18" s="174"/>
      <c r="Z18" s="174"/>
      <c r="AA18" s="174"/>
      <c r="AB18" s="174"/>
      <c r="AC18" s="174"/>
      <c r="AD18" s="174"/>
      <c r="AE18" s="174"/>
      <c r="AF18" s="174"/>
      <c r="AG18" s="174"/>
      <c r="AH18" s="104"/>
    </row>
    <row r="19" spans="1:45" ht="35.1" customHeight="1" thickBot="1" x14ac:dyDescent="0.3">
      <c r="A19" s="103"/>
      <c r="B19" s="565" t="s">
        <v>26</v>
      </c>
      <c r="C19" s="566"/>
      <c r="D19" s="566"/>
      <c r="E19" s="566"/>
      <c r="F19" s="566"/>
      <c r="G19" s="566"/>
      <c r="H19" s="567"/>
      <c r="I19" s="174"/>
      <c r="J19" s="562" t="s">
        <v>198</v>
      </c>
      <c r="K19" s="562"/>
      <c r="L19" s="562"/>
      <c r="M19" s="154" t="s">
        <v>84</v>
      </c>
      <c r="N19" s="103"/>
      <c r="O19" s="568" t="s">
        <v>26</v>
      </c>
      <c r="P19" s="767"/>
      <c r="Q19" s="242">
        <v>56</v>
      </c>
      <c r="R19" s="243">
        <v>25</v>
      </c>
      <c r="S19" s="244">
        <v>10</v>
      </c>
      <c r="T19" s="174"/>
      <c r="U19" s="570" t="s">
        <v>14</v>
      </c>
      <c r="V19" s="571"/>
      <c r="W19" s="574" t="str">
        <f>_xlfn.CONCAT(Q19," "," ",AK1)</f>
        <v xml:space="preserve">56  GOLPES </v>
      </c>
      <c r="X19" s="558"/>
      <c r="Y19" s="558"/>
      <c r="Z19" s="575"/>
      <c r="AA19" s="557" t="str">
        <f>_xlfn.CONCAT(R19," "," ",AK1)</f>
        <v xml:space="preserve">25  GOLPES </v>
      </c>
      <c r="AB19" s="558"/>
      <c r="AC19" s="558"/>
      <c r="AD19" s="558"/>
      <c r="AE19" s="557" t="str">
        <f>_xlfn.CONCAT(S19," "," ",AK1)</f>
        <v xml:space="preserve">10  GOLPES </v>
      </c>
      <c r="AF19" s="558"/>
      <c r="AG19" s="559"/>
      <c r="AH19" s="192"/>
      <c r="AJ19" s="42">
        <v>1.53</v>
      </c>
      <c r="AK19" s="42">
        <v>1.0900000000000001</v>
      </c>
    </row>
    <row r="20" spans="1:45" ht="24.95" customHeight="1" thickBot="1" x14ac:dyDescent="0.3">
      <c r="A20" s="103"/>
      <c r="B20" s="560" t="s">
        <v>7</v>
      </c>
      <c r="C20" s="561"/>
      <c r="D20" s="561"/>
      <c r="E20" s="148">
        <v>56</v>
      </c>
      <c r="F20" s="148">
        <f t="shared" ref="F20:H21" si="0">E20</f>
        <v>56</v>
      </c>
      <c r="G20" s="148">
        <f t="shared" si="0"/>
        <v>56</v>
      </c>
      <c r="H20" s="149">
        <f t="shared" si="0"/>
        <v>56</v>
      </c>
      <c r="I20" s="174"/>
      <c r="J20" s="562" t="s">
        <v>96</v>
      </c>
      <c r="K20" s="562"/>
      <c r="L20" s="562"/>
      <c r="M20" s="39" t="str">
        <f>IF(M19=" ","-",IF(M19=" ","-",IF(M19=AX4,AW4,IF(M19=AX3,AW3))))</f>
        <v>18 ± 0,05 in</v>
      </c>
      <c r="N20" s="103"/>
      <c r="O20" s="560" t="s">
        <v>24</v>
      </c>
      <c r="P20" s="561"/>
      <c r="Q20" s="148">
        <v>503</v>
      </c>
      <c r="R20" s="148">
        <v>563</v>
      </c>
      <c r="S20" s="149">
        <v>545</v>
      </c>
      <c r="T20" s="174"/>
      <c r="U20" s="572"/>
      <c r="V20" s="573"/>
      <c r="W20" s="563" t="s">
        <v>15</v>
      </c>
      <c r="X20" s="564"/>
      <c r="Y20" s="563" t="s">
        <v>16</v>
      </c>
      <c r="Z20" s="564"/>
      <c r="AA20" s="563" t="s">
        <v>17</v>
      </c>
      <c r="AB20" s="564"/>
      <c r="AC20" s="563" t="s">
        <v>16</v>
      </c>
      <c r="AD20" s="564"/>
      <c r="AE20" s="563" t="s">
        <v>17</v>
      </c>
      <c r="AF20" s="564"/>
      <c r="AG20" s="108" t="s">
        <v>16</v>
      </c>
      <c r="AH20" s="104"/>
    </row>
    <row r="21" spans="1:45" ht="24.95" customHeight="1" x14ac:dyDescent="0.25">
      <c r="A21" s="103"/>
      <c r="B21" s="583" t="s">
        <v>8</v>
      </c>
      <c r="C21" s="584"/>
      <c r="D21" s="584"/>
      <c r="E21" s="150">
        <v>5</v>
      </c>
      <c r="F21" s="150">
        <f t="shared" si="0"/>
        <v>5</v>
      </c>
      <c r="G21" s="150">
        <f t="shared" si="0"/>
        <v>5</v>
      </c>
      <c r="H21" s="151">
        <f t="shared" si="0"/>
        <v>5</v>
      </c>
      <c r="I21" s="174"/>
      <c r="J21" s="562" t="s">
        <v>47</v>
      </c>
      <c r="K21" s="562"/>
      <c r="L21" s="562"/>
      <c r="M21" s="154" t="s">
        <v>84</v>
      </c>
      <c r="N21" s="103"/>
      <c r="O21" s="579" t="s">
        <v>131</v>
      </c>
      <c r="P21" s="580"/>
      <c r="Q21" s="150">
        <v>5</v>
      </c>
      <c r="R21" s="150">
        <v>5</v>
      </c>
      <c r="S21" s="151">
        <v>5</v>
      </c>
      <c r="T21" s="174"/>
      <c r="U21" s="109" t="s">
        <v>18</v>
      </c>
      <c r="V21" s="110" t="s">
        <v>19</v>
      </c>
      <c r="W21" s="477" t="s">
        <v>20</v>
      </c>
      <c r="X21" s="478"/>
      <c r="Y21" s="477" t="s">
        <v>21</v>
      </c>
      <c r="Z21" s="478"/>
      <c r="AA21" s="477" t="s">
        <v>20</v>
      </c>
      <c r="AB21" s="478"/>
      <c r="AC21" s="477" t="s">
        <v>21</v>
      </c>
      <c r="AD21" s="478"/>
      <c r="AE21" s="477" t="s">
        <v>20</v>
      </c>
      <c r="AF21" s="478"/>
      <c r="AG21" s="111" t="s">
        <v>21</v>
      </c>
      <c r="AH21" s="104"/>
      <c r="AS21" s="42" t="s">
        <v>189</v>
      </c>
    </row>
    <row r="22" spans="1:45" ht="24.95" customHeight="1" thickBot="1" x14ac:dyDescent="0.3">
      <c r="A22" s="103"/>
      <c r="B22" s="576" t="s">
        <v>67</v>
      </c>
      <c r="C22" s="577"/>
      <c r="D22" s="577"/>
      <c r="E22" s="219">
        <v>6617.0973428655734</v>
      </c>
      <c r="F22" s="219">
        <v>7298.9707552294749</v>
      </c>
      <c r="G22" s="219">
        <v>7445.6738680286562</v>
      </c>
      <c r="H22" s="208">
        <v>6149.197745805347</v>
      </c>
      <c r="I22" s="174"/>
      <c r="J22" s="578"/>
      <c r="K22" s="578"/>
      <c r="L22" s="578"/>
      <c r="M22" s="104"/>
      <c r="N22" s="103"/>
      <c r="O22" s="579" t="s">
        <v>132</v>
      </c>
      <c r="P22" s="580"/>
      <c r="Q22" s="150">
        <v>8060</v>
      </c>
      <c r="R22" s="219">
        <v>7874.5642166404277</v>
      </c>
      <c r="S22" s="208">
        <v>7521.3548803020776</v>
      </c>
      <c r="T22" s="174"/>
      <c r="U22" s="112">
        <v>5.0000000000000001E-3</v>
      </c>
      <c r="V22" s="113">
        <f>U22*25.4</f>
        <v>0.127</v>
      </c>
      <c r="W22" s="581">
        <f>AJ2</f>
        <v>0</v>
      </c>
      <c r="X22" s="582"/>
      <c r="Y22" s="449">
        <f>((W22/19.32)*10)</f>
        <v>0</v>
      </c>
      <c r="Z22" s="450"/>
      <c r="AA22" s="581">
        <v>0</v>
      </c>
      <c r="AB22" s="582"/>
      <c r="AC22" s="449">
        <f>((AA22/19.32)*10)</f>
        <v>0</v>
      </c>
      <c r="AD22" s="450"/>
      <c r="AE22" s="581">
        <v>0</v>
      </c>
      <c r="AF22" s="582"/>
      <c r="AG22" s="114">
        <f>((AE22/19.32)*10)</f>
        <v>0</v>
      </c>
      <c r="AH22" s="104"/>
      <c r="AI22" s="42">
        <f>AJ50</f>
        <v>5.6000000000000001E-2</v>
      </c>
      <c r="AJ22" s="42">
        <f>AJ50/1.58</f>
        <v>3.5443037974683546E-2</v>
      </c>
      <c r="AK22" s="42">
        <f>AJ22*0.59</f>
        <v>2.0911392405063289E-2</v>
      </c>
      <c r="AO22" s="42">
        <v>0.06</v>
      </c>
      <c r="AS22" s="42">
        <f>AO22/1.23</f>
        <v>4.878048780487805E-2</v>
      </c>
    </row>
    <row r="23" spans="1:45" ht="24.95" customHeight="1" x14ac:dyDescent="0.25">
      <c r="A23" s="103"/>
      <c r="B23" s="583" t="s">
        <v>68</v>
      </c>
      <c r="C23" s="584"/>
      <c r="D23" s="584"/>
      <c r="E23" s="150">
        <v>2884</v>
      </c>
      <c r="F23" s="150">
        <f>E23</f>
        <v>2884</v>
      </c>
      <c r="G23" s="150">
        <f t="shared" ref="F23:H24" si="1">F23</f>
        <v>2884</v>
      </c>
      <c r="H23" s="151">
        <f t="shared" si="1"/>
        <v>2884</v>
      </c>
      <c r="I23" s="174"/>
      <c r="J23" s="587" t="s">
        <v>165</v>
      </c>
      <c r="K23" s="588"/>
      <c r="L23" s="588"/>
      <c r="M23" s="589"/>
      <c r="N23" s="103"/>
      <c r="O23" s="579" t="s">
        <v>27</v>
      </c>
      <c r="P23" s="580"/>
      <c r="Q23" s="150">
        <v>3852</v>
      </c>
      <c r="R23" s="150">
        <v>3210</v>
      </c>
      <c r="S23" s="151">
        <v>3456</v>
      </c>
      <c r="T23" s="174"/>
      <c r="U23" s="112">
        <v>2.5000000000000001E-2</v>
      </c>
      <c r="V23" s="113">
        <f>U23*25.4</f>
        <v>0.63500000000000001</v>
      </c>
      <c r="W23" s="581">
        <f>AI23</f>
        <v>0.19700000000000001</v>
      </c>
      <c r="X23" s="582"/>
      <c r="Y23" s="449">
        <f>((W23/19.32)*10)</f>
        <v>0.10196687370600414</v>
      </c>
      <c r="Z23" s="450"/>
      <c r="AA23" s="581">
        <f>AJ23</f>
        <v>0.12468354430379747</v>
      </c>
      <c r="AB23" s="582"/>
      <c r="AC23" s="449">
        <f>((AA23/19.32)*10)</f>
        <v>6.4535996016458319E-2</v>
      </c>
      <c r="AD23" s="450"/>
      <c r="AE23" s="581">
        <f>AK23</f>
        <v>7.3563291139240497E-2</v>
      </c>
      <c r="AF23" s="582"/>
      <c r="AG23" s="114">
        <f>((AE23/19.32)*10)</f>
        <v>3.8076237649710402E-2</v>
      </c>
      <c r="AH23" s="104"/>
      <c r="AI23" s="42">
        <f t="shared" ref="AI23:AI33" si="2">AJ51</f>
        <v>0.19700000000000001</v>
      </c>
      <c r="AJ23" s="42">
        <f t="shared" ref="AJ23:AJ33" si="3">AJ51/1.58</f>
        <v>0.12468354430379747</v>
      </c>
      <c r="AK23" s="42">
        <f t="shared" ref="AK23:AK33" si="4">AJ23*0.59</f>
        <v>7.3563291139240497E-2</v>
      </c>
      <c r="AO23" s="42">
        <v>0.247</v>
      </c>
      <c r="AS23" s="42">
        <f t="shared" ref="AS23:AS37" si="5">AO23/1.23</f>
        <v>0.20081300813008129</v>
      </c>
    </row>
    <row r="24" spans="1:45" ht="24.95" customHeight="1" thickBot="1" x14ac:dyDescent="0.3">
      <c r="A24" s="103"/>
      <c r="B24" s="583" t="s">
        <v>70</v>
      </c>
      <c r="C24" s="584"/>
      <c r="D24" s="584"/>
      <c r="E24" s="150">
        <v>2148</v>
      </c>
      <c r="F24" s="150">
        <f t="shared" si="1"/>
        <v>2148</v>
      </c>
      <c r="G24" s="150">
        <f t="shared" si="1"/>
        <v>2148</v>
      </c>
      <c r="H24" s="151">
        <f t="shared" si="1"/>
        <v>2148</v>
      </c>
      <c r="I24" s="174"/>
      <c r="J24" s="590"/>
      <c r="K24" s="591"/>
      <c r="L24" s="591"/>
      <c r="M24" s="592"/>
      <c r="N24" s="103"/>
      <c r="O24" s="585" t="s">
        <v>35</v>
      </c>
      <c r="P24" s="586"/>
      <c r="Q24" s="150">
        <v>11.2</v>
      </c>
      <c r="R24" s="150">
        <v>12.65</v>
      </c>
      <c r="S24" s="151">
        <v>12.44</v>
      </c>
      <c r="T24" s="174"/>
      <c r="U24" s="112">
        <v>0.05</v>
      </c>
      <c r="V24" s="113">
        <f>U24*25.4</f>
        <v>1.27</v>
      </c>
      <c r="W24" s="581">
        <f>AI24</f>
        <v>0.42099999999999999</v>
      </c>
      <c r="X24" s="582"/>
      <c r="Y24" s="449">
        <f>((W24/19.32)*10)</f>
        <v>0.21790890269151139</v>
      </c>
      <c r="Z24" s="450"/>
      <c r="AA24" s="581">
        <f>AJ24</f>
        <v>0.26645569620253162</v>
      </c>
      <c r="AB24" s="582"/>
      <c r="AC24" s="449">
        <f>((AA24/19.32)*10)</f>
        <v>0.13791702701994391</v>
      </c>
      <c r="AD24" s="450"/>
      <c r="AE24" s="581">
        <f>AK24</f>
        <v>0.15720886075949364</v>
      </c>
      <c r="AF24" s="582"/>
      <c r="AG24" s="114">
        <f>((AE24/19.32)*10)</f>
        <v>8.137104594176689E-2</v>
      </c>
      <c r="AH24" s="104"/>
      <c r="AI24" s="42">
        <f t="shared" si="2"/>
        <v>0.42099999999999999</v>
      </c>
      <c r="AJ24" s="42">
        <f t="shared" si="3"/>
        <v>0.26645569620253162</v>
      </c>
      <c r="AK24" s="42">
        <f t="shared" si="4"/>
        <v>0.15720886075949364</v>
      </c>
      <c r="AO24" s="42">
        <v>0.68400000000000005</v>
      </c>
      <c r="AS24" s="42">
        <f t="shared" si="5"/>
        <v>0.55609756097560981</v>
      </c>
    </row>
    <row r="25" spans="1:45" ht="24.95" customHeight="1" thickBot="1" x14ac:dyDescent="0.3">
      <c r="A25" s="103"/>
      <c r="B25" s="602" t="s">
        <v>69</v>
      </c>
      <c r="C25" s="603"/>
      <c r="D25" s="603"/>
      <c r="E25" s="220">
        <f>E22-E23</f>
        <v>3733.0973428655734</v>
      </c>
      <c r="F25" s="220">
        <f>F22-F23</f>
        <v>4414.9707552294749</v>
      </c>
      <c r="G25" s="220">
        <f>G22-G23</f>
        <v>4561.6738680286562</v>
      </c>
      <c r="H25" s="221">
        <f>H22-H23</f>
        <v>3265.197745805347</v>
      </c>
      <c r="I25" s="174"/>
      <c r="J25" s="174" t="s">
        <v>127</v>
      </c>
      <c r="K25" s="174"/>
      <c r="L25" s="218" t="s">
        <v>128</v>
      </c>
      <c r="M25" s="155">
        <v>0</v>
      </c>
      <c r="N25" s="103"/>
      <c r="O25" s="604" t="s">
        <v>46</v>
      </c>
      <c r="P25" s="605"/>
      <c r="Q25" s="608">
        <v>15.15</v>
      </c>
      <c r="R25" s="608">
        <v>15.32</v>
      </c>
      <c r="S25" s="610">
        <v>15.11</v>
      </c>
      <c r="T25" s="174"/>
      <c r="U25" s="112">
        <v>7.4999999999999997E-2</v>
      </c>
      <c r="V25" s="113">
        <f>U25*25.4</f>
        <v>1.9049999999999998</v>
      </c>
      <c r="W25" s="581">
        <f>AI25</f>
        <v>0.66500000000000004</v>
      </c>
      <c r="X25" s="582"/>
      <c r="Y25" s="449">
        <f>((W25/19.32)*10)</f>
        <v>0.34420289855072461</v>
      </c>
      <c r="Z25" s="450"/>
      <c r="AA25" s="581">
        <f>AJ25</f>
        <v>0.42088607594936711</v>
      </c>
      <c r="AB25" s="582"/>
      <c r="AC25" s="449">
        <f>((AA25/19.32)*10)</f>
        <v>0.21784993579159789</v>
      </c>
      <c r="AD25" s="450"/>
      <c r="AE25" s="581">
        <f>AK25</f>
        <v>0.2483227848101266</v>
      </c>
      <c r="AF25" s="582"/>
      <c r="AG25" s="114">
        <f>((AE25/19.32)*10)</f>
        <v>0.12853146211704275</v>
      </c>
      <c r="AH25" s="104"/>
      <c r="AI25" s="42">
        <f t="shared" si="2"/>
        <v>0.66500000000000004</v>
      </c>
      <c r="AJ25" s="42">
        <f t="shared" si="3"/>
        <v>0.42088607594936711</v>
      </c>
      <c r="AK25" s="42">
        <f t="shared" si="4"/>
        <v>0.2483227848101266</v>
      </c>
      <c r="AO25" s="42">
        <v>1.3149999999999999</v>
      </c>
      <c r="AS25" s="42">
        <f t="shared" si="5"/>
        <v>1.0691056910569106</v>
      </c>
    </row>
    <row r="26" spans="1:45" ht="5.0999999999999996" customHeight="1" thickBot="1" x14ac:dyDescent="0.3">
      <c r="A26" s="103"/>
      <c r="B26" s="174"/>
      <c r="C26" s="174"/>
      <c r="D26" s="174"/>
      <c r="E26" s="174"/>
      <c r="F26" s="174"/>
      <c r="G26" s="174"/>
      <c r="H26" s="174"/>
      <c r="I26" s="174"/>
      <c r="J26" s="597" t="s">
        <v>106</v>
      </c>
      <c r="K26" s="597"/>
      <c r="L26" s="598" t="s">
        <v>120</v>
      </c>
      <c r="M26" s="599">
        <v>0</v>
      </c>
      <c r="N26" s="103"/>
      <c r="O26" s="606"/>
      <c r="P26" s="607"/>
      <c r="Q26" s="609"/>
      <c r="R26" s="609"/>
      <c r="S26" s="611"/>
      <c r="T26" s="174"/>
      <c r="U26" s="600">
        <v>0.1</v>
      </c>
      <c r="V26" s="601">
        <f>U26*25.4</f>
        <v>2.54</v>
      </c>
      <c r="W26" s="778">
        <f>AI26</f>
        <v>0.85399999999999998</v>
      </c>
      <c r="X26" s="779"/>
      <c r="Y26" s="461">
        <f>((W26/19.32)*10)</f>
        <v>0.44202898550724634</v>
      </c>
      <c r="Z26" s="462"/>
      <c r="AA26" s="746">
        <f>AJ26</f>
        <v>0.54050632911392404</v>
      </c>
      <c r="AB26" s="747"/>
      <c r="AC26" s="461">
        <f>((AA26/19.32)*10)</f>
        <v>0.27976518070078882</v>
      </c>
      <c r="AD26" s="462"/>
      <c r="AE26" s="746">
        <f>AK26</f>
        <v>0.31889873417721515</v>
      </c>
      <c r="AF26" s="747"/>
      <c r="AG26" s="469">
        <f>((AE26/19.32)*10)</f>
        <v>0.16506145661346538</v>
      </c>
      <c r="AH26" s="104"/>
      <c r="AI26" s="42">
        <f t="shared" si="2"/>
        <v>0.85399999999999998</v>
      </c>
      <c r="AJ26" s="42">
        <f t="shared" si="3"/>
        <v>0.54050632911392404</v>
      </c>
      <c r="AK26" s="42">
        <f t="shared" si="4"/>
        <v>0.31889873417721515</v>
      </c>
      <c r="AO26" s="42">
        <v>1.875</v>
      </c>
      <c r="AS26" s="42">
        <f t="shared" si="5"/>
        <v>1.524390243902439</v>
      </c>
    </row>
    <row r="27" spans="1:45" ht="20.100000000000001" customHeight="1" thickBot="1" x14ac:dyDescent="0.3">
      <c r="A27" s="103"/>
      <c r="B27" s="565" t="s">
        <v>25</v>
      </c>
      <c r="C27" s="566"/>
      <c r="D27" s="566"/>
      <c r="E27" s="566"/>
      <c r="F27" s="566"/>
      <c r="G27" s="566"/>
      <c r="H27" s="567"/>
      <c r="I27" s="174"/>
      <c r="J27" s="597"/>
      <c r="K27" s="597"/>
      <c r="L27" s="598"/>
      <c r="M27" s="460"/>
      <c r="N27" s="103"/>
      <c r="O27" s="585" t="s">
        <v>133</v>
      </c>
      <c r="P27" s="586"/>
      <c r="Q27" s="152">
        <f>(PI()*((Q25^2)/4)*Q24)</f>
        <v>2018.9853595339773</v>
      </c>
      <c r="R27" s="152">
        <f>(PI()*((R25^2)/4)*R24)</f>
        <v>2331.8356488979121</v>
      </c>
      <c r="S27" s="153">
        <f>(PI()*((S25^2)/4)*S24)</f>
        <v>2230.6898460263969</v>
      </c>
      <c r="T27" s="174"/>
      <c r="U27" s="600"/>
      <c r="V27" s="601"/>
      <c r="W27" s="780"/>
      <c r="X27" s="781"/>
      <c r="Y27" s="463"/>
      <c r="Z27" s="464"/>
      <c r="AA27" s="748"/>
      <c r="AB27" s="749"/>
      <c r="AC27" s="463"/>
      <c r="AD27" s="464"/>
      <c r="AE27" s="748"/>
      <c r="AF27" s="749"/>
      <c r="AG27" s="470"/>
      <c r="AH27" s="193"/>
      <c r="AI27" s="42">
        <f t="shared" si="2"/>
        <v>1.0269999999999999</v>
      </c>
      <c r="AJ27" s="42">
        <f t="shared" si="3"/>
        <v>0.64999999999999991</v>
      </c>
      <c r="AK27" s="42">
        <f t="shared" si="4"/>
        <v>0.38349999999999995</v>
      </c>
      <c r="AO27" s="42">
        <v>2.387</v>
      </c>
      <c r="AS27" s="42">
        <f t="shared" si="5"/>
        <v>1.9406504065040651</v>
      </c>
    </row>
    <row r="28" spans="1:45" ht="24.95" customHeight="1" thickBot="1" x14ac:dyDescent="0.3">
      <c r="A28" s="103"/>
      <c r="B28" s="560" t="s">
        <v>9</v>
      </c>
      <c r="C28" s="561"/>
      <c r="D28" s="561"/>
      <c r="E28" s="148">
        <v>98</v>
      </c>
      <c r="F28" s="148">
        <v>11</v>
      </c>
      <c r="G28" s="148">
        <v>74</v>
      </c>
      <c r="H28" s="149">
        <v>93</v>
      </c>
      <c r="I28" s="174"/>
      <c r="J28" s="597" t="s">
        <v>107</v>
      </c>
      <c r="K28" s="597"/>
      <c r="L28" s="562" t="s">
        <v>119</v>
      </c>
      <c r="M28" s="459">
        <f>IF(M26="","",(100-M26))</f>
        <v>100</v>
      </c>
      <c r="N28" s="103"/>
      <c r="O28" s="625" t="s">
        <v>136</v>
      </c>
      <c r="P28" s="626"/>
      <c r="Q28" s="220">
        <f>Q22-Q23</f>
        <v>4208</v>
      </c>
      <c r="R28" s="220">
        <f>R22-R23</f>
        <v>4664.5642166404277</v>
      </c>
      <c r="S28" s="220">
        <f>S22-S23</f>
        <v>4065.3548803020776</v>
      </c>
      <c r="T28" s="174"/>
      <c r="U28" s="627">
        <v>0.125</v>
      </c>
      <c r="V28" s="624">
        <f>U28*25.4</f>
        <v>3.1749999999999998</v>
      </c>
      <c r="W28" s="593">
        <f>AI27</f>
        <v>1.0269999999999999</v>
      </c>
      <c r="X28" s="594"/>
      <c r="Y28" s="439">
        <f>((W28/19.32)*10)</f>
        <v>0.53157349896480333</v>
      </c>
      <c r="Z28" s="440"/>
      <c r="AA28" s="593">
        <f>AJ27</f>
        <v>0.64999999999999991</v>
      </c>
      <c r="AB28" s="594"/>
      <c r="AC28" s="439">
        <f>((AA28/19.32)*10)</f>
        <v>0.33643892339544507</v>
      </c>
      <c r="AD28" s="440"/>
      <c r="AE28" s="593">
        <f>AK27</f>
        <v>0.38349999999999995</v>
      </c>
      <c r="AF28" s="594"/>
      <c r="AG28" s="443">
        <f>((AE28/19.32)*10)</f>
        <v>0.19849896480331258</v>
      </c>
      <c r="AH28" s="104"/>
      <c r="AI28" s="42">
        <f t="shared" si="2"/>
        <v>1.2090000000000001</v>
      </c>
      <c r="AJ28" s="42">
        <f t="shared" si="3"/>
        <v>0.76518987341772149</v>
      </c>
      <c r="AK28" s="42">
        <f t="shared" si="4"/>
        <v>0.45146202531645563</v>
      </c>
      <c r="AO28" s="42">
        <v>2.8959999999999999</v>
      </c>
      <c r="AS28" s="42">
        <f t="shared" si="5"/>
        <v>2.3544715447154472</v>
      </c>
    </row>
    <row r="29" spans="1:45" ht="5.0999999999999996" customHeight="1" thickBot="1" x14ac:dyDescent="0.3">
      <c r="A29" s="103"/>
      <c r="B29" s="612" t="s">
        <v>73</v>
      </c>
      <c r="C29" s="613"/>
      <c r="D29" s="614"/>
      <c r="E29" s="618">
        <v>755.02</v>
      </c>
      <c r="F29" s="618">
        <v>763.9</v>
      </c>
      <c r="G29" s="618">
        <v>881.11</v>
      </c>
      <c r="H29" s="620">
        <v>763.13</v>
      </c>
      <c r="I29" s="174"/>
      <c r="J29" s="597"/>
      <c r="K29" s="597"/>
      <c r="L29" s="562"/>
      <c r="M29" s="460"/>
      <c r="N29" s="103"/>
      <c r="O29" s="179"/>
      <c r="P29" s="179"/>
      <c r="Q29" s="174"/>
      <c r="R29" s="174"/>
      <c r="S29" s="174"/>
      <c r="T29" s="174"/>
      <c r="U29" s="627"/>
      <c r="V29" s="624"/>
      <c r="W29" s="595"/>
      <c r="X29" s="596"/>
      <c r="Y29" s="441"/>
      <c r="Z29" s="442"/>
      <c r="AA29" s="595"/>
      <c r="AB29" s="596"/>
      <c r="AC29" s="441"/>
      <c r="AD29" s="442"/>
      <c r="AE29" s="595"/>
      <c r="AF29" s="596"/>
      <c r="AG29" s="444"/>
      <c r="AH29" s="193"/>
      <c r="AI29" s="42">
        <f t="shared" si="2"/>
        <v>1.377</v>
      </c>
      <c r="AJ29" s="42">
        <f t="shared" si="3"/>
        <v>0.87151898734177213</v>
      </c>
      <c r="AK29" s="42">
        <f t="shared" si="4"/>
        <v>0.51419620253164555</v>
      </c>
      <c r="AO29" s="42">
        <v>3.3879999999999999</v>
      </c>
      <c r="AS29" s="42">
        <f t="shared" si="5"/>
        <v>2.7544715447154471</v>
      </c>
    </row>
    <row r="30" spans="1:45" ht="24.95" customHeight="1" thickBot="1" x14ac:dyDescent="0.3">
      <c r="A30" s="103"/>
      <c r="B30" s="615"/>
      <c r="C30" s="616"/>
      <c r="D30" s="617"/>
      <c r="E30" s="619"/>
      <c r="F30" s="619"/>
      <c r="G30" s="619"/>
      <c r="H30" s="621"/>
      <c r="I30" s="174"/>
      <c r="J30" s="174" t="s">
        <v>108</v>
      </c>
      <c r="K30" s="174"/>
      <c r="L30" s="180" t="s">
        <v>137</v>
      </c>
      <c r="M30" s="119">
        <f>IF(M25="","",(M37*1000*9.81/1000))</f>
        <v>17.509815468274141</v>
      </c>
      <c r="N30" s="103"/>
      <c r="O30" s="622" t="s">
        <v>134</v>
      </c>
      <c r="P30" s="623"/>
      <c r="Q30" s="229">
        <f>Q28/Q27</f>
        <v>2.0842152124229822</v>
      </c>
      <c r="R30" s="229">
        <f>R28/R27</f>
        <v>2.0003829252910794</v>
      </c>
      <c r="S30" s="131">
        <f>S28/S27</f>
        <v>1.8224653183156911</v>
      </c>
      <c r="T30" s="174"/>
      <c r="U30" s="120">
        <v>0.15</v>
      </c>
      <c r="V30" s="113">
        <f>U30*25.4</f>
        <v>3.8099999999999996</v>
      </c>
      <c r="W30" s="581">
        <f>AI28</f>
        <v>1.2090000000000001</v>
      </c>
      <c r="X30" s="582"/>
      <c r="Y30" s="449">
        <f>((W30/19.32)*10)</f>
        <v>0.62577639751552794</v>
      </c>
      <c r="Z30" s="450"/>
      <c r="AA30" s="581">
        <f>AJ28</f>
        <v>0.76518987341772149</v>
      </c>
      <c r="AB30" s="582"/>
      <c r="AC30" s="449">
        <f>((AA30/19.32)*10)</f>
        <v>0.39606101108577713</v>
      </c>
      <c r="AD30" s="450"/>
      <c r="AE30" s="581">
        <f>AK28</f>
        <v>0.45146202531645563</v>
      </c>
      <c r="AF30" s="582"/>
      <c r="AG30" s="114">
        <f>((AE30/19.32)*10)</f>
        <v>0.2336759965406085</v>
      </c>
      <c r="AH30" s="104"/>
      <c r="AI30" s="42">
        <f t="shared" si="2"/>
        <v>1.5349999999999999</v>
      </c>
      <c r="AJ30" s="42">
        <f t="shared" si="3"/>
        <v>0.97151898734177211</v>
      </c>
      <c r="AK30" s="42">
        <f t="shared" si="4"/>
        <v>0.57319620253164549</v>
      </c>
      <c r="AO30" s="42">
        <v>3.8439999999999999</v>
      </c>
      <c r="AS30" s="42">
        <f t="shared" si="5"/>
        <v>3.1252032520325201</v>
      </c>
    </row>
    <row r="31" spans="1:45" ht="24.95" customHeight="1" thickBot="1" x14ac:dyDescent="0.3">
      <c r="A31" s="103"/>
      <c r="B31" s="576" t="s">
        <v>74</v>
      </c>
      <c r="C31" s="577"/>
      <c r="D31" s="577"/>
      <c r="E31" s="152">
        <v>650.57690458518721</v>
      </c>
      <c r="F31" s="152">
        <v>642.49086846163539</v>
      </c>
      <c r="G31" s="152">
        <v>722.09290950097022</v>
      </c>
      <c r="H31" s="153">
        <v>610.56211574278404</v>
      </c>
      <c r="I31" s="174"/>
      <c r="J31" s="597" t="s">
        <v>138</v>
      </c>
      <c r="K31" s="597"/>
      <c r="L31" s="562" t="s">
        <v>116</v>
      </c>
      <c r="M31" s="457">
        <v>2.72</v>
      </c>
      <c r="N31" s="121"/>
      <c r="O31" s="628" t="s">
        <v>135</v>
      </c>
      <c r="P31" s="629"/>
      <c r="Q31" s="122">
        <f>Q30/(1+Q40/100)</f>
        <v>1.711848130445268</v>
      </c>
      <c r="R31" s="122">
        <f>R30/(1+R40/100)</f>
        <v>1.6436999999999995</v>
      </c>
      <c r="S31" s="123">
        <f>S30/(1+S40/100)</f>
        <v>1.4979999999999993</v>
      </c>
      <c r="T31" s="174"/>
      <c r="U31" s="627">
        <v>0.17499999999999999</v>
      </c>
      <c r="V31" s="624">
        <f>U31*25.4</f>
        <v>4.4449999999999994</v>
      </c>
      <c r="W31" s="593">
        <f>AI29</f>
        <v>1.377</v>
      </c>
      <c r="X31" s="594"/>
      <c r="Y31" s="439">
        <f>((W31/19.32)*10)</f>
        <v>0.71273291925465831</v>
      </c>
      <c r="Z31" s="440"/>
      <c r="AA31" s="593">
        <f>AJ29</f>
        <v>0.87151898734177213</v>
      </c>
      <c r="AB31" s="594"/>
      <c r="AC31" s="439">
        <f>((AA31/19.32)*10)</f>
        <v>0.4510967843383914</v>
      </c>
      <c r="AD31" s="440"/>
      <c r="AE31" s="593">
        <f>AK29</f>
        <v>0.51419620253164555</v>
      </c>
      <c r="AF31" s="594"/>
      <c r="AG31" s="443">
        <f>((AE31/19.32)*10)</f>
        <v>0.26614710275965092</v>
      </c>
      <c r="AH31" s="104"/>
      <c r="AI31" s="42">
        <f t="shared" si="2"/>
        <v>2.0350000000000001</v>
      </c>
      <c r="AJ31" s="42">
        <f t="shared" si="3"/>
        <v>1.2879746835443038</v>
      </c>
      <c r="AK31" s="42">
        <f t="shared" si="4"/>
        <v>0.75990506329113916</v>
      </c>
      <c r="AO31" s="42">
        <v>5.516</v>
      </c>
      <c r="AS31" s="42">
        <f t="shared" si="5"/>
        <v>4.4845528455284551</v>
      </c>
    </row>
    <row r="32" spans="1:45" ht="5.0999999999999996" customHeight="1" thickBot="1" x14ac:dyDescent="0.3">
      <c r="A32" s="103"/>
      <c r="B32" s="612" t="s">
        <v>75</v>
      </c>
      <c r="C32" s="613"/>
      <c r="D32" s="614"/>
      <c r="E32" s="618">
        <v>45.81</v>
      </c>
      <c r="F32" s="618">
        <v>40.56</v>
      </c>
      <c r="G32" s="618">
        <v>44.56</v>
      </c>
      <c r="H32" s="620">
        <v>36.36</v>
      </c>
      <c r="I32" s="174"/>
      <c r="J32" s="597"/>
      <c r="K32" s="597"/>
      <c r="L32" s="562"/>
      <c r="M32" s="458"/>
      <c r="N32" s="121"/>
      <c r="O32" s="176"/>
      <c r="P32" s="176"/>
      <c r="Q32" s="214"/>
      <c r="R32" s="214"/>
      <c r="S32" s="214"/>
      <c r="T32" s="174"/>
      <c r="U32" s="627"/>
      <c r="V32" s="624"/>
      <c r="W32" s="595"/>
      <c r="X32" s="596"/>
      <c r="Y32" s="441"/>
      <c r="Z32" s="442"/>
      <c r="AA32" s="595"/>
      <c r="AB32" s="596"/>
      <c r="AC32" s="441"/>
      <c r="AD32" s="442"/>
      <c r="AE32" s="595"/>
      <c r="AF32" s="596"/>
      <c r="AG32" s="444"/>
      <c r="AH32" s="193"/>
      <c r="AI32" s="42">
        <f t="shared" si="2"/>
        <v>2.4369999999999998</v>
      </c>
      <c r="AJ32" s="42">
        <f t="shared" si="3"/>
        <v>1.542405063291139</v>
      </c>
      <c r="AK32" s="42">
        <f t="shared" si="4"/>
        <v>0.910018987341772</v>
      </c>
      <c r="AO32" s="42">
        <v>6.7220000000000004</v>
      </c>
      <c r="AS32" s="42">
        <f t="shared" si="5"/>
        <v>5.4650406504065048</v>
      </c>
    </row>
    <row r="33" spans="1:45" ht="24.95" customHeight="1" thickBot="1" x14ac:dyDescent="0.3">
      <c r="A33" s="103"/>
      <c r="B33" s="615"/>
      <c r="C33" s="616"/>
      <c r="D33" s="617"/>
      <c r="E33" s="619"/>
      <c r="F33" s="619"/>
      <c r="G33" s="619"/>
      <c r="H33" s="621"/>
      <c r="I33" s="174"/>
      <c r="J33" s="633" t="s">
        <v>109</v>
      </c>
      <c r="K33" s="633"/>
      <c r="L33" s="180" t="s">
        <v>117</v>
      </c>
      <c r="M33" s="118">
        <f>IF(M25="","",O73)</f>
        <v>10.5</v>
      </c>
      <c r="N33" s="101"/>
      <c r="O33" s="634" t="s">
        <v>25</v>
      </c>
      <c r="P33" s="635"/>
      <c r="Q33" s="635"/>
      <c r="R33" s="635"/>
      <c r="S33" s="636"/>
      <c r="T33" s="174"/>
      <c r="U33" s="117">
        <v>0.2</v>
      </c>
      <c r="V33" s="124">
        <f>U33*25.4</f>
        <v>5.08</v>
      </c>
      <c r="W33" s="581">
        <f>AI30</f>
        <v>1.5349999999999999</v>
      </c>
      <c r="X33" s="582"/>
      <c r="Y33" s="449">
        <f>((W33/19.32)*10)</f>
        <v>0.7945134575569357</v>
      </c>
      <c r="Z33" s="450"/>
      <c r="AA33" s="581">
        <f>AJ30</f>
        <v>0.97151898734177211</v>
      </c>
      <c r="AB33" s="582"/>
      <c r="AC33" s="449">
        <f>((AA33/19.32)*10)</f>
        <v>0.50285661870692144</v>
      </c>
      <c r="AD33" s="450"/>
      <c r="AE33" s="581">
        <f>AK30</f>
        <v>0.57319620253164549</v>
      </c>
      <c r="AF33" s="582"/>
      <c r="AG33" s="144">
        <f>((AE33/19.32)*10)</f>
        <v>0.29668540503708363</v>
      </c>
      <c r="AH33" s="104"/>
      <c r="AI33" s="42">
        <f t="shared" si="2"/>
        <v>2.7909999999999999</v>
      </c>
      <c r="AJ33" s="42">
        <f t="shared" si="3"/>
        <v>1.7664556962025315</v>
      </c>
      <c r="AK33" s="42">
        <f t="shared" si="4"/>
        <v>1.0422088607594935</v>
      </c>
      <c r="AO33" s="42">
        <v>7.7720000000000002</v>
      </c>
      <c r="AS33" s="42">
        <f t="shared" si="5"/>
        <v>6.3186991869918705</v>
      </c>
    </row>
    <row r="34" spans="1:45" ht="24.95" customHeight="1" thickBot="1" x14ac:dyDescent="0.3">
      <c r="A34" s="103"/>
      <c r="B34" s="602" t="s">
        <v>10</v>
      </c>
      <c r="C34" s="603"/>
      <c r="D34" s="603"/>
      <c r="E34" s="125">
        <f>((E29-E31)/(E31-E32))*100</f>
        <v>17.269975361242835</v>
      </c>
      <c r="F34" s="125">
        <f>((F29-F31)/(F31-F32))*100</f>
        <v>20.169946068499844</v>
      </c>
      <c r="G34" s="125">
        <f>((G29-G31)/(G31-G32))*100</f>
        <v>23.47001721527478</v>
      </c>
      <c r="H34" s="126">
        <f>((H29-H31)/(H31-H32))*100</f>
        <v>26.570414854681466</v>
      </c>
      <c r="I34" s="174"/>
      <c r="J34" s="630" t="s">
        <v>125</v>
      </c>
      <c r="K34" s="630"/>
      <c r="L34" s="184" t="s">
        <v>126</v>
      </c>
      <c r="M34" s="245">
        <v>2.75</v>
      </c>
      <c r="N34" s="128"/>
      <c r="O34" s="631" t="s">
        <v>9</v>
      </c>
      <c r="P34" s="632"/>
      <c r="Q34" s="156">
        <v>350</v>
      </c>
      <c r="R34" s="156">
        <v>456</v>
      </c>
      <c r="S34" s="157">
        <v>895</v>
      </c>
      <c r="T34" s="174"/>
      <c r="U34" s="120">
        <v>0.3</v>
      </c>
      <c r="V34" s="113">
        <f>U34*25.4</f>
        <v>7.6199999999999992</v>
      </c>
      <c r="W34" s="581">
        <f>AI31</f>
        <v>2.0350000000000001</v>
      </c>
      <c r="X34" s="582"/>
      <c r="Y34" s="449">
        <f>((W34/19.32)*10)</f>
        <v>1.0533126293995858</v>
      </c>
      <c r="Z34" s="450"/>
      <c r="AA34" s="449">
        <f>AJ31</f>
        <v>1.2879746835443038</v>
      </c>
      <c r="AB34" s="450"/>
      <c r="AC34" s="449">
        <f>((AA34/19.32)*10)</f>
        <v>0.66665356291113032</v>
      </c>
      <c r="AD34" s="450"/>
      <c r="AE34" s="581">
        <f>AK31</f>
        <v>0.75990506329113916</v>
      </c>
      <c r="AF34" s="582"/>
      <c r="AG34" s="114">
        <f>((AE34/19.32)*10)</f>
        <v>0.39332560211756684</v>
      </c>
      <c r="AH34" s="104"/>
      <c r="AS34" s="42">
        <f t="shared" si="5"/>
        <v>0</v>
      </c>
    </row>
    <row r="35" spans="1:45" ht="5.0999999999999996" customHeight="1" thickBot="1" x14ac:dyDescent="0.3">
      <c r="A35" s="103"/>
      <c r="B35" s="176"/>
      <c r="C35" s="176"/>
      <c r="D35" s="176"/>
      <c r="E35" s="181"/>
      <c r="F35" s="181"/>
      <c r="G35" s="181"/>
      <c r="H35" s="181"/>
      <c r="I35" s="174"/>
      <c r="J35" s="185"/>
      <c r="K35" s="185"/>
      <c r="L35" s="184"/>
      <c r="M35" s="129"/>
      <c r="N35" s="128"/>
      <c r="O35" s="612" t="s">
        <v>49</v>
      </c>
      <c r="P35" s="614"/>
      <c r="Q35" s="608">
        <v>766.98</v>
      </c>
      <c r="R35" s="608">
        <v>806.72</v>
      </c>
      <c r="S35" s="610">
        <v>855.78</v>
      </c>
      <c r="T35" s="174"/>
      <c r="U35" s="627">
        <v>0.4</v>
      </c>
      <c r="V35" s="624">
        <f>U35*25.4</f>
        <v>10.16</v>
      </c>
      <c r="W35" s="593">
        <f>AI32</f>
        <v>2.4369999999999998</v>
      </c>
      <c r="X35" s="594"/>
      <c r="Y35" s="439">
        <f>((W35/19.32)*10)</f>
        <v>1.2613871635610765</v>
      </c>
      <c r="Z35" s="440"/>
      <c r="AA35" s="593">
        <f>AJ32</f>
        <v>1.542405063291139</v>
      </c>
      <c r="AB35" s="594"/>
      <c r="AC35" s="439">
        <f>(AA35/19.32)*10</f>
        <v>0.79834630605131418</v>
      </c>
      <c r="AD35" s="440"/>
      <c r="AE35" s="593">
        <f>AK32</f>
        <v>0.910018987341772</v>
      </c>
      <c r="AF35" s="594"/>
      <c r="AG35" s="443">
        <f>((AE35/19.32)*10)</f>
        <v>0.47102432057027532</v>
      </c>
      <c r="AH35" s="104"/>
      <c r="AS35" s="42">
        <f t="shared" si="5"/>
        <v>0</v>
      </c>
    </row>
    <row r="36" spans="1:45" ht="20.100000000000001" customHeight="1" thickBot="1" x14ac:dyDescent="0.3">
      <c r="A36" s="103"/>
      <c r="B36" s="639" t="s">
        <v>71</v>
      </c>
      <c r="C36" s="640"/>
      <c r="D36" s="640"/>
      <c r="E36" s="130">
        <f>E25/E24</f>
        <v>1.7379410348536188</v>
      </c>
      <c r="F36" s="130">
        <f>F25/F24</f>
        <v>2.0553867575556213</v>
      </c>
      <c r="G36" s="130">
        <f>G25/G24</f>
        <v>2.1236842961027262</v>
      </c>
      <c r="H36" s="131">
        <f>H25/H24</f>
        <v>1.5201106824047239</v>
      </c>
      <c r="I36" s="174"/>
      <c r="J36" s="634" t="s">
        <v>102</v>
      </c>
      <c r="K36" s="635"/>
      <c r="L36" s="635"/>
      <c r="M36" s="636"/>
      <c r="N36" s="101"/>
      <c r="O36" s="615"/>
      <c r="P36" s="617"/>
      <c r="Q36" s="609"/>
      <c r="R36" s="609"/>
      <c r="S36" s="611"/>
      <c r="T36" s="174"/>
      <c r="U36" s="627"/>
      <c r="V36" s="624"/>
      <c r="W36" s="595"/>
      <c r="X36" s="596"/>
      <c r="Y36" s="441"/>
      <c r="Z36" s="442"/>
      <c r="AA36" s="595"/>
      <c r="AB36" s="596"/>
      <c r="AC36" s="441"/>
      <c r="AD36" s="442"/>
      <c r="AE36" s="595"/>
      <c r="AF36" s="596"/>
      <c r="AG36" s="444"/>
      <c r="AH36" s="104"/>
      <c r="AS36" s="42">
        <f t="shared" si="5"/>
        <v>0</v>
      </c>
    </row>
    <row r="37" spans="1:45" ht="24.95" customHeight="1" thickBot="1" x14ac:dyDescent="0.3">
      <c r="A37" s="103"/>
      <c r="B37" s="602" t="s">
        <v>72</v>
      </c>
      <c r="C37" s="603"/>
      <c r="D37" s="603"/>
      <c r="E37" s="122">
        <f>E36/(1+E34/100)</f>
        <v>1.482</v>
      </c>
      <c r="F37" s="230">
        <f>F36/(1+F34/100)</f>
        <v>1.7103999999999999</v>
      </c>
      <c r="G37" s="230">
        <f>G36/(1+G34/100)</f>
        <v>1.7200000000000002</v>
      </c>
      <c r="H37" s="123">
        <f>H36/(1+H34/100)</f>
        <v>1.2009999999999994</v>
      </c>
      <c r="I37" s="174"/>
      <c r="J37" s="641" t="s">
        <v>139</v>
      </c>
      <c r="K37" s="641"/>
      <c r="L37" s="643" t="s">
        <v>121</v>
      </c>
      <c r="M37" s="433">
        <f>IF(F74="","",(M42^2*F74+M42*F75+F76))</f>
        <v>1.7848945431472112</v>
      </c>
      <c r="N37" s="101"/>
      <c r="O37" s="576" t="s">
        <v>28</v>
      </c>
      <c r="P37" s="577"/>
      <c r="Q37" s="150">
        <v>648.16</v>
      </c>
      <c r="R37" s="152">
        <v>669.37521796333976</v>
      </c>
      <c r="S37" s="153">
        <v>707.79607412027258</v>
      </c>
      <c r="T37" s="174"/>
      <c r="U37" s="132">
        <v>0.5</v>
      </c>
      <c r="V37" s="133">
        <f>U37*25.4</f>
        <v>12.7</v>
      </c>
      <c r="W37" s="637">
        <f>AI33</f>
        <v>2.7909999999999999</v>
      </c>
      <c r="X37" s="638"/>
      <c r="Y37" s="431">
        <f>((W37/19.32)*10)</f>
        <v>1.4446169772256727</v>
      </c>
      <c r="Z37" s="432"/>
      <c r="AA37" s="637">
        <f>AJ33</f>
        <v>1.7664556962025315</v>
      </c>
      <c r="AB37" s="638"/>
      <c r="AC37" s="431">
        <f>((AA37/19.32)*10)</f>
        <v>0.91431454254789424</v>
      </c>
      <c r="AD37" s="432"/>
      <c r="AE37" s="637">
        <v>1.123</v>
      </c>
      <c r="AF37" s="638"/>
      <c r="AG37" s="134">
        <f>((AE37/19.32)*10)</f>
        <v>0.58126293995859213</v>
      </c>
      <c r="AH37" s="104"/>
      <c r="AS37" s="42">
        <f t="shared" si="5"/>
        <v>0</v>
      </c>
    </row>
    <row r="38" spans="1:45" ht="7.5" customHeight="1" thickBot="1" x14ac:dyDescent="0.3">
      <c r="A38" s="103"/>
      <c r="B38" s="174"/>
      <c r="C38" s="174"/>
      <c r="D38" s="174"/>
      <c r="E38" s="174"/>
      <c r="F38" s="174"/>
      <c r="G38" s="174"/>
      <c r="H38" s="174"/>
      <c r="I38" s="174"/>
      <c r="J38" s="642"/>
      <c r="K38" s="642"/>
      <c r="L38" s="644"/>
      <c r="M38" s="434"/>
      <c r="N38" s="136"/>
      <c r="O38" s="576" t="s">
        <v>29</v>
      </c>
      <c r="P38" s="577"/>
      <c r="Q38" s="647">
        <v>101.92</v>
      </c>
      <c r="R38" s="647">
        <v>36.450000000000003</v>
      </c>
      <c r="S38" s="648">
        <v>24.58</v>
      </c>
      <c r="T38" s="174"/>
      <c r="U38" s="174"/>
      <c r="V38" s="174"/>
      <c r="W38" s="174"/>
      <c r="X38" s="174"/>
      <c r="Y38" s="174"/>
      <c r="Z38" s="174"/>
      <c r="AA38" s="174"/>
      <c r="AB38" s="174"/>
      <c r="AC38" s="174"/>
      <c r="AD38" s="174"/>
      <c r="AE38" s="174"/>
      <c r="AF38" s="174"/>
      <c r="AG38" s="174"/>
      <c r="AH38" s="104"/>
    </row>
    <row r="39" spans="1:45" ht="26.25" customHeight="1" thickBot="1" x14ac:dyDescent="0.3">
      <c r="A39" s="103"/>
      <c r="B39" s="174"/>
      <c r="C39" s="174"/>
      <c r="D39" s="174"/>
      <c r="E39" s="174"/>
      <c r="F39" s="174"/>
      <c r="G39" s="174"/>
      <c r="H39" s="174"/>
      <c r="I39" s="174"/>
      <c r="J39" s="597" t="s">
        <v>140</v>
      </c>
      <c r="K39" s="597"/>
      <c r="L39" s="178" t="s">
        <v>122</v>
      </c>
      <c r="M39" s="135" t="str">
        <f>IF(M41="-","-",IF(M37="","",(M37*M41)/M40))</f>
        <v>-</v>
      </c>
      <c r="N39" s="103"/>
      <c r="O39" s="576"/>
      <c r="P39" s="577"/>
      <c r="Q39" s="647"/>
      <c r="R39" s="647"/>
      <c r="S39" s="648"/>
      <c r="T39" s="174"/>
      <c r="U39" s="649"/>
      <c r="V39" s="650"/>
      <c r="W39" s="634">
        <f>Q19</f>
        <v>56</v>
      </c>
      <c r="X39" s="635"/>
      <c r="Y39" s="635"/>
      <c r="Z39" s="635"/>
      <c r="AA39" s="634">
        <f>R19</f>
        <v>25</v>
      </c>
      <c r="AB39" s="635"/>
      <c r="AC39" s="636"/>
      <c r="AD39" s="635">
        <f>S19</f>
        <v>10</v>
      </c>
      <c r="AE39" s="635"/>
      <c r="AF39" s="635"/>
      <c r="AG39" s="636"/>
      <c r="AH39" s="194"/>
    </row>
    <row r="40" spans="1:45" ht="27" customHeight="1" thickBot="1" x14ac:dyDescent="0.3">
      <c r="A40" s="103"/>
      <c r="B40" s="174"/>
      <c r="C40" s="174"/>
      <c r="D40" s="174"/>
      <c r="E40" s="174"/>
      <c r="F40" s="174"/>
      <c r="G40" s="174"/>
      <c r="H40" s="174"/>
      <c r="I40" s="174"/>
      <c r="J40" s="597" t="s">
        <v>141</v>
      </c>
      <c r="K40" s="597"/>
      <c r="L40" s="178" t="s">
        <v>169</v>
      </c>
      <c r="M40" s="137">
        <f>M37*1000*9.81/1000</f>
        <v>17.509815468274141</v>
      </c>
      <c r="N40" s="103"/>
      <c r="O40" s="628" t="s">
        <v>10</v>
      </c>
      <c r="P40" s="629"/>
      <c r="Q40" s="125">
        <f>((Q35-Q37)/(Q37-Q38))*100</f>
        <v>21.752343292325726</v>
      </c>
      <c r="R40" s="125">
        <f>((R35-R37)/(R37-R38))*100</f>
        <v>21.700001538667646</v>
      </c>
      <c r="S40" s="126">
        <f>((S35-S37)/(S37-S38))*100</f>
        <v>21.659901089165018</v>
      </c>
      <c r="T40" s="174"/>
      <c r="U40" s="645" t="s">
        <v>151</v>
      </c>
      <c r="V40" s="646"/>
      <c r="W40" s="423">
        <f>(AM79/6.9)*100</f>
        <v>6.4062171812644397</v>
      </c>
      <c r="X40" s="423"/>
      <c r="Y40" s="423"/>
      <c r="Z40" s="424"/>
      <c r="AA40" s="425">
        <f>(AO79/6.9)*100</f>
        <v>4.054567836243316</v>
      </c>
      <c r="AB40" s="426"/>
      <c r="AC40" s="427"/>
      <c r="AD40" s="425">
        <f>(AQ79/6.9)*100</f>
        <v>2.3921950233835565</v>
      </c>
      <c r="AE40" s="426"/>
      <c r="AF40" s="426"/>
      <c r="AG40" s="428"/>
      <c r="AH40" s="195"/>
    </row>
    <row r="41" spans="1:45" ht="27" customHeight="1" thickBot="1" x14ac:dyDescent="0.3">
      <c r="A41" s="103"/>
      <c r="B41" s="174"/>
      <c r="C41" s="174"/>
      <c r="D41" s="174"/>
      <c r="E41" s="174"/>
      <c r="F41" s="174"/>
      <c r="G41" s="174"/>
      <c r="H41" s="174"/>
      <c r="I41" s="174"/>
      <c r="J41" s="597" t="s">
        <v>142</v>
      </c>
      <c r="K41" s="597"/>
      <c r="L41" s="178" t="s">
        <v>169</v>
      </c>
      <c r="M41" s="137" t="str">
        <f>IF(M25&lt;=5,"-",IF(M25&gt;5,IF(M25="","",((100*M30*M33*M31)/(M30*M26+M31*M28*M33)))))</f>
        <v>-</v>
      </c>
      <c r="N41" s="138"/>
      <c r="O41" s="565" t="s">
        <v>36</v>
      </c>
      <c r="P41" s="566"/>
      <c r="Q41" s="566"/>
      <c r="R41" s="566"/>
      <c r="S41" s="567"/>
      <c r="T41" s="174"/>
      <c r="U41" s="653" t="s">
        <v>152</v>
      </c>
      <c r="V41" s="654"/>
      <c r="W41" s="418">
        <f>(AM83/10.3)*100</f>
        <v>7.7137228889022875</v>
      </c>
      <c r="X41" s="418"/>
      <c r="Y41" s="418"/>
      <c r="Z41" s="419"/>
      <c r="AA41" s="420">
        <f>(AO83/10.3)*100</f>
        <v>4.8821030942419554</v>
      </c>
      <c r="AB41" s="421"/>
      <c r="AC41" s="418"/>
      <c r="AD41" s="420">
        <f>(AQ83/10.3)*100</f>
        <v>2.8804408256027534</v>
      </c>
      <c r="AE41" s="421"/>
      <c r="AF41" s="421"/>
      <c r="AG41" s="422"/>
      <c r="AH41" s="195"/>
    </row>
    <row r="42" spans="1:45" ht="27" customHeight="1" thickBot="1" x14ac:dyDescent="0.3">
      <c r="A42" s="103"/>
      <c r="B42" s="174"/>
      <c r="C42" s="174"/>
      <c r="D42" s="174"/>
      <c r="E42" s="174"/>
      <c r="F42" s="174"/>
      <c r="G42" s="174"/>
      <c r="H42" s="174"/>
      <c r="I42" s="174"/>
      <c r="J42" s="597" t="s">
        <v>123</v>
      </c>
      <c r="K42" s="597"/>
      <c r="L42" s="178" t="s">
        <v>41</v>
      </c>
      <c r="M42" s="139">
        <f>IF(F74="","",((-F75)/(2*F74)))</f>
        <v>21.256345177664976</v>
      </c>
      <c r="N42" s="103"/>
      <c r="O42" s="639" t="s">
        <v>9</v>
      </c>
      <c r="P42" s="640"/>
      <c r="Q42" s="148">
        <v>382</v>
      </c>
      <c r="R42" s="148">
        <v>456</v>
      </c>
      <c r="S42" s="149">
        <v>895</v>
      </c>
      <c r="T42" s="174"/>
      <c r="U42" s="651" t="s">
        <v>42</v>
      </c>
      <c r="V42" s="652"/>
      <c r="W42" s="413">
        <f>IF(W40&lt;W41,W40,W41)</f>
        <v>6.4062171812644397</v>
      </c>
      <c r="X42" s="414"/>
      <c r="Y42" s="414"/>
      <c r="Z42" s="415"/>
      <c r="AA42" s="416">
        <f>IF(AA40&lt;AA41,AA40,AA41)</f>
        <v>4.054567836243316</v>
      </c>
      <c r="AB42" s="414"/>
      <c r="AC42" s="415"/>
      <c r="AD42" s="416">
        <f>IF(AD40&lt;AD41,AD40,AD41)</f>
        <v>2.3921950233835565</v>
      </c>
      <c r="AE42" s="414"/>
      <c r="AF42" s="414"/>
      <c r="AG42" s="417"/>
      <c r="AH42" s="196"/>
    </row>
    <row r="43" spans="1:45" ht="5.0999999999999996" customHeight="1" thickBot="1" x14ac:dyDescent="0.3">
      <c r="A43" s="103"/>
      <c r="B43" s="174"/>
      <c r="C43" s="174"/>
      <c r="D43" s="174"/>
      <c r="E43" s="174"/>
      <c r="F43" s="174"/>
      <c r="G43" s="174"/>
      <c r="H43" s="174"/>
      <c r="I43" s="174"/>
      <c r="J43" s="597" t="s">
        <v>124</v>
      </c>
      <c r="K43" s="597"/>
      <c r="L43" s="598" t="s">
        <v>41</v>
      </c>
      <c r="M43" s="407" t="str">
        <f>IF(M41="-","-",(M42*S94)+(S93*S95))</f>
        <v>-</v>
      </c>
      <c r="N43" s="103"/>
      <c r="O43" s="612" t="s">
        <v>49</v>
      </c>
      <c r="P43" s="614"/>
      <c r="Q43" s="608">
        <v>778.51</v>
      </c>
      <c r="R43" s="608">
        <v>622.91</v>
      </c>
      <c r="S43" s="620">
        <v>613.02</v>
      </c>
      <c r="T43" s="174"/>
      <c r="U43" s="215"/>
      <c r="V43" s="215"/>
      <c r="W43" s="216"/>
      <c r="X43" s="216"/>
      <c r="Y43" s="216"/>
      <c r="Z43" s="216"/>
      <c r="AA43" s="216"/>
      <c r="AB43" s="216"/>
      <c r="AC43" s="216"/>
      <c r="AD43" s="216"/>
      <c r="AE43" s="216"/>
      <c r="AF43" s="216"/>
      <c r="AG43" s="216"/>
      <c r="AH43" s="197"/>
    </row>
    <row r="44" spans="1:45" ht="20.100000000000001" customHeight="1" thickBot="1" x14ac:dyDescent="0.3">
      <c r="A44" s="103"/>
      <c r="B44" s="174"/>
      <c r="C44" s="174"/>
      <c r="D44" s="174"/>
      <c r="E44" s="174"/>
      <c r="F44" s="174"/>
      <c r="G44" s="174"/>
      <c r="H44" s="174"/>
      <c r="I44" s="174"/>
      <c r="J44" s="597"/>
      <c r="K44" s="597"/>
      <c r="L44" s="598"/>
      <c r="M44" s="408"/>
      <c r="N44" s="103"/>
      <c r="O44" s="615"/>
      <c r="P44" s="617"/>
      <c r="Q44" s="609"/>
      <c r="R44" s="609"/>
      <c r="S44" s="621"/>
      <c r="T44" s="174"/>
      <c r="U44" s="634" t="s">
        <v>153</v>
      </c>
      <c r="V44" s="635"/>
      <c r="W44" s="635"/>
      <c r="X44" s="635"/>
      <c r="Y44" s="635"/>
      <c r="Z44" s="636"/>
      <c r="AA44" s="210"/>
      <c r="AB44" s="565" t="s">
        <v>30</v>
      </c>
      <c r="AC44" s="566"/>
      <c r="AD44" s="566"/>
      <c r="AE44" s="566"/>
      <c r="AF44" s="566"/>
      <c r="AG44" s="566"/>
      <c r="AH44" s="567"/>
      <c r="AJ44" s="655"/>
      <c r="AK44" s="655"/>
      <c r="AL44" s="655"/>
      <c r="AM44" s="655"/>
      <c r="AN44" s="655"/>
    </row>
    <row r="45" spans="1:45" ht="29.25" customHeight="1" thickBot="1" x14ac:dyDescent="0.3">
      <c r="A45" s="103"/>
      <c r="B45" s="174"/>
      <c r="C45" s="174"/>
      <c r="D45" s="174"/>
      <c r="E45" s="174"/>
      <c r="F45" s="174"/>
      <c r="G45" s="174"/>
      <c r="H45" s="174"/>
      <c r="I45" s="174"/>
      <c r="J45" s="174"/>
      <c r="K45" s="174"/>
      <c r="L45" s="174"/>
      <c r="M45" s="104"/>
      <c r="N45" s="103"/>
      <c r="O45" s="576" t="s">
        <v>28</v>
      </c>
      <c r="P45" s="577"/>
      <c r="Q45" s="150">
        <v>632.17999999999995</v>
      </c>
      <c r="R45" s="152">
        <v>489.91243873415925</v>
      </c>
      <c r="S45" s="153">
        <v>467.94976513915242</v>
      </c>
      <c r="T45" s="174"/>
      <c r="U45" s="656" t="s">
        <v>139</v>
      </c>
      <c r="V45" s="656"/>
      <c r="W45" s="179" t="s">
        <v>121</v>
      </c>
      <c r="X45" s="406">
        <f>MAX(M37:M39)</f>
        <v>1.7848945431472112</v>
      </c>
      <c r="Y45" s="406"/>
      <c r="Z45" s="406"/>
      <c r="AA45" s="174"/>
      <c r="AB45" s="657" t="s">
        <v>31</v>
      </c>
      <c r="AC45" s="658"/>
      <c r="AD45" s="658"/>
      <c r="AE45" s="658"/>
      <c r="AF45" s="231">
        <v>0.20300000000000001</v>
      </c>
      <c r="AG45" s="231">
        <v>0.1045</v>
      </c>
      <c r="AH45" s="233">
        <v>0.21</v>
      </c>
      <c r="AL45" s="172"/>
      <c r="AM45" s="172"/>
      <c r="AN45" s="172"/>
    </row>
    <row r="46" spans="1:45" ht="29.25" customHeight="1" thickBot="1" x14ac:dyDescent="0.3">
      <c r="A46" s="103"/>
      <c r="B46" s="174"/>
      <c r="C46" s="174"/>
      <c r="D46" s="174"/>
      <c r="E46" s="174"/>
      <c r="F46" s="174"/>
      <c r="G46" s="174"/>
      <c r="H46" s="174"/>
      <c r="I46" s="174"/>
      <c r="J46" s="659" t="s">
        <v>176</v>
      </c>
      <c r="K46" s="659"/>
      <c r="L46" s="659"/>
      <c r="M46" s="104"/>
      <c r="N46" s="103"/>
      <c r="O46" s="576" t="s">
        <v>29</v>
      </c>
      <c r="P46" s="577"/>
      <c r="Q46" s="150">
        <v>101.42</v>
      </c>
      <c r="R46" s="150">
        <v>36.450000000000003</v>
      </c>
      <c r="S46" s="151">
        <v>24.58</v>
      </c>
      <c r="T46" s="174"/>
      <c r="U46" s="555" t="s">
        <v>123</v>
      </c>
      <c r="V46" s="555"/>
      <c r="W46" s="179" t="s">
        <v>41</v>
      </c>
      <c r="X46" s="401">
        <f>MIN(M42:M44)</f>
        <v>21.256345177664976</v>
      </c>
      <c r="Y46" s="401"/>
      <c r="Z46" s="401"/>
      <c r="AA46" s="174"/>
      <c r="AB46" s="660" t="s">
        <v>32</v>
      </c>
      <c r="AC46" s="661"/>
      <c r="AD46" s="661"/>
      <c r="AE46" s="661"/>
      <c r="AF46" s="234">
        <v>0.21099999999999999</v>
      </c>
      <c r="AG46" s="234">
        <v>0.127</v>
      </c>
      <c r="AH46" s="235">
        <v>0.2485</v>
      </c>
      <c r="AL46" s="172"/>
      <c r="AM46" s="172"/>
      <c r="AN46" s="172"/>
    </row>
    <row r="47" spans="1:45" ht="27" customHeight="1" thickBot="1" x14ac:dyDescent="0.3">
      <c r="A47" s="103"/>
      <c r="B47" s="174"/>
      <c r="C47" s="174"/>
      <c r="D47" s="174"/>
      <c r="E47" s="174"/>
      <c r="F47" s="174"/>
      <c r="G47" s="174"/>
      <c r="H47" s="174"/>
      <c r="I47" s="174"/>
      <c r="J47" s="203"/>
      <c r="K47" s="202"/>
      <c r="L47" s="174"/>
      <c r="M47" s="104"/>
      <c r="N47" s="103"/>
      <c r="O47" s="602" t="s">
        <v>10</v>
      </c>
      <c r="P47" s="603"/>
      <c r="Q47" s="125">
        <f>((Q43-Q45)/(Q45-Q46))*100</f>
        <v>27.569899766372757</v>
      </c>
      <c r="R47" s="125">
        <f>((R43-R45)/(R45-R46))*100</f>
        <v>29.329344595134167</v>
      </c>
      <c r="S47" s="126">
        <f>((S43-S45)/(S45-S46))*100</f>
        <v>32.719920542014627</v>
      </c>
      <c r="T47" s="174"/>
      <c r="U47" s="555" t="s">
        <v>162</v>
      </c>
      <c r="V47" s="555"/>
      <c r="W47" s="179" t="s">
        <v>41</v>
      </c>
      <c r="X47" s="402">
        <f>IF(L25=D103,"-",IF(L25=D102,"-",IF(L25=D101,M25)))</f>
        <v>0</v>
      </c>
      <c r="Y47" s="402"/>
      <c r="Z47" s="402"/>
      <c r="AA47" s="174"/>
      <c r="AB47" s="662" t="s">
        <v>33</v>
      </c>
      <c r="AC47" s="663"/>
      <c r="AD47" s="663"/>
      <c r="AE47" s="663"/>
      <c r="AF47" s="232">
        <f>(AF46-AF45)*2.54</f>
        <v>2.0319999999999949E-2</v>
      </c>
      <c r="AG47" s="232">
        <f>(AG46-AG45)*2.54</f>
        <v>5.7150000000000013E-2</v>
      </c>
      <c r="AH47" s="239">
        <f>(AH46-AH45)*2.54</f>
        <v>9.7790000000000016E-2</v>
      </c>
    </row>
    <row r="48" spans="1:45" ht="27" customHeight="1" thickBot="1" x14ac:dyDescent="0.3">
      <c r="A48" s="103"/>
      <c r="B48" s="174"/>
      <c r="C48" s="174"/>
      <c r="D48" s="174"/>
      <c r="E48" s="174"/>
      <c r="F48" s="174"/>
      <c r="G48" s="174"/>
      <c r="H48" s="174"/>
      <c r="I48" s="174"/>
      <c r="J48" s="203"/>
      <c r="K48" s="202"/>
      <c r="L48" s="79"/>
      <c r="M48" s="26"/>
      <c r="N48" s="103"/>
      <c r="O48" s="176"/>
      <c r="P48" s="176"/>
      <c r="Q48" s="181"/>
      <c r="R48" s="181"/>
      <c r="S48" s="181"/>
      <c r="T48" s="174"/>
      <c r="U48" s="179"/>
      <c r="V48" s="179"/>
      <c r="W48" s="179"/>
      <c r="X48" s="217"/>
      <c r="Y48" s="217"/>
      <c r="Z48" s="217"/>
      <c r="AA48" s="174"/>
      <c r="AB48" s="675" t="s">
        <v>34</v>
      </c>
      <c r="AC48" s="676"/>
      <c r="AD48" s="676"/>
      <c r="AE48" s="676"/>
      <c r="AF48" s="142">
        <f>IF(AF47&lt;&gt;"",IF(Q24&lt;&gt;"",AF47/Q24*100,""),"")</f>
        <v>0.18142857142857099</v>
      </c>
      <c r="AG48" s="142">
        <f>IF(AG47&lt;&gt;"",IF(R24&lt;&gt;"",AG47/R24*100,""),"")</f>
        <v>0.45177865612648233</v>
      </c>
      <c r="AH48" s="173">
        <f>IF(AH47&lt;&gt;"",IF(S24&lt;&gt;"",AH47/S24*100,""),"")</f>
        <v>0.78609324758842458</v>
      </c>
    </row>
    <row r="49" spans="1:40" ht="5.0999999999999996" customHeight="1" thickBot="1" x14ac:dyDescent="0.3">
      <c r="A49" s="103"/>
      <c r="B49" s="174"/>
      <c r="C49" s="174"/>
      <c r="D49" s="174"/>
      <c r="E49" s="174"/>
      <c r="F49" s="174"/>
      <c r="G49" s="174"/>
      <c r="H49" s="174"/>
      <c r="I49" s="174"/>
      <c r="J49" s="203"/>
      <c r="K49" s="202"/>
      <c r="L49" s="174"/>
      <c r="M49" s="104"/>
      <c r="N49" s="103"/>
      <c r="O49" s="174"/>
      <c r="P49" s="174"/>
      <c r="Q49" s="174"/>
      <c r="R49" s="174"/>
      <c r="S49" s="174"/>
      <c r="T49" s="174"/>
      <c r="U49" s="174"/>
      <c r="V49" s="174"/>
      <c r="W49" s="174"/>
      <c r="X49" s="174"/>
      <c r="Y49" s="174"/>
      <c r="Z49" s="174"/>
      <c r="AA49" s="174"/>
      <c r="AB49" s="174"/>
      <c r="AC49" s="174"/>
      <c r="AD49" s="174"/>
      <c r="AE49" s="174"/>
      <c r="AF49" s="174"/>
      <c r="AG49" s="174"/>
      <c r="AH49" s="104"/>
    </row>
    <row r="50" spans="1:40" ht="33" customHeight="1" x14ac:dyDescent="0.25">
      <c r="A50" s="103"/>
      <c r="B50" s="174"/>
      <c r="C50" s="174"/>
      <c r="D50" s="174"/>
      <c r="E50" s="174"/>
      <c r="F50" s="174"/>
      <c r="G50" s="174"/>
      <c r="H50" s="174"/>
      <c r="I50" s="174"/>
      <c r="J50" s="677"/>
      <c r="K50" s="677"/>
      <c r="L50" s="677"/>
      <c r="M50" s="186"/>
      <c r="N50" s="103"/>
      <c r="O50" s="174"/>
      <c r="P50" s="174"/>
      <c r="Q50" s="174"/>
      <c r="R50" s="174"/>
      <c r="S50" s="174"/>
      <c r="T50" s="174"/>
      <c r="U50" s="174"/>
      <c r="V50" s="174"/>
      <c r="W50" s="174"/>
      <c r="X50" s="174"/>
      <c r="Y50" s="174"/>
      <c r="Z50" s="174"/>
      <c r="AA50" s="174"/>
      <c r="AB50" s="565" t="s">
        <v>161</v>
      </c>
      <c r="AC50" s="566"/>
      <c r="AD50" s="566"/>
      <c r="AE50" s="566"/>
      <c r="AF50" s="567"/>
      <c r="AG50" s="587" t="s">
        <v>168</v>
      </c>
      <c r="AH50" s="589"/>
      <c r="AJ50" s="42">
        <v>5.6000000000000001E-2</v>
      </c>
      <c r="AM50" s="42">
        <v>0.20300000000000001</v>
      </c>
      <c r="AN50" s="42">
        <f>1.836*AM50/43.208</f>
        <v>8.6259026106276625E-3</v>
      </c>
    </row>
    <row r="51" spans="1:40" ht="24.95" customHeight="1" x14ac:dyDescent="0.25">
      <c r="A51" s="103"/>
      <c r="B51" s="174"/>
      <c r="C51" s="174"/>
      <c r="D51" s="174"/>
      <c r="E51" s="174"/>
      <c r="F51" s="174"/>
      <c r="G51" s="174"/>
      <c r="H51" s="174"/>
      <c r="I51" s="174"/>
      <c r="J51" s="680" t="s">
        <v>98</v>
      </c>
      <c r="K51" s="680"/>
      <c r="L51" s="680"/>
      <c r="M51" s="104"/>
      <c r="N51" s="103"/>
      <c r="O51" s="174"/>
      <c r="P51" s="174"/>
      <c r="Q51" s="174"/>
      <c r="R51" s="174"/>
      <c r="S51" s="174"/>
      <c r="T51" s="174"/>
      <c r="U51" s="174"/>
      <c r="V51" s="174"/>
      <c r="W51" s="174"/>
      <c r="X51" s="174"/>
      <c r="Y51" s="174"/>
      <c r="Z51" s="174"/>
      <c r="AA51" s="174"/>
      <c r="AB51" s="583" t="str">
        <f>W19</f>
        <v xml:space="preserve">56  GOLPES </v>
      </c>
      <c r="AC51" s="584"/>
      <c r="AD51" s="584"/>
      <c r="AE51" s="584"/>
      <c r="AF51" s="150">
        <v>4556</v>
      </c>
      <c r="AG51" s="647">
        <v>4</v>
      </c>
      <c r="AH51" s="648"/>
      <c r="AJ51" s="42">
        <v>0.19700000000000001</v>
      </c>
      <c r="AM51" s="42">
        <v>2.2570000000000001</v>
      </c>
      <c r="AN51" s="42">
        <f t="shared" ref="AN51:AN61" si="6">1.836*AM51/43.208</f>
        <v>9.590473986298835E-2</v>
      </c>
    </row>
    <row r="52" spans="1:40" ht="24.95" customHeight="1" x14ac:dyDescent="0.25">
      <c r="A52" s="103"/>
      <c r="B52" s="174"/>
      <c r="C52" s="174"/>
      <c r="D52" s="174"/>
      <c r="E52" s="174"/>
      <c r="F52" s="174"/>
      <c r="G52" s="174"/>
      <c r="H52" s="174"/>
      <c r="I52" s="174"/>
      <c r="J52" s="664" t="s">
        <v>99</v>
      </c>
      <c r="K52" s="664"/>
      <c r="L52" s="664"/>
      <c r="M52" s="104"/>
      <c r="N52" s="103"/>
      <c r="O52" s="174"/>
      <c r="P52" s="174"/>
      <c r="Q52" s="174"/>
      <c r="R52" s="174"/>
      <c r="S52" s="174"/>
      <c r="T52" s="174"/>
      <c r="U52" s="174"/>
      <c r="V52" s="174"/>
      <c r="W52" s="174"/>
      <c r="X52" s="174"/>
      <c r="Y52" s="174"/>
      <c r="Z52" s="174"/>
      <c r="AA52" s="174"/>
      <c r="AB52" s="583" t="str">
        <f>AA19</f>
        <v xml:space="preserve">25  GOLPES </v>
      </c>
      <c r="AC52" s="584"/>
      <c r="AD52" s="584"/>
      <c r="AE52" s="584"/>
      <c r="AF52" s="150">
        <v>4554</v>
      </c>
      <c r="AG52" s="647">
        <v>4</v>
      </c>
      <c r="AH52" s="648"/>
      <c r="AJ52" s="42">
        <v>0.42099999999999999</v>
      </c>
      <c r="AM52" s="42">
        <v>6.0460000000000003</v>
      </c>
      <c r="AN52" s="42">
        <f t="shared" si="6"/>
        <v>0.25690742455100912</v>
      </c>
    </row>
    <row r="53" spans="1:40" ht="24.95" customHeight="1" thickBot="1" x14ac:dyDescent="0.3">
      <c r="A53" s="103"/>
      <c r="B53" s="174"/>
      <c r="C53" s="174"/>
      <c r="D53" s="174"/>
      <c r="E53" s="174"/>
      <c r="F53" s="174"/>
      <c r="G53" s="174"/>
      <c r="H53" s="174"/>
      <c r="I53" s="174"/>
      <c r="M53" s="104"/>
      <c r="N53" s="103"/>
      <c r="O53" s="174"/>
      <c r="P53" s="174"/>
      <c r="Q53" s="174"/>
      <c r="R53" s="174"/>
      <c r="S53" s="174"/>
      <c r="T53" s="174"/>
      <c r="U53" s="174"/>
      <c r="V53" s="174"/>
      <c r="W53" s="174"/>
      <c r="X53" s="174"/>
      <c r="Y53" s="174"/>
      <c r="Z53" s="174"/>
      <c r="AA53" s="174"/>
      <c r="AB53" s="761" t="str">
        <f>AE19</f>
        <v xml:space="preserve">10  GOLPES </v>
      </c>
      <c r="AC53" s="762"/>
      <c r="AD53" s="762"/>
      <c r="AE53" s="762"/>
      <c r="AF53" s="207">
        <v>4554</v>
      </c>
      <c r="AG53" s="763">
        <v>4</v>
      </c>
      <c r="AH53" s="764"/>
      <c r="AJ53" s="42">
        <v>0.66500000000000004</v>
      </c>
      <c r="AM53" s="42">
        <v>8.7669999999999995</v>
      </c>
      <c r="AN53" s="42">
        <f t="shared" si="6"/>
        <v>0.37252851323828923</v>
      </c>
    </row>
    <row r="54" spans="1:40" ht="24.95" customHeight="1" x14ac:dyDescent="0.25">
      <c r="A54" s="103"/>
      <c r="B54" s="174"/>
      <c r="C54" s="174"/>
      <c r="D54" s="174"/>
      <c r="E54" s="174"/>
      <c r="F54" s="174"/>
      <c r="G54" s="174"/>
      <c r="H54" s="174"/>
      <c r="I54" s="174"/>
      <c r="J54" s="659" t="s">
        <v>177</v>
      </c>
      <c r="K54" s="659"/>
      <c r="L54" s="659"/>
      <c r="M54" s="104"/>
      <c r="N54" s="103"/>
      <c r="O54" s="174"/>
      <c r="P54" s="174"/>
      <c r="Q54" s="174"/>
      <c r="R54" s="174"/>
      <c r="S54" s="174"/>
      <c r="T54" s="174"/>
      <c r="U54" s="174"/>
      <c r="V54" s="174"/>
      <c r="W54" s="174"/>
      <c r="X54" s="174"/>
      <c r="Y54" s="174"/>
      <c r="Z54" s="174"/>
      <c r="AA54" s="671" t="s">
        <v>176</v>
      </c>
      <c r="AB54" s="671"/>
      <c r="AC54" s="671"/>
      <c r="AD54" s="671"/>
      <c r="AE54" s="174"/>
      <c r="AF54" s="671" t="s">
        <v>177</v>
      </c>
      <c r="AG54" s="671"/>
      <c r="AH54" s="674"/>
      <c r="AJ54" s="42">
        <v>0.85399999999999998</v>
      </c>
      <c r="AM54" s="42">
        <v>11.861000000000001</v>
      </c>
      <c r="AN54" s="42">
        <f t="shared" si="6"/>
        <v>0.50399916682095913</v>
      </c>
    </row>
    <row r="55" spans="1:40" ht="14.25" customHeight="1" x14ac:dyDescent="0.25">
      <c r="A55" s="103"/>
      <c r="B55" s="174"/>
      <c r="C55" s="174"/>
      <c r="D55" s="174"/>
      <c r="E55" s="174"/>
      <c r="F55" s="174"/>
      <c r="G55" s="174"/>
      <c r="H55" s="174"/>
      <c r="I55" s="174"/>
      <c r="J55" s="79"/>
      <c r="K55" s="206"/>
      <c r="L55" s="79"/>
      <c r="M55" s="104"/>
      <c r="N55" s="103"/>
      <c r="O55" s="174"/>
      <c r="P55" s="174"/>
      <c r="Q55" s="174"/>
      <c r="R55" s="174"/>
      <c r="S55" s="174"/>
      <c r="T55" s="174"/>
      <c r="U55" s="174"/>
      <c r="V55" s="174"/>
      <c r="W55" s="174"/>
      <c r="X55" s="174"/>
      <c r="Y55" s="174"/>
      <c r="Z55" s="174"/>
      <c r="AA55" s="671"/>
      <c r="AB55" s="671"/>
      <c r="AC55" s="671"/>
      <c r="AD55" s="671"/>
      <c r="AF55" s="671"/>
      <c r="AG55" s="671"/>
      <c r="AH55" s="674"/>
      <c r="AJ55" s="42">
        <v>1.0269999999999999</v>
      </c>
      <c r="AM55" s="42">
        <v>15.189</v>
      </c>
      <c r="AN55" s="42">
        <f t="shared" si="6"/>
        <v>0.64541297907794859</v>
      </c>
    </row>
    <row r="56" spans="1:40" ht="48.75" customHeight="1" x14ac:dyDescent="0.25">
      <c r="A56" s="103"/>
      <c r="B56" s="174"/>
      <c r="C56" s="174"/>
      <c r="D56" s="174"/>
      <c r="E56" s="174"/>
      <c r="F56" s="174"/>
      <c r="G56" s="174"/>
      <c r="H56" s="174"/>
      <c r="I56" s="174"/>
      <c r="J56" s="79"/>
      <c r="K56" s="79"/>
      <c r="L56" s="79"/>
      <c r="M56" s="104"/>
      <c r="N56" s="103"/>
      <c r="O56" s="174"/>
      <c r="P56" s="174"/>
      <c r="Q56" s="174"/>
      <c r="R56" s="174"/>
      <c r="S56" s="174"/>
      <c r="T56" s="174"/>
      <c r="U56" s="174"/>
      <c r="V56" s="174"/>
      <c r="W56" s="174"/>
      <c r="X56" s="174"/>
      <c r="Y56" s="174"/>
      <c r="Z56" s="174"/>
      <c r="AA56" s="203"/>
      <c r="AB56" s="202"/>
      <c r="AC56" s="202"/>
      <c r="AF56" s="203"/>
      <c r="AG56" s="202"/>
      <c r="AH56" s="198"/>
      <c r="AJ56" s="42">
        <v>1.2090000000000001</v>
      </c>
      <c r="AM56" s="42">
        <v>18.497</v>
      </c>
      <c r="AN56" s="42">
        <f t="shared" si="6"/>
        <v>0.78597694871320134</v>
      </c>
    </row>
    <row r="57" spans="1:40" ht="24.95" customHeight="1" x14ac:dyDescent="0.25">
      <c r="A57" s="103"/>
      <c r="B57" s="174"/>
      <c r="C57" s="174"/>
      <c r="D57" s="174"/>
      <c r="E57" s="174"/>
      <c r="F57" s="174"/>
      <c r="G57" s="174"/>
      <c r="H57" s="174"/>
      <c r="I57" s="174"/>
      <c r="J57" s="79"/>
      <c r="K57" s="206"/>
      <c r="L57" s="79"/>
      <c r="M57" s="205"/>
      <c r="N57" s="103"/>
      <c r="O57" s="174"/>
      <c r="P57" s="174"/>
      <c r="Q57" s="174"/>
      <c r="R57" s="174"/>
      <c r="S57" s="174"/>
      <c r="T57" s="174"/>
      <c r="U57" s="174"/>
      <c r="V57" s="174"/>
      <c r="W57" s="174"/>
      <c r="X57" s="174"/>
      <c r="Y57" s="174"/>
      <c r="Z57" s="174"/>
      <c r="AA57" s="203"/>
      <c r="AB57" s="202"/>
      <c r="AC57" s="202"/>
      <c r="AF57" s="203"/>
      <c r="AG57" s="202"/>
      <c r="AH57" s="198"/>
      <c r="AJ57" s="42">
        <v>1.377</v>
      </c>
      <c r="AM57" s="42">
        <v>20.992999999999999</v>
      </c>
      <c r="AN57" s="42">
        <f t="shared" si="6"/>
        <v>0.89203730790594338</v>
      </c>
    </row>
    <row r="58" spans="1:40" ht="15.75" x14ac:dyDescent="0.25">
      <c r="A58" s="103"/>
      <c r="B58" s="174"/>
      <c r="C58" s="174"/>
      <c r="D58" s="174"/>
      <c r="E58" s="174"/>
      <c r="F58" s="174"/>
      <c r="G58" s="174"/>
      <c r="H58" s="174"/>
      <c r="I58" s="174"/>
      <c r="J58" s="689" t="s">
        <v>189</v>
      </c>
      <c r="K58" s="689"/>
      <c r="L58" s="689"/>
      <c r="M58" s="26"/>
      <c r="N58" s="103"/>
      <c r="O58" s="174"/>
      <c r="P58" s="174"/>
      <c r="Q58" s="174"/>
      <c r="R58" s="174"/>
      <c r="S58" s="174"/>
      <c r="T58" s="174"/>
      <c r="U58" s="174"/>
      <c r="V58" s="174"/>
      <c r="W58" s="174"/>
      <c r="X58" s="174"/>
      <c r="Y58" s="174"/>
      <c r="Z58" s="174"/>
      <c r="AA58" s="203"/>
      <c r="AB58" s="202"/>
      <c r="AC58" s="202"/>
      <c r="AF58" s="203"/>
      <c r="AG58" s="203"/>
      <c r="AH58" s="198"/>
      <c r="AJ58" s="42">
        <v>1.5349999999999999</v>
      </c>
      <c r="AM58" s="42">
        <v>23.091999999999999</v>
      </c>
      <c r="AN58" s="42">
        <f t="shared" si="6"/>
        <v>0.98122829105721165</v>
      </c>
    </row>
    <row r="59" spans="1:40" x14ac:dyDescent="0.25">
      <c r="A59" s="103"/>
      <c r="B59" s="174"/>
      <c r="C59" s="174"/>
      <c r="D59" s="174"/>
      <c r="E59" s="174"/>
      <c r="F59" s="174"/>
      <c r="G59" s="174"/>
      <c r="H59" s="174"/>
      <c r="I59" s="174"/>
      <c r="J59" s="664" t="s">
        <v>179</v>
      </c>
      <c r="K59" s="664"/>
      <c r="L59" s="664"/>
      <c r="M59" s="104"/>
      <c r="N59" s="103"/>
      <c r="O59" s="174"/>
      <c r="P59" s="174"/>
      <c r="Q59" s="174"/>
      <c r="R59" s="174"/>
      <c r="S59" s="174"/>
      <c r="T59" s="174"/>
      <c r="U59" s="174"/>
      <c r="V59" s="174"/>
      <c r="W59" s="174"/>
      <c r="X59" s="174"/>
      <c r="Y59" s="174"/>
      <c r="Z59" s="174"/>
      <c r="AA59" s="204"/>
      <c r="AB59" s="204"/>
      <c r="AC59" s="204"/>
      <c r="AF59" s="203"/>
      <c r="AG59" s="202"/>
      <c r="AH59" s="198"/>
      <c r="AJ59" s="42">
        <v>2.0350000000000001</v>
      </c>
      <c r="AM59" s="42">
        <v>31.68</v>
      </c>
      <c r="AN59" s="42">
        <f t="shared" si="6"/>
        <v>1.3461507128309573</v>
      </c>
    </row>
    <row r="60" spans="1:40" ht="15.75" customHeight="1" x14ac:dyDescent="0.25">
      <c r="A60" s="103"/>
      <c r="B60" s="187" t="s">
        <v>143</v>
      </c>
      <c r="C60" s="177"/>
      <c r="D60" s="177"/>
      <c r="E60" s="177"/>
      <c r="F60" s="177"/>
      <c r="G60" s="177"/>
      <c r="H60" s="177"/>
      <c r="I60" s="177"/>
      <c r="J60" s="177"/>
      <c r="K60" s="177"/>
      <c r="L60" s="177"/>
      <c r="M60" s="104"/>
      <c r="N60" s="103"/>
      <c r="O60" s="174"/>
      <c r="P60" s="174"/>
      <c r="Q60" s="174"/>
      <c r="R60" s="174"/>
      <c r="S60" s="174"/>
      <c r="T60" s="174"/>
      <c r="U60" s="174"/>
      <c r="V60" s="174"/>
      <c r="W60" s="174"/>
      <c r="X60" s="174"/>
      <c r="Y60" s="174"/>
      <c r="Z60" s="174"/>
      <c r="AA60" s="689" t="s">
        <v>98</v>
      </c>
      <c r="AB60" s="689"/>
      <c r="AC60" s="689"/>
      <c r="AD60" s="689"/>
      <c r="AF60" s="689" t="s">
        <v>197</v>
      </c>
      <c r="AG60" s="689"/>
      <c r="AH60" s="690"/>
      <c r="AJ60" s="42">
        <v>2.4369999999999998</v>
      </c>
      <c r="AM60" s="42">
        <v>38.340000000000003</v>
      </c>
      <c r="AN60" s="42">
        <f t="shared" si="6"/>
        <v>1.6291483058692839</v>
      </c>
    </row>
    <row r="61" spans="1:40" ht="14.25" customHeight="1" x14ac:dyDescent="0.25">
      <c r="A61" s="103"/>
      <c r="B61" s="174"/>
      <c r="C61" s="175"/>
      <c r="D61" s="175"/>
      <c r="E61" s="175"/>
      <c r="F61" s="175"/>
      <c r="G61" s="175"/>
      <c r="H61" s="176"/>
      <c r="I61" s="174"/>
      <c r="J61" s="174"/>
      <c r="K61" s="174"/>
      <c r="L61" s="174"/>
      <c r="M61" s="104"/>
      <c r="N61" s="103"/>
      <c r="O61" s="174"/>
      <c r="P61" s="174"/>
      <c r="Q61" s="174"/>
      <c r="R61" s="174"/>
      <c r="S61" s="174"/>
      <c r="T61" s="174"/>
      <c r="U61" s="174"/>
      <c r="V61" s="174"/>
      <c r="W61" s="174"/>
      <c r="X61" s="174"/>
      <c r="Y61" s="174"/>
      <c r="Z61" s="174"/>
      <c r="AA61" s="664" t="s">
        <v>99</v>
      </c>
      <c r="AB61" s="664"/>
      <c r="AC61" s="664"/>
      <c r="AD61" s="664"/>
      <c r="AF61" s="664" t="s">
        <v>179</v>
      </c>
      <c r="AG61" s="664"/>
      <c r="AH61" s="691"/>
      <c r="AJ61" s="42">
        <v>2.7909999999999999</v>
      </c>
      <c r="AM61" s="42">
        <v>43.207999999999998</v>
      </c>
      <c r="AN61" s="42">
        <f t="shared" si="6"/>
        <v>1.8360000000000001</v>
      </c>
    </row>
    <row r="62" spans="1:40" ht="15.75" x14ac:dyDescent="0.25">
      <c r="A62" s="103"/>
      <c r="C62" s="684"/>
      <c r="D62" s="684"/>
      <c r="E62" s="684"/>
      <c r="F62" s="684"/>
      <c r="G62" s="684"/>
      <c r="H62" s="684"/>
      <c r="I62" s="174"/>
      <c r="M62" s="186"/>
      <c r="N62" s="103"/>
      <c r="O62" s="174"/>
      <c r="P62" s="174"/>
      <c r="Q62" s="174"/>
      <c r="R62" s="174"/>
      <c r="S62" s="174"/>
      <c r="T62" s="174"/>
      <c r="U62" s="174"/>
      <c r="V62" s="174"/>
      <c r="W62" s="174"/>
      <c r="X62" s="174"/>
      <c r="Y62" s="174"/>
      <c r="Z62" s="174"/>
      <c r="AA62" s="664"/>
      <c r="AB62" s="664"/>
      <c r="AC62" s="664"/>
      <c r="AD62" s="664"/>
      <c r="AE62" s="79"/>
      <c r="AF62" s="664"/>
      <c r="AG62" s="664"/>
      <c r="AH62" s="691"/>
    </row>
    <row r="63" spans="1:40" ht="15.75" x14ac:dyDescent="0.25">
      <c r="A63" s="103"/>
      <c r="B63" s="175"/>
      <c r="C63" s="684"/>
      <c r="D63" s="684"/>
      <c r="E63" s="684"/>
      <c r="F63" s="684"/>
      <c r="G63" s="684"/>
      <c r="H63" s="684"/>
      <c r="I63" s="174"/>
      <c r="M63" s="186"/>
      <c r="N63" s="103"/>
      <c r="O63" s="174"/>
      <c r="P63" s="174"/>
      <c r="Q63" s="174"/>
      <c r="R63" s="174"/>
      <c r="S63" s="174"/>
      <c r="T63" s="174"/>
      <c r="U63" s="174"/>
      <c r="V63" s="174"/>
      <c r="W63" s="174"/>
      <c r="X63" s="174"/>
      <c r="Y63" s="174"/>
      <c r="Z63" s="174"/>
      <c r="AH63" s="186"/>
    </row>
    <row r="64" spans="1:40" ht="15.75" x14ac:dyDescent="0.25">
      <c r="A64" s="103"/>
      <c r="B64" s="684" t="s">
        <v>186</v>
      </c>
      <c r="C64" s="684"/>
      <c r="D64" s="684"/>
      <c r="E64" s="684"/>
      <c r="F64" s="684"/>
      <c r="G64" s="684"/>
      <c r="H64" s="684"/>
      <c r="I64" s="684"/>
      <c r="J64" s="684"/>
      <c r="K64" s="684"/>
      <c r="L64" s="684"/>
      <c r="M64" s="685"/>
      <c r="N64" s="103"/>
      <c r="O64" s="598" t="s">
        <v>186</v>
      </c>
      <c r="P64" s="598"/>
      <c r="Q64" s="598"/>
      <c r="R64" s="598"/>
      <c r="S64" s="598"/>
      <c r="T64" s="598"/>
      <c r="U64" s="598"/>
      <c r="V64" s="598"/>
      <c r="W64" s="598"/>
      <c r="X64" s="598"/>
      <c r="Y64" s="598"/>
      <c r="Z64" s="598"/>
      <c r="AA64" s="598"/>
      <c r="AB64" s="598"/>
      <c r="AC64" s="598"/>
      <c r="AD64" s="598"/>
      <c r="AE64" s="598"/>
      <c r="AF64" s="598"/>
      <c r="AG64" s="598"/>
      <c r="AH64" s="686"/>
    </row>
    <row r="65" spans="1:94" ht="15" customHeight="1" x14ac:dyDescent="0.25">
      <c r="A65" s="103"/>
      <c r="B65" s="687" t="s">
        <v>196</v>
      </c>
      <c r="C65" s="687"/>
      <c r="D65" s="687"/>
      <c r="E65" s="687"/>
      <c r="F65" s="687"/>
      <c r="G65" s="687"/>
      <c r="H65" s="687"/>
      <c r="I65" s="687"/>
      <c r="J65" s="687"/>
      <c r="K65" s="687"/>
      <c r="L65" s="687"/>
      <c r="M65" s="688"/>
      <c r="N65" s="103"/>
      <c r="O65" s="687" t="s">
        <v>196</v>
      </c>
      <c r="P65" s="687"/>
      <c r="Q65" s="687"/>
      <c r="R65" s="687"/>
      <c r="S65" s="687"/>
      <c r="T65" s="687"/>
      <c r="U65" s="687"/>
      <c r="V65" s="687"/>
      <c r="W65" s="687"/>
      <c r="X65" s="687"/>
      <c r="Y65" s="687"/>
      <c r="Z65" s="687"/>
      <c r="AA65" s="687"/>
      <c r="AB65" s="687"/>
      <c r="AC65" s="687"/>
      <c r="AD65" s="687"/>
      <c r="AE65" s="687"/>
      <c r="AF65" s="687"/>
      <c r="AG65" s="687"/>
      <c r="AH65" s="688"/>
    </row>
    <row r="66" spans="1:94" ht="34.5" customHeight="1" x14ac:dyDescent="0.25">
      <c r="A66" s="103"/>
      <c r="B66" s="687"/>
      <c r="C66" s="687"/>
      <c r="D66" s="687"/>
      <c r="E66" s="687"/>
      <c r="F66" s="687"/>
      <c r="G66" s="687"/>
      <c r="H66" s="687"/>
      <c r="I66" s="687"/>
      <c r="J66" s="687"/>
      <c r="K66" s="687"/>
      <c r="L66" s="687"/>
      <c r="M66" s="688"/>
      <c r="N66" s="103"/>
      <c r="O66" s="687"/>
      <c r="P66" s="687"/>
      <c r="Q66" s="687"/>
      <c r="R66" s="687"/>
      <c r="S66" s="687"/>
      <c r="T66" s="687"/>
      <c r="U66" s="687"/>
      <c r="V66" s="687"/>
      <c r="W66" s="687"/>
      <c r="X66" s="687"/>
      <c r="Y66" s="687"/>
      <c r="Z66" s="687"/>
      <c r="AA66" s="687"/>
      <c r="AB66" s="687"/>
      <c r="AC66" s="687"/>
      <c r="AD66" s="687"/>
      <c r="AE66" s="687"/>
      <c r="AF66" s="687"/>
      <c r="AG66" s="687"/>
      <c r="AH66" s="688"/>
      <c r="AL66" s="42" t="s">
        <v>323</v>
      </c>
    </row>
    <row r="67" spans="1:94" ht="15" customHeight="1" thickBot="1" x14ac:dyDescent="0.3">
      <c r="A67" s="692" t="s">
        <v>97</v>
      </c>
      <c r="B67" s="693"/>
      <c r="C67" s="693"/>
      <c r="D67" s="693"/>
      <c r="E67" s="693"/>
      <c r="F67" s="693"/>
      <c r="G67" s="693"/>
      <c r="H67" s="693"/>
      <c r="I67" s="693"/>
      <c r="J67" s="693"/>
      <c r="K67" s="693"/>
      <c r="L67" s="693"/>
      <c r="M67" s="694"/>
      <c r="N67" s="143"/>
      <c r="O67" s="693" t="s">
        <v>97</v>
      </c>
      <c r="P67" s="693"/>
      <c r="Q67" s="693"/>
      <c r="R67" s="693"/>
      <c r="S67" s="693"/>
      <c r="T67" s="693"/>
      <c r="U67" s="693"/>
      <c r="V67" s="693"/>
      <c r="W67" s="693"/>
      <c r="X67" s="693"/>
      <c r="Y67" s="693"/>
      <c r="Z67" s="693"/>
      <c r="AA67" s="693"/>
      <c r="AB67" s="693"/>
      <c r="AC67" s="693"/>
      <c r="AD67" s="693"/>
      <c r="AE67" s="693"/>
      <c r="AF67" s="693"/>
      <c r="AG67" s="693"/>
      <c r="AH67" s="694"/>
    </row>
    <row r="68" spans="1:94" ht="15.75" thickBot="1" x14ac:dyDescent="0.3"/>
    <row r="69" spans="1:94" ht="15.75" thickBot="1" x14ac:dyDescent="0.3">
      <c r="B69" s="695" t="s">
        <v>101</v>
      </c>
      <c r="C69" s="696"/>
      <c r="D69" s="51"/>
    </row>
    <row r="70" spans="1:94" ht="15.75" thickBot="1" x14ac:dyDescent="0.3">
      <c r="CP70" s="38"/>
    </row>
    <row r="71" spans="1:94" ht="15" customHeight="1" thickBot="1" x14ac:dyDescent="0.3">
      <c r="B71" s="697" t="s">
        <v>91</v>
      </c>
      <c r="C71" s="698"/>
      <c r="D71" s="40"/>
      <c r="E71" s="41"/>
      <c r="F71" s="41"/>
      <c r="G71" s="41"/>
      <c r="H71" s="41"/>
      <c r="I71" s="41"/>
      <c r="J71" s="41"/>
      <c r="AJ71" s="83" t="s">
        <v>14</v>
      </c>
      <c r="AK71" s="86"/>
      <c r="AL71" s="84" t="s">
        <v>43</v>
      </c>
      <c r="AM71" s="85"/>
      <c r="AN71" s="84" t="s">
        <v>22</v>
      </c>
      <c r="AO71" s="85"/>
      <c r="AP71" s="84" t="s">
        <v>23</v>
      </c>
      <c r="AQ71" s="85"/>
    </row>
    <row r="72" spans="1:94" ht="26.25" customHeight="1" thickBot="1" x14ac:dyDescent="0.3">
      <c r="A72" s="11"/>
      <c r="B72" s="377" t="s">
        <v>110</v>
      </c>
      <c r="C72" s="377"/>
      <c r="D72" s="17"/>
      <c r="M72" s="71" t="s">
        <v>118</v>
      </c>
      <c r="N72" s="70"/>
      <c r="V72" s="72"/>
      <c r="W72" s="77"/>
      <c r="X72" s="77"/>
      <c r="Y72" s="77"/>
      <c r="Z72" s="72"/>
      <c r="AA72" s="72"/>
      <c r="AF72" s="72"/>
      <c r="AG72" s="72"/>
      <c r="AH72" s="72"/>
      <c r="AJ72" s="170"/>
      <c r="AK72" s="171"/>
      <c r="AL72" s="169" t="s">
        <v>15</v>
      </c>
      <c r="AM72" s="169" t="s">
        <v>16</v>
      </c>
      <c r="AN72" s="169" t="s">
        <v>17</v>
      </c>
      <c r="AO72" s="169" t="s">
        <v>16</v>
      </c>
      <c r="AP72" s="169" t="s">
        <v>17</v>
      </c>
      <c r="AQ72" s="169" t="s">
        <v>16</v>
      </c>
    </row>
    <row r="73" spans="1:94" ht="26.25" customHeight="1" thickBot="1" x14ac:dyDescent="0.25">
      <c r="A73" s="11"/>
      <c r="B73" s="377" t="s">
        <v>111</v>
      </c>
      <c r="C73" s="377"/>
      <c r="D73" s="16"/>
      <c r="J73" s="699" t="s">
        <v>104</v>
      </c>
      <c r="K73" s="700"/>
      <c r="O73" s="82">
        <v>10.5</v>
      </c>
      <c r="U73" s="72"/>
      <c r="AB73" s="72"/>
      <c r="AC73" s="72"/>
      <c r="AD73" s="72"/>
      <c r="AE73" s="72"/>
      <c r="AJ73" s="168" t="s">
        <v>18</v>
      </c>
      <c r="AK73" s="6" t="s">
        <v>19</v>
      </c>
      <c r="AL73" s="6" t="s">
        <v>20</v>
      </c>
      <c r="AM73" s="6" t="s">
        <v>21</v>
      </c>
      <c r="AN73" s="6" t="s">
        <v>20</v>
      </c>
      <c r="AO73" s="6" t="s">
        <v>21</v>
      </c>
      <c r="AP73" s="6" t="s">
        <v>20</v>
      </c>
      <c r="AQ73" s="167" t="s">
        <v>21</v>
      </c>
    </row>
    <row r="74" spans="1:94" ht="26.25" customHeight="1" thickBot="1" x14ac:dyDescent="0.3">
      <c r="A74" s="11"/>
      <c r="B74" s="377" t="s">
        <v>112</v>
      </c>
      <c r="C74" s="377"/>
      <c r="D74" s="18"/>
      <c r="E74" s="52" t="s">
        <v>11</v>
      </c>
      <c r="F74" s="53">
        <v>-1.9699999999999999E-2</v>
      </c>
      <c r="G74" s="75">
        <v>-0.12509999999999999</v>
      </c>
      <c r="J74" s="701"/>
      <c r="K74" s="702"/>
      <c r="L74" s="44"/>
      <c r="M74" s="44"/>
      <c r="N74" s="44"/>
    </row>
    <row r="75" spans="1:94" ht="26.25" customHeight="1" thickBot="1" x14ac:dyDescent="0.3">
      <c r="A75" s="11"/>
      <c r="B75" s="377" t="s">
        <v>113</v>
      </c>
      <c r="C75" s="377"/>
      <c r="D75" s="19"/>
      <c r="E75" s="54" t="s">
        <v>12</v>
      </c>
      <c r="F75" s="55">
        <v>0.83750000000000002</v>
      </c>
      <c r="G75" s="74">
        <v>3.6941000000000002</v>
      </c>
      <c r="J75" s="703"/>
      <c r="K75" s="704"/>
      <c r="L75" s="44"/>
      <c r="M75" s="44"/>
      <c r="N75" s="44"/>
      <c r="O75" s="44"/>
      <c r="P75" s="44"/>
      <c r="Q75" s="44"/>
      <c r="R75" s="44"/>
      <c r="S75" s="44"/>
      <c r="T75" s="44"/>
      <c r="V75" s="44"/>
      <c r="W75" s="44"/>
      <c r="X75" s="44"/>
      <c r="Y75" s="44"/>
      <c r="Z75" s="44"/>
      <c r="AA75" s="44"/>
      <c r="AF75" s="44"/>
      <c r="AG75" s="44"/>
      <c r="AH75" s="44"/>
      <c r="AJ75" s="160">
        <f>U22</f>
        <v>5.0000000000000001E-3</v>
      </c>
      <c r="AK75" s="3">
        <f>AJ75*25.4</f>
        <v>0.127</v>
      </c>
      <c r="AL75" s="5">
        <f>W22</f>
        <v>0</v>
      </c>
      <c r="AM75" s="3">
        <f t="shared" ref="AM75:AM86" si="7">((AL75/19.32)*10)</f>
        <v>0</v>
      </c>
      <c r="AN75" s="5">
        <f>AA22</f>
        <v>0</v>
      </c>
      <c r="AO75" s="3">
        <f>((AN75/19.32)*10)</f>
        <v>0</v>
      </c>
      <c r="AP75" s="5">
        <f>AE22</f>
        <v>0</v>
      </c>
      <c r="AQ75" s="161">
        <f t="shared" ref="AQ75:AQ84" si="8">((AP75/19.32)*10)</f>
        <v>0</v>
      </c>
    </row>
    <row r="76" spans="1:94" ht="26.25" customHeight="1" thickBot="1" x14ac:dyDescent="0.3">
      <c r="A76" s="11"/>
      <c r="B76" s="377" t="s">
        <v>114</v>
      </c>
      <c r="C76" s="377"/>
      <c r="D76" s="20"/>
      <c r="E76" s="56" t="s">
        <v>13</v>
      </c>
      <c r="F76" s="57">
        <v>-7.1162000000000001</v>
      </c>
      <c r="J76" s="378">
        <v>6</v>
      </c>
      <c r="K76" s="379"/>
      <c r="O76" s="44"/>
      <c r="P76" s="44"/>
      <c r="Q76" s="44"/>
      <c r="R76" s="44"/>
      <c r="S76" s="44"/>
      <c r="T76" s="44"/>
      <c r="U76" s="44"/>
      <c r="V76" s="44"/>
      <c r="W76" s="44"/>
      <c r="X76" s="44"/>
      <c r="Y76" s="44"/>
      <c r="Z76" s="44"/>
      <c r="AA76" s="44"/>
      <c r="AB76" s="44"/>
      <c r="AC76" s="44"/>
      <c r="AD76" s="44"/>
      <c r="AE76" s="44"/>
      <c r="AF76" s="44"/>
      <c r="AG76" s="44"/>
      <c r="AH76" s="44"/>
      <c r="AJ76" s="160">
        <f>U23</f>
        <v>2.5000000000000001E-2</v>
      </c>
      <c r="AK76" s="3">
        <f t="shared" ref="AK76:AK84" si="9">AJ76*25.4</f>
        <v>0.63500000000000001</v>
      </c>
      <c r="AL76" s="5">
        <f>W23</f>
        <v>0.19700000000000001</v>
      </c>
      <c r="AM76" s="3">
        <f t="shared" si="7"/>
        <v>0.10196687370600414</v>
      </c>
      <c r="AN76" s="5">
        <f>AA23</f>
        <v>0.12468354430379747</v>
      </c>
      <c r="AO76" s="3">
        <f t="shared" ref="AO76:AO86" si="10">((AN76/19.32)*10)</f>
        <v>6.4535996016458319E-2</v>
      </c>
      <c r="AP76" s="5">
        <f>AE23</f>
        <v>7.3563291139240497E-2</v>
      </c>
      <c r="AQ76" s="161">
        <f t="shared" si="8"/>
        <v>3.8076237649710402E-2</v>
      </c>
    </row>
    <row r="77" spans="1:94" ht="26.25" customHeight="1" thickTop="1" thickBot="1" x14ac:dyDescent="0.3">
      <c r="A77" s="11"/>
      <c r="B77" s="377" t="s">
        <v>115</v>
      </c>
      <c r="C77" s="377"/>
      <c r="D77" s="15"/>
      <c r="J77" s="380"/>
      <c r="K77" s="381"/>
      <c r="U77" s="44"/>
      <c r="AB77" s="44"/>
      <c r="AC77" s="44"/>
      <c r="AD77" s="44"/>
      <c r="AE77" s="44"/>
      <c r="AJ77" s="160">
        <f>U24</f>
        <v>0.05</v>
      </c>
      <c r="AK77" s="3">
        <f t="shared" si="9"/>
        <v>1.27</v>
      </c>
      <c r="AL77" s="5">
        <f>W24</f>
        <v>0.42099999999999999</v>
      </c>
      <c r="AM77" s="3">
        <f t="shared" si="7"/>
        <v>0.21790890269151139</v>
      </c>
      <c r="AN77" s="5">
        <f>AA24</f>
        <v>0.26645569620253162</v>
      </c>
      <c r="AO77" s="3">
        <f t="shared" si="10"/>
        <v>0.13791702701994391</v>
      </c>
      <c r="AP77" s="5">
        <f>AE24</f>
        <v>0.15720886075949364</v>
      </c>
      <c r="AQ77" s="161">
        <f t="shared" si="8"/>
        <v>8.137104594176689E-2</v>
      </c>
      <c r="BD77" s="12">
        <v>19</v>
      </c>
      <c r="BE77" s="12">
        <v>20</v>
      </c>
      <c r="BF77" s="12">
        <v>21</v>
      </c>
      <c r="BG77" s="12">
        <v>22</v>
      </c>
      <c r="BH77" s="12">
        <v>23</v>
      </c>
      <c r="BI77" s="12">
        <v>24</v>
      </c>
      <c r="BJ77" s="12">
        <v>25</v>
      </c>
      <c r="BK77" s="12">
        <v>26</v>
      </c>
      <c r="BL77" s="12">
        <v>27</v>
      </c>
      <c r="BM77" s="12">
        <v>28</v>
      </c>
      <c r="BN77" s="12">
        <v>29</v>
      </c>
      <c r="BO77" s="12">
        <v>30</v>
      </c>
    </row>
    <row r="78" spans="1:94" ht="26.25" customHeight="1" thickTop="1" thickBot="1" x14ac:dyDescent="0.3">
      <c r="A78" s="13"/>
      <c r="B78" s="377" t="s">
        <v>92</v>
      </c>
      <c r="C78" s="377"/>
      <c r="D78" s="14" t="str">
        <f>+IF(D72="","",(D72*D76)/(D73+D72-D74))</f>
        <v/>
      </c>
      <c r="AJ78" s="160">
        <f>U25</f>
        <v>7.4999999999999997E-2</v>
      </c>
      <c r="AK78" s="3">
        <f t="shared" si="9"/>
        <v>1.9049999999999998</v>
      </c>
      <c r="AL78" s="5">
        <f>W25</f>
        <v>0.66500000000000004</v>
      </c>
      <c r="AM78" s="3">
        <f t="shared" si="7"/>
        <v>0.34420289855072461</v>
      </c>
      <c r="AN78" s="5">
        <f>AA25</f>
        <v>0.42088607594936711</v>
      </c>
      <c r="AO78" s="3">
        <f t="shared" si="10"/>
        <v>0.21784993579159789</v>
      </c>
      <c r="AP78" s="5">
        <f>AE25</f>
        <v>0.2483227848101266</v>
      </c>
      <c r="AQ78" s="161">
        <f t="shared" si="8"/>
        <v>0.12853146211704275</v>
      </c>
      <c r="BD78" s="45">
        <v>0.99853499999999995</v>
      </c>
      <c r="BE78" s="45">
        <v>0.99823399999999995</v>
      </c>
      <c r="BF78" s="45">
        <v>0.99802199999999996</v>
      </c>
      <c r="BG78" s="45">
        <v>0.99780100000000005</v>
      </c>
      <c r="BH78" s="45">
        <v>0.99756900000000004</v>
      </c>
      <c r="BI78" s="45">
        <v>0.99732699999999996</v>
      </c>
      <c r="BJ78" s="45">
        <v>0.99707500000000004</v>
      </c>
      <c r="BK78" s="45">
        <v>0.99681399999999998</v>
      </c>
      <c r="BL78" s="45">
        <v>0.99654399999999999</v>
      </c>
      <c r="BM78" s="45">
        <v>0.99626400000000004</v>
      </c>
      <c r="BN78" s="45">
        <v>0.99597599999999997</v>
      </c>
      <c r="BO78" s="45">
        <v>0.99567799999999995</v>
      </c>
    </row>
    <row r="79" spans="1:94" ht="17.25" thickTop="1" thickBot="1" x14ac:dyDescent="0.3">
      <c r="D79" s="49" t="s">
        <v>66</v>
      </c>
      <c r="H79" s="708" t="s">
        <v>144</v>
      </c>
      <c r="I79" s="709"/>
      <c r="J79" s="710"/>
      <c r="AJ79" s="160">
        <f>U26</f>
        <v>0.1</v>
      </c>
      <c r="AK79" s="3">
        <f t="shared" si="9"/>
        <v>2.54</v>
      </c>
      <c r="AL79" s="5">
        <f>W26</f>
        <v>0.85399999999999998</v>
      </c>
      <c r="AM79" s="4">
        <f t="shared" si="7"/>
        <v>0.44202898550724634</v>
      </c>
      <c r="AN79" s="5">
        <f>AA26</f>
        <v>0.54050632911392404</v>
      </c>
      <c r="AO79" s="4">
        <f t="shared" si="10"/>
        <v>0.27976518070078882</v>
      </c>
      <c r="AP79" s="5">
        <f>AE26</f>
        <v>0.31889873417721515</v>
      </c>
      <c r="AQ79" s="162">
        <f t="shared" si="8"/>
        <v>0.16506145661346538</v>
      </c>
      <c r="BB79" s="12">
        <v>17</v>
      </c>
      <c r="BC79" s="12">
        <v>18</v>
      </c>
    </row>
    <row r="80" spans="1:94" ht="42" customHeight="1" thickTop="1" thickBot="1" x14ac:dyDescent="0.3">
      <c r="D80" s="49"/>
      <c r="H80" s="711" t="s">
        <v>105</v>
      </c>
      <c r="I80" s="712"/>
      <c r="J80" s="58"/>
      <c r="AJ80" s="160">
        <f>U28</f>
        <v>0.125</v>
      </c>
      <c r="AK80" s="3">
        <f t="shared" si="9"/>
        <v>3.1749999999999998</v>
      </c>
      <c r="AL80" s="5">
        <f>W28</f>
        <v>1.0269999999999999</v>
      </c>
      <c r="AM80" s="3">
        <f t="shared" si="7"/>
        <v>0.53157349896480333</v>
      </c>
      <c r="AN80" s="5">
        <f>AA28</f>
        <v>0.64999999999999991</v>
      </c>
      <c r="AO80" s="3">
        <f t="shared" si="10"/>
        <v>0.33643892339544507</v>
      </c>
      <c r="AP80" s="5">
        <f>AE28</f>
        <v>0.38349999999999995</v>
      </c>
      <c r="AQ80" s="161">
        <f t="shared" si="8"/>
        <v>0.19849896480331258</v>
      </c>
      <c r="BC80" s="45">
        <v>0.99880400000000003</v>
      </c>
      <c r="BD80" s="45">
        <v>0.99862499999999998</v>
      </c>
    </row>
    <row r="81" spans="2:43" ht="15.75" customHeight="1" x14ac:dyDescent="0.25">
      <c r="AJ81" s="160">
        <f>U30</f>
        <v>0.15</v>
      </c>
      <c r="AK81" s="3">
        <f t="shared" si="9"/>
        <v>3.8099999999999996</v>
      </c>
      <c r="AL81" s="5">
        <f>W30</f>
        <v>1.2090000000000001</v>
      </c>
      <c r="AM81" s="3">
        <f t="shared" si="7"/>
        <v>0.62577639751552794</v>
      </c>
      <c r="AN81" s="5">
        <f>AA30</f>
        <v>0.76518987341772149</v>
      </c>
      <c r="AO81" s="3">
        <f t="shared" si="10"/>
        <v>0.39606101108577713</v>
      </c>
      <c r="AP81" s="5">
        <f>AE30</f>
        <v>0.45146202531645563</v>
      </c>
      <c r="AQ81" s="161">
        <f t="shared" si="8"/>
        <v>0.2336759965406085</v>
      </c>
    </row>
    <row r="82" spans="2:43" ht="36.75" customHeight="1" x14ac:dyDescent="0.25">
      <c r="B82" s="705"/>
      <c r="C82" s="705"/>
      <c r="D82" s="705"/>
      <c r="E82" s="705"/>
      <c r="F82" s="705" t="s">
        <v>159</v>
      </c>
      <c r="G82" s="705"/>
      <c r="H82" s="705"/>
      <c r="I82" s="705"/>
      <c r="J82" s="705"/>
      <c r="K82" s="705"/>
      <c r="O82" s="706" t="s">
        <v>145</v>
      </c>
      <c r="P82" s="706"/>
      <c r="Q82" s="706"/>
      <c r="R82" s="706"/>
      <c r="S82" s="707">
        <v>2.7120000000000002</v>
      </c>
      <c r="AJ82" s="160">
        <f>U31</f>
        <v>0.17499999999999999</v>
      </c>
      <c r="AK82" s="3">
        <f t="shared" si="9"/>
        <v>4.4449999999999994</v>
      </c>
      <c r="AL82" s="5">
        <f>W31</f>
        <v>1.377</v>
      </c>
      <c r="AM82" s="3">
        <f t="shared" si="7"/>
        <v>0.71273291925465831</v>
      </c>
      <c r="AN82" s="5">
        <f>AA31</f>
        <v>0.87151898734177213</v>
      </c>
      <c r="AO82" s="3">
        <f t="shared" si="10"/>
        <v>0.4510967843383914</v>
      </c>
      <c r="AP82" s="5">
        <f>AE31</f>
        <v>0.51419620253164555</v>
      </c>
      <c r="AQ82" s="161">
        <f t="shared" si="8"/>
        <v>0.26614710275965092</v>
      </c>
    </row>
    <row r="83" spans="2:43" ht="15" customHeight="1" x14ac:dyDescent="0.25">
      <c r="B83" s="49"/>
      <c r="C83" s="49"/>
      <c r="D83" s="49">
        <v>0</v>
      </c>
      <c r="E83" s="50">
        <f>M42</f>
        <v>21.256345177664976</v>
      </c>
      <c r="F83" s="49"/>
      <c r="G83" s="43">
        <f>G84/10</f>
        <v>1.9577275634281648</v>
      </c>
      <c r="H83" s="43">
        <f>H84/10</f>
        <v>1.8573031370520987</v>
      </c>
      <c r="I83" s="43">
        <f>I84/10</f>
        <v>1.754865259256174</v>
      </c>
      <c r="J83" s="43">
        <f>J84/10</f>
        <v>1.668413171682777</v>
      </c>
      <c r="K83" s="43"/>
      <c r="L83" s="42">
        <v>0</v>
      </c>
      <c r="O83" s="706"/>
      <c r="P83" s="706"/>
      <c r="Q83" s="706"/>
      <c r="R83" s="706"/>
      <c r="S83" s="707"/>
      <c r="W83" s="112"/>
      <c r="AJ83" s="160">
        <f>U33</f>
        <v>0.2</v>
      </c>
      <c r="AK83" s="4">
        <f t="shared" si="9"/>
        <v>5.08</v>
      </c>
      <c r="AL83" s="5">
        <f>W33</f>
        <v>1.5349999999999999</v>
      </c>
      <c r="AM83" s="4">
        <f t="shared" si="7"/>
        <v>0.7945134575569357</v>
      </c>
      <c r="AN83" s="5">
        <f>AA33</f>
        <v>0.97151898734177211</v>
      </c>
      <c r="AO83" s="4">
        <f t="shared" si="10"/>
        <v>0.50285661870692144</v>
      </c>
      <c r="AP83" s="5">
        <f>AE33</f>
        <v>0.57319620253164549</v>
      </c>
      <c r="AQ83" s="162">
        <f t="shared" si="8"/>
        <v>0.29668540503708363</v>
      </c>
    </row>
    <row r="84" spans="2:43" ht="15" customHeight="1" x14ac:dyDescent="0.25">
      <c r="C84" s="94"/>
      <c r="D84" s="94"/>
      <c r="E84" s="94"/>
      <c r="F84" s="49"/>
      <c r="G84" s="43">
        <f>($M$34/(1+(E34*$M$34/100)))*($O$73)</f>
        <v>19.577275634281648</v>
      </c>
      <c r="H84" s="43">
        <f>($M$34/(1+(F34*$M$34/100)))*($O$73)</f>
        <v>18.573031370520987</v>
      </c>
      <c r="I84" s="43">
        <f>($M$34/(1+(G34*$M$34/100)))*($O$73)</f>
        <v>17.548652592561741</v>
      </c>
      <c r="J84" s="43">
        <f>($M$34/(1+(H34*$M$34/100)))*($O$73)</f>
        <v>16.684131716827771</v>
      </c>
      <c r="K84" s="43"/>
      <c r="O84" s="706" t="s">
        <v>146</v>
      </c>
      <c r="P84" s="706"/>
      <c r="Q84" s="706"/>
      <c r="R84" s="706"/>
      <c r="S84" s="707">
        <v>2240</v>
      </c>
      <c r="W84" s="112"/>
      <c r="AJ84" s="160">
        <f>U34</f>
        <v>0.3</v>
      </c>
      <c r="AK84" s="3">
        <f t="shared" si="9"/>
        <v>7.6199999999999992</v>
      </c>
      <c r="AL84" s="5">
        <f>W34</f>
        <v>2.0350000000000001</v>
      </c>
      <c r="AM84" s="3">
        <f t="shared" si="7"/>
        <v>1.0533126293995858</v>
      </c>
      <c r="AN84" s="5">
        <f>AA34</f>
        <v>1.2879746835443038</v>
      </c>
      <c r="AO84" s="3">
        <f t="shared" si="10"/>
        <v>0.66665356291113032</v>
      </c>
      <c r="AP84" s="5">
        <f>AE34</f>
        <v>0.75990506329113916</v>
      </c>
      <c r="AQ84" s="161">
        <f t="shared" si="8"/>
        <v>0.39332560211756684</v>
      </c>
    </row>
    <row r="85" spans="2:43" ht="15" customHeight="1" x14ac:dyDescent="0.25">
      <c r="B85" s="94"/>
      <c r="C85" s="94"/>
      <c r="D85" s="94"/>
      <c r="E85" s="94"/>
      <c r="F85" s="49"/>
      <c r="G85" s="43"/>
      <c r="H85" s="73"/>
      <c r="I85" s="73"/>
      <c r="J85" s="73"/>
      <c r="K85" s="73"/>
      <c r="L85" s="42">
        <f>F85</f>
        <v>0</v>
      </c>
      <c r="O85" s="706"/>
      <c r="P85" s="706"/>
      <c r="Q85" s="706"/>
      <c r="R85" s="706"/>
      <c r="S85" s="707"/>
      <c r="W85" s="112"/>
      <c r="AJ85" s="160">
        <f>U35</f>
        <v>0.4</v>
      </c>
      <c r="AK85" s="3">
        <f>AJ85*25.4</f>
        <v>10.16</v>
      </c>
      <c r="AL85" s="5">
        <f>W35</f>
        <v>2.4369999999999998</v>
      </c>
      <c r="AM85" s="3">
        <f t="shared" si="7"/>
        <v>1.2613871635610765</v>
      </c>
      <c r="AN85" s="5">
        <f>AA35</f>
        <v>1.542405063291139</v>
      </c>
      <c r="AO85" s="3">
        <f t="shared" si="10"/>
        <v>0.79834630605131418</v>
      </c>
      <c r="AP85" s="5">
        <f>AE35</f>
        <v>0.910018987341772</v>
      </c>
      <c r="AQ85" s="161">
        <f>((AP85/19.32)*10)</f>
        <v>0.47102432057027532</v>
      </c>
    </row>
    <row r="86" spans="2:43" ht="15" customHeight="1" thickBot="1" x14ac:dyDescent="0.3">
      <c r="B86" s="94" t="s">
        <v>52</v>
      </c>
      <c r="C86" s="94"/>
      <c r="D86" s="94"/>
      <c r="E86" s="94"/>
      <c r="F86" s="49"/>
      <c r="G86" s="49"/>
      <c r="H86" s="49"/>
      <c r="I86" s="49"/>
      <c r="O86" s="706" t="s">
        <v>103</v>
      </c>
      <c r="P86" s="706"/>
      <c r="Q86" s="706"/>
      <c r="R86" s="706"/>
      <c r="S86" s="721">
        <v>999.52</v>
      </c>
      <c r="W86" s="112"/>
      <c r="AJ86" s="163">
        <f>U37</f>
        <v>0.5</v>
      </c>
      <c r="AK86" s="164">
        <f>AJ86*25.4</f>
        <v>12.7</v>
      </c>
      <c r="AL86" s="165">
        <f>W37</f>
        <v>2.7909999999999999</v>
      </c>
      <c r="AM86" s="164">
        <f t="shared" si="7"/>
        <v>1.4446169772256727</v>
      </c>
      <c r="AN86" s="165">
        <f>AA37</f>
        <v>1.7664556962025315</v>
      </c>
      <c r="AO86" s="164">
        <f t="shared" si="10"/>
        <v>0.91431454254789424</v>
      </c>
      <c r="AP86" s="165">
        <f>AE37</f>
        <v>1.123</v>
      </c>
      <c r="AQ86" s="166">
        <f>((AP86/19.32)*10)</f>
        <v>0.58126293995859213</v>
      </c>
    </row>
    <row r="87" spans="2:43" x14ac:dyDescent="0.25">
      <c r="B87" s="92" t="s">
        <v>54</v>
      </c>
      <c r="C87" s="93"/>
      <c r="D87" s="93"/>
      <c r="E87" s="93"/>
      <c r="F87" s="49"/>
      <c r="G87" s="49"/>
      <c r="H87" s="49"/>
      <c r="I87" s="49"/>
      <c r="O87" s="706"/>
      <c r="P87" s="706"/>
      <c r="Q87" s="706"/>
      <c r="R87" s="706"/>
      <c r="S87" s="721"/>
      <c r="W87" s="600"/>
    </row>
    <row r="88" spans="2:43" x14ac:dyDescent="0.25">
      <c r="B88" s="92" t="s">
        <v>234</v>
      </c>
      <c r="C88" s="93"/>
      <c r="D88" s="93"/>
      <c r="E88" s="93"/>
      <c r="F88" s="49"/>
      <c r="G88" s="49"/>
      <c r="H88" s="49"/>
      <c r="I88" s="49"/>
      <c r="W88" s="600"/>
    </row>
    <row r="89" spans="2:43" ht="15.75" thickBot="1" x14ac:dyDescent="0.3">
      <c r="B89" s="92" t="s">
        <v>59</v>
      </c>
      <c r="C89" s="93"/>
      <c r="D89" s="93"/>
      <c r="E89" s="93"/>
      <c r="F89" s="49"/>
      <c r="G89" s="49"/>
      <c r="H89" s="49"/>
      <c r="I89" s="49"/>
      <c r="J89" s="59"/>
      <c r="K89" s="60"/>
      <c r="L89" s="59"/>
      <c r="M89" s="60"/>
      <c r="W89" s="627"/>
    </row>
    <row r="90" spans="2:43" ht="15.75" thickBot="1" x14ac:dyDescent="0.3">
      <c r="B90" s="92" t="s">
        <v>63</v>
      </c>
      <c r="C90" s="93"/>
      <c r="D90" s="93"/>
      <c r="E90" s="93"/>
      <c r="F90" s="49"/>
      <c r="W90" s="627"/>
      <c r="AJ90" s="1" t="str">
        <f>W19</f>
        <v xml:space="preserve">56  GOLPES </v>
      </c>
      <c r="AK90" s="7" t="str">
        <f>AA19</f>
        <v xml:space="preserve">25  GOLPES </v>
      </c>
      <c r="AL90" s="2" t="str">
        <f>AE19</f>
        <v xml:space="preserve">10  GOLPES </v>
      </c>
    </row>
    <row r="91" spans="2:43" ht="21" customHeight="1" thickBot="1" x14ac:dyDescent="0.3">
      <c r="B91" s="92" t="s">
        <v>66</v>
      </c>
      <c r="C91" s="93"/>
      <c r="D91" s="93"/>
      <c r="E91" s="93"/>
      <c r="F91" s="49"/>
      <c r="G91" s="722" t="s">
        <v>48</v>
      </c>
      <c r="H91" s="723"/>
      <c r="I91" s="724"/>
      <c r="J91" s="38"/>
      <c r="W91" s="120"/>
      <c r="AJ91" s="8">
        <f>Q31</f>
        <v>1.711848130445268</v>
      </c>
      <c r="AK91" s="9">
        <f>R31</f>
        <v>1.6436999999999995</v>
      </c>
      <c r="AL91" s="10">
        <f>S31</f>
        <v>1.4979999999999993</v>
      </c>
    </row>
    <row r="92" spans="2:43" ht="21" customHeight="1" thickBot="1" x14ac:dyDescent="0.3">
      <c r="B92" s="92"/>
      <c r="C92" s="93"/>
      <c r="D92" s="93"/>
      <c r="E92" s="93"/>
      <c r="F92" s="62"/>
      <c r="G92" s="63"/>
      <c r="H92" s="49"/>
      <c r="I92" s="49"/>
      <c r="O92" s="725" t="s">
        <v>147</v>
      </c>
      <c r="P92" s="726"/>
      <c r="Q92" s="726"/>
      <c r="R92" s="726"/>
      <c r="S92" s="61">
        <f>M42</f>
        <v>21.256345177664976</v>
      </c>
      <c r="W92" s="627"/>
    </row>
    <row r="93" spans="2:43" ht="21" customHeight="1" thickBot="1" x14ac:dyDescent="0.3">
      <c r="B93" s="92"/>
      <c r="C93" s="93"/>
      <c r="D93" s="93"/>
      <c r="E93" s="93"/>
      <c r="H93" s="65"/>
      <c r="I93" s="66"/>
      <c r="O93" s="716" t="s">
        <v>148</v>
      </c>
      <c r="P93" s="717"/>
      <c r="Q93" s="717"/>
      <c r="R93" s="717"/>
      <c r="S93" s="64">
        <v>1.4</v>
      </c>
      <c r="W93" s="627"/>
      <c r="AJ93" s="713" t="s">
        <v>163</v>
      </c>
      <c r="AK93" s="714"/>
      <c r="AL93" s="715"/>
    </row>
    <row r="94" spans="2:43" ht="21" customHeight="1" thickBot="1" x14ac:dyDescent="0.3">
      <c r="B94" s="92"/>
      <c r="C94" s="93"/>
      <c r="D94" s="93"/>
      <c r="E94" s="93"/>
      <c r="O94" s="716" t="s">
        <v>149</v>
      </c>
      <c r="P94" s="717"/>
      <c r="Q94" s="717"/>
      <c r="R94" s="717"/>
      <c r="S94" s="64">
        <v>0.75</v>
      </c>
      <c r="W94" s="117"/>
      <c r="AJ94" s="158">
        <f>W42</f>
        <v>6.4062171812644397</v>
      </c>
      <c r="AK94" s="158">
        <f>AA42</f>
        <v>4.054567836243316</v>
      </c>
      <c r="AL94" s="158">
        <f>AD42</f>
        <v>2.3921950233835565</v>
      </c>
    </row>
    <row r="95" spans="2:43" ht="16.5" thickBot="1" x14ac:dyDescent="0.3">
      <c r="B95" s="49"/>
      <c r="C95" s="49"/>
      <c r="D95" s="49"/>
      <c r="O95" s="718" t="s">
        <v>150</v>
      </c>
      <c r="P95" s="719"/>
      <c r="Q95" s="719"/>
      <c r="R95" s="719"/>
      <c r="S95" s="67">
        <v>0.25</v>
      </c>
      <c r="W95" s="120"/>
    </row>
    <row r="96" spans="2:43" x14ac:dyDescent="0.25">
      <c r="B96" s="49"/>
      <c r="C96" s="49"/>
      <c r="D96" s="49"/>
      <c r="E96" s="49"/>
      <c r="W96" s="627"/>
    </row>
    <row r="97" spans="2:26" x14ac:dyDescent="0.25">
      <c r="B97" s="49"/>
      <c r="C97" s="49"/>
      <c r="D97" s="49"/>
      <c r="E97" s="49"/>
      <c r="W97" s="627"/>
    </row>
    <row r="98" spans="2:26" ht="15.75" thickBot="1" x14ac:dyDescent="0.3">
      <c r="B98" s="49"/>
      <c r="C98" s="49"/>
      <c r="D98" s="65"/>
      <c r="E98" s="68"/>
      <c r="W98" s="132"/>
      <c r="Z98" s="159"/>
    </row>
    <row r="99" spans="2:26" x14ac:dyDescent="0.25">
      <c r="B99" s="62"/>
      <c r="C99" s="69"/>
    </row>
    <row r="100" spans="2:26" x14ac:dyDescent="0.25">
      <c r="B100" s="720"/>
      <c r="C100" s="705"/>
    </row>
    <row r="101" spans="2:26" ht="21" x14ac:dyDescent="0.25">
      <c r="B101" s="720"/>
      <c r="C101" s="705"/>
      <c r="D101" s="76" t="s">
        <v>128</v>
      </c>
    </row>
    <row r="102" spans="2:26" ht="21" x14ac:dyDescent="0.25">
      <c r="B102" s="720"/>
      <c r="C102" s="705"/>
      <c r="D102" s="76" t="s">
        <v>129</v>
      </c>
    </row>
    <row r="103" spans="2:26" x14ac:dyDescent="0.25">
      <c r="D103" s="42" t="s">
        <v>90</v>
      </c>
    </row>
    <row r="109" spans="2:26" ht="24.75" customHeight="1" x14ac:dyDescent="0.25"/>
    <row r="110" spans="2:26" ht="24.75" customHeight="1" x14ac:dyDescent="0.25"/>
    <row r="111" spans="2:26" ht="24.75" customHeight="1" x14ac:dyDescent="0.25"/>
    <row r="112" spans="2:26" ht="24.75" customHeight="1" x14ac:dyDescent="0.25"/>
    <row r="113" spans="15:15" ht="24.75" customHeight="1" x14ac:dyDescent="0.25"/>
    <row r="114" spans="15:15" ht="24.75" customHeight="1" x14ac:dyDescent="0.25"/>
    <row r="115" spans="15:15" ht="24.75" customHeight="1" x14ac:dyDescent="0.25"/>
    <row r="116" spans="15:15" ht="24.75" customHeight="1" x14ac:dyDescent="0.25"/>
    <row r="117" spans="15:15" ht="24.75" customHeight="1" x14ac:dyDescent="0.25"/>
    <row r="118" spans="15:15" ht="24.75" customHeight="1" x14ac:dyDescent="0.25"/>
    <row r="119" spans="15:15" ht="24.75" customHeight="1" x14ac:dyDescent="0.25"/>
    <row r="120" spans="15:15" ht="24.75" customHeight="1" x14ac:dyDescent="0.25"/>
    <row r="121" spans="15:15" ht="24.75" customHeight="1" x14ac:dyDescent="0.25"/>
    <row r="122" spans="15:15" ht="24.75" customHeight="1" x14ac:dyDescent="0.25"/>
    <row r="123" spans="15:15" ht="24.75" customHeight="1" x14ac:dyDescent="0.25">
      <c r="O123" s="202"/>
    </row>
    <row r="124" spans="15:15" ht="24.75" customHeight="1" x14ac:dyDescent="0.25">
      <c r="O124" s="202"/>
    </row>
    <row r="125" spans="15:15" ht="24.75" customHeight="1" x14ac:dyDescent="0.25">
      <c r="O125" s="202"/>
    </row>
    <row r="126" spans="15:15" ht="24.75" customHeight="1" x14ac:dyDescent="0.25">
      <c r="O126" s="202"/>
    </row>
    <row r="127" spans="15:15" ht="42" customHeight="1" x14ac:dyDescent="0.25">
      <c r="O127" s="204"/>
    </row>
    <row r="128" spans="15:15" ht="42" customHeight="1" x14ac:dyDescent="0.25">
      <c r="O128" s="204"/>
    </row>
    <row r="129" spans="15:15" ht="42" customHeight="1" x14ac:dyDescent="0.25">
      <c r="O129" s="202"/>
    </row>
    <row r="130" spans="15:15" ht="42" customHeight="1" x14ac:dyDescent="0.25"/>
    <row r="131" spans="15:15" ht="42" customHeight="1" x14ac:dyDescent="0.25"/>
    <row r="132" spans="15:15" ht="42" customHeight="1" x14ac:dyDescent="0.25"/>
    <row r="133" spans="15:15" ht="42" customHeight="1" x14ac:dyDescent="0.25"/>
    <row r="134" spans="15:15" ht="42" customHeight="1" x14ac:dyDescent="0.25"/>
    <row r="135" spans="15:15" ht="42" customHeight="1" x14ac:dyDescent="0.25"/>
    <row r="136" spans="15:15" ht="42" customHeight="1" x14ac:dyDescent="0.25"/>
    <row r="137" spans="15:15" ht="42" customHeight="1" x14ac:dyDescent="0.25"/>
    <row r="138" spans="15:15" ht="42" customHeight="1" x14ac:dyDescent="0.25"/>
    <row r="139" spans="15:15" ht="42" customHeight="1" x14ac:dyDescent="0.25"/>
    <row r="140" spans="15:15" ht="42" customHeight="1" x14ac:dyDescent="0.25"/>
    <row r="141" spans="15:15" ht="42" customHeight="1" x14ac:dyDescent="0.25"/>
    <row r="142" spans="15:15" ht="42" customHeight="1" x14ac:dyDescent="0.25"/>
    <row r="143" spans="15:15" ht="42" customHeight="1" x14ac:dyDescent="0.25"/>
    <row r="144" spans="15:15" ht="42" customHeight="1" x14ac:dyDescent="0.25"/>
    <row r="145" ht="42" customHeight="1" x14ac:dyDescent="0.25"/>
    <row r="146" ht="42" customHeight="1" x14ac:dyDescent="0.25"/>
    <row r="147" ht="42" customHeight="1" x14ac:dyDescent="0.25"/>
    <row r="148" ht="42" customHeight="1" x14ac:dyDescent="0.25"/>
    <row r="149" ht="42" customHeight="1" x14ac:dyDescent="0.25"/>
    <row r="150" ht="42" customHeight="1" x14ac:dyDescent="0.25"/>
    <row r="151" ht="42" customHeight="1" x14ac:dyDescent="0.25"/>
    <row r="152" ht="42" customHeight="1" x14ac:dyDescent="0.25"/>
    <row r="153" ht="42" customHeight="1" x14ac:dyDescent="0.25"/>
  </sheetData>
  <sheetProtection insertColumns="0" insertRows="0" deleteColumns="0" deleteRows="0"/>
  <mergeCells count="344">
    <mergeCell ref="L3:M3"/>
    <mergeCell ref="L4:M4"/>
    <mergeCell ref="AF4:AH4"/>
    <mergeCell ref="B5:L5"/>
    <mergeCell ref="O5:AH5"/>
    <mergeCell ref="B6:C6"/>
    <mergeCell ref="D6:H6"/>
    <mergeCell ref="I6:J6"/>
    <mergeCell ref="K6:M6"/>
    <mergeCell ref="O6:P6"/>
    <mergeCell ref="B1:D4"/>
    <mergeCell ref="E1:K1"/>
    <mergeCell ref="L1:M1"/>
    <mergeCell ref="O1:Q4"/>
    <mergeCell ref="R1:AE1"/>
    <mergeCell ref="AF1:AH1"/>
    <mergeCell ref="E2:K4"/>
    <mergeCell ref="L2:M2"/>
    <mergeCell ref="R2:AE4"/>
    <mergeCell ref="AF2:AH2"/>
    <mergeCell ref="Q6:V6"/>
    <mergeCell ref="W6:AA6"/>
    <mergeCell ref="AB6:AF6"/>
    <mergeCell ref="B7:C7"/>
    <mergeCell ref="D7:H7"/>
    <mergeCell ref="I7:J7"/>
    <mergeCell ref="K7:M7"/>
    <mergeCell ref="O7:P7"/>
    <mergeCell ref="Q7:V7"/>
    <mergeCell ref="W7:AA7"/>
    <mergeCell ref="AB7:AF7"/>
    <mergeCell ref="B8:C8"/>
    <mergeCell ref="D8:H8"/>
    <mergeCell ref="I8:J8"/>
    <mergeCell ref="K8:M8"/>
    <mergeCell ref="O8:P8"/>
    <mergeCell ref="Q8:V8"/>
    <mergeCell ref="W8:AA8"/>
    <mergeCell ref="AB8:AF8"/>
    <mergeCell ref="AE9:AF9"/>
    <mergeCell ref="B10:C10"/>
    <mergeCell ref="D10:H10"/>
    <mergeCell ref="I10:J10"/>
    <mergeCell ref="K10:M10"/>
    <mergeCell ref="O10:P10"/>
    <mergeCell ref="Q10:V10"/>
    <mergeCell ref="W10:AA10"/>
    <mergeCell ref="AB10:AF10"/>
    <mergeCell ref="B9:C9"/>
    <mergeCell ref="D9:H9"/>
    <mergeCell ref="I9:J9"/>
    <mergeCell ref="O9:P9"/>
    <mergeCell ref="Q9:V9"/>
    <mergeCell ref="W9:AA9"/>
    <mergeCell ref="B11:L11"/>
    <mergeCell ref="O11:AH11"/>
    <mergeCell ref="B12:C12"/>
    <mergeCell ref="D12:E12"/>
    <mergeCell ref="I12:J12"/>
    <mergeCell ref="O12:P12"/>
    <mergeCell ref="T12:U12"/>
    <mergeCell ref="W12:AB12"/>
    <mergeCell ref="AD12:AE12"/>
    <mergeCell ref="AA16:AC16"/>
    <mergeCell ref="AD16:AG16"/>
    <mergeCell ref="B17:C17"/>
    <mergeCell ref="O17:P17"/>
    <mergeCell ref="R17:U17"/>
    <mergeCell ref="W17:Z17"/>
    <mergeCell ref="AA17:AC17"/>
    <mergeCell ref="AD17:AG17"/>
    <mergeCell ref="B13:C13"/>
    <mergeCell ref="D13:M13"/>
    <mergeCell ref="O13:P13"/>
    <mergeCell ref="Q13:AH13"/>
    <mergeCell ref="A15:M15"/>
    <mergeCell ref="B16:C16"/>
    <mergeCell ref="E16:F16"/>
    <mergeCell ref="O16:P16"/>
    <mergeCell ref="R16:U16"/>
    <mergeCell ref="W16:Z16"/>
    <mergeCell ref="AE19:AG19"/>
    <mergeCell ref="B20:D20"/>
    <mergeCell ref="J20:L20"/>
    <mergeCell ref="O20:P20"/>
    <mergeCell ref="W20:X20"/>
    <mergeCell ref="Y20:Z20"/>
    <mergeCell ref="AA20:AB20"/>
    <mergeCell ref="AC20:AD20"/>
    <mergeCell ref="AE20:AF20"/>
    <mergeCell ref="B19:H19"/>
    <mergeCell ref="J19:L19"/>
    <mergeCell ref="O19:P19"/>
    <mergeCell ref="U19:V20"/>
    <mergeCell ref="W19:Z19"/>
    <mergeCell ref="AA19:AD19"/>
    <mergeCell ref="AC21:AD21"/>
    <mergeCell ref="AE21:AF21"/>
    <mergeCell ref="B22:D22"/>
    <mergeCell ref="J22:L22"/>
    <mergeCell ref="O22:P22"/>
    <mergeCell ref="W22:X22"/>
    <mergeCell ref="Y22:Z22"/>
    <mergeCell ref="AA22:AB22"/>
    <mergeCell ref="AC22:AD22"/>
    <mergeCell ref="AE22:AF22"/>
    <mergeCell ref="B21:D21"/>
    <mergeCell ref="J21:L21"/>
    <mergeCell ref="O21:P21"/>
    <mergeCell ref="W21:X21"/>
    <mergeCell ref="Y21:Z21"/>
    <mergeCell ref="AA21:AB21"/>
    <mergeCell ref="AC23:AD23"/>
    <mergeCell ref="AE23:AF23"/>
    <mergeCell ref="B24:D24"/>
    <mergeCell ref="O24:P24"/>
    <mergeCell ref="W24:X24"/>
    <mergeCell ref="Y24:Z24"/>
    <mergeCell ref="AA24:AB24"/>
    <mergeCell ref="AC24:AD24"/>
    <mergeCell ref="AE24:AF24"/>
    <mergeCell ref="B23:D23"/>
    <mergeCell ref="J23:M24"/>
    <mergeCell ref="O23:P23"/>
    <mergeCell ref="W23:X23"/>
    <mergeCell ref="Y23:Z23"/>
    <mergeCell ref="AA23:AB23"/>
    <mergeCell ref="Y26:Z27"/>
    <mergeCell ref="AA26:AB27"/>
    <mergeCell ref="AC26:AD27"/>
    <mergeCell ref="AE26:AF27"/>
    <mergeCell ref="AG26:AG27"/>
    <mergeCell ref="B27:H27"/>
    <mergeCell ref="O27:P27"/>
    <mergeCell ref="Y25:Z25"/>
    <mergeCell ref="AA25:AB25"/>
    <mergeCell ref="AC25:AD25"/>
    <mergeCell ref="AE25:AF25"/>
    <mergeCell ref="J26:K27"/>
    <mergeCell ref="L26:L27"/>
    <mergeCell ref="M26:M27"/>
    <mergeCell ref="U26:U27"/>
    <mergeCell ref="V26:V27"/>
    <mergeCell ref="W26:X27"/>
    <mergeCell ref="B25:D25"/>
    <mergeCell ref="O25:P26"/>
    <mergeCell ref="Q25:Q26"/>
    <mergeCell ref="R25:R26"/>
    <mergeCell ref="S25:S26"/>
    <mergeCell ref="W25:X25"/>
    <mergeCell ref="AG28:AG29"/>
    <mergeCell ref="B29:D30"/>
    <mergeCell ref="E29:E30"/>
    <mergeCell ref="F29:F30"/>
    <mergeCell ref="G29:G30"/>
    <mergeCell ref="H29:H30"/>
    <mergeCell ref="O30:P30"/>
    <mergeCell ref="W30:X30"/>
    <mergeCell ref="Y30:Z30"/>
    <mergeCell ref="AA30:AB30"/>
    <mergeCell ref="V28:V29"/>
    <mergeCell ref="W28:X29"/>
    <mergeCell ref="Y28:Z29"/>
    <mergeCell ref="AA28:AB29"/>
    <mergeCell ref="AC28:AD29"/>
    <mergeCell ref="AE28:AF29"/>
    <mergeCell ref="B28:D28"/>
    <mergeCell ref="J28:K29"/>
    <mergeCell ref="L28:L29"/>
    <mergeCell ref="M28:M29"/>
    <mergeCell ref="O28:P28"/>
    <mergeCell ref="U28:U29"/>
    <mergeCell ref="AC30:AD30"/>
    <mergeCell ref="AE30:AF30"/>
    <mergeCell ref="AA31:AB32"/>
    <mergeCell ref="AC31:AD32"/>
    <mergeCell ref="AE31:AF32"/>
    <mergeCell ref="AG31:AG32"/>
    <mergeCell ref="B32:D33"/>
    <mergeCell ref="E32:E33"/>
    <mergeCell ref="F32:F33"/>
    <mergeCell ref="G32:G33"/>
    <mergeCell ref="H32:H33"/>
    <mergeCell ref="B31:D31"/>
    <mergeCell ref="J31:K32"/>
    <mergeCell ref="L31:L32"/>
    <mergeCell ref="M31:M32"/>
    <mergeCell ref="O31:P31"/>
    <mergeCell ref="U31:U32"/>
    <mergeCell ref="V31:V32"/>
    <mergeCell ref="W31:X32"/>
    <mergeCell ref="Y31:Z32"/>
    <mergeCell ref="AG35:AG36"/>
    <mergeCell ref="O35:P36"/>
    <mergeCell ref="Q35:Q36"/>
    <mergeCell ref="R35:R36"/>
    <mergeCell ref="S35:S36"/>
    <mergeCell ref="U35:U36"/>
    <mergeCell ref="V35:V36"/>
    <mergeCell ref="AE33:AF33"/>
    <mergeCell ref="B34:D34"/>
    <mergeCell ref="J34:K34"/>
    <mergeCell ref="O34:P34"/>
    <mergeCell ref="W34:X34"/>
    <mergeCell ref="Y34:Z34"/>
    <mergeCell ref="AA34:AB34"/>
    <mergeCell ref="AC34:AD34"/>
    <mergeCell ref="AE34:AF34"/>
    <mergeCell ref="J33:K33"/>
    <mergeCell ref="O33:S33"/>
    <mergeCell ref="W33:X33"/>
    <mergeCell ref="Y33:Z33"/>
    <mergeCell ref="AA33:AB33"/>
    <mergeCell ref="AC33:AD33"/>
    <mergeCell ref="O37:P37"/>
    <mergeCell ref="W37:X37"/>
    <mergeCell ref="Y37:Z37"/>
    <mergeCell ref="AA37:AB37"/>
    <mergeCell ref="AC37:AD37"/>
    <mergeCell ref="AE37:AF37"/>
    <mergeCell ref="B36:D36"/>
    <mergeCell ref="J36:M36"/>
    <mergeCell ref="B37:D37"/>
    <mergeCell ref="J37:K38"/>
    <mergeCell ref="L37:L38"/>
    <mergeCell ref="M37:M38"/>
    <mergeCell ref="W35:X36"/>
    <mergeCell ref="Y35:Z36"/>
    <mergeCell ref="AA35:AB36"/>
    <mergeCell ref="AC35:AD36"/>
    <mergeCell ref="AE35:AF36"/>
    <mergeCell ref="W39:Z39"/>
    <mergeCell ref="AA39:AC39"/>
    <mergeCell ref="AD39:AG39"/>
    <mergeCell ref="J40:K40"/>
    <mergeCell ref="O40:P40"/>
    <mergeCell ref="U40:V40"/>
    <mergeCell ref="W40:Z40"/>
    <mergeCell ref="AA40:AC40"/>
    <mergeCell ref="AD40:AG40"/>
    <mergeCell ref="O38:P39"/>
    <mergeCell ref="Q38:Q39"/>
    <mergeCell ref="R38:R39"/>
    <mergeCell ref="S38:S39"/>
    <mergeCell ref="J39:K39"/>
    <mergeCell ref="U39:V39"/>
    <mergeCell ref="J42:K42"/>
    <mergeCell ref="O42:P42"/>
    <mergeCell ref="U42:V42"/>
    <mergeCell ref="W42:Z42"/>
    <mergeCell ref="AA42:AC42"/>
    <mergeCell ref="AD42:AG42"/>
    <mergeCell ref="J41:K41"/>
    <mergeCell ref="O41:S41"/>
    <mergeCell ref="U41:V41"/>
    <mergeCell ref="W41:Z41"/>
    <mergeCell ref="AA41:AC41"/>
    <mergeCell ref="AD41:AG41"/>
    <mergeCell ref="S43:S44"/>
    <mergeCell ref="U44:Z44"/>
    <mergeCell ref="AB44:AH44"/>
    <mergeCell ref="AJ44:AN44"/>
    <mergeCell ref="O45:P45"/>
    <mergeCell ref="U45:V45"/>
    <mergeCell ref="X45:Z45"/>
    <mergeCell ref="AB45:AE45"/>
    <mergeCell ref="J43:K44"/>
    <mergeCell ref="L43:L44"/>
    <mergeCell ref="M43:M44"/>
    <mergeCell ref="O43:P44"/>
    <mergeCell ref="Q43:Q44"/>
    <mergeCell ref="R43:R44"/>
    <mergeCell ref="J46:L46"/>
    <mergeCell ref="O46:P46"/>
    <mergeCell ref="U46:V46"/>
    <mergeCell ref="X46:Z46"/>
    <mergeCell ref="AB46:AE46"/>
    <mergeCell ref="O47:P47"/>
    <mergeCell ref="U47:V47"/>
    <mergeCell ref="X47:Z47"/>
    <mergeCell ref="AB47:AE47"/>
    <mergeCell ref="J52:L52"/>
    <mergeCell ref="AB52:AE52"/>
    <mergeCell ref="AG52:AH52"/>
    <mergeCell ref="AB53:AE53"/>
    <mergeCell ref="AG53:AH53"/>
    <mergeCell ref="J54:L54"/>
    <mergeCell ref="AA54:AD55"/>
    <mergeCell ref="AF54:AH55"/>
    <mergeCell ref="AB48:AE48"/>
    <mergeCell ref="J50:L50"/>
    <mergeCell ref="AB50:AF50"/>
    <mergeCell ref="AG50:AH50"/>
    <mergeCell ref="J51:L51"/>
    <mergeCell ref="AB51:AE51"/>
    <mergeCell ref="AG51:AH51"/>
    <mergeCell ref="C62:H62"/>
    <mergeCell ref="C63:H63"/>
    <mergeCell ref="B64:M64"/>
    <mergeCell ref="O64:AH64"/>
    <mergeCell ref="B65:M66"/>
    <mergeCell ref="O65:AH66"/>
    <mergeCell ref="J58:L58"/>
    <mergeCell ref="J59:L59"/>
    <mergeCell ref="AA60:AD60"/>
    <mergeCell ref="AF60:AH60"/>
    <mergeCell ref="AA61:AD62"/>
    <mergeCell ref="AF61:AH62"/>
    <mergeCell ref="A67:M67"/>
    <mergeCell ref="O67:AH67"/>
    <mergeCell ref="B69:C69"/>
    <mergeCell ref="B71:C71"/>
    <mergeCell ref="B72:C72"/>
    <mergeCell ref="B73:C73"/>
    <mergeCell ref="J73:K75"/>
    <mergeCell ref="B74:C74"/>
    <mergeCell ref="B75:C75"/>
    <mergeCell ref="B82:C82"/>
    <mergeCell ref="D82:E82"/>
    <mergeCell ref="F82:K82"/>
    <mergeCell ref="O82:R83"/>
    <mergeCell ref="S82:S83"/>
    <mergeCell ref="O84:R85"/>
    <mergeCell ref="S84:S85"/>
    <mergeCell ref="B76:C76"/>
    <mergeCell ref="J76:K77"/>
    <mergeCell ref="B77:C77"/>
    <mergeCell ref="B78:C78"/>
    <mergeCell ref="H79:J79"/>
    <mergeCell ref="H80:I80"/>
    <mergeCell ref="AJ93:AL93"/>
    <mergeCell ref="O94:R94"/>
    <mergeCell ref="O95:R95"/>
    <mergeCell ref="W96:W97"/>
    <mergeCell ref="B100:B102"/>
    <mergeCell ref="C100:C102"/>
    <mergeCell ref="O86:R87"/>
    <mergeCell ref="S86:S87"/>
    <mergeCell ref="W87:W88"/>
    <mergeCell ref="W89:W90"/>
    <mergeCell ref="G91:I91"/>
    <mergeCell ref="O92:R92"/>
    <mergeCell ref="W92:W93"/>
    <mergeCell ref="O93:R93"/>
  </mergeCells>
  <conditionalFormatting sqref="D6:D10 D12 F12:M12 L9:M9 I6:J10">
    <cfRule type="containsBlanks" dxfId="46" priority="48">
      <formula>LEN(TRIM(D6))=0</formula>
    </cfRule>
  </conditionalFormatting>
  <conditionalFormatting sqref="D6:H10">
    <cfRule type="containsBlanks" dxfId="45" priority="47">
      <formula>LEN(TRIM(D6))=0</formula>
    </cfRule>
  </conditionalFormatting>
  <conditionalFormatting sqref="M19">
    <cfRule type="containsBlanks" dxfId="44" priority="46">
      <formula>LEN(TRIM(M19))=0</formula>
    </cfRule>
  </conditionalFormatting>
  <conditionalFormatting sqref="CP70">
    <cfRule type="containsBlanks" dxfId="43" priority="45">
      <formula>LEN(TRIM(CP70))=0</formula>
    </cfRule>
  </conditionalFormatting>
  <conditionalFormatting sqref="M21">
    <cfRule type="containsBlanks" dxfId="42" priority="44">
      <formula>LEN(TRIM(M21))=0</formula>
    </cfRule>
  </conditionalFormatting>
  <conditionalFormatting sqref="D12:M12">
    <cfRule type="containsBlanks" dxfId="41" priority="43">
      <formula>LEN(TRIM(D12))=0</formula>
    </cfRule>
  </conditionalFormatting>
  <conditionalFormatting sqref="L9:M9">
    <cfRule type="containsBlanks" dxfId="40" priority="42">
      <formula>LEN(TRIM(L9))=0</formula>
    </cfRule>
  </conditionalFormatting>
  <conditionalFormatting sqref="L25">
    <cfRule type="containsBlanks" dxfId="39" priority="41">
      <formula>LEN(TRIM(L25))=0</formula>
    </cfRule>
  </conditionalFormatting>
  <conditionalFormatting sqref="U26:V27 AC33 AC26">
    <cfRule type="cellIs" dxfId="38" priority="40" operator="between">
      <formula>0</formula>
      <formula>500</formula>
    </cfRule>
  </conditionalFormatting>
  <conditionalFormatting sqref="U33:V33">
    <cfRule type="cellIs" dxfId="37" priority="39" operator="between">
      <formula>0</formula>
      <formula>500</formula>
    </cfRule>
  </conditionalFormatting>
  <conditionalFormatting sqref="AF45:AH46">
    <cfRule type="containsBlanks" dxfId="36" priority="38">
      <formula>LEN(TRIM(AF45))=0</formula>
    </cfRule>
  </conditionalFormatting>
  <conditionalFormatting sqref="AF51:AG53">
    <cfRule type="containsBlanks" dxfId="35" priority="37">
      <formula>LEN(TRIM(AF51))=0</formula>
    </cfRule>
  </conditionalFormatting>
  <conditionalFormatting sqref="M25">
    <cfRule type="containsBlanks" dxfId="34" priority="36">
      <formula>LEN(TRIM(M25))=0</formula>
    </cfRule>
  </conditionalFormatting>
  <conditionalFormatting sqref="U26:V27 Y26:Z27 AC26:AD27 AG26:AG27">
    <cfRule type="containsBlanks" dxfId="33" priority="34">
      <formula>LEN(TRIM(U26))=0</formula>
    </cfRule>
    <cfRule type="cellIs" dxfId="32" priority="35" operator="between">
      <formula>0</formula>
      <formula>1000</formula>
    </cfRule>
  </conditionalFormatting>
  <conditionalFormatting sqref="W87:W88">
    <cfRule type="cellIs" dxfId="31" priority="33" operator="between">
      <formula>0</formula>
      <formula>500</formula>
    </cfRule>
  </conditionalFormatting>
  <conditionalFormatting sqref="W94">
    <cfRule type="cellIs" dxfId="30" priority="32" operator="between">
      <formula>0</formula>
      <formula>500</formula>
    </cfRule>
  </conditionalFormatting>
  <conditionalFormatting sqref="W87:W88">
    <cfRule type="containsBlanks" dxfId="29" priority="30">
      <formula>LEN(TRIM(W87))=0</formula>
    </cfRule>
    <cfRule type="cellIs" dxfId="28" priority="31" operator="between">
      <formula>0</formula>
      <formula>1000</formula>
    </cfRule>
  </conditionalFormatting>
  <conditionalFormatting sqref="U33:V33 Y33:Z33 AC33:AD33 AG33">
    <cfRule type="cellIs" dxfId="27" priority="29" operator="between">
      <formula>0</formula>
      <formula>1000</formula>
    </cfRule>
  </conditionalFormatting>
  <conditionalFormatting sqref="Q27:S27">
    <cfRule type="containsBlanks" dxfId="26" priority="27">
      <formula>LEN(TRIM(Q27))=0</formula>
    </cfRule>
    <cfRule type="containsBlanks" dxfId="25" priority="28">
      <formula>LEN(TRIM(Q27))=0</formula>
    </cfRule>
  </conditionalFormatting>
  <conditionalFormatting sqref="W30:W31 W33:W35 W37 W28 W22:W26">
    <cfRule type="containsBlanks" dxfId="24" priority="26">
      <formula>LEN(TRIM(W22))=0</formula>
    </cfRule>
  </conditionalFormatting>
  <conditionalFormatting sqref="W37 W30:W31 W33:W35 W28 W22:W26">
    <cfRule type="containsBlanks" dxfId="23" priority="25">
      <formula>LEN(TRIM(W22))=0</formula>
    </cfRule>
  </conditionalFormatting>
  <conditionalFormatting sqref="W33:X33">
    <cfRule type="cellIs" dxfId="22" priority="24" operator="between">
      <formula>0</formula>
      <formula>1000</formula>
    </cfRule>
  </conditionalFormatting>
  <conditionalFormatting sqref="W30:X37 W26 W28 W22:X25">
    <cfRule type="containsBlanks" dxfId="21" priority="23">
      <formula>LEN(TRIM(W22))=0</formula>
    </cfRule>
  </conditionalFormatting>
  <conditionalFormatting sqref="AA37 AA30:AA31 AA33 AA22:AA26 AA28 AA35">
    <cfRule type="containsBlanks" dxfId="20" priority="22">
      <formula>LEN(TRIM(AA22))=0</formula>
    </cfRule>
  </conditionalFormatting>
  <conditionalFormatting sqref="AA37 AA30:AA31 AA33 AA22:AA26 AA28 AA35">
    <cfRule type="containsBlanks" dxfId="19" priority="21">
      <formula>LEN(TRIM(AA22))=0</formula>
    </cfRule>
  </conditionalFormatting>
  <conditionalFormatting sqref="AA33:AB33">
    <cfRule type="cellIs" dxfId="18" priority="20" operator="between">
      <formula>0</formula>
      <formula>1000</formula>
    </cfRule>
  </conditionalFormatting>
  <conditionalFormatting sqref="AA30:AB30 AA31 AA33:AB33 AA22:AB25 AA26 AA28 AA35:AB37">
    <cfRule type="containsBlanks" dxfId="17" priority="19">
      <formula>LEN(TRIM(AA22))=0</formula>
    </cfRule>
  </conditionalFormatting>
  <conditionalFormatting sqref="AE37 AE28 AE30:AE31 AE33:AE35 AE22:AE26">
    <cfRule type="containsBlanks" dxfId="16" priority="18">
      <formula>LEN(TRIM(AE22))=0</formula>
    </cfRule>
  </conditionalFormatting>
  <conditionalFormatting sqref="AE37 AE28 AE30:AE31 AE33:AE35 AE22:AE26">
    <cfRule type="containsBlanks" dxfId="15" priority="17">
      <formula>LEN(TRIM(AE22))=0</formula>
    </cfRule>
  </conditionalFormatting>
  <conditionalFormatting sqref="AE33:AF33">
    <cfRule type="cellIs" dxfId="14" priority="16" operator="between">
      <formula>0</formula>
      <formula>1000</formula>
    </cfRule>
  </conditionalFormatting>
  <conditionalFormatting sqref="AE33:AF37 AE26 AE28 AE30:AE31 AE22:AF25">
    <cfRule type="containsBlanks" dxfId="13" priority="15">
      <formula>LEN(TRIM(AE22))=0</formula>
    </cfRule>
  </conditionalFormatting>
  <conditionalFormatting sqref="K6:M6">
    <cfRule type="containsBlanks" dxfId="12" priority="14">
      <formula>LEN(TRIM(K6))=0</formula>
    </cfRule>
  </conditionalFormatting>
  <conditionalFormatting sqref="K7:K8">
    <cfRule type="containsBlanks" dxfId="11" priority="13">
      <formula>LEN(TRIM(K7))=0</formula>
    </cfRule>
  </conditionalFormatting>
  <conditionalFormatting sqref="B6:B10">
    <cfRule type="containsBlanks" dxfId="10" priority="12">
      <formula>LEN(TRIM(B6))=0</formula>
    </cfRule>
  </conditionalFormatting>
  <conditionalFormatting sqref="B12:B13">
    <cfRule type="containsBlanks" dxfId="9" priority="11">
      <formula>LEN(TRIM(B12))=0</formula>
    </cfRule>
  </conditionalFormatting>
  <conditionalFormatting sqref="E20:H24">
    <cfRule type="containsBlanks" dxfId="8" priority="10">
      <formula>LEN(TRIM(E20))=0</formula>
    </cfRule>
  </conditionalFormatting>
  <conditionalFormatting sqref="E28:H33">
    <cfRule type="containsBlanks" dxfId="7" priority="9">
      <formula>LEN(TRIM(E28))=0</formula>
    </cfRule>
  </conditionalFormatting>
  <conditionalFormatting sqref="Q20:S26">
    <cfRule type="containsBlanks" dxfId="6" priority="7">
      <formula>LEN(TRIM(Q20))=0</formula>
    </cfRule>
    <cfRule type="containsBlanks" dxfId="5" priority="8">
      <formula>LEN(TRIM(Q20))=0</formula>
    </cfRule>
  </conditionalFormatting>
  <conditionalFormatting sqref="Q34:S39">
    <cfRule type="containsBlanks" dxfId="4" priority="6">
      <formula>LEN(TRIM(Q34))=0</formula>
    </cfRule>
  </conditionalFormatting>
  <conditionalFormatting sqref="Q42:S46">
    <cfRule type="containsBlanks" dxfId="3" priority="5">
      <formula>LEN(TRIM(Q42))=0</formula>
    </cfRule>
  </conditionalFormatting>
  <conditionalFormatting sqref="D13">
    <cfRule type="containsBlanks" dxfId="2" priority="2">
      <formula>LEN(TRIM(D13))=0</formula>
    </cfRule>
  </conditionalFormatting>
  <conditionalFormatting sqref="D13">
    <cfRule type="containsBlanks" dxfId="1" priority="1">
      <formula>LEN(TRIM(D13))=0</formula>
    </cfRule>
  </conditionalFormatting>
  <dataValidations count="5">
    <dataValidation type="list" allowBlank="1" showInputMessage="1" showErrorMessage="1" sqref="L25" xr:uid="{00000000-0002-0000-3B00-000000000000}">
      <formula1>$D$101:$D$104</formula1>
    </dataValidation>
    <dataValidation type="list" allowBlank="1" showInputMessage="1" showErrorMessage="1" sqref="M21" xr:uid="{00000000-0002-0000-3B00-000001000000}">
      <formula1>$AX$3:$AX$4</formula1>
    </dataValidation>
    <dataValidation type="list" allowBlank="1" showInputMessage="1" showErrorMessage="1" sqref="M19" xr:uid="{00000000-0002-0000-3B00-000002000000}">
      <formula1>$AX$3:$AX$5</formula1>
    </dataValidation>
    <dataValidation type="list" allowBlank="1" showInputMessage="1" showErrorMessage="1" sqref="CP70" xr:uid="{00000000-0002-0000-3B00-000003000000}">
      <formula1>$BA$3:$BA$5</formula1>
    </dataValidation>
    <dataValidation type="list" allowBlank="1" showInputMessage="1" showErrorMessage="1" sqref="D12:E12" xr:uid="{00000000-0002-0000-3B00-000004000000}">
      <formula1>$B$87:$B$94</formula1>
    </dataValidation>
  </dataValidations>
  <hyperlinks>
    <hyperlink ref="D8" r:id="rId1" xr:uid="{00000000-0004-0000-3B00-000000000000}"/>
  </hyperlinks>
  <printOptions horizontalCentered="1" verticalCentered="1"/>
  <pageMargins left="0.23622047244094491" right="0.23622047244094491" top="0.74803149606299213" bottom="0.74803149606299213" header="0.31496062992125984" footer="0.31496062992125984"/>
  <pageSetup scale="38" orientation="landscape" copies="30" r:id="rId2"/>
  <headerFooter>
    <oddFooter xml:space="preserve">&amp;CGEODELTA S.A.S. Calle 68 B bis No 70 C 95, Móvil: 318 7902368 Bogotá DC - Colombia
e-mail: laboratoriogeodelta@gmail.com
</oddFooter>
  </headerFooter>
  <colBreaks count="1" manualBreakCount="1">
    <brk id="13" max="66" man="1"/>
  </colBreaks>
  <drawing r:id="rId3"/>
  <legacyDrawing r:id="rId4"/>
  <mc:AlternateContent xmlns:mc="http://schemas.openxmlformats.org/markup-compatibility/2006">
    <mc:Choice Requires="x14">
      <controls>
        <mc:AlternateContent xmlns:mc="http://schemas.openxmlformats.org/markup-compatibility/2006">
          <mc:Choice Requires="x14">
            <control shapeId="198657" r:id="rId5" name="Check Box 1">
              <controlPr defaultSize="0" autoFill="0" autoLine="0" autoPict="0">
                <anchor moveWithCells="1">
                  <from>
                    <xdr:col>1</xdr:col>
                    <xdr:colOff>1962150</xdr:colOff>
                    <xdr:row>16</xdr:row>
                    <xdr:rowOff>0</xdr:rowOff>
                  </from>
                  <to>
                    <xdr:col>2</xdr:col>
                    <xdr:colOff>161925</xdr:colOff>
                    <xdr:row>17</xdr:row>
                    <xdr:rowOff>0</xdr:rowOff>
                  </to>
                </anchor>
              </controlPr>
            </control>
          </mc:Choice>
        </mc:AlternateContent>
        <mc:AlternateContent xmlns:mc="http://schemas.openxmlformats.org/markup-compatibility/2006">
          <mc:Choice Requires="x14">
            <control shapeId="198658" r:id="rId6" name="Check Box 2">
              <controlPr defaultSize="0" autoFill="0" autoLine="0" autoPict="0">
                <anchor moveWithCells="1">
                  <from>
                    <xdr:col>2</xdr:col>
                    <xdr:colOff>609600</xdr:colOff>
                    <xdr:row>16</xdr:row>
                    <xdr:rowOff>9525</xdr:rowOff>
                  </from>
                  <to>
                    <xdr:col>2</xdr:col>
                    <xdr:colOff>1104900</xdr:colOff>
                    <xdr:row>17</xdr:row>
                    <xdr:rowOff>0</xdr:rowOff>
                  </to>
                </anchor>
              </controlPr>
            </control>
          </mc:Choice>
        </mc:AlternateContent>
        <mc:AlternateContent xmlns:mc="http://schemas.openxmlformats.org/markup-compatibility/2006">
          <mc:Choice Requires="x14">
            <control shapeId="198659" r:id="rId7" name="Check Box 3">
              <controlPr defaultSize="0" autoFill="0" autoLine="0" autoPict="0">
                <anchor moveWithCells="1">
                  <from>
                    <xdr:col>1</xdr:col>
                    <xdr:colOff>1038225</xdr:colOff>
                    <xdr:row>16</xdr:row>
                    <xdr:rowOff>9525</xdr:rowOff>
                  </from>
                  <to>
                    <xdr:col>1</xdr:col>
                    <xdr:colOff>1533525</xdr:colOff>
                    <xdr:row>17</xdr:row>
                    <xdr:rowOff>0</xdr:rowOff>
                  </to>
                </anchor>
              </controlPr>
            </control>
          </mc:Choice>
        </mc:AlternateContent>
        <mc:AlternateContent xmlns:mc="http://schemas.openxmlformats.org/markup-compatibility/2006">
          <mc:Choice Requires="x14">
            <control shapeId="198660" r:id="rId8" name="Check Box 4">
              <controlPr defaultSize="0" autoFill="0" autoLine="0" autoPict="0">
                <anchor moveWithCells="1">
                  <from>
                    <xdr:col>4</xdr:col>
                    <xdr:colOff>923925</xdr:colOff>
                    <xdr:row>15</xdr:row>
                    <xdr:rowOff>238125</xdr:rowOff>
                  </from>
                  <to>
                    <xdr:col>4</xdr:col>
                    <xdr:colOff>1400175</xdr:colOff>
                    <xdr:row>17</xdr:row>
                    <xdr:rowOff>0</xdr:rowOff>
                  </to>
                </anchor>
              </controlPr>
            </control>
          </mc:Choice>
        </mc:AlternateContent>
        <mc:AlternateContent xmlns:mc="http://schemas.openxmlformats.org/markup-compatibility/2006">
          <mc:Choice Requires="x14">
            <control shapeId="198661" r:id="rId9" name="Check Box 5">
              <controlPr defaultSize="0" autoFill="0" autoLine="0" autoPict="0">
                <anchor moveWithCells="1">
                  <from>
                    <xdr:col>5</xdr:col>
                    <xdr:colOff>1123950</xdr:colOff>
                    <xdr:row>15</xdr:row>
                    <xdr:rowOff>238125</xdr:rowOff>
                  </from>
                  <to>
                    <xdr:col>6</xdr:col>
                    <xdr:colOff>28575</xdr:colOff>
                    <xdr:row>17</xdr:row>
                    <xdr:rowOff>0</xdr:rowOff>
                  </to>
                </anchor>
              </controlPr>
            </control>
          </mc:Choice>
        </mc:AlternateContent>
        <mc:AlternateContent xmlns:mc="http://schemas.openxmlformats.org/markup-compatibility/2006">
          <mc:Choice Requires="x14">
            <control shapeId="198662" r:id="rId10" name="Check Box 6">
              <controlPr defaultSize="0" autoFill="0" autoLine="0" autoPict="0">
                <anchor moveWithCells="1">
                  <from>
                    <xdr:col>15</xdr:col>
                    <xdr:colOff>466725</xdr:colOff>
                    <xdr:row>15</xdr:row>
                    <xdr:rowOff>228600</xdr:rowOff>
                  </from>
                  <to>
                    <xdr:col>15</xdr:col>
                    <xdr:colOff>962025</xdr:colOff>
                    <xdr:row>17</xdr:row>
                    <xdr:rowOff>0</xdr:rowOff>
                  </to>
                </anchor>
              </controlPr>
            </control>
          </mc:Choice>
        </mc:AlternateContent>
        <mc:AlternateContent xmlns:mc="http://schemas.openxmlformats.org/markup-compatibility/2006">
          <mc:Choice Requires="x14">
            <control shapeId="198663" r:id="rId11" name="Check Box 7">
              <controlPr defaultSize="0" autoFill="0" autoLine="0" autoPict="0">
                <anchor moveWithCells="1">
                  <from>
                    <xdr:col>14</xdr:col>
                    <xdr:colOff>1552575</xdr:colOff>
                    <xdr:row>15</xdr:row>
                    <xdr:rowOff>238125</xdr:rowOff>
                  </from>
                  <to>
                    <xdr:col>15</xdr:col>
                    <xdr:colOff>0</xdr:colOff>
                    <xdr:row>17</xdr:row>
                    <xdr:rowOff>0</xdr:rowOff>
                  </to>
                </anchor>
              </controlPr>
            </control>
          </mc:Choice>
        </mc:AlternateContent>
        <mc:AlternateContent xmlns:mc="http://schemas.openxmlformats.org/markup-compatibility/2006">
          <mc:Choice Requires="x14">
            <control shapeId="198664" r:id="rId12" name="Check Box 8">
              <controlPr defaultSize="0" autoFill="0" autoLine="0" autoPict="0">
                <anchor moveWithCells="1">
                  <from>
                    <xdr:col>14</xdr:col>
                    <xdr:colOff>657225</xdr:colOff>
                    <xdr:row>15</xdr:row>
                    <xdr:rowOff>238125</xdr:rowOff>
                  </from>
                  <to>
                    <xdr:col>14</xdr:col>
                    <xdr:colOff>1152525</xdr:colOff>
                    <xdr:row>17</xdr:row>
                    <xdr:rowOff>0</xdr:rowOff>
                  </to>
                </anchor>
              </controlPr>
            </control>
          </mc:Choice>
        </mc:AlternateContent>
        <mc:AlternateContent xmlns:mc="http://schemas.openxmlformats.org/markup-compatibility/2006">
          <mc:Choice Requires="x14">
            <control shapeId="198665" r:id="rId13" name="Check Box 9">
              <controlPr defaultSize="0" autoFill="0" autoLine="0" autoPict="0">
                <anchor moveWithCells="1">
                  <from>
                    <xdr:col>18</xdr:col>
                    <xdr:colOff>495300</xdr:colOff>
                    <xdr:row>15</xdr:row>
                    <xdr:rowOff>238125</xdr:rowOff>
                  </from>
                  <to>
                    <xdr:col>18</xdr:col>
                    <xdr:colOff>962025</xdr:colOff>
                    <xdr:row>16</xdr:row>
                    <xdr:rowOff>276225</xdr:rowOff>
                  </to>
                </anchor>
              </controlPr>
            </control>
          </mc:Choice>
        </mc:AlternateContent>
        <mc:AlternateContent xmlns:mc="http://schemas.openxmlformats.org/markup-compatibility/2006">
          <mc:Choice Requires="x14">
            <control shapeId="198666" r:id="rId14" name="Check Box 10">
              <controlPr defaultSize="0" autoFill="0" autoLine="0" autoPict="0">
                <anchor moveWithCells="1">
                  <from>
                    <xdr:col>20</xdr:col>
                    <xdr:colOff>866775</xdr:colOff>
                    <xdr:row>15</xdr:row>
                    <xdr:rowOff>238125</xdr:rowOff>
                  </from>
                  <to>
                    <xdr:col>20</xdr:col>
                    <xdr:colOff>1343025</xdr:colOff>
                    <xdr:row>16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59</vt:i4>
      </vt:variant>
      <vt:variant>
        <vt:lpstr>Rangos con nombre</vt:lpstr>
      </vt:variant>
      <vt:variant>
        <vt:i4>57</vt:i4>
      </vt:variant>
    </vt:vector>
  </HeadingPairs>
  <TitlesOfParts>
    <vt:vector size="116" baseType="lpstr">
      <vt:lpstr>CAV-AP1-M3 (2)</vt:lpstr>
      <vt:lpstr>Hoja1</vt:lpstr>
      <vt:lpstr>AP1 M2 EL DORADO</vt:lpstr>
      <vt:lpstr>SIN IDE</vt:lpstr>
      <vt:lpstr>CAV-S1-AP1 M2</vt:lpstr>
      <vt:lpstr>CAV-S1-AP2 M3</vt:lpstr>
      <vt:lpstr>CAV-S2 AP3 M2</vt:lpstr>
      <vt:lpstr>CAV-S2-AP4 M3</vt:lpstr>
      <vt:lpstr>Hoja4</vt:lpstr>
      <vt:lpstr>CAV-AP1-M3</vt:lpstr>
      <vt:lpstr>CAV-AP3-M2-</vt:lpstr>
      <vt:lpstr>CAV-AP4-M2-</vt:lpstr>
      <vt:lpstr>CAV-AP5-M3</vt:lpstr>
      <vt:lpstr>PALMASECA AP1 M3</vt:lpstr>
      <vt:lpstr>PALMASECA AP2 M2 </vt:lpstr>
      <vt:lpstr>PALMASECA AP3 M2</vt:lpstr>
      <vt:lpstr>PALMASECA AP4 M4</vt:lpstr>
      <vt:lpstr>FORMATO</vt:lpstr>
      <vt:lpstr>CONTROL DE CAMBIOS</vt:lpstr>
      <vt:lpstr>V. RICA AP1 M2</vt:lpstr>
      <vt:lpstr>V. RICA AP2 M1</vt:lpstr>
      <vt:lpstr>V. RICA AP3 M1</vt:lpstr>
      <vt:lpstr>V.RICA AP4 M4</vt:lpstr>
      <vt:lpstr>V.RICA AP5 M2</vt:lpstr>
      <vt:lpstr>V.RICA AP6 M2</vt:lpstr>
      <vt:lpstr>P,CIAT AP1 M2</vt:lpstr>
      <vt:lpstr>P.CIAT AP2 M1</vt:lpstr>
      <vt:lpstr>P.CIAT AP3 M2</vt:lpstr>
      <vt:lpstr>P.ESTAMBUL AP1 M2</vt:lpstr>
      <vt:lpstr>P.ESTAMBUL AP2 M2 </vt:lpstr>
      <vt:lpstr>P.ESTAMBUL AP3 M2 </vt:lpstr>
      <vt:lpstr>P-MEDIACANOA AP3 M2</vt:lpstr>
      <vt:lpstr>P-MEDIACANOA AP4 M2</vt:lpstr>
      <vt:lpstr>P-MEDIACANOA AP2 M2</vt:lpstr>
      <vt:lpstr>P-MEDIACANOA AP1 M2</vt:lpstr>
      <vt:lpstr>P-LA TORRE AP1 M2 </vt:lpstr>
      <vt:lpstr>P- LA TORRE AP2 M2</vt:lpstr>
      <vt:lpstr>P-LA TORRE AP3 M2</vt:lpstr>
      <vt:lpstr>P-LA TORRE AP4 M2 </vt:lpstr>
      <vt:lpstr>P- CERRITO AP1 M2</vt:lpstr>
      <vt:lpstr>P- CERRITO AP2 M3</vt:lpstr>
      <vt:lpstr>P- CERRITO AP3 M2 </vt:lpstr>
      <vt:lpstr>P- CERRITO AP4 M2</vt:lpstr>
      <vt:lpstr>P-CENCAR AP1 M1</vt:lpstr>
      <vt:lpstr>P-CENCAR AP2 M1</vt:lpstr>
      <vt:lpstr>P-CENCAR AP3 M2</vt:lpstr>
      <vt:lpstr>P-ROZO AP1 M2</vt:lpstr>
      <vt:lpstr>P-ROZO AP2 M1</vt:lpstr>
      <vt:lpstr>LA TORRE VARIANTE ROZO AP2 M2</vt:lpstr>
      <vt:lpstr>LA TORRE VARIANTE ROZO AP3 M4</vt:lpstr>
      <vt:lpstr>LA TORRE VARIANTE ROZO AP4 M2</vt:lpstr>
      <vt:lpstr>TARDES CALEÑAS AP1 M2</vt:lpstr>
      <vt:lpstr>TARDES CALEÑAS AP2 M2</vt:lpstr>
      <vt:lpstr>TARDES CALEÑAS AP3 M2</vt:lpstr>
      <vt:lpstr>TARDES CALEÑAS AP4 M1</vt:lpstr>
      <vt:lpstr>UNI VALLE AP1  (2)</vt:lpstr>
      <vt:lpstr>UNIVALLE AP2 M1</vt:lpstr>
      <vt:lpstr>UNIVALLE AP3 M2</vt:lpstr>
      <vt:lpstr>UNIVALLE AP4 M2</vt:lpstr>
      <vt:lpstr>'AP1 M2 EL DORADO'!Área_de_impresión</vt:lpstr>
      <vt:lpstr>'CAV-AP1-M3'!Área_de_impresión</vt:lpstr>
      <vt:lpstr>'CAV-AP1-M3 (2)'!Área_de_impresión</vt:lpstr>
      <vt:lpstr>'CAV-AP3-M2-'!Área_de_impresión</vt:lpstr>
      <vt:lpstr>'CAV-AP4-M2-'!Área_de_impresión</vt:lpstr>
      <vt:lpstr>'CAV-AP5-M3'!Área_de_impresión</vt:lpstr>
      <vt:lpstr>'CAV-S1-AP1 M2'!Área_de_impresión</vt:lpstr>
      <vt:lpstr>'CAV-S1-AP2 M3'!Área_de_impresión</vt:lpstr>
      <vt:lpstr>'CAV-S2 AP3 M2'!Área_de_impresión</vt:lpstr>
      <vt:lpstr>'CAV-S2-AP4 M3'!Área_de_impresión</vt:lpstr>
      <vt:lpstr>FORMATO!Área_de_impresión</vt:lpstr>
      <vt:lpstr>Hoja1!Área_de_impresión</vt:lpstr>
      <vt:lpstr>'LA TORRE VARIANTE ROZO AP2 M2'!Área_de_impresión</vt:lpstr>
      <vt:lpstr>'LA TORRE VARIANTE ROZO AP3 M4'!Área_de_impresión</vt:lpstr>
      <vt:lpstr>'LA TORRE VARIANTE ROZO AP4 M2'!Área_de_impresión</vt:lpstr>
      <vt:lpstr>'P- CERRITO AP1 M2'!Área_de_impresión</vt:lpstr>
      <vt:lpstr>'P- CERRITO AP2 M3'!Área_de_impresión</vt:lpstr>
      <vt:lpstr>'P- CERRITO AP3 M2 '!Área_de_impresión</vt:lpstr>
      <vt:lpstr>'P- CERRITO AP4 M2'!Área_de_impresión</vt:lpstr>
      <vt:lpstr>'P- LA TORRE AP2 M2'!Área_de_impresión</vt:lpstr>
      <vt:lpstr>'P,CIAT AP1 M2'!Área_de_impresión</vt:lpstr>
      <vt:lpstr>'P.CIAT AP2 M1'!Área_de_impresión</vt:lpstr>
      <vt:lpstr>'P.CIAT AP3 M2'!Área_de_impresión</vt:lpstr>
      <vt:lpstr>'P.ESTAMBUL AP1 M2'!Área_de_impresión</vt:lpstr>
      <vt:lpstr>'P.ESTAMBUL AP2 M2 '!Área_de_impresión</vt:lpstr>
      <vt:lpstr>'P.ESTAMBUL AP3 M2 '!Área_de_impresión</vt:lpstr>
      <vt:lpstr>'PALMASECA AP1 M3'!Área_de_impresión</vt:lpstr>
      <vt:lpstr>'PALMASECA AP2 M2 '!Área_de_impresión</vt:lpstr>
      <vt:lpstr>'PALMASECA AP3 M2'!Área_de_impresión</vt:lpstr>
      <vt:lpstr>'PALMASECA AP4 M4'!Área_de_impresión</vt:lpstr>
      <vt:lpstr>'P-CENCAR AP1 M1'!Área_de_impresión</vt:lpstr>
      <vt:lpstr>'P-CENCAR AP2 M1'!Área_de_impresión</vt:lpstr>
      <vt:lpstr>'P-CENCAR AP3 M2'!Área_de_impresión</vt:lpstr>
      <vt:lpstr>'P-LA TORRE AP1 M2 '!Área_de_impresión</vt:lpstr>
      <vt:lpstr>'P-LA TORRE AP3 M2'!Área_de_impresión</vt:lpstr>
      <vt:lpstr>'P-LA TORRE AP4 M2 '!Área_de_impresión</vt:lpstr>
      <vt:lpstr>'P-MEDIACANOA AP1 M2'!Área_de_impresión</vt:lpstr>
      <vt:lpstr>'P-MEDIACANOA AP2 M2'!Área_de_impresión</vt:lpstr>
      <vt:lpstr>'P-MEDIACANOA AP3 M2'!Área_de_impresión</vt:lpstr>
      <vt:lpstr>'P-MEDIACANOA AP4 M2'!Área_de_impresión</vt:lpstr>
      <vt:lpstr>'P-ROZO AP1 M2'!Área_de_impresión</vt:lpstr>
      <vt:lpstr>'P-ROZO AP2 M1'!Área_de_impresión</vt:lpstr>
      <vt:lpstr>'SIN IDE'!Área_de_impresión</vt:lpstr>
      <vt:lpstr>'TARDES CALEÑAS AP1 M2'!Área_de_impresión</vt:lpstr>
      <vt:lpstr>'TARDES CALEÑAS AP2 M2'!Área_de_impresión</vt:lpstr>
      <vt:lpstr>'TARDES CALEÑAS AP3 M2'!Área_de_impresión</vt:lpstr>
      <vt:lpstr>'TARDES CALEÑAS AP4 M1'!Área_de_impresión</vt:lpstr>
      <vt:lpstr>'UNI VALLE AP1  (2)'!Área_de_impresión</vt:lpstr>
      <vt:lpstr>'UNIVALLE AP2 M1'!Área_de_impresión</vt:lpstr>
      <vt:lpstr>'UNIVALLE AP3 M2'!Área_de_impresión</vt:lpstr>
      <vt:lpstr>'UNIVALLE AP4 M2'!Área_de_impresión</vt:lpstr>
      <vt:lpstr>'V. RICA AP1 M2'!Área_de_impresión</vt:lpstr>
      <vt:lpstr>'V. RICA AP2 M1'!Área_de_impresión</vt:lpstr>
      <vt:lpstr>'V. RICA AP3 M1'!Área_de_impresión</vt:lpstr>
      <vt:lpstr>'V.RICA AP4 M4'!Área_de_impresión</vt:lpstr>
      <vt:lpstr>'V.RICA AP5 M2'!Área_de_impresión</vt:lpstr>
      <vt:lpstr>'V.RICA AP6 M2'!Área_de_impresión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DCM-03</dc:creator>
  <cp:lastModifiedBy>DCM-03</cp:lastModifiedBy>
  <cp:lastPrinted>2026-05-25T14:33:27Z</cp:lastPrinted>
  <dcterms:created xsi:type="dcterms:W3CDTF">2019-08-12T12:19:38Z</dcterms:created>
  <dcterms:modified xsi:type="dcterms:W3CDTF">2026-10-14T14:40:45Z</dcterms:modified>
</cp:coreProperties>
</file>