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ICLO II\CONTABILIDAD Y PRESUPUESTOS - CA59 - SW3B\UNIDAD 3 CONTABILIDAD DE GESTIÓN\SEMANA 11 y 12\T12 CASO BACKUS\"/>
    </mc:Choice>
  </mc:AlternateContent>
  <xr:revisionPtr revIDLastSave="0" documentId="13_ncr:1_{DB0A286A-A0CF-4EB1-B44D-1F257D7BA5CA}" xr6:coauthVersionLast="47" xr6:coauthVersionMax="47" xr10:uidLastSave="{00000000-0000-0000-0000-000000000000}"/>
  <bookViews>
    <workbookView xWindow="-120" yWindow="-120" windowWidth="20730" windowHeight="11160" activeTab="4" xr2:uid="{6188D57B-0594-4FD1-B964-13D50A2D89CF}"/>
  </bookViews>
  <sheets>
    <sheet name="E.S.F (inicial)" sheetId="21" r:id="rId1"/>
    <sheet name="ER" sheetId="15" r:id="rId2"/>
    <sheet name="EFE " sheetId="17" r:id="rId3"/>
    <sheet name="Otros" sheetId="18" r:id="rId4"/>
    <sheet name="E.S.F final" sheetId="19" r:id="rId5"/>
  </sheets>
  <definedNames>
    <definedName name="_xlnm.Print_Area" localSheetId="0">'E.S.F (inicial)'!$A$1:$G$24</definedName>
    <definedName name="_xlnm.Print_Area" localSheetId="4">'E.S.F final'!$A$1:$G$23</definedName>
    <definedName name="_xlnm.Print_Area" localSheetId="2">'EFE '!$B$2:$I$49</definedName>
    <definedName name="_xlnm.Print_Area" localSheetId="1">ER!$B$1:$Q$52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8" l="1"/>
  <c r="G13" i="18" s="1"/>
  <c r="G15" i="17" s="1"/>
  <c r="G28" i="17" s="1"/>
  <c r="H14" i="18"/>
  <c r="F32" i="19" s="1"/>
  <c r="F35" i="19" s="1"/>
  <c r="F5" i="19" s="1"/>
  <c r="F17" i="19"/>
  <c r="C32" i="19"/>
  <c r="C27" i="19"/>
  <c r="F29" i="19"/>
  <c r="D28" i="17"/>
  <c r="G8" i="17"/>
  <c r="G7" i="17"/>
  <c r="G29" i="18"/>
  <c r="E21" i="18"/>
  <c r="E22" i="18"/>
  <c r="D21" i="17"/>
  <c r="G26" i="17"/>
  <c r="E26" i="17"/>
  <c r="D26" i="17"/>
  <c r="I7" i="17"/>
  <c r="F33" i="17"/>
  <c r="C21" i="19"/>
  <c r="I21" i="17"/>
  <c r="D35" i="17"/>
  <c r="F19" i="19"/>
  <c r="F21" i="19"/>
  <c r="C24" i="17"/>
  <c r="C26" i="17"/>
  <c r="G19" i="17"/>
  <c r="G14" i="17"/>
  <c r="G13" i="17"/>
  <c r="F18" i="19"/>
  <c r="F16" i="19"/>
  <c r="F11" i="19"/>
  <c r="C11" i="19"/>
  <c r="F6" i="19"/>
  <c r="F34" i="19"/>
  <c r="F33" i="19"/>
  <c r="F28" i="19"/>
  <c r="F27" i="19"/>
  <c r="F26" i="19"/>
  <c r="C31" i="19"/>
  <c r="C30" i="19"/>
  <c r="C26" i="19"/>
  <c r="C25" i="19"/>
  <c r="C5" i="19"/>
  <c r="D40" i="18"/>
  <c r="G30" i="18"/>
  <c r="F30" i="18"/>
  <c r="E30" i="18"/>
  <c r="F29" i="18"/>
  <c r="E29" i="18"/>
  <c r="D30" i="18"/>
  <c r="D29" i="18"/>
  <c r="H15" i="18"/>
  <c r="H16" i="18"/>
  <c r="E18" i="18"/>
  <c r="G21" i="18"/>
  <c r="F21" i="18"/>
  <c r="H21" i="18"/>
  <c r="H8" i="18"/>
  <c r="G8" i="18"/>
  <c r="F8" i="18"/>
  <c r="F13" i="18"/>
  <c r="F16" i="18"/>
  <c r="F15" i="18"/>
  <c r="F14" i="18"/>
  <c r="E13" i="18"/>
  <c r="E16" i="18"/>
  <c r="E15" i="18"/>
  <c r="E14" i="18"/>
  <c r="E11" i="18"/>
  <c r="E10" i="18"/>
  <c r="E9" i="18"/>
  <c r="E20" i="18"/>
  <c r="E26" i="18"/>
  <c r="E6" i="18"/>
  <c r="E5" i="18"/>
  <c r="D6" i="18"/>
  <c r="G48" i="17"/>
  <c r="G35" i="17"/>
  <c r="E35" i="17"/>
  <c r="G33" i="17"/>
  <c r="G37" i="17" s="1"/>
  <c r="H13" i="18" l="1"/>
  <c r="E33" i="17"/>
  <c r="D33" i="17"/>
  <c r="G45" i="17"/>
  <c r="I43" i="17"/>
  <c r="I41" i="17"/>
  <c r="D24" i="17"/>
  <c r="C25" i="17"/>
  <c r="D25" i="17" s="1"/>
  <c r="E25" i="17" s="1"/>
  <c r="G25" i="17" s="1"/>
  <c r="C23" i="17"/>
  <c r="G22" i="17"/>
  <c r="G21" i="17"/>
  <c r="E22" i="17"/>
  <c r="E21" i="17"/>
  <c r="D22" i="17"/>
  <c r="D23" i="17"/>
  <c r="E23" i="17" s="1"/>
  <c r="G23" i="17" s="1"/>
  <c r="C21" i="17"/>
  <c r="G20" i="17"/>
  <c r="G12" i="17"/>
  <c r="G11" i="17"/>
  <c r="D8" i="17"/>
  <c r="E7" i="17"/>
  <c r="D7" i="17"/>
  <c r="C7" i="17"/>
  <c r="G6" i="17"/>
  <c r="F7" i="21"/>
  <c r="F6" i="21"/>
  <c r="F50" i="15"/>
  <c r="F23" i="15"/>
  <c r="D41" i="18" l="1"/>
  <c r="E24" i="17"/>
  <c r="G24" i="17" s="1"/>
  <c r="G29" i="17" l="1"/>
  <c r="G5" i="15"/>
  <c r="G47" i="17" l="1"/>
  <c r="G49" i="17" s="1"/>
  <c r="C4" i="19" s="1"/>
  <c r="C8" i="19" s="1"/>
  <c r="C22" i="19" s="1"/>
  <c r="H11" i="15"/>
  <c r="N12" i="15"/>
  <c r="F43" i="15"/>
  <c r="F40" i="15"/>
  <c r="F38" i="15"/>
  <c r="H38" i="15" s="1"/>
  <c r="G48" i="15"/>
  <c r="G37" i="15"/>
  <c r="L40" i="15"/>
  <c r="L39" i="15"/>
  <c r="L38" i="15"/>
  <c r="H5" i="15"/>
  <c r="H9" i="15" s="1"/>
  <c r="F6" i="15"/>
  <c r="F5" i="15"/>
  <c r="G21" i="15"/>
  <c r="G30" i="15"/>
  <c r="H30" i="15" s="1"/>
  <c r="F36" i="15" s="1"/>
  <c r="F52" i="15" s="1"/>
  <c r="F22" i="15"/>
  <c r="F24" i="15"/>
  <c r="AA16" i="18"/>
  <c r="AB19" i="18" s="1"/>
  <c r="U16" i="18"/>
  <c r="V19" i="18" s="1"/>
  <c r="X14" i="18"/>
  <c r="Y11" i="18"/>
  <c r="S11" i="18"/>
  <c r="T11" i="18" s="1"/>
  <c r="U11" i="18" s="1"/>
  <c r="V11" i="18" s="1"/>
  <c r="W11" i="18" s="1"/>
  <c r="F51" i="15" l="1"/>
  <c r="G31" i="15"/>
  <c r="H31" i="15" s="1"/>
  <c r="F37" i="15" s="1"/>
  <c r="H37" i="15" s="1"/>
  <c r="W10" i="18"/>
  <c r="Z11" i="18"/>
  <c r="AA11" i="18" s="1"/>
  <c r="AB11" i="18" s="1"/>
  <c r="AC11" i="18" s="1"/>
  <c r="D42" i="18"/>
  <c r="D44" i="18" s="1"/>
  <c r="F25" i="19" s="1"/>
  <c r="F12" i="19"/>
  <c r="C6" i="19"/>
  <c r="F4" i="19" l="1"/>
  <c r="F8" i="19" s="1"/>
  <c r="F13" i="19" s="1"/>
  <c r="F22" i="19" s="1"/>
  <c r="F49" i="15"/>
  <c r="H49" i="15" s="1"/>
  <c r="H50" i="15" s="1"/>
  <c r="G50" i="15" s="1"/>
  <c r="G51" i="15" s="1"/>
  <c r="G52" i="15" s="1"/>
  <c r="H52" i="15" s="1"/>
  <c r="H36" i="15" s="1"/>
  <c r="W14" i="18"/>
  <c r="X13" i="18"/>
  <c r="AC10" i="18"/>
  <c r="AC13" i="18" s="1"/>
  <c r="K2" i="17"/>
  <c r="K3" i="17" s="1"/>
  <c r="H40" i="15" l="1"/>
  <c r="H43" i="15" s="1"/>
  <c r="H22" i="15" s="1"/>
  <c r="G36" i="15"/>
  <c r="H51" i="15"/>
  <c r="H22" i="19"/>
  <c r="H23" i="15" l="1"/>
  <c r="G23" i="15" s="1"/>
  <c r="G24" i="15" s="1"/>
  <c r="G22" i="15"/>
  <c r="F14" i="21"/>
  <c r="F22" i="21"/>
  <c r="C28" i="21"/>
  <c r="C10" i="21" s="1"/>
  <c r="F36" i="21"/>
  <c r="F30" i="21"/>
  <c r="C33" i="21"/>
  <c r="C13" i="21" l="1"/>
  <c r="C22" i="21" s="1"/>
  <c r="C23" i="21" s="1"/>
  <c r="H24" i="15"/>
  <c r="G25" i="15"/>
  <c r="F10" i="21"/>
  <c r="F15" i="21" s="1"/>
  <c r="F23" i="21" s="1"/>
  <c r="H25" i="15" l="1"/>
  <c r="G6" i="15"/>
  <c r="H6" i="15" s="1"/>
  <c r="H7" i="15" s="1"/>
  <c r="H12" i="15" s="1"/>
  <c r="H14" i="15" s="1"/>
  <c r="H15" i="15" s="1"/>
  <c r="H16" i="15" s="1"/>
  <c r="D13" i="18"/>
  <c r="D8" i="18"/>
  <c r="K39" i="15" l="1"/>
  <c r="K38" i="15"/>
  <c r="E8" i="18"/>
</calcChain>
</file>

<file path=xl/sharedStrings.xml><?xml version="1.0" encoding="utf-8"?>
<sst xmlns="http://schemas.openxmlformats.org/spreadsheetml/2006/main" count="372" uniqueCount="249">
  <si>
    <t>Efectivo y Equivalente de Efectivo</t>
  </si>
  <si>
    <t>Cuentas por cobrar comerciales</t>
  </si>
  <si>
    <t>TOTAL ACTIVO CORRIENTE</t>
  </si>
  <si>
    <t>ACTIVO CORRIENTE</t>
  </si>
  <si>
    <t>ACTIVO NO CORRIENTE</t>
  </si>
  <si>
    <t>TOTAL ACTIVO NO CORRIENTE</t>
  </si>
  <si>
    <t>Cuentas por pagar comerciales</t>
  </si>
  <si>
    <t>Descuentos por pagar (AFP)</t>
  </si>
  <si>
    <t>PASIVO CORRIENTE</t>
  </si>
  <si>
    <t>PASIVO NO CORRIENTE</t>
  </si>
  <si>
    <t>TOTAL PASIVO CORRIENTE</t>
  </si>
  <si>
    <t>TOTAL PASIVO NO CORRIENTE</t>
  </si>
  <si>
    <t>PATRIMONIO</t>
  </si>
  <si>
    <t>Capital Social</t>
  </si>
  <si>
    <t>TOTAL PATRIMONIO</t>
  </si>
  <si>
    <t>TOTAL PASIVO Y PATRIMONIO</t>
  </si>
  <si>
    <t>TOTAL PASIVO</t>
  </si>
  <si>
    <t>TOTAL ACTIVO</t>
  </si>
  <si>
    <t>Ventas</t>
  </si>
  <si>
    <t>Cantidad</t>
  </si>
  <si>
    <t>Total</t>
  </si>
  <si>
    <t>Material Directo CONSUMIDO en el periodo</t>
  </si>
  <si>
    <t>Gratificaciones</t>
  </si>
  <si>
    <t>Vacaciones</t>
  </si>
  <si>
    <t>Unitario</t>
  </si>
  <si>
    <t>Costo de Ventas PT</t>
  </si>
  <si>
    <t>(=)</t>
  </si>
  <si>
    <t>Política</t>
  </si>
  <si>
    <t>+</t>
  </si>
  <si>
    <t>=</t>
  </si>
  <si>
    <t>-</t>
  </si>
  <si>
    <t>Costo de venta</t>
  </si>
  <si>
    <t>Elementos del costo</t>
  </si>
  <si>
    <t>MANO DE OBRA DIRECTA (MOD)</t>
  </si>
  <si>
    <t>Mano de Obra directa</t>
  </si>
  <si>
    <t>Costos Indirectos de Fabricación variable</t>
  </si>
  <si>
    <t>Costos Indirectos de Fabricación fijos</t>
  </si>
  <si>
    <t>Costo de Productos Terminados (CPT)</t>
  </si>
  <si>
    <t>1. Estado de RESULTADOS</t>
  </si>
  <si>
    <t>Inventario inicial PT</t>
  </si>
  <si>
    <t>Producción del mes</t>
  </si>
  <si>
    <t>Disponible para la venta</t>
  </si>
  <si>
    <t>Inventario final PT</t>
  </si>
  <si>
    <t>MATERIAL DIRECTO (MD) que se necesita consumir</t>
  </si>
  <si>
    <t>HORAS-H</t>
  </si>
  <si>
    <t xml:space="preserve">Aporte </t>
  </si>
  <si>
    <t>Benef. Soc.</t>
  </si>
  <si>
    <t>Inventario inicial MD</t>
  </si>
  <si>
    <t>Disponible para consumo MD</t>
  </si>
  <si>
    <t>Siempre sacar el precio promedio: Valor total / Cantidad</t>
  </si>
  <si>
    <t>Inventario final MD</t>
  </si>
  <si>
    <t>MD Unid</t>
  </si>
  <si>
    <t>CANTIDAD unit estándar Qx</t>
  </si>
  <si>
    <t>Impuesto a la Renta</t>
  </si>
  <si>
    <r>
      <t>PRODUCCIÓN</t>
    </r>
    <r>
      <rPr>
        <b/>
        <sz val="10"/>
        <rFont val="Arial"/>
        <family val="2"/>
      </rPr>
      <t xml:space="preserve"> Presupuestada</t>
    </r>
  </si>
  <si>
    <r>
      <t xml:space="preserve">Cantidad total estándar </t>
    </r>
    <r>
      <rPr>
        <b/>
        <sz val="10"/>
        <rFont val="Arial"/>
        <family val="2"/>
      </rPr>
      <t>Presupuestada</t>
    </r>
  </si>
  <si>
    <t>Bases de aplicación:</t>
  </si>
  <si>
    <t>Resultado Bruto</t>
  </si>
  <si>
    <t>Resultado Operativo</t>
  </si>
  <si>
    <t>Resultado antes de Impuesto a la Renta</t>
  </si>
  <si>
    <t>Resultado Neto</t>
  </si>
  <si>
    <t>2. Costos de Ventas</t>
  </si>
  <si>
    <t>3. Cantidad Estandar Presupuestada</t>
  </si>
  <si>
    <t>4.- Estado de Costos de Productos Terminados</t>
  </si>
  <si>
    <t xml:space="preserve"> IIPP</t>
  </si>
  <si>
    <t>IFPP</t>
  </si>
  <si>
    <t>Costo de Producción</t>
  </si>
  <si>
    <t>5. Costo de Material Directo Consumido (MD)</t>
  </si>
  <si>
    <t>Compras netas</t>
  </si>
  <si>
    <t>MD consumido</t>
  </si>
  <si>
    <t>MOD Bruto</t>
  </si>
  <si>
    <t>Total MOD</t>
  </si>
  <si>
    <t>%</t>
  </si>
  <si>
    <t>S/. unit</t>
  </si>
  <si>
    <t>Se colocará la base de aplicación,  unitaria o total</t>
  </si>
  <si>
    <t>Unitario (valor)</t>
  </si>
  <si>
    <t>Gastos Financieros</t>
  </si>
  <si>
    <t>Reserva Legal</t>
  </si>
  <si>
    <t>- Depreciación acumulada</t>
  </si>
  <si>
    <t>Intangibles</t>
  </si>
  <si>
    <t>Otras C x C</t>
  </si>
  <si>
    <t>Otras C x P</t>
  </si>
  <si>
    <t>Otros Ingresos (venta de activo fijo)</t>
  </si>
  <si>
    <t>Presupuesto Operativo / Estado de Resultados presupuestado</t>
  </si>
  <si>
    <t>Otros gastos (enajenación del activo vendido)</t>
  </si>
  <si>
    <t>Gastos Operativos Variables - Ventas</t>
  </si>
  <si>
    <t>Gastos Operativos Fijos - Administración</t>
  </si>
  <si>
    <t>+ VALOR DE COSTO DEL ACTIVO</t>
  </si>
  <si>
    <t>- DEPRECIACION ACUMULADA</t>
  </si>
  <si>
    <t>= VALOR  COSTO ACT ENAJENADO</t>
  </si>
  <si>
    <t>ESTADO DE FLUJO DE EFECTIVO presupuestado</t>
  </si>
  <si>
    <t>Valor Venta</t>
  </si>
  <si>
    <t>IGV 18%</t>
  </si>
  <si>
    <t>Precio de Venta</t>
  </si>
  <si>
    <t>Politica</t>
  </si>
  <si>
    <t>TOTAL</t>
  </si>
  <si>
    <t>SALDO para ESF</t>
  </si>
  <si>
    <t>ACTIVIDADES DE OPERACIÓN</t>
  </si>
  <si>
    <t>INGRESOS</t>
  </si>
  <si>
    <t>De CXC COM MES ANTERIOR (ESF)</t>
  </si>
  <si>
    <t>Cobranza x ventas mes actual</t>
  </si>
  <si>
    <t>A CXC MES ACTUAL (ESF)</t>
  </si>
  <si>
    <t>EGRESOS</t>
  </si>
  <si>
    <t>Tributos por pagar - IGV</t>
  </si>
  <si>
    <t>NO SE PAGA NADA CUANDO HAY CREDITO FISCAL</t>
  </si>
  <si>
    <t>Impuesto a la renta por pagar</t>
  </si>
  <si>
    <t>Aportes de Planilla</t>
  </si>
  <si>
    <t>Descuentos de planilla (AFP/ONP)</t>
  </si>
  <si>
    <t>Beneficios sociales*</t>
  </si>
  <si>
    <t>Remuneración Neta</t>
  </si>
  <si>
    <t xml:space="preserve">CxP: Compras de MD </t>
  </si>
  <si>
    <t>A CXP MES ACTUAL (ESF)</t>
  </si>
  <si>
    <t>CIF Variables</t>
  </si>
  <si>
    <t>CIF Fijos (- deprec,amortiz)</t>
  </si>
  <si>
    <r>
      <t>CIF = + GGF (LUZ+AGUA+TELEF+</t>
    </r>
    <r>
      <rPr>
        <sz val="10"/>
        <color rgb="FFFF0000"/>
        <rFont val="Arial"/>
        <family val="2"/>
      </rPr>
      <t>DEPREC)</t>
    </r>
  </si>
  <si>
    <t>Gastos operativos variables</t>
  </si>
  <si>
    <t>Gastos operativos fijos (- dep, amort)</t>
  </si>
  <si>
    <t>Intereses</t>
  </si>
  <si>
    <t>FLUJO DE EFECTIVO NETO DE ACT. DE OPERACIÓN</t>
  </si>
  <si>
    <t>A</t>
  </si>
  <si>
    <t>ACTIVIDAD DE INVERSIÓN</t>
  </si>
  <si>
    <t>INGRESOS:</t>
  </si>
  <si>
    <t>Venta activo</t>
  </si>
  <si>
    <t>EGRESOS:</t>
  </si>
  <si>
    <t>Compra activo</t>
  </si>
  <si>
    <t>Cobro de dividendos</t>
  </si>
  <si>
    <t>FLUJO DE EFECTIVO NETO DE ACT. de INVERSIÓN</t>
  </si>
  <si>
    <t>B</t>
  </si>
  <si>
    <t>ACTIVIDAD DE FINANCIAMIENTO</t>
  </si>
  <si>
    <t>Aporte</t>
  </si>
  <si>
    <t>A CAPITAL SOCIAL (ESF)</t>
  </si>
  <si>
    <t>Pago deuda</t>
  </si>
  <si>
    <t>A DEUDAS L/P (ESF)</t>
  </si>
  <si>
    <t>Pago de dividendos</t>
  </si>
  <si>
    <t>FLUJO DE EFECTIVO NETO DE ACT. DE FINANCIAMIENTO</t>
  </si>
  <si>
    <t>C</t>
  </si>
  <si>
    <t>Aumento ( Disminución) neto en el efectivo</t>
  </si>
  <si>
    <t>= A+B+C</t>
  </si>
  <si>
    <t>Efectivo al inicio del Periodo</t>
  </si>
  <si>
    <t>Efectivo al FINAL del Periodo</t>
  </si>
  <si>
    <t>PRESUPUESTO DE PLANILLA</t>
  </si>
  <si>
    <t>D</t>
  </si>
  <si>
    <t>E</t>
  </si>
  <si>
    <t>F</t>
  </si>
  <si>
    <t>D + E -F</t>
  </si>
  <si>
    <t>(4 decimales)</t>
  </si>
  <si>
    <t>PARA EL ER</t>
  </si>
  <si>
    <t>Del ESF ant</t>
  </si>
  <si>
    <t>PARA EL EFE</t>
  </si>
  <si>
    <t>PARA EL ESF</t>
  </si>
  <si>
    <t>UNIT 
S/ - %</t>
  </si>
  <si>
    <t>TOTAL MES</t>
  </si>
  <si>
    <t>Saldo x Pagar mes anterior</t>
  </si>
  <si>
    <t>Pagos mes</t>
  </si>
  <si>
    <t>Saldo x Pagar mes actual</t>
  </si>
  <si>
    <t>Horas MOD</t>
  </si>
  <si>
    <t>Sueldo BRUTO</t>
  </si>
  <si>
    <t>APORTACIONES</t>
  </si>
  <si>
    <t>Essalud</t>
  </si>
  <si>
    <t>SENATI (&gt; 20 Trab)</t>
  </si>
  <si>
    <t>Se considera siempre que el numero de Trabajadores de la empresa sea &gt;20</t>
  </si>
  <si>
    <t>SCTR</t>
  </si>
  <si>
    <t>GASTO</t>
  </si>
  <si>
    <t>BENEFICIOS SOCIALES</t>
  </si>
  <si>
    <t>GRATIFICACIONES</t>
  </si>
  <si>
    <t>mes</t>
  </si>
  <si>
    <t>Pago JUL (gasto ENE-JUN)/ DIC (gasto JUL-DIC)</t>
  </si>
  <si>
    <t>PAGO</t>
  </si>
  <si>
    <t>CTS</t>
  </si>
  <si>
    <t>Pago MAY (gasto NOV-ABR) / NOV (gasto MAY-OCT)</t>
  </si>
  <si>
    <t>Pago según caso</t>
  </si>
  <si>
    <t>X</t>
  </si>
  <si>
    <t>Y</t>
  </si>
  <si>
    <t>(A+B+C)</t>
  </si>
  <si>
    <t>Total costo MOD</t>
  </si>
  <si>
    <t>Total COSTO de la empresa (Para el Ppto Operativo)</t>
  </si>
  <si>
    <t>G</t>
  </si>
  <si>
    <t>H</t>
  </si>
  <si>
    <t>Descuento de Planilla (AFP/ONP)</t>
  </si>
  <si>
    <t>NO ES COSTO DE LA EMPRESA: LA CIA LO DESCUENTA AL TRABAJADOR PARA LUEGO PAGARLO A LA AFP</t>
  </si>
  <si>
    <t>G-H</t>
  </si>
  <si>
    <t>Neto que se paga al trabajador (Para el EFE)</t>
  </si>
  <si>
    <r>
      <t>LIQUIDACIÓN DEL IGV</t>
    </r>
    <r>
      <rPr>
        <sz val="14"/>
        <color theme="1"/>
        <rFont val="Calibri"/>
        <family val="2"/>
        <scheme val="minor"/>
      </rPr>
      <t xml:space="preserve">  (para el ESF presupuestado)</t>
    </r>
  </si>
  <si>
    <t>(+) IGV Vtas</t>
  </si>
  <si>
    <t>(-) IGV Compras</t>
  </si>
  <si>
    <t>Costos y Gastos</t>
  </si>
  <si>
    <t>(=) Subtotal mes</t>
  </si>
  <si>
    <t>POR PAGAR</t>
  </si>
  <si>
    <t>- Saldo mes anterior</t>
  </si>
  <si>
    <t>(=) Resultado mes</t>
  </si>
  <si>
    <t>Si Resultado &gt; 0, IGV por pagar</t>
  </si>
  <si>
    <t>Si Resultado &lt; 0, Credito Fiscal</t>
  </si>
  <si>
    <r>
      <t>ACTIVO FIJO</t>
    </r>
    <r>
      <rPr>
        <sz val="14"/>
        <color theme="1"/>
        <rFont val="Calibri"/>
        <family val="2"/>
        <scheme val="minor"/>
      </rPr>
      <t xml:space="preserve"> (para el ESF presupuestado)</t>
    </r>
  </si>
  <si>
    <t>(a valor de costo)</t>
  </si>
  <si>
    <t>C+D-E</t>
  </si>
  <si>
    <t>PROP. Planta y Equipo</t>
  </si>
  <si>
    <t>Valor actual (ESF)</t>
  </si>
  <si>
    <t>Activo Fijo (INM. MAQ. EQ.)</t>
  </si>
  <si>
    <t>SIN IGV</t>
  </si>
  <si>
    <t>Depreciacion Acum</t>
  </si>
  <si>
    <t>Amortizacion Acum</t>
  </si>
  <si>
    <t>ESTADO DE SITUACION FINANCIERA presupuestado</t>
  </si>
  <si>
    <t>EFE</t>
  </si>
  <si>
    <t>OTR</t>
  </si>
  <si>
    <t>ER</t>
  </si>
  <si>
    <t xml:space="preserve"> </t>
  </si>
  <si>
    <t>Propiedad, Planta y Equipo</t>
  </si>
  <si>
    <t>Resultados Acumulados</t>
  </si>
  <si>
    <t>ESF</t>
  </si>
  <si>
    <t>UTIL ACUM ANT + RE ANT</t>
  </si>
  <si>
    <t>Resultados del Ejercicio</t>
  </si>
  <si>
    <t>VALOR</t>
  </si>
  <si>
    <t>PRECIO</t>
  </si>
  <si>
    <t>Cuentas por pagar comerciales mes anterior</t>
  </si>
  <si>
    <t>Tributos por pagar (3)</t>
  </si>
  <si>
    <t>Remuneraciones por pagar (4)</t>
  </si>
  <si>
    <t>Obligaciones Financieras largo plazo</t>
  </si>
  <si>
    <t>IGV x Pagar</t>
  </si>
  <si>
    <t>Impuesto a la renta x pagar</t>
  </si>
  <si>
    <t>Existencias (1)</t>
  </si>
  <si>
    <t>Propiedad, Planta y Equipo NETO (2)</t>
  </si>
  <si>
    <t>Aportaciones por pagar (ESSALUD, SENATI, SCTR)</t>
  </si>
  <si>
    <t>IF Material directo</t>
  </si>
  <si>
    <t>IF Producto terminado</t>
  </si>
  <si>
    <t>Propiedad, planta y equipo neto (2)</t>
  </si>
  <si>
    <t>Cobranza x ventas mes anterior</t>
  </si>
  <si>
    <t>Intangibles NETO (_)</t>
  </si>
  <si>
    <t>(3) Tributos por pagar</t>
  </si>
  <si>
    <t>(2) Propiedad, planta y equipo neto</t>
  </si>
  <si>
    <t>(4) Remuneraciones por pagar</t>
  </si>
  <si>
    <t>(1) Existencias                    Cantidad</t>
  </si>
  <si>
    <t>LUNA SAC</t>
  </si>
  <si>
    <t>ESTADO DE SITUACION FINANCIERA AL 30/11/2018</t>
  </si>
  <si>
    <t>EXPRESADO EN SOLES</t>
  </si>
  <si>
    <t>Pago al mes siguiente</t>
  </si>
  <si>
    <t>Se considera siempre que los trabajadores realicen trabajos de riesgo</t>
  </si>
  <si>
    <t>…</t>
  </si>
  <si>
    <t>Total SUELDO NETO=REMUN (pago)</t>
  </si>
  <si>
    <t>SUELDO=1200</t>
  </si>
  <si>
    <t>NO</t>
  </si>
  <si>
    <t>SALDOXP</t>
  </si>
  <si>
    <t>Sólo por Crédito Fiscal mes anterior (=saldo a favor mes anterior)</t>
  </si>
  <si>
    <t>+ compras AF</t>
  </si>
  <si>
    <t>+ compras INT</t>
  </si>
  <si>
    <t>- ventas  AF</t>
  </si>
  <si>
    <t>- ventas  INT</t>
  </si>
  <si>
    <t>Cerveza (litros)  78000</t>
  </si>
  <si>
    <t>Cebada (kg)        15000</t>
  </si>
  <si>
    <t>Valor histórico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</si>
</sst>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 * #,##0.00_ ;_ * \-#,##0.00_ ;_ * &quot;-&quot;??_ ;_ @_ "/>
    <numFmt numFmtId="165" formatCode="&quot;S/.&quot;\ #,##0.00"/>
    <numFmt numFmtId="166" formatCode="0.0"/>
    <numFmt numFmtId="167" formatCode="0.0000"/>
    <numFmt numFmtId="168" formatCode="_ * #,##0_ ;_ * \-#,##0_ ;_ * &quot;-&quot;??_ ;_ @_ "/>
    <numFmt numFmtId="169" formatCode="0.0%"/>
    <numFmt numFmtId="170" formatCode="0.000"/>
    <numFmt numFmtId="171" formatCode="_ * #,##0.000_ ;_ * \-#,##0.000_ ;_ * &quot;-&quot;??_ ;_ @_ "/>
    <numFmt numFmtId="172" formatCode="_ * #,##0.0000_ ;_ * \-#,##0.0000_ ;_ * &quot;-&quot;??_ ;_ @_ "/>
    <numFmt numFmtId="173" formatCode="_ * #,##0.0_ ;_ * \-#,##0.0_ ;_ * &quot;-&quot;??_ ;_ @_ "/>
    <numFmt numFmtId="174" formatCode="&quot;S/.&quot;#,##0"/>
    <numFmt numFmtId="178" formatCode="0.00000"/>
    <numFmt numFmtId="182" formatCode="&quot;S/.&quot;\ #,##0.0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FF"/>
      <name val="Arial"/>
      <family val="2"/>
    </font>
    <font>
      <b/>
      <sz val="11"/>
      <color theme="1"/>
      <name val="Arial"/>
      <family val="2"/>
    </font>
    <font>
      <b/>
      <sz val="12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sz val="12"/>
      <color rgb="FF0226BE"/>
      <name val="Arial"/>
      <family val="2"/>
    </font>
    <font>
      <b/>
      <sz val="12"/>
      <color rgb="FFFF0000"/>
      <name val="Arial"/>
      <family val="2"/>
    </font>
    <font>
      <sz val="12"/>
      <color rgb="FF0226BE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226BE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DashDot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mediumDashDot">
        <color indexed="64"/>
      </right>
      <top/>
      <bottom style="thin">
        <color auto="1"/>
      </bottom>
      <diagonal/>
    </border>
    <border>
      <left style="thin">
        <color indexed="64"/>
      </left>
      <right style="mediumDashDot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Dot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442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6" fillId="0" borderId="0" xfId="0" applyFont="1"/>
    <xf numFmtId="0" fontId="5" fillId="2" borderId="5" xfId="0" applyFont="1" applyFill="1" applyBorder="1"/>
    <xf numFmtId="0" fontId="5" fillId="2" borderId="2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justify" vertical="center"/>
    </xf>
    <xf numFmtId="0" fontId="2" fillId="0" borderId="14" xfId="0" applyFon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67" fontId="8" fillId="3" borderId="12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justify" vertical="center"/>
    </xf>
    <xf numFmtId="0" fontId="5" fillId="2" borderId="5" xfId="0" applyFont="1" applyFill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6" fillId="0" borderId="9" xfId="0" applyFont="1" applyBorder="1"/>
    <xf numFmtId="0" fontId="2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/>
    <xf numFmtId="167" fontId="8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9" xfId="0" applyFont="1" applyBorder="1" applyAlignment="1"/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justify" vertical="center" wrapText="1"/>
    </xf>
    <xf numFmtId="166" fontId="8" fillId="0" borderId="12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2" borderId="6" xfId="0" applyFont="1" applyFill="1" applyBorder="1"/>
    <xf numFmtId="0" fontId="13" fillId="2" borderId="6" xfId="0" applyFont="1" applyFill="1" applyBorder="1"/>
    <xf numFmtId="0" fontId="10" fillId="0" borderId="5" xfId="0" applyFont="1" applyBorder="1" applyAlignment="1">
      <alignment vertical="center"/>
    </xf>
    <xf numFmtId="0" fontId="13" fillId="0" borderId="0" xfId="0" applyFont="1" applyAlignment="1">
      <alignment horizontal="left" indent="1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5" xfId="0" applyFont="1" applyBorder="1"/>
    <xf numFmtId="0" fontId="12" fillId="0" borderId="6" xfId="0" applyFont="1" applyBorder="1"/>
    <xf numFmtId="0" fontId="13" fillId="0" borderId="9" xfId="0" applyFont="1" applyBorder="1"/>
    <xf numFmtId="0" fontId="14" fillId="0" borderId="7" xfId="0" applyFont="1" applyBorder="1" applyAlignment="1">
      <alignment vertical="center"/>
    </xf>
    <xf numFmtId="0" fontId="13" fillId="0" borderId="7" xfId="0" applyFont="1" applyBorder="1"/>
    <xf numFmtId="165" fontId="13" fillId="0" borderId="0" xfId="0" applyNumberFormat="1" applyFont="1"/>
    <xf numFmtId="0" fontId="14" fillId="0" borderId="0" xfId="0" applyFont="1" applyBorder="1" applyAlignment="1">
      <alignment vertical="center"/>
    </xf>
    <xf numFmtId="0" fontId="6" fillId="0" borderId="0" xfId="0" applyFont="1" applyBorder="1"/>
    <xf numFmtId="0" fontId="13" fillId="0" borderId="0" xfId="0" applyFont="1" applyBorder="1"/>
    <xf numFmtId="0" fontId="14" fillId="0" borderId="6" xfId="0" applyFont="1" applyBorder="1" applyAlignment="1">
      <alignment vertical="center"/>
    </xf>
    <xf numFmtId="170" fontId="13" fillId="0" borderId="0" xfId="0" applyNumberFormat="1" applyFont="1"/>
    <xf numFmtId="0" fontId="15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3" fontId="8" fillId="8" borderId="12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4" xfId="0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vertical="center"/>
    </xf>
    <xf numFmtId="0" fontId="13" fillId="0" borderId="0" xfId="0" applyFont="1" applyAlignment="1">
      <alignment horizontal="right" indent="1"/>
    </xf>
    <xf numFmtId="0" fontId="7" fillId="0" borderId="8" xfId="0" applyFont="1" applyBorder="1" applyAlignment="1">
      <alignment horizontal="right" vertical="center" wrapText="1" indent="1"/>
    </xf>
    <xf numFmtId="3" fontId="8" fillId="0" borderId="9" xfId="0" applyNumberFormat="1" applyFont="1" applyBorder="1" applyAlignment="1">
      <alignment horizontal="right" vertical="center" indent="1"/>
    </xf>
    <xf numFmtId="0" fontId="13" fillId="2" borderId="9" xfId="0" applyFont="1" applyFill="1" applyBorder="1" applyAlignment="1">
      <alignment horizontal="right" indent="1"/>
    </xf>
    <xf numFmtId="3" fontId="8" fillId="0" borderId="12" xfId="0" applyNumberFormat="1" applyFont="1" applyFill="1" applyBorder="1" applyAlignment="1">
      <alignment horizontal="right" vertical="center" wrapText="1" indent="1"/>
    </xf>
    <xf numFmtId="3" fontId="8" fillId="5" borderId="12" xfId="0" applyNumberFormat="1" applyFont="1" applyFill="1" applyBorder="1" applyAlignment="1">
      <alignment horizontal="right" vertical="center" wrapText="1" indent="1"/>
    </xf>
    <xf numFmtId="3" fontId="8" fillId="3" borderId="12" xfId="0" applyNumberFormat="1" applyFont="1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right" vertical="center" indent="1"/>
    </xf>
    <xf numFmtId="0" fontId="7" fillId="0" borderId="2" xfId="0" applyFont="1" applyBorder="1" applyAlignment="1">
      <alignment horizontal="right" vertical="center" wrapText="1" indent="1"/>
    </xf>
    <xf numFmtId="3" fontId="8" fillId="7" borderId="11" xfId="0" applyNumberFormat="1" applyFont="1" applyFill="1" applyBorder="1" applyAlignment="1">
      <alignment horizontal="right" vertical="center" wrapText="1" indent="1"/>
    </xf>
    <xf numFmtId="3" fontId="8" fillId="9" borderId="11" xfId="0" applyNumberFormat="1" applyFont="1" applyFill="1" applyBorder="1" applyAlignment="1">
      <alignment horizontal="right" vertical="center" wrapText="1" indent="1"/>
    </xf>
    <xf numFmtId="0" fontId="8" fillId="0" borderId="0" xfId="0" applyFont="1" applyBorder="1" applyAlignment="1">
      <alignment horizontal="right" vertical="center" indent="1"/>
    </xf>
    <xf numFmtId="0" fontId="7" fillId="0" borderId="9" xfId="0" applyFont="1" applyBorder="1" applyAlignment="1">
      <alignment horizontal="right" vertical="center" indent="1"/>
    </xf>
    <xf numFmtId="0" fontId="13" fillId="0" borderId="0" xfId="0" applyFont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8" fillId="0" borderId="0" xfId="3" applyNumberFormat="1" applyFont="1" applyFill="1" applyBorder="1"/>
    <xf numFmtId="169" fontId="8" fillId="0" borderId="0" xfId="2" applyNumberFormat="1" applyFont="1" applyFill="1" applyBorder="1"/>
    <xf numFmtId="3" fontId="8" fillId="0" borderId="13" xfId="3" applyNumberFormat="1" applyFont="1" applyFill="1" applyBorder="1"/>
    <xf numFmtId="3" fontId="8" fillId="4" borderId="2" xfId="0" applyNumberFormat="1" applyFont="1" applyFill="1" applyBorder="1" applyAlignment="1">
      <alignment horizontal="right" vertical="center" indent="1"/>
    </xf>
    <xf numFmtId="3" fontId="8" fillId="0" borderId="14" xfId="0" applyNumberFormat="1" applyFont="1" applyFill="1" applyBorder="1" applyAlignment="1">
      <alignment horizontal="right" vertical="center" indent="1"/>
    </xf>
    <xf numFmtId="0" fontId="8" fillId="0" borderId="10" xfId="0" applyFont="1" applyBorder="1" applyAlignment="1">
      <alignment horizontal="justify" vertical="center" wrapText="1"/>
    </xf>
    <xf numFmtId="3" fontId="8" fillId="6" borderId="10" xfId="3" applyNumberFormat="1" applyFont="1" applyFill="1" applyBorder="1"/>
    <xf numFmtId="3" fontId="8" fillId="6" borderId="14" xfId="3" applyNumberFormat="1" applyFont="1" applyFill="1" applyBorder="1"/>
    <xf numFmtId="3" fontId="8" fillId="6" borderId="11" xfId="3" applyNumberFormat="1" applyFont="1" applyFill="1" applyBorder="1"/>
    <xf numFmtId="0" fontId="8" fillId="0" borderId="6" xfId="0" applyFont="1" applyBorder="1" applyAlignment="1">
      <alignment vertical="center"/>
    </xf>
    <xf numFmtId="3" fontId="8" fillId="6" borderId="13" xfId="3" applyNumberFormat="1" applyFont="1" applyFill="1" applyBorder="1" applyAlignment="1">
      <alignment horizontal="center"/>
    </xf>
    <xf numFmtId="3" fontId="8" fillId="6" borderId="12" xfId="3" applyNumberFormat="1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10" fontId="8" fillId="0" borderId="0" xfId="2" applyNumberFormat="1" applyFont="1" applyBorder="1"/>
    <xf numFmtId="0" fontId="2" fillId="0" borderId="12" xfId="0" applyFont="1" applyBorder="1" applyAlignment="1">
      <alignment vertical="center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center"/>
    </xf>
    <xf numFmtId="171" fontId="12" fillId="0" borderId="0" xfId="1" applyNumberFormat="1" applyFont="1"/>
    <xf numFmtId="167" fontId="8" fillId="5" borderId="12" xfId="0" applyNumberFormat="1" applyFont="1" applyFill="1" applyBorder="1" applyAlignment="1">
      <alignment horizontal="center" vertical="center" wrapText="1"/>
    </xf>
    <xf numFmtId="3" fontId="8" fillId="0" borderId="0" xfId="3" applyNumberFormat="1" applyFont="1" applyFill="1" applyBorder="1" applyAlignment="1">
      <alignment horizontal="right" indent="1"/>
    </xf>
    <xf numFmtId="3" fontId="8" fillId="0" borderId="13" xfId="3" applyNumberFormat="1" applyFont="1" applyFill="1" applyBorder="1" applyAlignment="1">
      <alignment horizontal="right" indent="1"/>
    </xf>
    <xf numFmtId="0" fontId="13" fillId="2" borderId="6" xfId="0" applyFont="1" applyFill="1" applyBorder="1" applyAlignment="1">
      <alignment horizontal="right" indent="1"/>
    </xf>
    <xf numFmtId="3" fontId="8" fillId="8" borderId="12" xfId="0" applyNumberFormat="1" applyFont="1" applyFill="1" applyBorder="1" applyAlignment="1">
      <alignment horizontal="right" vertical="center" wrapText="1" indent="1"/>
    </xf>
    <xf numFmtId="0" fontId="8" fillId="2" borderId="6" xfId="0" applyFont="1" applyFill="1" applyBorder="1" applyAlignment="1">
      <alignment horizontal="right" vertical="center" indent="1"/>
    </xf>
    <xf numFmtId="0" fontId="7" fillId="0" borderId="9" xfId="0" applyFont="1" applyBorder="1" applyAlignment="1">
      <alignment horizontal="right" vertical="center" wrapText="1" indent="1"/>
    </xf>
    <xf numFmtId="0" fontId="7" fillId="0" borderId="5" xfId="0" applyFont="1" applyBorder="1" applyAlignment="1">
      <alignment horizontal="right" vertical="center" indent="1"/>
    </xf>
    <xf numFmtId="3" fontId="9" fillId="6" borderId="16" xfId="3" applyNumberFormat="1" applyFont="1" applyFill="1" applyBorder="1" applyAlignment="1">
      <alignment horizontal="right" indent="1"/>
    </xf>
    <xf numFmtId="3" fontId="8" fillId="8" borderId="11" xfId="0" applyNumberFormat="1" applyFont="1" applyFill="1" applyBorder="1" applyAlignment="1">
      <alignment horizontal="right" vertical="center" indent="1"/>
    </xf>
    <xf numFmtId="3" fontId="8" fillId="6" borderId="19" xfId="3" applyNumberFormat="1" applyFont="1" applyFill="1" applyBorder="1" applyAlignment="1">
      <alignment horizontal="right" indent="1"/>
    </xf>
    <xf numFmtId="167" fontId="16" fillId="3" borderId="12" xfId="0" applyNumberFormat="1" applyFont="1" applyFill="1" applyBorder="1" applyAlignment="1">
      <alignment horizontal="center" vertical="center" wrapText="1"/>
    </xf>
    <xf numFmtId="164" fontId="17" fillId="0" borderId="1" xfId="1" applyFont="1" applyBorder="1"/>
    <xf numFmtId="0" fontId="7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3" fontId="8" fillId="10" borderId="12" xfId="0" applyNumberFormat="1" applyFont="1" applyFill="1" applyBorder="1" applyAlignment="1">
      <alignment horizontal="right" vertical="center" wrapText="1" indent="1"/>
    </xf>
    <xf numFmtId="3" fontId="8" fillId="0" borderId="12" xfId="0" applyNumberFormat="1" applyFont="1" applyFill="1" applyBorder="1" applyAlignment="1">
      <alignment horizontal="right" vertical="center" indent="1"/>
    </xf>
    <xf numFmtId="3" fontId="8" fillId="11" borderId="12" xfId="0" applyNumberFormat="1" applyFont="1" applyFill="1" applyBorder="1" applyAlignment="1">
      <alignment horizontal="right" vertical="center" indent="1"/>
    </xf>
    <xf numFmtId="3" fontId="8" fillId="11" borderId="12" xfId="0" applyNumberFormat="1" applyFont="1" applyFill="1" applyBorder="1" applyAlignment="1">
      <alignment horizontal="right" vertical="center" wrapText="1" indent="1"/>
    </xf>
    <xf numFmtId="3" fontId="16" fillId="0" borderId="12" xfId="0" applyNumberFormat="1" applyFont="1" applyFill="1" applyBorder="1" applyAlignment="1">
      <alignment horizontal="right" vertical="center" indent="1"/>
    </xf>
    <xf numFmtId="167" fontId="8" fillId="4" borderId="12" xfId="0" applyNumberFormat="1" applyFont="1" applyFill="1" applyBorder="1" applyAlignment="1">
      <alignment horizontal="center" vertical="center" wrapText="1"/>
    </xf>
    <xf numFmtId="3" fontId="8" fillId="12" borderId="12" xfId="0" applyNumberFormat="1" applyFont="1" applyFill="1" applyBorder="1" applyAlignment="1">
      <alignment horizontal="right" vertical="center" wrapText="1" indent="1"/>
    </xf>
    <xf numFmtId="0" fontId="6" fillId="0" borderId="0" xfId="0" applyFont="1" applyFill="1"/>
    <xf numFmtId="0" fontId="7" fillId="0" borderId="0" xfId="0" applyFont="1" applyBorder="1" applyAlignment="1">
      <alignment horizontal="right" vertical="center" wrapText="1" indent="1"/>
    </xf>
    <xf numFmtId="0" fontId="8" fillId="0" borderId="0" xfId="0" applyFont="1" applyBorder="1"/>
    <xf numFmtId="0" fontId="8" fillId="3" borderId="0" xfId="0" applyFont="1" applyFill="1" applyBorder="1"/>
    <xf numFmtId="0" fontId="19" fillId="0" borderId="13" xfId="0" applyFont="1" applyBorder="1" applyAlignment="1">
      <alignment horizontal="left" vertical="center"/>
    </xf>
    <xf numFmtId="9" fontId="8" fillId="11" borderId="12" xfId="0" applyNumberFormat="1" applyFont="1" applyFill="1" applyBorder="1" applyAlignment="1">
      <alignment horizontal="right" vertical="center" wrapText="1"/>
    </xf>
    <xf numFmtId="9" fontId="8" fillId="7" borderId="12" xfId="0" applyNumberFormat="1" applyFont="1" applyFill="1" applyBorder="1" applyAlignment="1">
      <alignment horizontal="right" vertical="center" wrapText="1"/>
    </xf>
    <xf numFmtId="167" fontId="16" fillId="0" borderId="9" xfId="0" applyNumberFormat="1" applyFont="1" applyFill="1" applyBorder="1" applyAlignment="1">
      <alignment horizontal="center" vertical="center"/>
    </xf>
    <xf numFmtId="3" fontId="8" fillId="14" borderId="12" xfId="0" applyNumberFormat="1" applyFont="1" applyFill="1" applyBorder="1" applyAlignment="1">
      <alignment horizontal="right" vertical="center" wrapText="1" indent="1"/>
    </xf>
    <xf numFmtId="167" fontId="16" fillId="0" borderId="12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horizontal="right" indent="1"/>
    </xf>
    <xf numFmtId="0" fontId="6" fillId="14" borderId="0" xfId="0" applyFont="1" applyFill="1"/>
    <xf numFmtId="0" fontId="12" fillId="14" borderId="0" xfId="0" applyFont="1" applyFill="1"/>
    <xf numFmtId="0" fontId="20" fillId="0" borderId="0" xfId="0" applyFont="1" applyAlignment="1">
      <alignment horizontal="left" indent="1"/>
    </xf>
    <xf numFmtId="164" fontId="17" fillId="0" borderId="0" xfId="1" applyFont="1" applyBorder="1"/>
    <xf numFmtId="0" fontId="12" fillId="0" borderId="0" xfId="0" applyFont="1" applyBorder="1"/>
    <xf numFmtId="0" fontId="19" fillId="14" borderId="0" xfId="0" applyFont="1" applyFill="1"/>
    <xf numFmtId="10" fontId="13" fillId="0" borderId="4" xfId="0" applyNumberFormat="1" applyFont="1" applyFill="1" applyBorder="1"/>
    <xf numFmtId="10" fontId="13" fillId="0" borderId="4" xfId="2" applyNumberFormat="1" applyFont="1" applyFill="1" applyBorder="1"/>
    <xf numFmtId="0" fontId="23" fillId="0" borderId="0" xfId="0" applyFont="1"/>
    <xf numFmtId="0" fontId="2" fillId="0" borderId="6" xfId="0" applyFont="1" applyBorder="1" applyAlignment="1">
      <alignment vertical="center"/>
    </xf>
    <xf numFmtId="3" fontId="9" fillId="6" borderId="16" xfId="3" applyNumberFormat="1" applyFont="1" applyFill="1" applyBorder="1" applyAlignment="1">
      <alignment horizontal="center"/>
    </xf>
    <xf numFmtId="172" fontId="12" fillId="13" borderId="1" xfId="0" applyNumberFormat="1" applyFont="1" applyFill="1" applyBorder="1"/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13" fillId="0" borderId="0" xfId="0" quotePrefix="1" applyFont="1" applyFill="1" applyBorder="1"/>
    <xf numFmtId="0" fontId="12" fillId="0" borderId="0" xfId="0" applyFont="1" applyFill="1"/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43" fontId="12" fillId="0" borderId="1" xfId="0" applyNumberFormat="1" applyFont="1" applyBorder="1"/>
    <xf numFmtId="0" fontId="23" fillId="0" borderId="0" xfId="0" quotePrefix="1" applyFont="1"/>
    <xf numFmtId="0" fontId="23" fillId="0" borderId="22" xfId="0" applyFont="1" applyBorder="1"/>
    <xf numFmtId="0" fontId="23" fillId="8" borderId="0" xfId="0" applyFont="1" applyFill="1"/>
    <xf numFmtId="3" fontId="8" fillId="0" borderId="0" xfId="0" applyNumberFormat="1" applyFont="1" applyBorder="1" applyAlignment="1">
      <alignment vertical="center"/>
    </xf>
    <xf numFmtId="0" fontId="25" fillId="0" borderId="0" xfId="0" applyFont="1"/>
    <xf numFmtId="168" fontId="26" fillId="0" borderId="0" xfId="1" applyNumberFormat="1" applyFont="1"/>
    <xf numFmtId="0" fontId="26" fillId="0" borderId="0" xfId="0" applyFont="1" applyAlignment="1">
      <alignment horizontal="right"/>
    </xf>
    <xf numFmtId="168" fontId="27" fillId="0" borderId="0" xfId="1" applyNumberFormat="1" applyFont="1" applyAlignment="1">
      <alignment horizontal="center"/>
    </xf>
    <xf numFmtId="0" fontId="26" fillId="0" borderId="0" xfId="0" applyFont="1"/>
    <xf numFmtId="0" fontId="26" fillId="0" borderId="1" xfId="0" applyFont="1" applyBorder="1" applyAlignment="1">
      <alignment horizontal="left" vertical="center" wrapText="1"/>
    </xf>
    <xf numFmtId="168" fontId="28" fillId="0" borderId="1" xfId="1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8" fontId="29" fillId="0" borderId="0" xfId="1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horizontal="left" vertical="center"/>
    </xf>
    <xf numFmtId="0" fontId="26" fillId="3" borderId="0" xfId="0" applyFont="1" applyFill="1"/>
    <xf numFmtId="0" fontId="26" fillId="0" borderId="1" xfId="0" applyFont="1" applyBorder="1" applyAlignment="1">
      <alignment horizontal="left" vertical="center"/>
    </xf>
    <xf numFmtId="3" fontId="9" fillId="6" borderId="1" xfId="3" applyNumberFormat="1" applyFill="1" applyBorder="1"/>
    <xf numFmtId="168" fontId="26" fillId="3" borderId="1" xfId="1" applyNumberFormat="1" applyFont="1" applyFill="1" applyBorder="1" applyAlignment="1">
      <alignment horizontal="right" vertical="center"/>
    </xf>
    <xf numFmtId="0" fontId="30" fillId="0" borderId="0" xfId="0" applyFont="1" applyAlignment="1">
      <alignment horizontal="left" vertical="center"/>
    </xf>
    <xf numFmtId="168" fontId="26" fillId="3" borderId="1" xfId="1" applyNumberFormat="1" applyFont="1" applyFill="1" applyBorder="1" applyAlignment="1">
      <alignment horizontal="center" vertical="center"/>
    </xf>
    <xf numFmtId="9" fontId="31" fillId="3" borderId="1" xfId="0" applyNumberFormat="1" applyFont="1" applyFill="1" applyBorder="1" applyAlignment="1">
      <alignment horizontal="center" vertical="center"/>
    </xf>
    <xf numFmtId="168" fontId="26" fillId="0" borderId="1" xfId="1" applyNumberFormat="1" applyFont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9" fontId="26" fillId="0" borderId="0" xfId="0" applyNumberFormat="1" applyFont="1"/>
    <xf numFmtId="0" fontId="28" fillId="4" borderId="1" xfId="0" applyFont="1" applyFill="1" applyBorder="1" applyAlignment="1">
      <alignment horizontal="left" vertical="center"/>
    </xf>
    <xf numFmtId="168" fontId="26" fillId="4" borderId="1" xfId="1" applyNumberFormat="1" applyFont="1" applyFill="1" applyBorder="1" applyAlignment="1">
      <alignment horizontal="center" vertical="center"/>
    </xf>
    <xf numFmtId="168" fontId="26" fillId="9" borderId="1" xfId="1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168" fontId="28" fillId="15" borderId="1" xfId="1" applyNumberFormat="1" applyFont="1" applyFill="1" applyBorder="1" applyAlignment="1">
      <alignment horizontal="center" vertical="center"/>
    </xf>
    <xf numFmtId="168" fontId="26" fillId="3" borderId="0" xfId="1" applyNumberFormat="1" applyFont="1" applyFill="1"/>
    <xf numFmtId="0" fontId="28" fillId="0" borderId="4" xfId="0" applyFont="1" applyBorder="1"/>
    <xf numFmtId="168" fontId="26" fillId="3" borderId="1" xfId="1" applyNumberFormat="1" applyFont="1" applyFill="1" applyBorder="1"/>
    <xf numFmtId="168" fontId="26" fillId="0" borderId="1" xfId="1" applyNumberFormat="1" applyFont="1" applyFill="1" applyBorder="1"/>
    <xf numFmtId="168" fontId="26" fillId="0" borderId="22" xfId="1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3" fillId="0" borderId="1" xfId="0" applyFont="1" applyBorder="1"/>
    <xf numFmtId="0" fontId="34" fillId="0" borderId="0" xfId="0" applyFont="1"/>
    <xf numFmtId="0" fontId="28" fillId="4" borderId="1" xfId="0" applyFont="1" applyFill="1" applyBorder="1"/>
    <xf numFmtId="168" fontId="26" fillId="4" borderId="1" xfId="1" applyNumberFormat="1" applyFont="1" applyFill="1" applyBorder="1"/>
    <xf numFmtId="168" fontId="26" fillId="16" borderId="1" xfId="1" applyNumberFormat="1" applyFont="1" applyFill="1" applyBorder="1"/>
    <xf numFmtId="9" fontId="26" fillId="4" borderId="1" xfId="0" applyNumberFormat="1" applyFont="1" applyFill="1" applyBorder="1"/>
    <xf numFmtId="168" fontId="28" fillId="15" borderId="1" xfId="1" applyNumberFormat="1" applyFont="1" applyFill="1" applyBorder="1"/>
    <xf numFmtId="168" fontId="28" fillId="4" borderId="1" xfId="1" applyNumberFormat="1" applyFont="1" applyFill="1" applyBorder="1"/>
    <xf numFmtId="0" fontId="26" fillId="0" borderId="0" xfId="0" applyFont="1" applyAlignment="1">
      <alignment horizontal="left" vertical="center" wrapText="1"/>
    </xf>
    <xf numFmtId="0" fontId="28" fillId="0" borderId="1" xfId="0" applyFont="1" applyBorder="1"/>
    <xf numFmtId="0" fontId="26" fillId="0" borderId="1" xfId="0" applyFont="1" applyBorder="1"/>
    <xf numFmtId="168" fontId="26" fillId="9" borderId="1" xfId="1" applyNumberFormat="1" applyFont="1" applyFill="1" applyBorder="1"/>
    <xf numFmtId="168" fontId="26" fillId="0" borderId="0" xfId="1" applyNumberFormat="1" applyFont="1" applyBorder="1" applyAlignment="1">
      <alignment horizontal="center" vertical="center"/>
    </xf>
    <xf numFmtId="168" fontId="26" fillId="0" borderId="0" xfId="1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68" fontId="26" fillId="0" borderId="0" xfId="1" applyNumberFormat="1" applyFont="1" applyFill="1"/>
    <xf numFmtId="0" fontId="26" fillId="0" borderId="0" xfId="0" quotePrefix="1" applyFont="1" applyAlignment="1">
      <alignment horizontal="left" vertical="center"/>
    </xf>
    <xf numFmtId="168" fontId="28" fillId="0" borderId="1" xfId="1" applyNumberFormat="1" applyFont="1" applyFill="1" applyBorder="1"/>
    <xf numFmtId="168" fontId="28" fillId="12" borderId="1" xfId="1" applyNumberFormat="1" applyFont="1" applyFill="1" applyBorder="1"/>
    <xf numFmtId="3" fontId="26" fillId="0" borderId="0" xfId="0" applyNumberFormat="1" applyFont="1"/>
    <xf numFmtId="0" fontId="35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36" fillId="0" borderId="0" xfId="0" applyFont="1"/>
    <xf numFmtId="0" fontId="0" fillId="0" borderId="0" xfId="0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39" fillId="0" borderId="0" xfId="0" applyFont="1"/>
    <xf numFmtId="0" fontId="24" fillId="0" borderId="0" xfId="0" applyFont="1"/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indent="1"/>
    </xf>
    <xf numFmtId="0" fontId="0" fillId="0" borderId="16" xfId="0" applyBorder="1"/>
    <xf numFmtId="3" fontId="8" fillId="6" borderId="1" xfId="3" applyNumberFormat="1" applyFont="1" applyFill="1" applyBorder="1"/>
    <xf numFmtId="168" fontId="0" fillId="0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73" fontId="18" fillId="0" borderId="1" xfId="1" applyNumberFormat="1" applyFont="1" applyFill="1" applyBorder="1" applyAlignment="1">
      <alignment horizontal="center" vertical="center"/>
    </xf>
    <xf numFmtId="168" fontId="1" fillId="12" borderId="1" xfId="1" applyNumberFormat="1" applyFont="1" applyFill="1" applyBorder="1" applyAlignment="1">
      <alignment horizontal="center" vertical="center"/>
    </xf>
    <xf numFmtId="10" fontId="41" fillId="14" borderId="1" xfId="2" applyNumberFormat="1" applyFont="1" applyFill="1" applyBorder="1"/>
    <xf numFmtId="168" fontId="1" fillId="0" borderId="1" xfId="1" applyNumberFormat="1" applyFont="1" applyBorder="1" applyAlignment="1">
      <alignment horizontal="center" vertical="center"/>
    </xf>
    <xf numFmtId="3" fontId="1" fillId="0" borderId="1" xfId="0" applyNumberFormat="1" applyFont="1" applyBorder="1"/>
    <xf numFmtId="168" fontId="1" fillId="8" borderId="1" xfId="0" applyNumberFormat="1" applyFont="1" applyFill="1" applyBorder="1"/>
    <xf numFmtId="168" fontId="1" fillId="0" borderId="0" xfId="0" applyNumberFormat="1" applyFont="1"/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0" fillId="0" borderId="0" xfId="0" applyFont="1"/>
    <xf numFmtId="168" fontId="1" fillId="0" borderId="0" xfId="1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168" fontId="4" fillId="3" borderId="1" xfId="1" applyNumberFormat="1" applyFont="1" applyFill="1" applyBorder="1" applyAlignment="1">
      <alignment horizontal="center" vertical="center"/>
    </xf>
    <xf numFmtId="168" fontId="4" fillId="0" borderId="1" xfId="1" applyNumberFormat="1" applyFont="1" applyBorder="1" applyAlignment="1">
      <alignment horizontal="center" vertical="center"/>
    </xf>
    <xf numFmtId="168" fontId="4" fillId="0" borderId="0" xfId="1" applyNumberFormat="1" applyFont="1" applyFill="1" applyBorder="1" applyAlignment="1">
      <alignment horizontal="center" vertical="center"/>
    </xf>
    <xf numFmtId="174" fontId="0" fillId="0" borderId="0" xfId="0" applyNumberFormat="1"/>
    <xf numFmtId="168" fontId="42" fillId="0" borderId="0" xfId="1" applyNumberFormat="1" applyFont="1"/>
    <xf numFmtId="10" fontId="0" fillId="0" borderId="1" xfId="0" applyNumberFormat="1" applyBorder="1" applyAlignment="1">
      <alignment horizontal="center"/>
    </xf>
    <xf numFmtId="168" fontId="4" fillId="0" borderId="1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1" fillId="8" borderId="1" xfId="1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168" fontId="1" fillId="12" borderId="2" xfId="1" applyNumberFormat="1" applyFont="1" applyFill="1" applyBorder="1" applyAlignment="1">
      <alignment horizontal="center" vertical="center"/>
    </xf>
    <xf numFmtId="168" fontId="1" fillId="0" borderId="1" xfId="1" applyNumberFormat="1" applyFont="1" applyFill="1" applyBorder="1" applyAlignment="1">
      <alignment horizontal="center" vertical="center"/>
    </xf>
    <xf numFmtId="168" fontId="1" fillId="7" borderId="1" xfId="1" applyNumberFormat="1" applyFont="1" applyFill="1" applyBorder="1" applyAlignment="1">
      <alignment horizontal="center" vertical="center"/>
    </xf>
    <xf numFmtId="0" fontId="18" fillId="0" borderId="0" xfId="0" applyFont="1"/>
    <xf numFmtId="168" fontId="0" fillId="0" borderId="0" xfId="0" applyNumberFormat="1"/>
    <xf numFmtId="0" fontId="38" fillId="3" borderId="0" xfId="0" applyFont="1" applyFill="1" applyAlignment="1">
      <alignment horizontal="left" indent="1"/>
    </xf>
    <xf numFmtId="0" fontId="36" fillId="3" borderId="0" xfId="0" applyFont="1" applyFill="1"/>
    <xf numFmtId="0" fontId="44" fillId="3" borderId="0" xfId="0" applyFont="1" applyFill="1"/>
    <xf numFmtId="168" fontId="44" fillId="9" borderId="1" xfId="0" applyNumberFormat="1" applyFont="1" applyFill="1" applyBorder="1"/>
    <xf numFmtId="168" fontId="44" fillId="16" borderId="1" xfId="0" applyNumberFormat="1" applyFont="1" applyFill="1" applyBorder="1"/>
    <xf numFmtId="168" fontId="38" fillId="3" borderId="1" xfId="0" applyNumberFormat="1" applyFont="1" applyFill="1" applyBorder="1"/>
    <xf numFmtId="0" fontId="38" fillId="3" borderId="0" xfId="0" applyFont="1" applyFill="1"/>
    <xf numFmtId="168" fontId="44" fillId="8" borderId="1" xfId="0" applyNumberFormat="1" applyFont="1" applyFill="1" applyBorder="1"/>
    <xf numFmtId="168" fontId="38" fillId="5" borderId="1" xfId="0" applyNumberFormat="1" applyFont="1" applyFill="1" applyBorder="1"/>
    <xf numFmtId="0" fontId="4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36" fillId="3" borderId="0" xfId="0" applyFont="1" applyFill="1" applyAlignment="1">
      <alignment horizontal="left" indent="1"/>
    </xf>
    <xf numFmtId="0" fontId="38" fillId="3" borderId="1" xfId="0" applyFont="1" applyFill="1" applyBorder="1" applyAlignment="1">
      <alignment horizontal="center" wrapText="1"/>
    </xf>
    <xf numFmtId="0" fontId="40" fillId="3" borderId="4" xfId="0" quotePrefix="1" applyFont="1" applyFill="1" applyBorder="1" applyAlignment="1">
      <alignment horizontal="center" wrapText="1"/>
    </xf>
    <xf numFmtId="0" fontId="40" fillId="3" borderId="20" xfId="0" quotePrefix="1" applyFont="1" applyFill="1" applyBorder="1" applyAlignment="1">
      <alignment horizontal="center" wrapText="1"/>
    </xf>
    <xf numFmtId="0" fontId="38" fillId="3" borderId="16" xfId="0" applyFont="1" applyFill="1" applyBorder="1" applyAlignment="1">
      <alignment horizontal="center" wrapText="1"/>
    </xf>
    <xf numFmtId="0" fontId="0" fillId="3" borderId="0" xfId="0" applyFill="1" applyAlignment="1">
      <alignment horizontal="left" indent="1"/>
    </xf>
    <xf numFmtId="0" fontId="0" fillId="3" borderId="0" xfId="0" applyFill="1"/>
    <xf numFmtId="168" fontId="44" fillId="3" borderId="1" xfId="1" applyNumberFormat="1" applyFont="1" applyFill="1" applyBorder="1"/>
    <xf numFmtId="168" fontId="18" fillId="3" borderId="4" xfId="1" applyNumberFormat="1" applyFont="1" applyFill="1" applyBorder="1"/>
    <xf numFmtId="168" fontId="18" fillId="3" borderId="20" xfId="1" applyNumberFormat="1" applyFont="1" applyFill="1" applyBorder="1"/>
    <xf numFmtId="168" fontId="44" fillId="3" borderId="16" xfId="1" applyNumberFormat="1" applyFont="1" applyFill="1" applyBorder="1"/>
    <xf numFmtId="168" fontId="18" fillId="8" borderId="4" xfId="1" applyNumberFormat="1" applyFont="1" applyFill="1" applyBorder="1"/>
    <xf numFmtId="168" fontId="18" fillId="3" borderId="21" xfId="1" applyNumberFormat="1" applyFont="1" applyFill="1" applyBorder="1"/>
    <xf numFmtId="0" fontId="26" fillId="0" borderId="0" xfId="0" applyFont="1" applyAlignment="1">
      <alignment horizontal="left"/>
    </xf>
    <xf numFmtId="0" fontId="45" fillId="0" borderId="0" xfId="0" applyFont="1"/>
    <xf numFmtId="168" fontId="45" fillId="0" borderId="0" xfId="1" applyNumberFormat="1" applyFont="1"/>
    <xf numFmtId="0" fontId="45" fillId="0" borderId="0" xfId="0" applyFont="1" applyAlignment="1">
      <alignment horizontal="left"/>
    </xf>
    <xf numFmtId="0" fontId="46" fillId="0" borderId="1" xfId="0" applyFont="1" applyBorder="1" applyAlignment="1">
      <alignment vertical="top"/>
    </xf>
    <xf numFmtId="168" fontId="46" fillId="0" borderId="1" xfId="1" applyNumberFormat="1" applyFont="1" applyBorder="1" applyAlignment="1">
      <alignment vertical="top"/>
    </xf>
    <xf numFmtId="0" fontId="46" fillId="0" borderId="3" xfId="0" applyFont="1" applyBorder="1" applyAlignment="1">
      <alignment vertical="top"/>
    </xf>
    <xf numFmtId="0" fontId="45" fillId="0" borderId="1" xfId="0" applyFont="1" applyBorder="1" applyAlignment="1">
      <alignment vertical="top"/>
    </xf>
    <xf numFmtId="168" fontId="45" fillId="0" borderId="1" xfId="1" applyNumberFormat="1" applyFont="1" applyFill="1" applyBorder="1" applyAlignment="1">
      <alignment vertical="top"/>
    </xf>
    <xf numFmtId="0" fontId="45" fillId="0" borderId="3" xfId="0" applyFont="1" applyBorder="1" applyAlignment="1">
      <alignment vertical="top"/>
    </xf>
    <xf numFmtId="168" fontId="45" fillId="0" borderId="1" xfId="1" applyNumberFormat="1" applyFont="1" applyBorder="1" applyAlignment="1">
      <alignment vertical="top"/>
    </xf>
    <xf numFmtId="168" fontId="26" fillId="0" borderId="0" xfId="0" applyNumberFormat="1" applyFont="1"/>
    <xf numFmtId="168" fontId="45" fillId="4" borderId="1" xfId="1" applyNumberFormat="1" applyFont="1" applyFill="1" applyBorder="1" applyAlignment="1">
      <alignment vertical="top"/>
    </xf>
    <xf numFmtId="0" fontId="45" fillId="0" borderId="1" xfId="0" quotePrefix="1" applyFont="1" applyBorder="1" applyAlignment="1">
      <alignment vertical="top"/>
    </xf>
    <xf numFmtId="0" fontId="46" fillId="0" borderId="1" xfId="0" applyFont="1" applyBorder="1" applyAlignment="1">
      <alignment horizontal="left" vertical="top"/>
    </xf>
    <xf numFmtId="0" fontId="30" fillId="0" borderId="0" xfId="0" applyFont="1"/>
    <xf numFmtId="0" fontId="46" fillId="0" borderId="1" xfId="0" applyFont="1" applyBorder="1"/>
    <xf numFmtId="168" fontId="45" fillId="4" borderId="1" xfId="1" applyNumberFormat="1" applyFont="1" applyFill="1" applyBorder="1"/>
    <xf numFmtId="0" fontId="45" fillId="0" borderId="3" xfId="0" applyFont="1" applyBorder="1"/>
    <xf numFmtId="0" fontId="46" fillId="0" borderId="1" xfId="0" applyFont="1" applyBorder="1" applyAlignment="1">
      <alignment horizontal="left"/>
    </xf>
    <xf numFmtId="0" fontId="26" fillId="8" borderId="15" xfId="0" applyFont="1" applyFill="1" applyBorder="1"/>
    <xf numFmtId="0" fontId="26" fillId="8" borderId="33" xfId="0" applyFont="1" applyFill="1" applyBorder="1"/>
    <xf numFmtId="0" fontId="26" fillId="8" borderId="19" xfId="0" applyFont="1" applyFill="1" applyBorder="1" applyAlignment="1">
      <alignment horizontal="center" vertical="center" wrapText="1"/>
    </xf>
    <xf numFmtId="3" fontId="26" fillId="0" borderId="0" xfId="0" applyNumberFormat="1" applyFont="1" applyAlignment="1">
      <alignment horizontal="center" vertical="center" wrapText="1"/>
    </xf>
    <xf numFmtId="168" fontId="4" fillId="12" borderId="1" xfId="1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168" fontId="26" fillId="0" borderId="1" xfId="1" applyNumberFormat="1" applyFont="1" applyBorder="1"/>
    <xf numFmtId="0" fontId="45" fillId="0" borderId="0" xfId="0" applyFont="1" applyBorder="1" applyAlignment="1">
      <alignment vertical="top"/>
    </xf>
    <xf numFmtId="168" fontId="26" fillId="5" borderId="1" xfId="1" applyNumberFormat="1" applyFont="1" applyFill="1" applyBorder="1"/>
    <xf numFmtId="168" fontId="26" fillId="0" borderId="18" xfId="1" applyNumberFormat="1" applyFont="1" applyFill="1" applyBorder="1"/>
    <xf numFmtId="168" fontId="26" fillId="3" borderId="18" xfId="1" applyNumberFormat="1" applyFont="1" applyFill="1" applyBorder="1" applyAlignment="1">
      <alignment horizontal="center" vertical="center"/>
    </xf>
    <xf numFmtId="9" fontId="31" fillId="3" borderId="18" xfId="0" applyNumberFormat="1" applyFont="1" applyFill="1" applyBorder="1" applyAlignment="1">
      <alignment horizontal="center" vertical="center"/>
    </xf>
    <xf numFmtId="168" fontId="26" fillId="0" borderId="18" xfId="1" applyNumberFormat="1" applyFont="1" applyBorder="1" applyAlignment="1">
      <alignment horizontal="center" vertical="center"/>
    </xf>
    <xf numFmtId="168" fontId="26" fillId="0" borderId="34" xfId="1" applyNumberFormat="1" applyFont="1" applyFill="1" applyBorder="1"/>
    <xf numFmtId="0" fontId="26" fillId="3" borderId="13" xfId="0" applyFont="1" applyFill="1" applyBorder="1"/>
    <xf numFmtId="0" fontId="26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left" vertical="center"/>
    </xf>
    <xf numFmtId="0" fontId="26" fillId="0" borderId="13" xfId="0" applyFont="1" applyBorder="1"/>
    <xf numFmtId="168" fontId="26" fillId="19" borderId="1" xfId="1" applyNumberFormat="1" applyFont="1" applyFill="1" applyBorder="1"/>
    <xf numFmtId="0" fontId="33" fillId="19" borderId="1" xfId="0" applyFont="1" applyFill="1" applyBorder="1"/>
    <xf numFmtId="0" fontId="33" fillId="19" borderId="1" xfId="0" applyFont="1" applyFill="1" applyBorder="1" applyAlignment="1">
      <alignment horizontal="left" indent="2"/>
    </xf>
    <xf numFmtId="168" fontId="26" fillId="18" borderId="1" xfId="1" applyNumberFormat="1" applyFont="1" applyFill="1" applyBorder="1"/>
    <xf numFmtId="3" fontId="8" fillId="18" borderId="12" xfId="0" applyNumberFormat="1" applyFont="1" applyFill="1" applyBorder="1" applyAlignment="1">
      <alignment horizontal="right" vertical="center" wrapText="1" indent="1"/>
    </xf>
    <xf numFmtId="0" fontId="47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9" fontId="16" fillId="3" borderId="16" xfId="2" applyFont="1" applyFill="1" applyBorder="1" applyAlignment="1">
      <alignment vertical="center"/>
    </xf>
    <xf numFmtId="0" fontId="9" fillId="3" borderId="1" xfId="0" applyFont="1" applyFill="1" applyBorder="1"/>
    <xf numFmtId="0" fontId="9" fillId="12" borderId="1" xfId="0" applyFont="1" applyFill="1" applyBorder="1"/>
    <xf numFmtId="0" fontId="9" fillId="3" borderId="34" xfId="0" applyFont="1" applyFill="1" applyBorder="1"/>
    <xf numFmtId="0" fontId="9" fillId="0" borderId="18" xfId="0" applyFont="1" applyBorder="1"/>
    <xf numFmtId="0" fontId="9" fillId="0" borderId="1" xfId="0" applyFont="1" applyBorder="1"/>
    <xf numFmtId="0" fontId="26" fillId="0" borderId="0" xfId="0" applyFont="1" applyFill="1"/>
    <xf numFmtId="168" fontId="45" fillId="21" borderId="1" xfId="1" applyNumberFormat="1" applyFont="1" applyFill="1" applyBorder="1" applyAlignment="1">
      <alignment vertical="top"/>
    </xf>
    <xf numFmtId="0" fontId="28" fillId="15" borderId="4" xfId="0" applyFont="1" applyFill="1" applyBorder="1" applyAlignment="1">
      <alignment horizontal="left"/>
    </xf>
    <xf numFmtId="168" fontId="26" fillId="15" borderId="16" xfId="1" applyNumberFormat="1" applyFont="1" applyFill="1" applyBorder="1"/>
    <xf numFmtId="168" fontId="28" fillId="15" borderId="16" xfId="1" applyNumberFormat="1" applyFont="1" applyFill="1" applyBorder="1" applyAlignment="1">
      <alignment horizontal="center"/>
    </xf>
    <xf numFmtId="0" fontId="26" fillId="0" borderId="0" xfId="0" applyFont="1" applyFill="1" applyAlignment="1">
      <alignment horizontal="left" indent="1"/>
    </xf>
    <xf numFmtId="168" fontId="26" fillId="0" borderId="0" xfId="0" applyNumberFormat="1" applyFont="1" applyFill="1" applyAlignment="1">
      <alignment horizontal="left" indent="1"/>
    </xf>
    <xf numFmtId="168" fontId="29" fillId="0" borderId="0" xfId="1" applyNumberFormat="1" applyFont="1"/>
    <xf numFmtId="0" fontId="38" fillId="14" borderId="1" xfId="0" applyFont="1" applyFill="1" applyBorder="1" applyAlignment="1">
      <alignment horizontal="center" vertical="center" wrapText="1"/>
    </xf>
    <xf numFmtId="168" fontId="49" fillId="3" borderId="1" xfId="1" applyNumberFormat="1" applyFont="1" applyFill="1" applyBorder="1"/>
    <xf numFmtId="168" fontId="26" fillId="8" borderId="32" xfId="1" applyNumberFormat="1" applyFont="1" applyFill="1" applyBorder="1" applyAlignment="1">
      <alignment vertical="center"/>
    </xf>
    <xf numFmtId="168" fontId="26" fillId="8" borderId="8" xfId="1" applyNumberFormat="1" applyFont="1" applyFill="1" applyBorder="1" applyAlignment="1">
      <alignment vertical="center"/>
    </xf>
    <xf numFmtId="168" fontId="26" fillId="8" borderId="12" xfId="1" applyNumberFormat="1" applyFont="1" applyFill="1" applyBorder="1" applyAlignment="1">
      <alignment vertical="center"/>
    </xf>
    <xf numFmtId="10" fontId="0" fillId="0" borderId="1" xfId="0" applyNumberFormat="1" applyFill="1" applyBorder="1" applyAlignment="1">
      <alignment horizontal="center"/>
    </xf>
    <xf numFmtId="0" fontId="40" fillId="3" borderId="35" xfId="0" quotePrefix="1" applyFont="1" applyFill="1" applyBorder="1" applyAlignment="1">
      <alignment horizontal="center" wrapText="1"/>
    </xf>
    <xf numFmtId="0" fontId="28" fillId="5" borderId="4" xfId="0" applyFont="1" applyFill="1" applyBorder="1" applyAlignment="1">
      <alignment horizontal="left"/>
    </xf>
    <xf numFmtId="168" fontId="26" fillId="5" borderId="16" xfId="1" applyNumberFormat="1" applyFont="1" applyFill="1" applyBorder="1"/>
    <xf numFmtId="0" fontId="0" fillId="0" borderId="36" xfId="0" applyBorder="1"/>
    <xf numFmtId="0" fontId="0" fillId="0" borderId="27" xfId="0" applyBorder="1"/>
    <xf numFmtId="0" fontId="0" fillId="0" borderId="37" xfId="0" applyBorder="1"/>
    <xf numFmtId="0" fontId="0" fillId="0" borderId="23" xfId="0" applyBorder="1"/>
    <xf numFmtId="0" fontId="0" fillId="0" borderId="28" xfId="0" applyBorder="1"/>
    <xf numFmtId="0" fontId="39" fillId="17" borderId="0" xfId="0" applyFont="1" applyFill="1"/>
    <xf numFmtId="0" fontId="24" fillId="18" borderId="23" xfId="0" applyFont="1" applyFill="1" applyBorder="1"/>
    <xf numFmtId="0" fontId="24" fillId="18" borderId="0" xfId="0" applyFont="1" applyFill="1"/>
    <xf numFmtId="0" fontId="1" fillId="0" borderId="23" xfId="0" applyFont="1" applyBorder="1" applyAlignment="1">
      <alignment horizontal="right"/>
    </xf>
    <xf numFmtId="0" fontId="0" fillId="9" borderId="22" xfId="0" applyFill="1" applyBorder="1"/>
    <xf numFmtId="0" fontId="0" fillId="9" borderId="24" xfId="0" applyFill="1" applyBorder="1"/>
    <xf numFmtId="0" fontId="0" fillId="9" borderId="25" xfId="0" applyFill="1" applyBorder="1"/>
    <xf numFmtId="0" fontId="39" fillId="17" borderId="4" xfId="0" applyFont="1" applyFill="1" applyBorder="1" applyAlignment="1">
      <alignment horizontal="right"/>
    </xf>
    <xf numFmtId="0" fontId="0" fillId="0" borderId="26" xfId="0" applyBorder="1"/>
    <xf numFmtId="0" fontId="24" fillId="18" borderId="4" xfId="0" applyFont="1" applyFill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0" fillId="0" borderId="22" xfId="0" applyBorder="1"/>
    <xf numFmtId="0" fontId="24" fillId="0" borderId="22" xfId="0" applyFont="1" applyBorder="1" applyAlignment="1">
      <alignment horizontal="right"/>
    </xf>
    <xf numFmtId="0" fontId="24" fillId="0" borderId="25" xfId="0" applyFont="1" applyBorder="1"/>
    <xf numFmtId="0" fontId="0" fillId="0" borderId="17" xfId="0" applyBorder="1" applyAlignment="1">
      <alignment horizontal="right"/>
    </xf>
    <xf numFmtId="0" fontId="0" fillId="0" borderId="40" xfId="0" applyBorder="1"/>
    <xf numFmtId="0" fontId="24" fillId="0" borderId="28" xfId="0" applyFont="1" applyBorder="1" applyAlignment="1">
      <alignment horizontal="left"/>
    </xf>
    <xf numFmtId="0" fontId="0" fillId="0" borderId="23" xfId="0" applyBorder="1" applyAlignment="1">
      <alignment horizontal="right"/>
    </xf>
    <xf numFmtId="0" fontId="0" fillId="17" borderId="0" xfId="0" applyFill="1"/>
    <xf numFmtId="0" fontId="0" fillId="17" borderId="28" xfId="0" applyFill="1" applyBorder="1" applyAlignment="1">
      <alignment horizontal="right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8" borderId="28" xfId="0" applyFill="1" applyBorder="1" applyAlignment="1">
      <alignment horizontal="right"/>
    </xf>
    <xf numFmtId="0" fontId="0" fillId="17" borderId="0" xfId="0" applyFill="1" applyAlignment="1">
      <alignment horizontal="center"/>
    </xf>
    <xf numFmtId="0" fontId="0" fillId="9" borderId="29" xfId="0" applyFill="1" applyBorder="1"/>
    <xf numFmtId="0" fontId="0" fillId="9" borderId="30" xfId="0" applyFill="1" applyBorder="1"/>
    <xf numFmtId="0" fontId="0" fillId="0" borderId="31" xfId="0" applyBorder="1" applyAlignment="1">
      <alignment horizontal="right"/>
    </xf>
    <xf numFmtId="0" fontId="0" fillId="17" borderId="31" xfId="0" applyFill="1" applyBorder="1" applyAlignment="1">
      <alignment horizontal="right"/>
    </xf>
    <xf numFmtId="0" fontId="0" fillId="18" borderId="31" xfId="0" applyFill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 applyAlignment="1">
      <alignment horizontal="center"/>
    </xf>
    <xf numFmtId="0" fontId="0" fillId="0" borderId="24" xfId="0" applyBorder="1"/>
    <xf numFmtId="0" fontId="48" fillId="20" borderId="0" xfId="0" applyFont="1" applyFill="1" applyAlignment="1">
      <alignment horizontal="center"/>
    </xf>
    <xf numFmtId="0" fontId="2" fillId="0" borderId="6" xfId="0" applyFont="1" applyBorder="1" applyAlignment="1">
      <alignment vertic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1" fillId="0" borderId="5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5" fillId="2" borderId="1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3" fontId="9" fillId="6" borderId="4" xfId="3" applyNumberFormat="1" applyFill="1" applyBorder="1" applyAlignment="1">
      <alignment horizontal="center"/>
    </xf>
    <xf numFmtId="3" fontId="9" fillId="6" borderId="17" xfId="3" applyNumberFormat="1" applyFill="1" applyBorder="1" applyAlignment="1">
      <alignment horizontal="center"/>
    </xf>
    <xf numFmtId="3" fontId="9" fillId="6" borderId="16" xfId="3" applyNumberFormat="1" applyFill="1" applyBorder="1" applyAlignment="1">
      <alignment horizontal="center"/>
    </xf>
    <xf numFmtId="0" fontId="28" fillId="4" borderId="4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0" borderId="4" xfId="0" applyFont="1" applyBorder="1" applyAlignment="1">
      <alignment horizontal="left"/>
    </xf>
    <xf numFmtId="0" fontId="28" fillId="0" borderId="17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 indent="1"/>
    </xf>
    <xf numFmtId="0" fontId="40" fillId="0" borderId="16" xfId="0" applyFon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38" fillId="3" borderId="4" xfId="0" applyFont="1" applyFill="1" applyBorder="1" applyAlignment="1">
      <alignment horizontal="left"/>
    </xf>
    <xf numFmtId="0" fontId="38" fillId="3" borderId="16" xfId="0" applyFont="1" applyFill="1" applyBorder="1" applyAlignment="1">
      <alignment horizontal="left"/>
    </xf>
    <xf numFmtId="0" fontId="40" fillId="0" borderId="17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38" fillId="3" borderId="1" xfId="0" applyFont="1" applyFill="1" applyBorder="1" applyAlignment="1">
      <alignment horizontal="left" indent="1"/>
    </xf>
    <xf numFmtId="0" fontId="0" fillId="0" borderId="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171" fontId="16" fillId="0" borderId="12" xfId="1" applyNumberFormat="1" applyFont="1" applyFill="1" applyBorder="1" applyAlignment="1">
      <alignment horizontal="right" wrapText="1" indent="1"/>
    </xf>
    <xf numFmtId="3" fontId="16" fillId="11" borderId="2" xfId="0" applyNumberFormat="1" applyFont="1" applyFill="1" applyBorder="1" applyAlignment="1">
      <alignment horizontal="right" vertical="center" indent="1"/>
    </xf>
    <xf numFmtId="3" fontId="8" fillId="11" borderId="2" xfId="0" applyNumberFormat="1" applyFont="1" applyFill="1" applyBorder="1" applyAlignment="1">
      <alignment horizontal="right" vertical="center" indent="1"/>
    </xf>
    <xf numFmtId="167" fontId="8" fillId="0" borderId="2" xfId="0" applyNumberFormat="1" applyFont="1" applyBorder="1" applyAlignment="1">
      <alignment horizontal="center" vertical="center"/>
    </xf>
    <xf numFmtId="178" fontId="8" fillId="3" borderId="12" xfId="0" applyNumberFormat="1" applyFont="1" applyFill="1" applyBorder="1" applyAlignment="1">
      <alignment horizontal="center" vertical="center" wrapText="1"/>
    </xf>
    <xf numFmtId="182" fontId="8" fillId="3" borderId="12" xfId="0" applyNumberFormat="1" applyFont="1" applyFill="1" applyBorder="1" applyAlignment="1">
      <alignment horizontal="center" vertical="center"/>
    </xf>
    <xf numFmtId="178" fontId="8" fillId="13" borderId="12" xfId="0" applyNumberFormat="1" applyFont="1" applyFill="1" applyBorder="1" applyAlignment="1">
      <alignment horizontal="center" vertical="center" wrapText="1"/>
    </xf>
    <xf numFmtId="168" fontId="35" fillId="0" borderId="0" xfId="0" applyNumberFormat="1" applyFont="1" applyAlignment="1">
      <alignment horizontal="left"/>
    </xf>
    <xf numFmtId="17" fontId="35" fillId="0" borderId="0" xfId="0" applyNumberFormat="1" applyFont="1" applyAlignment="1">
      <alignment horizontal="left"/>
    </xf>
  </cellXfs>
  <cellStyles count="4">
    <cellStyle name="Millares" xfId="1" builtinId="3"/>
    <cellStyle name="Normal" xfId="0" builtinId="0"/>
    <cellStyle name="Normal 2" xfId="3" xr:uid="{00000000-0005-0000-0000-000002000000}"/>
    <cellStyle name="Porcentaje" xfId="2" builtinId="5"/>
  </cellStyles>
  <dxfs count="0"/>
  <tableStyles count="0" defaultTableStyle="TableStyleMedium2" defaultPivotStyle="PivotStyleLight16"/>
  <colors>
    <mruColors>
      <color rgb="FF33CCFF"/>
      <color rgb="FFFFCCFF"/>
      <color rgb="FF99FF66"/>
      <color rgb="FF66FF66"/>
      <color rgb="FF0000FF"/>
      <color rgb="FF0226BE"/>
      <color rgb="FFFF99FF"/>
      <color rgb="FF6699FF"/>
      <color rgb="FF3399FF"/>
      <color rgb="FF18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25</xdr:row>
      <xdr:rowOff>28575</xdr:rowOff>
    </xdr:from>
    <xdr:to>
      <xdr:col>1</xdr:col>
      <xdr:colOff>819150</xdr:colOff>
      <xdr:row>27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2AFDBD1-D30B-4801-BC50-05487A4D2CDA}"/>
            </a:ext>
          </a:extLst>
        </xdr:cNvPr>
        <xdr:cNvCxnSpPr/>
      </xdr:nvCxnSpPr>
      <xdr:spPr>
        <a:xfrm>
          <a:off x="1162050" y="4048125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317501</xdr:colOff>
      <xdr:row>32</xdr:row>
      <xdr:rowOff>99787</xdr:rowOff>
    </xdr:from>
    <xdr:to>
      <xdr:col>17</xdr:col>
      <xdr:colOff>98276</xdr:colOff>
      <xdr:row>41</xdr:row>
      <xdr:rowOff>31751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7CF069A-22FC-402D-8FA7-19EA2D4536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292" t="19796" r="47914" b="63139"/>
        <a:stretch/>
      </xdr:blipFill>
      <xdr:spPr>
        <a:xfrm>
          <a:off x="10194926" y="7214962"/>
          <a:ext cx="3152623" cy="180838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260574</xdr:colOff>
      <xdr:row>4</xdr:row>
      <xdr:rowOff>71436</xdr:rowOff>
    </xdr:from>
    <xdr:to>
      <xdr:col>4</xdr:col>
      <xdr:colOff>821456</xdr:colOff>
      <xdr:row>5</xdr:row>
      <xdr:rowOff>190499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03DFD74-47F7-4EE7-93E7-384273C84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2951387" y="1047749"/>
          <a:ext cx="560882" cy="333375"/>
        </a:xfrm>
        <a:prstGeom prst="rect">
          <a:avLst/>
        </a:prstGeom>
      </xdr:spPr>
    </xdr:pic>
    <xdr:clientData/>
  </xdr:twoCellAnchor>
  <xdr:twoCellAnchor>
    <xdr:from>
      <xdr:col>7</xdr:col>
      <xdr:colOff>775607</xdr:colOff>
      <xdr:row>5</xdr:row>
      <xdr:rowOff>108856</xdr:rowOff>
    </xdr:from>
    <xdr:to>
      <xdr:col>8</xdr:col>
      <xdr:colOff>449036</xdr:colOff>
      <xdr:row>24</xdr:row>
      <xdr:rowOff>136071</xdr:rowOff>
    </xdr:to>
    <xdr:sp macro="" textlink="">
      <xdr:nvSpPr>
        <xdr:cNvPr id="4" name="3 Arco">
          <a:extLst>
            <a:ext uri="{FF2B5EF4-FFF2-40B4-BE49-F238E27FC236}">
              <a16:creationId xmlns:a16="http://schemas.microsoft.com/office/drawing/2014/main" id="{6CC6556C-4CC2-4BB2-897D-3E50ABD0FF20}"/>
            </a:ext>
          </a:extLst>
        </xdr:cNvPr>
        <xdr:cNvSpPr/>
      </xdr:nvSpPr>
      <xdr:spPr>
        <a:xfrm>
          <a:off x="6376307" y="1280431"/>
          <a:ext cx="845004" cy="3951515"/>
        </a:xfrm>
        <a:prstGeom prst="arc">
          <a:avLst>
            <a:gd name="adj1" fmla="val 16200000"/>
            <a:gd name="adj2" fmla="val 5402726"/>
          </a:avLst>
        </a:prstGeom>
        <a:ln w="19050" cmpd="sng"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40822</xdr:colOff>
      <xdr:row>20</xdr:row>
      <xdr:rowOff>108857</xdr:rowOff>
    </xdr:from>
    <xdr:to>
      <xdr:col>5</xdr:col>
      <xdr:colOff>517072</xdr:colOff>
      <xdr:row>24</xdr:row>
      <xdr:rowOff>99333</xdr:rowOff>
    </xdr:to>
    <xdr:grpSp>
      <xdr:nvGrpSpPr>
        <xdr:cNvPr id="5" name="4 Grupo">
          <a:extLst>
            <a:ext uri="{FF2B5EF4-FFF2-40B4-BE49-F238E27FC236}">
              <a16:creationId xmlns:a16="http://schemas.microsoft.com/office/drawing/2014/main" id="{6965AC71-8700-44D9-94D8-9DFF8B14B6E3}"/>
            </a:ext>
          </a:extLst>
        </xdr:cNvPr>
        <xdr:cNvGrpSpPr/>
      </xdr:nvGrpSpPr>
      <xdr:grpSpPr>
        <a:xfrm>
          <a:off x="3612697" y="4418920"/>
          <a:ext cx="476250" cy="859632"/>
          <a:chOff x="3423557" y="3928382"/>
          <a:chExt cx="476250" cy="806904"/>
        </a:xfrm>
      </xdr:grpSpPr>
      <xdr:cxnSp macro="">
        <xdr:nvCxnSpPr>
          <xdr:cNvPr id="6" name="5 Conector recto de flecha">
            <a:extLst>
              <a:ext uri="{FF2B5EF4-FFF2-40B4-BE49-F238E27FC236}">
                <a16:creationId xmlns:a16="http://schemas.microsoft.com/office/drawing/2014/main" id="{B580FFC7-7BD8-4D11-BED8-0963E82530C7}"/>
              </a:ext>
            </a:extLst>
          </xdr:cNvPr>
          <xdr:cNvCxnSpPr/>
        </xdr:nvCxnSpPr>
        <xdr:spPr>
          <a:xfrm flipH="1">
            <a:off x="3671207" y="4355646"/>
            <a:ext cx="38100" cy="194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 de flecha">
            <a:extLst>
              <a:ext uri="{FF2B5EF4-FFF2-40B4-BE49-F238E27FC236}">
                <a16:creationId xmlns:a16="http://schemas.microsoft.com/office/drawing/2014/main" id="{FAE5251E-E9C8-4198-B907-1904A2305F92}"/>
              </a:ext>
            </a:extLst>
          </xdr:cNvPr>
          <xdr:cNvCxnSpPr/>
        </xdr:nvCxnSpPr>
        <xdr:spPr>
          <a:xfrm>
            <a:off x="3804557" y="4384221"/>
            <a:ext cx="95250" cy="351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 de flecha">
            <a:extLst>
              <a:ext uri="{FF2B5EF4-FFF2-40B4-BE49-F238E27FC236}">
                <a16:creationId xmlns:a16="http://schemas.microsoft.com/office/drawing/2014/main" id="{499BCB03-667E-4EDB-B75C-26BD15BFDB82}"/>
              </a:ext>
            </a:extLst>
          </xdr:cNvPr>
          <xdr:cNvCxnSpPr/>
        </xdr:nvCxnSpPr>
        <xdr:spPr>
          <a:xfrm flipV="1">
            <a:off x="3423557" y="3928382"/>
            <a:ext cx="19050" cy="35106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 de flecha">
            <a:extLst>
              <a:ext uri="{FF2B5EF4-FFF2-40B4-BE49-F238E27FC236}">
                <a16:creationId xmlns:a16="http://schemas.microsoft.com/office/drawing/2014/main" id="{3ECBA353-2DC5-42C6-BD47-FCFFD0FA0D26}"/>
              </a:ext>
            </a:extLst>
          </xdr:cNvPr>
          <xdr:cNvCxnSpPr/>
        </xdr:nvCxnSpPr>
        <xdr:spPr>
          <a:xfrm flipV="1">
            <a:off x="3537857" y="4132489"/>
            <a:ext cx="66675" cy="1374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721192</xdr:colOff>
      <xdr:row>21</xdr:row>
      <xdr:rowOff>81649</xdr:rowOff>
    </xdr:from>
    <xdr:to>
      <xdr:col>8</xdr:col>
      <xdr:colOff>449036</xdr:colOff>
      <xdr:row>42</xdr:row>
      <xdr:rowOff>27213</xdr:rowOff>
    </xdr:to>
    <xdr:sp macro="" textlink="">
      <xdr:nvSpPr>
        <xdr:cNvPr id="10" name="9 Arco">
          <a:extLst>
            <a:ext uri="{FF2B5EF4-FFF2-40B4-BE49-F238E27FC236}">
              <a16:creationId xmlns:a16="http://schemas.microsoft.com/office/drawing/2014/main" id="{077B1459-7CC6-4983-B1DC-503823F9DA24}"/>
            </a:ext>
          </a:extLst>
        </xdr:cNvPr>
        <xdr:cNvSpPr/>
      </xdr:nvSpPr>
      <xdr:spPr>
        <a:xfrm>
          <a:off x="6321892" y="4529824"/>
          <a:ext cx="899419" cy="4698539"/>
        </a:xfrm>
        <a:prstGeom prst="arc">
          <a:avLst>
            <a:gd name="adj1" fmla="val 16194252"/>
            <a:gd name="adj2" fmla="val 5349397"/>
          </a:avLst>
        </a:prstGeom>
        <a:ln w="19050" cmpd="sng">
          <a:prstDash val="dash"/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680357</xdr:colOff>
      <xdr:row>35</xdr:row>
      <xdr:rowOff>136071</xdr:rowOff>
    </xdr:from>
    <xdr:to>
      <xdr:col>8</xdr:col>
      <xdr:colOff>476250</xdr:colOff>
      <xdr:row>51</xdr:row>
      <xdr:rowOff>95250</xdr:rowOff>
    </xdr:to>
    <xdr:sp macro="" textlink="">
      <xdr:nvSpPr>
        <xdr:cNvPr id="11" name="10 Arco">
          <a:extLst>
            <a:ext uri="{FF2B5EF4-FFF2-40B4-BE49-F238E27FC236}">
              <a16:creationId xmlns:a16="http://schemas.microsoft.com/office/drawing/2014/main" id="{7332A976-9CE7-49DB-8273-E40D2B6B294F}"/>
            </a:ext>
          </a:extLst>
        </xdr:cNvPr>
        <xdr:cNvSpPr/>
      </xdr:nvSpPr>
      <xdr:spPr>
        <a:xfrm>
          <a:off x="6281057" y="7870371"/>
          <a:ext cx="967468" cy="3273879"/>
        </a:xfrm>
        <a:prstGeom prst="arc">
          <a:avLst>
            <a:gd name="adj1" fmla="val 16194252"/>
            <a:gd name="adj2" fmla="val 5349397"/>
          </a:avLst>
        </a:prstGeom>
        <a:ln w="19050" cmpd="sng">
          <a:headEnd type="stealth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68035</xdr:colOff>
      <xdr:row>47</xdr:row>
      <xdr:rowOff>81646</xdr:rowOff>
    </xdr:from>
    <xdr:to>
      <xdr:col>5</xdr:col>
      <xdr:colOff>544285</xdr:colOff>
      <xdr:row>51</xdr:row>
      <xdr:rowOff>72122</xdr:rowOff>
    </xdr:to>
    <xdr:grpSp>
      <xdr:nvGrpSpPr>
        <xdr:cNvPr id="12" name="11 Grupo">
          <a:extLst>
            <a:ext uri="{FF2B5EF4-FFF2-40B4-BE49-F238E27FC236}">
              <a16:creationId xmlns:a16="http://schemas.microsoft.com/office/drawing/2014/main" id="{6A8347B7-B363-4BBD-87AD-C2C025B82956}"/>
            </a:ext>
          </a:extLst>
        </xdr:cNvPr>
        <xdr:cNvGrpSpPr/>
      </xdr:nvGrpSpPr>
      <xdr:grpSpPr>
        <a:xfrm>
          <a:off x="3639910" y="10463896"/>
          <a:ext cx="476250" cy="847726"/>
          <a:chOff x="3423557" y="3928382"/>
          <a:chExt cx="476250" cy="806904"/>
        </a:xfrm>
      </xdr:grpSpPr>
      <xdr:cxnSp macro="">
        <xdr:nvCxnSpPr>
          <xdr:cNvPr id="13" name="12 Conector recto de flecha">
            <a:extLst>
              <a:ext uri="{FF2B5EF4-FFF2-40B4-BE49-F238E27FC236}">
                <a16:creationId xmlns:a16="http://schemas.microsoft.com/office/drawing/2014/main" id="{88A7EA9B-8FBF-4EDF-8F33-D02C21A5D699}"/>
              </a:ext>
            </a:extLst>
          </xdr:cNvPr>
          <xdr:cNvCxnSpPr/>
        </xdr:nvCxnSpPr>
        <xdr:spPr>
          <a:xfrm flipH="1">
            <a:off x="3671207" y="4355646"/>
            <a:ext cx="38100" cy="194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13 Conector recto de flecha">
            <a:extLst>
              <a:ext uri="{FF2B5EF4-FFF2-40B4-BE49-F238E27FC236}">
                <a16:creationId xmlns:a16="http://schemas.microsoft.com/office/drawing/2014/main" id="{A61F6EB3-1AE0-48F3-A1F3-5C6214FE5687}"/>
              </a:ext>
            </a:extLst>
          </xdr:cNvPr>
          <xdr:cNvCxnSpPr/>
        </xdr:nvCxnSpPr>
        <xdr:spPr>
          <a:xfrm>
            <a:off x="3804557" y="4384221"/>
            <a:ext cx="95250" cy="3510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14 Conector recto de flecha">
            <a:extLst>
              <a:ext uri="{FF2B5EF4-FFF2-40B4-BE49-F238E27FC236}">
                <a16:creationId xmlns:a16="http://schemas.microsoft.com/office/drawing/2014/main" id="{7B26BA70-3991-4E30-B493-6EFD5329F362}"/>
              </a:ext>
            </a:extLst>
          </xdr:cNvPr>
          <xdr:cNvCxnSpPr/>
        </xdr:nvCxnSpPr>
        <xdr:spPr>
          <a:xfrm flipV="1">
            <a:off x="3423557" y="3928382"/>
            <a:ext cx="19050" cy="35106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15 Conector recto de flecha">
            <a:extLst>
              <a:ext uri="{FF2B5EF4-FFF2-40B4-BE49-F238E27FC236}">
                <a16:creationId xmlns:a16="http://schemas.microsoft.com/office/drawing/2014/main" id="{C0FC8E90-1A54-4497-B558-98967414B36E}"/>
              </a:ext>
            </a:extLst>
          </xdr:cNvPr>
          <xdr:cNvCxnSpPr/>
        </xdr:nvCxnSpPr>
        <xdr:spPr>
          <a:xfrm flipV="1">
            <a:off x="3537857" y="4132489"/>
            <a:ext cx="66675" cy="1374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83344</xdr:colOff>
      <xdr:row>50</xdr:row>
      <xdr:rowOff>11906</xdr:rowOff>
    </xdr:from>
    <xdr:to>
      <xdr:col>9</xdr:col>
      <xdr:colOff>297656</xdr:colOff>
      <xdr:row>51</xdr:row>
      <xdr:rowOff>168539</xdr:rowOff>
    </xdr:to>
    <xdr:sp macro="" textlink="">
      <xdr:nvSpPr>
        <xdr:cNvPr id="18" name="Flecha: hacia arriba 17">
          <a:extLst>
            <a:ext uri="{FF2B5EF4-FFF2-40B4-BE49-F238E27FC236}">
              <a16:creationId xmlns:a16="http://schemas.microsoft.com/office/drawing/2014/main" id="{AF25CFDB-72C9-45E9-8B8A-37036DB58DEF}"/>
            </a:ext>
          </a:extLst>
        </xdr:cNvPr>
        <xdr:cNvSpPr/>
      </xdr:nvSpPr>
      <xdr:spPr>
        <a:xfrm rot="10800000">
          <a:off x="7446169" y="10851356"/>
          <a:ext cx="214312" cy="366183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762000</xdr:colOff>
      <xdr:row>8</xdr:row>
      <xdr:rowOff>104775</xdr:rowOff>
    </xdr:from>
    <xdr:to>
      <xdr:col>9</xdr:col>
      <xdr:colOff>857250</xdr:colOff>
      <xdr:row>11</xdr:row>
      <xdr:rowOff>190500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7D31696E-3777-4681-8F77-913943CEAEE1}"/>
            </a:ext>
          </a:extLst>
        </xdr:cNvPr>
        <xdr:cNvSpPr/>
      </xdr:nvSpPr>
      <xdr:spPr>
        <a:xfrm>
          <a:off x="8420100" y="1895475"/>
          <a:ext cx="95250" cy="6953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137584</xdr:colOff>
      <xdr:row>43</xdr:row>
      <xdr:rowOff>84667</xdr:rowOff>
    </xdr:from>
    <xdr:to>
      <xdr:col>4</xdr:col>
      <xdr:colOff>582084</xdr:colOff>
      <xdr:row>43</xdr:row>
      <xdr:rowOff>105834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C074CAC-FBAE-4F54-BB2C-B4E6EEBEF144}"/>
            </a:ext>
          </a:extLst>
        </xdr:cNvPr>
        <xdr:cNvCxnSpPr/>
      </xdr:nvCxnSpPr>
      <xdr:spPr>
        <a:xfrm>
          <a:off x="3366559" y="6409267"/>
          <a:ext cx="444500" cy="211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148167</xdr:colOff>
      <xdr:row>43</xdr:row>
      <xdr:rowOff>148167</xdr:rowOff>
    </xdr:from>
    <xdr:to>
      <xdr:col>4</xdr:col>
      <xdr:colOff>539750</xdr:colOff>
      <xdr:row>44</xdr:row>
      <xdr:rowOff>84667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4C10C97-DA76-4A74-B877-6F4600C24A10}"/>
            </a:ext>
          </a:extLst>
        </xdr:cNvPr>
        <xdr:cNvCxnSpPr/>
      </xdr:nvCxnSpPr>
      <xdr:spPr>
        <a:xfrm>
          <a:off x="3377142" y="6472767"/>
          <a:ext cx="391583" cy="127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107155</xdr:colOff>
      <xdr:row>5</xdr:row>
      <xdr:rowOff>109538</xdr:rowOff>
    </xdr:from>
    <xdr:to>
      <xdr:col>5</xdr:col>
      <xdr:colOff>246784</xdr:colOff>
      <xdr:row>19</xdr:row>
      <xdr:rowOff>38100</xdr:rowOff>
    </xdr:to>
    <xdr:sp macro="" textlink="">
      <xdr:nvSpPr>
        <xdr:cNvPr id="4" name="3 Cerrar corchete">
          <a:extLst>
            <a:ext uri="{FF2B5EF4-FFF2-40B4-BE49-F238E27FC236}">
              <a16:creationId xmlns:a16="http://schemas.microsoft.com/office/drawing/2014/main" id="{6FD01985-DD88-47AE-8C02-5A48CAD39467}"/>
            </a:ext>
          </a:extLst>
        </xdr:cNvPr>
        <xdr:cNvSpPr/>
      </xdr:nvSpPr>
      <xdr:spPr>
        <a:xfrm>
          <a:off x="4098130" y="1500188"/>
          <a:ext cx="139629" cy="2690812"/>
        </a:xfrm>
        <a:prstGeom prst="rightBracket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B175-11BE-4C12-881A-AC886E19DAF7}">
  <dimension ref="A1:I36"/>
  <sheetViews>
    <sheetView showGridLines="0" zoomScale="110" zoomScaleNormal="110" workbookViewId="0">
      <selection activeCell="C27" sqref="C27"/>
    </sheetView>
  </sheetViews>
  <sheetFormatPr baseColWidth="10" defaultRowHeight="12.75" x14ac:dyDescent="0.2"/>
  <cols>
    <col min="1" max="1" width="5.140625" style="332" customWidth="1"/>
    <col min="2" max="2" width="32.42578125" style="162" customWidth="1"/>
    <col min="3" max="3" width="10.7109375" style="159" customWidth="1"/>
    <col min="4" max="4" width="0.7109375" style="162" customWidth="1"/>
    <col min="5" max="5" width="36" style="281" customWidth="1"/>
    <col min="6" max="6" width="10.140625" style="159" customWidth="1"/>
    <col min="7" max="7" width="5.5703125" style="337" customWidth="1"/>
    <col min="8" max="16384" width="11.42578125" style="162"/>
  </cols>
  <sheetData>
    <row r="1" spans="2:9" ht="15.75" x14ac:dyDescent="0.25">
      <c r="B1" s="387" t="s">
        <v>231</v>
      </c>
      <c r="C1" s="387"/>
      <c r="D1" s="387"/>
      <c r="E1" s="387"/>
      <c r="F1" s="387"/>
    </row>
    <row r="2" spans="2:9" ht="15.75" x14ac:dyDescent="0.25">
      <c r="B2" s="387" t="s">
        <v>232</v>
      </c>
      <c r="C2" s="387"/>
      <c r="D2" s="387"/>
      <c r="E2" s="387"/>
      <c r="F2" s="387"/>
    </row>
    <row r="3" spans="2:9" ht="15.75" x14ac:dyDescent="0.25">
      <c r="B3" s="387" t="s">
        <v>233</v>
      </c>
      <c r="C3" s="387"/>
      <c r="D3" s="387"/>
      <c r="E3" s="387"/>
      <c r="F3" s="387"/>
    </row>
    <row r="4" spans="2:9" ht="9.75" customHeight="1" x14ac:dyDescent="0.25">
      <c r="B4" s="324"/>
      <c r="C4" s="324"/>
      <c r="D4" s="324"/>
      <c r="E4" s="324"/>
      <c r="F4" s="324"/>
    </row>
    <row r="5" spans="2:9" x14ac:dyDescent="0.2">
      <c r="B5" s="285" t="s">
        <v>3</v>
      </c>
      <c r="C5" s="286"/>
      <c r="D5" s="287"/>
      <c r="E5" s="285" t="s">
        <v>8</v>
      </c>
      <c r="F5" s="286"/>
    </row>
    <row r="6" spans="2:9" x14ac:dyDescent="0.2">
      <c r="B6" s="288" t="s">
        <v>0</v>
      </c>
      <c r="C6" s="289">
        <v>708300</v>
      </c>
      <c r="D6" s="290"/>
      <c r="E6" s="288" t="s">
        <v>214</v>
      </c>
      <c r="F6" s="289">
        <f>F30</f>
        <v>748900</v>
      </c>
    </row>
    <row r="7" spans="2:9" x14ac:dyDescent="0.2">
      <c r="B7" s="288" t="s">
        <v>1</v>
      </c>
      <c r="C7" s="289">
        <v>815000</v>
      </c>
      <c r="D7" s="290"/>
      <c r="E7" s="288" t="s">
        <v>215</v>
      </c>
      <c r="F7" s="291">
        <f>F36</f>
        <v>247000</v>
      </c>
      <c r="H7" s="292"/>
    </row>
    <row r="8" spans="2:9" x14ac:dyDescent="0.2">
      <c r="B8" s="288" t="s">
        <v>219</v>
      </c>
      <c r="C8" s="289">
        <v>231700</v>
      </c>
      <c r="D8" s="290"/>
      <c r="E8" s="288" t="s">
        <v>6</v>
      </c>
      <c r="F8" s="291">
        <v>764000</v>
      </c>
    </row>
    <row r="9" spans="2:9" x14ac:dyDescent="0.2">
      <c r="B9" s="288" t="s">
        <v>80</v>
      </c>
      <c r="C9" s="291"/>
      <c r="D9" s="290"/>
      <c r="E9" s="288" t="s">
        <v>81</v>
      </c>
      <c r="F9" s="291"/>
    </row>
    <row r="10" spans="2:9" x14ac:dyDescent="0.2">
      <c r="B10" s="285" t="s">
        <v>2</v>
      </c>
      <c r="C10" s="293">
        <f>SUM(C6:C9)</f>
        <v>1755000</v>
      </c>
      <c r="D10" s="290"/>
      <c r="E10" s="285" t="s">
        <v>10</v>
      </c>
      <c r="F10" s="293">
        <f>SUM(F6:F9)</f>
        <v>1759900</v>
      </c>
      <c r="I10" s="162" t="s">
        <v>205</v>
      </c>
    </row>
    <row r="11" spans="2:9" x14ac:dyDescent="0.2">
      <c r="B11" s="288"/>
      <c r="C11" s="291"/>
      <c r="D11" s="290"/>
      <c r="E11" s="288"/>
      <c r="F11" s="291"/>
    </row>
    <row r="12" spans="2:9" x14ac:dyDescent="0.2">
      <c r="B12" s="285" t="s">
        <v>4</v>
      </c>
      <c r="C12" s="291"/>
      <c r="D12" s="290"/>
      <c r="E12" s="285" t="s">
        <v>9</v>
      </c>
      <c r="F12" s="291"/>
    </row>
    <row r="13" spans="2:9" x14ac:dyDescent="0.2">
      <c r="B13" s="288" t="s">
        <v>220</v>
      </c>
      <c r="C13" s="291">
        <f>C33</f>
        <v>2320000</v>
      </c>
      <c r="D13" s="290"/>
      <c r="E13" s="288" t="s">
        <v>216</v>
      </c>
      <c r="F13" s="291">
        <v>493500</v>
      </c>
    </row>
    <row r="14" spans="2:9" x14ac:dyDescent="0.2">
      <c r="B14" s="288" t="s">
        <v>226</v>
      </c>
      <c r="C14" s="291"/>
      <c r="D14" s="290"/>
      <c r="E14" s="285" t="s">
        <v>11</v>
      </c>
      <c r="F14" s="293">
        <f>SUM(F13)</f>
        <v>493500</v>
      </c>
    </row>
    <row r="15" spans="2:9" x14ac:dyDescent="0.2">
      <c r="B15" s="294"/>
      <c r="C15" s="291"/>
      <c r="D15" s="290"/>
      <c r="E15" s="295" t="s">
        <v>16</v>
      </c>
      <c r="F15" s="293">
        <f>+F10+F14</f>
        <v>2253400</v>
      </c>
    </row>
    <row r="16" spans="2:9" x14ac:dyDescent="0.2">
      <c r="B16" s="294"/>
      <c r="C16" s="291"/>
      <c r="D16" s="290"/>
      <c r="E16" s="295"/>
      <c r="F16" s="291"/>
    </row>
    <row r="17" spans="2:8" x14ac:dyDescent="0.2">
      <c r="B17" s="288"/>
      <c r="C17" s="291"/>
      <c r="D17" s="290"/>
      <c r="E17" s="285" t="s">
        <v>12</v>
      </c>
      <c r="F17" s="291"/>
    </row>
    <row r="18" spans="2:8" x14ac:dyDescent="0.2">
      <c r="B18" s="288"/>
      <c r="C18" s="291"/>
      <c r="D18" s="290"/>
      <c r="E18" s="288" t="s">
        <v>13</v>
      </c>
      <c r="F18" s="291">
        <v>1015500</v>
      </c>
    </row>
    <row r="19" spans="2:8" x14ac:dyDescent="0.2">
      <c r="B19" s="288"/>
      <c r="C19" s="291"/>
      <c r="D19" s="290"/>
      <c r="E19" s="288" t="s">
        <v>77</v>
      </c>
      <c r="F19" s="291">
        <v>244500</v>
      </c>
    </row>
    <row r="20" spans="2:8" x14ac:dyDescent="0.2">
      <c r="B20" s="288"/>
      <c r="C20" s="291"/>
      <c r="D20" s="290"/>
      <c r="E20" s="288" t="s">
        <v>207</v>
      </c>
      <c r="F20" s="291">
        <v>561600</v>
      </c>
      <c r="H20" s="296"/>
    </row>
    <row r="21" spans="2:8" x14ac:dyDescent="0.2">
      <c r="B21" s="288"/>
      <c r="C21" s="291"/>
      <c r="D21" s="290"/>
      <c r="E21" s="288" t="s">
        <v>210</v>
      </c>
      <c r="F21" s="291"/>
      <c r="H21" s="292"/>
    </row>
    <row r="22" spans="2:8" x14ac:dyDescent="0.2">
      <c r="B22" s="285" t="s">
        <v>5</v>
      </c>
      <c r="C22" s="293">
        <f>SUM(C13:C21)</f>
        <v>2320000</v>
      </c>
      <c r="D22" s="290"/>
      <c r="E22" s="285" t="s">
        <v>14</v>
      </c>
      <c r="F22" s="293">
        <f>SUM(F18:F21)</f>
        <v>1821600</v>
      </c>
    </row>
    <row r="23" spans="2:8" x14ac:dyDescent="0.2">
      <c r="B23" s="297" t="s">
        <v>17</v>
      </c>
      <c r="C23" s="298">
        <f>+C10+C22</f>
        <v>4075000</v>
      </c>
      <c r="D23" s="299"/>
      <c r="E23" s="300" t="s">
        <v>15</v>
      </c>
      <c r="F23" s="293">
        <f>+F15+F22</f>
        <v>4075000</v>
      </c>
      <c r="G23" s="338"/>
    </row>
    <row r="24" spans="2:8" ht="28.5" customHeight="1" x14ac:dyDescent="0.2"/>
    <row r="25" spans="2:8" x14ac:dyDescent="0.2">
      <c r="B25" s="334" t="s">
        <v>230</v>
      </c>
      <c r="C25" s="336" t="s">
        <v>20</v>
      </c>
      <c r="E25" s="334" t="s">
        <v>227</v>
      </c>
      <c r="F25" s="335"/>
    </row>
    <row r="26" spans="2:8" x14ac:dyDescent="0.2">
      <c r="B26" s="306" t="s">
        <v>246</v>
      </c>
      <c r="C26" s="307">
        <v>195072</v>
      </c>
      <c r="E26" s="306" t="s">
        <v>217</v>
      </c>
      <c r="F26" s="307">
        <v>211000</v>
      </c>
    </row>
    <row r="27" spans="2:8" x14ac:dyDescent="0.2">
      <c r="B27" s="306" t="s">
        <v>247</v>
      </c>
      <c r="C27" s="307">
        <v>36628</v>
      </c>
      <c r="E27" s="306" t="s">
        <v>218</v>
      </c>
      <c r="F27" s="307">
        <v>465000</v>
      </c>
    </row>
    <row r="28" spans="2:8" x14ac:dyDescent="0.2">
      <c r="C28" s="309">
        <f>SUM(C26:C27)</f>
        <v>231700</v>
      </c>
      <c r="E28" s="288" t="s">
        <v>221</v>
      </c>
      <c r="F28" s="307">
        <v>42300</v>
      </c>
    </row>
    <row r="29" spans="2:8" x14ac:dyDescent="0.2">
      <c r="E29" s="288" t="s">
        <v>7</v>
      </c>
      <c r="F29" s="307">
        <v>30600</v>
      </c>
    </row>
    <row r="30" spans="2:8" x14ac:dyDescent="0.2">
      <c r="B30" s="334" t="s">
        <v>228</v>
      </c>
      <c r="C30" s="335"/>
      <c r="E30" s="308"/>
      <c r="F30" s="309">
        <f>SUM(F26:F29)</f>
        <v>748900</v>
      </c>
    </row>
    <row r="31" spans="2:8" x14ac:dyDescent="0.2">
      <c r="B31" s="288" t="s">
        <v>206</v>
      </c>
      <c r="C31" s="307">
        <v>4940000</v>
      </c>
      <c r="E31" s="308"/>
      <c r="F31" s="308"/>
    </row>
    <row r="32" spans="2:8" x14ac:dyDescent="0.2">
      <c r="B32" s="294" t="s">
        <v>78</v>
      </c>
      <c r="C32" s="307">
        <v>-2620000</v>
      </c>
      <c r="E32" s="334" t="s">
        <v>229</v>
      </c>
      <c r="F32" s="335"/>
    </row>
    <row r="33" spans="3:6" x14ac:dyDescent="0.2">
      <c r="C33" s="309">
        <f>+C31+C32</f>
        <v>2320000</v>
      </c>
      <c r="E33" s="306" t="s">
        <v>22</v>
      </c>
      <c r="F33" s="307">
        <v>122800</v>
      </c>
    </row>
    <row r="34" spans="3:6" x14ac:dyDescent="0.2">
      <c r="E34" s="306" t="s">
        <v>168</v>
      </c>
      <c r="F34" s="307">
        <v>61400</v>
      </c>
    </row>
    <row r="35" spans="3:6" x14ac:dyDescent="0.2">
      <c r="E35" s="306" t="s">
        <v>23</v>
      </c>
      <c r="F35" s="307">
        <v>62800</v>
      </c>
    </row>
    <row r="36" spans="3:6" x14ac:dyDescent="0.2">
      <c r="F36" s="309">
        <f>SUM(F33:F35)</f>
        <v>247000</v>
      </c>
    </row>
  </sheetData>
  <mergeCells count="3">
    <mergeCell ref="B1:F1"/>
    <mergeCell ref="B2:F2"/>
    <mergeCell ref="B3:F3"/>
  </mergeCells>
  <printOptions verticalCentered="1"/>
  <pageMargins left="0.23622047244094491" right="0.23622047244094491" top="0.74803149606299213" bottom="0.74803149606299213" header="0.31496062992125984" footer="0.31496062992125984"/>
  <pageSetup paperSize="9" scale="12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1E64-2DA7-4BE9-9854-4C27CD262B80}">
  <sheetPr>
    <tabColor rgb="FFFF0000"/>
    <pageSetUpPr fitToPage="1"/>
  </sheetPr>
  <dimension ref="B1:R54"/>
  <sheetViews>
    <sheetView showGridLines="0" zoomScale="80" zoomScaleNormal="80" workbookViewId="0">
      <selection activeCell="H38" sqref="H38"/>
    </sheetView>
  </sheetViews>
  <sheetFormatPr baseColWidth="10" defaultRowHeight="14.25" outlineLevelRow="1" x14ac:dyDescent="0.2"/>
  <cols>
    <col min="1" max="1" width="4.7109375" style="36" customWidth="1"/>
    <col min="2" max="2" width="5.28515625" style="36" customWidth="1"/>
    <col min="3" max="3" width="11.42578125" style="36"/>
    <col min="4" max="4" width="18.85546875" style="36" customWidth="1"/>
    <col min="5" max="5" width="13.140625" style="37" customWidth="1"/>
    <col min="6" max="6" width="17.140625" style="64" customWidth="1"/>
    <col min="7" max="7" width="17.85546875" style="77" customWidth="1"/>
    <col min="8" max="8" width="17.5703125" style="64" customWidth="1"/>
    <col min="9" max="9" width="8.85546875" style="37" customWidth="1"/>
    <col min="10" max="10" width="13.42578125" style="37" customWidth="1"/>
    <col min="11" max="11" width="13.85546875" style="36" customWidth="1"/>
    <col min="12" max="12" width="11.5703125" style="36" bestFit="1" customWidth="1"/>
    <col min="13" max="13" width="4.85546875" style="36" customWidth="1"/>
    <col min="14" max="16384" width="11.42578125" style="36"/>
  </cols>
  <sheetData>
    <row r="1" spans="2:14" ht="27.75" x14ac:dyDescent="0.4">
      <c r="B1" s="35" t="s">
        <v>83</v>
      </c>
      <c r="I1" s="52"/>
      <c r="J1" s="52"/>
    </row>
    <row r="2" spans="2:14" ht="15" thickBot="1" x14ac:dyDescent="0.25">
      <c r="I2" s="52"/>
      <c r="J2" s="52"/>
    </row>
    <row r="3" spans="2:14" ht="16.5" thickBot="1" x14ac:dyDescent="0.25">
      <c r="B3" s="400" t="s">
        <v>38</v>
      </c>
      <c r="C3" s="401"/>
      <c r="D3" s="401"/>
      <c r="E3" s="401"/>
      <c r="F3" s="401"/>
      <c r="G3" s="401"/>
      <c r="H3" s="402"/>
      <c r="I3" s="80"/>
      <c r="J3" s="80"/>
    </row>
    <row r="4" spans="2:14" ht="16.5" thickBot="1" x14ac:dyDescent="0.25">
      <c r="B4" s="61"/>
      <c r="C4" s="51"/>
      <c r="D4" s="51"/>
      <c r="E4" s="125"/>
      <c r="F4" s="124" t="s">
        <v>19</v>
      </c>
      <c r="G4" s="112" t="s">
        <v>75</v>
      </c>
      <c r="H4" s="65" t="s">
        <v>20</v>
      </c>
      <c r="I4" s="125"/>
      <c r="J4" s="25"/>
    </row>
    <row r="5" spans="2:14" ht="16.5" thickBot="1" x14ac:dyDescent="0.3">
      <c r="B5" s="10" t="s">
        <v>28</v>
      </c>
      <c r="C5" s="325" t="s">
        <v>18</v>
      </c>
      <c r="D5" s="1"/>
      <c r="E5" s="25"/>
      <c r="F5" s="434">
        <f>F25</f>
        <v>552000</v>
      </c>
      <c r="G5" s="130">
        <f>11.21/1.18</f>
        <v>9.5000000000000018</v>
      </c>
      <c r="H5" s="66">
        <f>F5*G5</f>
        <v>5244000.0000000009</v>
      </c>
      <c r="I5" s="125"/>
      <c r="J5" s="25"/>
      <c r="M5" s="98"/>
    </row>
    <row r="6" spans="2:14" ht="16.5" thickBot="1" x14ac:dyDescent="0.3">
      <c r="B6" s="10" t="s">
        <v>30</v>
      </c>
      <c r="C6" s="403" t="s">
        <v>25</v>
      </c>
      <c r="D6" s="403"/>
      <c r="E6" s="31"/>
      <c r="F6" s="435">
        <f>F25</f>
        <v>552000</v>
      </c>
      <c r="G6" s="436">
        <f>G25</f>
        <v>2.6982572306920134</v>
      </c>
      <c r="H6" s="122">
        <f>F6*G6</f>
        <v>1489437.9913419914</v>
      </c>
      <c r="I6" s="125"/>
      <c r="J6" s="25"/>
    </row>
    <row r="7" spans="2:14" ht="16.5" thickBot="1" x14ac:dyDescent="0.3">
      <c r="B7" s="151" t="s">
        <v>29</v>
      </c>
      <c r="C7" s="115" t="s">
        <v>57</v>
      </c>
      <c r="D7" s="1"/>
      <c r="E7" s="25"/>
      <c r="F7" s="100"/>
      <c r="G7" s="81"/>
      <c r="H7" s="84">
        <f>H5-H6</f>
        <v>3754562.0086580096</v>
      </c>
      <c r="I7" s="125"/>
      <c r="J7" s="25"/>
    </row>
    <row r="8" spans="2:14" ht="15.75" customHeight="1" thickBot="1" x14ac:dyDescent="0.3">
      <c r="B8" s="10" t="s">
        <v>30</v>
      </c>
      <c r="C8" s="114" t="s">
        <v>86</v>
      </c>
      <c r="D8" s="1"/>
      <c r="E8" s="125"/>
      <c r="F8" s="100"/>
      <c r="G8" s="125"/>
      <c r="H8" s="63">
        <v>410000</v>
      </c>
      <c r="I8" s="126"/>
      <c r="J8" s="52"/>
      <c r="K8" s="113"/>
    </row>
    <row r="9" spans="2:14" ht="15.75" customHeight="1" thickBot="1" x14ac:dyDescent="0.3">
      <c r="B9" s="10" t="s">
        <v>30</v>
      </c>
      <c r="C9" s="114" t="s">
        <v>85</v>
      </c>
      <c r="D9" s="1"/>
      <c r="E9" s="125"/>
      <c r="F9" s="100"/>
      <c r="G9" s="125"/>
      <c r="H9" s="63">
        <f>I9*H5</f>
        <v>524400.00000000012</v>
      </c>
      <c r="I9" s="326">
        <v>0.1</v>
      </c>
      <c r="J9" s="52" t="s">
        <v>72</v>
      </c>
      <c r="K9" s="113"/>
    </row>
    <row r="10" spans="2:14" s="150" customFormat="1" ht="15.75" customHeight="1" thickBot="1" x14ac:dyDescent="0.3">
      <c r="B10" s="62" t="s">
        <v>28</v>
      </c>
      <c r="C10" s="146" t="s">
        <v>82</v>
      </c>
      <c r="D10" s="147"/>
      <c r="E10" s="148"/>
      <c r="F10" s="100"/>
      <c r="G10" s="148"/>
      <c r="H10" s="63">
        <v>5000</v>
      </c>
      <c r="I10" s="148"/>
      <c r="J10" s="149"/>
      <c r="K10" s="154" t="s">
        <v>87</v>
      </c>
      <c r="L10" s="142"/>
      <c r="M10" s="142"/>
      <c r="N10" s="142">
        <v>125000</v>
      </c>
    </row>
    <row r="11" spans="2:14" s="150" customFormat="1" ht="16.5" thickBot="1" x14ac:dyDescent="0.3">
      <c r="B11" s="62" t="s">
        <v>30</v>
      </c>
      <c r="C11" s="146" t="s">
        <v>84</v>
      </c>
      <c r="D11" s="147"/>
      <c r="E11" s="148"/>
      <c r="F11" s="100"/>
      <c r="G11" s="148"/>
      <c r="H11" s="63">
        <f>N12</f>
        <v>36000</v>
      </c>
      <c r="I11" s="148"/>
      <c r="J11" s="149"/>
      <c r="K11" s="154" t="s">
        <v>88</v>
      </c>
      <c r="L11" s="142"/>
      <c r="M11" s="142"/>
      <c r="N11" s="155">
        <v>-89000</v>
      </c>
    </row>
    <row r="12" spans="2:14" ht="16.5" thickBot="1" x14ac:dyDescent="0.3">
      <c r="B12" s="151" t="s">
        <v>29</v>
      </c>
      <c r="C12" s="115" t="s">
        <v>58</v>
      </c>
      <c r="D12" s="1"/>
      <c r="E12" s="125"/>
      <c r="F12" s="100"/>
      <c r="G12" s="157"/>
      <c r="H12" s="84">
        <f>H7-H8-H9+H10-H11</f>
        <v>2789162.0086580096</v>
      </c>
      <c r="I12" s="25"/>
      <c r="J12" s="25"/>
      <c r="K12" s="154" t="s">
        <v>89</v>
      </c>
      <c r="L12" s="142"/>
      <c r="M12" s="142"/>
      <c r="N12" s="156">
        <f>N10+N11</f>
        <v>36000</v>
      </c>
    </row>
    <row r="13" spans="2:14" ht="16.5" thickBot="1" x14ac:dyDescent="0.3">
      <c r="B13" s="62" t="s">
        <v>30</v>
      </c>
      <c r="C13" s="114" t="s">
        <v>76</v>
      </c>
      <c r="D13" s="1"/>
      <c r="E13" s="125"/>
      <c r="F13" s="100"/>
      <c r="G13" s="25"/>
      <c r="H13" s="85">
        <v>2000</v>
      </c>
      <c r="I13" s="25"/>
      <c r="J13" s="25"/>
    </row>
    <row r="14" spans="2:14" ht="16.5" thickBot="1" x14ac:dyDescent="0.3">
      <c r="B14" s="151" t="s">
        <v>29</v>
      </c>
      <c r="C14" s="115" t="s">
        <v>59</v>
      </c>
      <c r="D14" s="1"/>
      <c r="E14" s="125"/>
      <c r="F14" s="100"/>
      <c r="G14" s="25"/>
      <c r="H14" s="84">
        <f>H12-H13</f>
        <v>2787162.0086580096</v>
      </c>
      <c r="I14" s="25"/>
      <c r="J14" s="25"/>
    </row>
    <row r="15" spans="2:14" ht="16.5" thickBot="1" x14ac:dyDescent="0.3">
      <c r="B15" s="62" t="s">
        <v>30</v>
      </c>
      <c r="C15" s="325" t="s">
        <v>53</v>
      </c>
      <c r="D15" s="81"/>
      <c r="E15" s="125"/>
      <c r="F15" s="100"/>
      <c r="G15" s="82">
        <v>0.29499999999999998</v>
      </c>
      <c r="H15" s="85">
        <f>G15*H14</f>
        <v>822212.79255411273</v>
      </c>
      <c r="I15" s="25"/>
      <c r="J15" s="25"/>
    </row>
    <row r="16" spans="2:14" ht="16.5" thickBot="1" x14ac:dyDescent="0.3">
      <c r="B16" s="152" t="s">
        <v>29</v>
      </c>
      <c r="C16" s="127" t="s">
        <v>60</v>
      </c>
      <c r="D16" s="2"/>
      <c r="E16" s="26"/>
      <c r="F16" s="101"/>
      <c r="G16" s="83"/>
      <c r="H16" s="84">
        <f>H14-H15</f>
        <v>1964949.216103897</v>
      </c>
      <c r="I16" s="25"/>
      <c r="J16" s="25"/>
    </row>
    <row r="18" spans="2:18" ht="15" thickBot="1" x14ac:dyDescent="0.25"/>
    <row r="19" spans="2:18" ht="16.5" thickBot="1" x14ac:dyDescent="0.3">
      <c r="B19" s="5" t="s">
        <v>61</v>
      </c>
      <c r="C19" s="6"/>
      <c r="D19" s="38"/>
      <c r="E19" s="39"/>
      <c r="F19" s="102"/>
      <c r="G19" s="78"/>
      <c r="H19" s="67"/>
    </row>
    <row r="20" spans="2:18" ht="16.5" thickBot="1" x14ac:dyDescent="0.3">
      <c r="B20" s="404"/>
      <c r="C20" s="405"/>
      <c r="D20" s="406"/>
      <c r="E20" s="86" t="s">
        <v>27</v>
      </c>
      <c r="F20" s="106" t="s">
        <v>19</v>
      </c>
      <c r="G20" s="30" t="s">
        <v>24</v>
      </c>
      <c r="H20" s="76" t="s">
        <v>20</v>
      </c>
    </row>
    <row r="21" spans="2:18" ht="16.5" thickBot="1" x14ac:dyDescent="0.3">
      <c r="B21" s="7" t="s">
        <v>28</v>
      </c>
      <c r="C21" s="8" t="s">
        <v>39</v>
      </c>
      <c r="D21" s="9"/>
      <c r="E21" s="87"/>
      <c r="F21" s="70">
        <v>78000</v>
      </c>
      <c r="G21" s="33">
        <f>H21/F21</f>
        <v>2.500923076923077</v>
      </c>
      <c r="H21" s="68">
        <v>195072</v>
      </c>
    </row>
    <row r="22" spans="2:18" ht="18" customHeight="1" thickBot="1" x14ac:dyDescent="0.3">
      <c r="B22" s="10" t="s">
        <v>28</v>
      </c>
      <c r="C22" s="8" t="s">
        <v>40</v>
      </c>
      <c r="D22" s="9"/>
      <c r="E22" s="88"/>
      <c r="F22" s="103">
        <f>F23-F21</f>
        <v>501600</v>
      </c>
      <c r="G22" s="23">
        <f>H22/F22</f>
        <v>2.72894316369436</v>
      </c>
      <c r="H22" s="116">
        <f>H43</f>
        <v>1368837.8909090909</v>
      </c>
    </row>
    <row r="23" spans="2:18" ht="16.5" thickBot="1" x14ac:dyDescent="0.3">
      <c r="B23" s="11" t="s">
        <v>29</v>
      </c>
      <c r="C23" s="397" t="s">
        <v>41</v>
      </c>
      <c r="D23" s="398"/>
      <c r="E23" s="89"/>
      <c r="F23" s="69">
        <f>F24+F25</f>
        <v>579600</v>
      </c>
      <c r="G23" s="99">
        <f>H23/F23</f>
        <v>2.6982572306920134</v>
      </c>
      <c r="H23" s="69">
        <f>SUM(H21:H22)</f>
        <v>1563909.8909090909</v>
      </c>
      <c r="I23" s="24" t="s">
        <v>49</v>
      </c>
    </row>
    <row r="24" spans="2:18" ht="16.5" thickBot="1" x14ac:dyDescent="0.3">
      <c r="B24" s="10" t="s">
        <v>30</v>
      </c>
      <c r="C24" s="8" t="s">
        <v>42</v>
      </c>
      <c r="D24" s="9"/>
      <c r="E24" s="128">
        <v>0.05</v>
      </c>
      <c r="F24" s="70">
        <f>E24*F25</f>
        <v>27600</v>
      </c>
      <c r="G24" s="121">
        <f>G23</f>
        <v>2.6982572306920134</v>
      </c>
      <c r="H24" s="68">
        <f>F24*G24</f>
        <v>74471.899567099565</v>
      </c>
    </row>
    <row r="25" spans="2:18" ht="16.5" thickBot="1" x14ac:dyDescent="0.3">
      <c r="B25" s="13" t="s">
        <v>29</v>
      </c>
      <c r="C25" s="14" t="s">
        <v>31</v>
      </c>
      <c r="D25" s="15"/>
      <c r="E25" s="89"/>
      <c r="F25" s="119">
        <v>552000</v>
      </c>
      <c r="G25" s="121">
        <f>G24</f>
        <v>2.6982572306920134</v>
      </c>
      <c r="H25" s="122">
        <f>F25*G25</f>
        <v>1489437.9913419914</v>
      </c>
    </row>
    <row r="27" spans="2:18" ht="15" outlineLevel="1" thickBot="1" x14ac:dyDescent="0.25"/>
    <row r="28" spans="2:18" ht="16.5" outlineLevel="1" thickBot="1" x14ac:dyDescent="0.25">
      <c r="C28" s="16" t="s">
        <v>62</v>
      </c>
      <c r="D28" s="16"/>
      <c r="E28" s="34"/>
      <c r="F28" s="104"/>
      <c r="G28" s="79"/>
      <c r="H28" s="71"/>
    </row>
    <row r="29" spans="2:18" ht="48" outlineLevel="1" thickBot="1" x14ac:dyDescent="0.25">
      <c r="C29" s="17" t="s">
        <v>32</v>
      </c>
      <c r="D29" s="3"/>
      <c r="E29" s="28"/>
      <c r="F29" s="105" t="s">
        <v>52</v>
      </c>
      <c r="G29" s="27" t="s">
        <v>54</v>
      </c>
      <c r="H29" s="72" t="s">
        <v>55</v>
      </c>
    </row>
    <row r="30" spans="2:18" ht="16.5" outlineLevel="1" thickBot="1" x14ac:dyDescent="0.3">
      <c r="C30" s="40" t="s">
        <v>43</v>
      </c>
      <c r="D30" s="143"/>
      <c r="E30" s="29"/>
      <c r="F30" s="433">
        <v>0.57499999999999996</v>
      </c>
      <c r="G30" s="60">
        <f>F22</f>
        <v>501600</v>
      </c>
      <c r="H30" s="73">
        <f>F30*G30</f>
        <v>288420</v>
      </c>
      <c r="I30" s="41" t="s">
        <v>51</v>
      </c>
    </row>
    <row r="31" spans="2:18" ht="16.5" outlineLevel="1" thickBot="1" x14ac:dyDescent="0.3">
      <c r="C31" s="42" t="s">
        <v>33</v>
      </c>
      <c r="D31" s="143"/>
      <c r="E31" s="29"/>
      <c r="F31" s="433">
        <v>0.3</v>
      </c>
      <c r="G31" s="60">
        <f>G30</f>
        <v>501600</v>
      </c>
      <c r="H31" s="74">
        <f>F31*G31</f>
        <v>150480</v>
      </c>
      <c r="I31" s="41" t="s">
        <v>44</v>
      </c>
    </row>
    <row r="32" spans="2:18" ht="15.75" outlineLevel="1" x14ac:dyDescent="0.25">
      <c r="C32" s="43"/>
      <c r="D32" s="1"/>
      <c r="E32" s="25"/>
      <c r="F32" s="75"/>
      <c r="G32" s="80"/>
      <c r="H32" s="75"/>
      <c r="I32" s="25"/>
      <c r="L32" s="4"/>
      <c r="M32" s="4"/>
      <c r="N32" s="139" t="s">
        <v>56</v>
      </c>
      <c r="O32" s="134"/>
      <c r="P32" s="135"/>
      <c r="Q32" s="135"/>
      <c r="R32" s="135"/>
    </row>
    <row r="33" spans="2:18" ht="15.75" thickBot="1" x14ac:dyDescent="0.25">
      <c r="K33" s="37"/>
      <c r="N33" s="134"/>
      <c r="O33" s="134"/>
      <c r="P33" s="135"/>
      <c r="Q33" s="135"/>
      <c r="R33" s="135"/>
    </row>
    <row r="34" spans="2:18" ht="16.5" outlineLevel="1" thickBot="1" x14ac:dyDescent="0.25">
      <c r="B34" s="407" t="s">
        <v>63</v>
      </c>
      <c r="C34" s="408"/>
      <c r="D34" s="408"/>
      <c r="E34" s="408"/>
      <c r="F34" s="408"/>
      <c r="G34" s="408"/>
      <c r="H34" s="409"/>
      <c r="K34" s="37"/>
      <c r="N34" s="134"/>
      <c r="O34" s="134"/>
      <c r="P34" s="135"/>
      <c r="Q34" s="135"/>
      <c r="R34" s="135"/>
    </row>
    <row r="35" spans="2:18" ht="16.5" outlineLevel="1" thickBot="1" x14ac:dyDescent="0.25">
      <c r="B35" s="44"/>
      <c r="C35" s="45"/>
      <c r="D35" s="45"/>
      <c r="E35" s="46"/>
      <c r="F35" s="106" t="s">
        <v>19</v>
      </c>
      <c r="G35" s="30" t="s">
        <v>24</v>
      </c>
      <c r="H35" s="76" t="s">
        <v>20</v>
      </c>
      <c r="K35" s="37"/>
      <c r="N35" s="134"/>
      <c r="O35" s="134"/>
      <c r="P35" s="135"/>
      <c r="Q35" s="135"/>
      <c r="R35" s="135"/>
    </row>
    <row r="36" spans="2:18" ht="16.5" outlineLevel="1" thickBot="1" x14ac:dyDescent="0.3">
      <c r="B36" s="10" t="s">
        <v>28</v>
      </c>
      <c r="C36" s="47" t="s">
        <v>21</v>
      </c>
      <c r="D36" s="47"/>
      <c r="E36" s="48"/>
      <c r="F36" s="73">
        <f>H30</f>
        <v>288420</v>
      </c>
      <c r="G36" s="438">
        <f>H36/F36</f>
        <v>2.4496154597777231</v>
      </c>
      <c r="H36" s="118">
        <f>H52</f>
        <v>706518.09090909094</v>
      </c>
      <c r="J36" s="49"/>
      <c r="K36" s="97" t="s">
        <v>72</v>
      </c>
      <c r="L36" s="4" t="s">
        <v>73</v>
      </c>
      <c r="M36" s="4"/>
      <c r="N36" s="134"/>
      <c r="O36" s="134"/>
      <c r="P36" s="135"/>
      <c r="Q36" s="135"/>
      <c r="R36" s="135"/>
    </row>
    <row r="37" spans="2:18" ht="16.5" outlineLevel="1" thickBot="1" x14ac:dyDescent="0.3">
      <c r="B37" s="10" t="s">
        <v>28</v>
      </c>
      <c r="C37" s="50" t="s">
        <v>34</v>
      </c>
      <c r="D37" s="50"/>
      <c r="E37" s="25"/>
      <c r="F37" s="74">
        <f>H31</f>
        <v>150480</v>
      </c>
      <c r="G37" s="439">
        <f>L40</f>
        <v>2.1974999999999998</v>
      </c>
      <c r="H37" s="117">
        <f>F37*G37</f>
        <v>330679.8</v>
      </c>
      <c r="J37" s="136" t="s">
        <v>70</v>
      </c>
      <c r="K37" s="37"/>
      <c r="L37" s="111">
        <v>1.5</v>
      </c>
      <c r="M37" s="137"/>
      <c r="N37" s="134"/>
      <c r="O37" s="134"/>
      <c r="P37" s="135"/>
      <c r="Q37" s="135"/>
      <c r="R37" s="135"/>
    </row>
    <row r="38" spans="2:18" ht="16.5" outlineLevel="1" thickBot="1" x14ac:dyDescent="0.3">
      <c r="B38" s="10" t="s">
        <v>28</v>
      </c>
      <c r="C38" s="50" t="s">
        <v>35</v>
      </c>
      <c r="D38" s="51"/>
      <c r="E38" s="52"/>
      <c r="F38" s="131">
        <f>F22</f>
        <v>501600</v>
      </c>
      <c r="G38" s="110">
        <v>0.4</v>
      </c>
      <c r="H38" s="117">
        <f>F38*G38</f>
        <v>200640</v>
      </c>
      <c r="J38" s="93" t="s">
        <v>45</v>
      </c>
      <c r="K38" s="140">
        <f>(9+0.75+0.53)/100</f>
        <v>0.10279999999999999</v>
      </c>
      <c r="L38" s="153">
        <f>K38*L37</f>
        <v>0.15419999999999998</v>
      </c>
      <c r="M38" s="138"/>
      <c r="N38" s="134"/>
      <c r="O38" s="134"/>
      <c r="P38" s="135"/>
      <c r="Q38" s="135"/>
      <c r="R38" s="135"/>
    </row>
    <row r="39" spans="2:18" ht="16.5" outlineLevel="1" thickBot="1" x14ac:dyDescent="0.25">
      <c r="B39" s="19"/>
      <c r="C39" s="53" t="s">
        <v>36</v>
      </c>
      <c r="D39" s="45"/>
      <c r="E39" s="28"/>
      <c r="F39" s="107"/>
      <c r="G39" s="144"/>
      <c r="H39" s="120">
        <v>131000</v>
      </c>
      <c r="J39" s="93" t="s">
        <v>46</v>
      </c>
      <c r="K39" s="141">
        <f>(18.17+9.72+8.33)/100</f>
        <v>0.36219999999999997</v>
      </c>
      <c r="L39" s="153">
        <f>K39*L37</f>
        <v>0.54329999999999989</v>
      </c>
      <c r="M39" s="138"/>
      <c r="N39" s="134"/>
      <c r="O39" s="134"/>
      <c r="P39" s="135"/>
      <c r="Q39" s="135"/>
      <c r="R39" s="135"/>
    </row>
    <row r="40" spans="2:18" ht="16.5" outlineLevel="1" thickBot="1" x14ac:dyDescent="0.3">
      <c r="B40" s="19" t="s">
        <v>26</v>
      </c>
      <c r="C40" s="388" t="s">
        <v>66</v>
      </c>
      <c r="D40" s="388"/>
      <c r="E40" s="399"/>
      <c r="F40" s="108">
        <f>F22</f>
        <v>501600</v>
      </c>
      <c r="G40" s="59"/>
      <c r="H40" s="116">
        <f>SUM(H36:H39)</f>
        <v>1368837.8909090909</v>
      </c>
      <c r="J40" s="96" t="s">
        <v>71</v>
      </c>
      <c r="K40" s="54"/>
      <c r="L40" s="145">
        <f>SUM(L37:L39)</f>
        <v>2.1974999999999998</v>
      </c>
      <c r="M40" s="138"/>
      <c r="N40" s="134"/>
      <c r="O40" s="134"/>
      <c r="P40" s="135"/>
      <c r="Q40" s="135"/>
      <c r="R40" s="135"/>
    </row>
    <row r="41" spans="2:18" s="4" customFormat="1" ht="16.5" outlineLevel="1" thickBot="1" x14ac:dyDescent="0.25">
      <c r="B41" s="19" t="s">
        <v>28</v>
      </c>
      <c r="C41" s="90" t="s">
        <v>64</v>
      </c>
      <c r="D41" s="90"/>
      <c r="E41" s="28"/>
      <c r="F41" s="109"/>
      <c r="G41" s="91"/>
      <c r="H41" s="92"/>
      <c r="J41" s="93"/>
      <c r="K41" s="94"/>
      <c r="L41" s="94"/>
      <c r="M41" s="94"/>
      <c r="N41" s="134"/>
      <c r="O41" s="134"/>
      <c r="P41" s="134"/>
      <c r="Q41" s="134"/>
      <c r="R41" s="134"/>
    </row>
    <row r="42" spans="2:18" s="4" customFormat="1" ht="16.5" outlineLevel="1" thickBot="1" x14ac:dyDescent="0.25">
      <c r="B42" s="19" t="s">
        <v>30</v>
      </c>
      <c r="C42" s="90" t="s">
        <v>65</v>
      </c>
      <c r="D42" s="90"/>
      <c r="E42" s="28"/>
      <c r="F42" s="109"/>
      <c r="G42" s="91"/>
      <c r="H42" s="92"/>
      <c r="J42" s="93"/>
      <c r="K42" s="94"/>
      <c r="L42" s="94"/>
      <c r="M42" s="94"/>
    </row>
    <row r="43" spans="2:18" s="4" customFormat="1" ht="16.5" outlineLevel="1" thickBot="1" x14ac:dyDescent="0.25">
      <c r="B43" s="19" t="s">
        <v>26</v>
      </c>
      <c r="C43" s="388" t="s">
        <v>37</v>
      </c>
      <c r="D43" s="388"/>
      <c r="E43" s="95"/>
      <c r="F43" s="108">
        <f>F22</f>
        <v>501600</v>
      </c>
      <c r="G43" s="12"/>
      <c r="H43" s="116">
        <f>H40</f>
        <v>1368837.8909090909</v>
      </c>
      <c r="I43" s="24"/>
      <c r="J43" s="24"/>
      <c r="K43" s="24"/>
      <c r="L43" s="24"/>
      <c r="M43" s="24"/>
      <c r="N43" s="123" t="s">
        <v>74</v>
      </c>
    </row>
    <row r="44" spans="2:18" ht="15" outlineLevel="1" x14ac:dyDescent="0.2">
      <c r="L44" s="4"/>
      <c r="M44" s="4"/>
      <c r="N44" s="4"/>
      <c r="O44" s="4"/>
    </row>
    <row r="45" spans="2:18" ht="15.75" thickBot="1" x14ac:dyDescent="0.25">
      <c r="L45" s="4"/>
      <c r="M45" s="4"/>
      <c r="O45" s="4"/>
    </row>
    <row r="46" spans="2:18" ht="16.5" outlineLevel="1" thickBot="1" x14ac:dyDescent="0.3">
      <c r="B46" s="389" t="s">
        <v>67</v>
      </c>
      <c r="C46" s="390"/>
      <c r="D46" s="390"/>
      <c r="E46" s="390"/>
      <c r="F46" s="390"/>
      <c r="G46" s="390"/>
      <c r="H46" s="391"/>
    </row>
    <row r="47" spans="2:18" ht="16.5" outlineLevel="1" thickBot="1" x14ac:dyDescent="0.25">
      <c r="B47" s="392"/>
      <c r="C47" s="393"/>
      <c r="D47" s="394"/>
      <c r="E47" s="32" t="s">
        <v>27</v>
      </c>
      <c r="F47" s="106" t="s">
        <v>19</v>
      </c>
      <c r="G47" s="30" t="s">
        <v>24</v>
      </c>
      <c r="H47" s="76" t="s">
        <v>20</v>
      </c>
    </row>
    <row r="48" spans="2:18" ht="16.5" outlineLevel="1" thickBot="1" x14ac:dyDescent="0.3">
      <c r="B48" s="55" t="s">
        <v>28</v>
      </c>
      <c r="C48" s="20" t="s">
        <v>47</v>
      </c>
      <c r="D48" s="18"/>
      <c r="E48" s="87"/>
      <c r="F48" s="70">
        <v>15000</v>
      </c>
      <c r="G48" s="437">
        <f>H48/F48</f>
        <v>2.4418666666666669</v>
      </c>
      <c r="H48" s="70">
        <v>36628</v>
      </c>
      <c r="I48" s="7" t="s">
        <v>28</v>
      </c>
    </row>
    <row r="49" spans="2:10" ht="16.5" outlineLevel="1" thickBot="1" x14ac:dyDescent="0.3">
      <c r="B49" s="56" t="s">
        <v>28</v>
      </c>
      <c r="C49" s="395" t="s">
        <v>68</v>
      </c>
      <c r="D49" s="396"/>
      <c r="E49" s="88"/>
      <c r="F49" s="68">
        <f>F50-F48</f>
        <v>302262</v>
      </c>
      <c r="G49" s="132">
        <v>2.4500000000000002</v>
      </c>
      <c r="H49" s="323">
        <f>F49*G49</f>
        <v>740541.9</v>
      </c>
      <c r="I49" s="10" t="s">
        <v>28</v>
      </c>
    </row>
    <row r="50" spans="2:10" ht="16.5" outlineLevel="1" thickBot="1" x14ac:dyDescent="0.3">
      <c r="B50" s="57" t="s">
        <v>29</v>
      </c>
      <c r="C50" s="397" t="s">
        <v>48</v>
      </c>
      <c r="D50" s="398"/>
      <c r="E50" s="89"/>
      <c r="F50" s="69">
        <f>F51+F52</f>
        <v>317262</v>
      </c>
      <c r="G50" s="99">
        <f>H50/F50</f>
        <v>2.4496154597777231</v>
      </c>
      <c r="H50" s="69">
        <f>SUM(H48:H49)</f>
        <v>777169.9</v>
      </c>
      <c r="I50" s="11" t="s">
        <v>29</v>
      </c>
      <c r="J50" s="24" t="s">
        <v>49</v>
      </c>
    </row>
    <row r="51" spans="2:10" ht="16.5" outlineLevel="1" thickBot="1" x14ac:dyDescent="0.3">
      <c r="B51" s="56" t="s">
        <v>30</v>
      </c>
      <c r="C51" s="20" t="s">
        <v>50</v>
      </c>
      <c r="D51" s="18"/>
      <c r="E51" s="129">
        <v>0.1</v>
      </c>
      <c r="F51" s="70">
        <f>E51*F52</f>
        <v>28842</v>
      </c>
      <c r="G51" s="121">
        <f>G50</f>
        <v>2.4496154597777231</v>
      </c>
      <c r="H51" s="70">
        <f>F51*G51</f>
        <v>70651.809090909097</v>
      </c>
      <c r="I51" s="10" t="s">
        <v>30</v>
      </c>
    </row>
    <row r="52" spans="2:10" ht="16.5" outlineLevel="1" thickBot="1" x14ac:dyDescent="0.3">
      <c r="B52" s="58" t="s">
        <v>29</v>
      </c>
      <c r="C52" s="21" t="s">
        <v>69</v>
      </c>
      <c r="D52" s="22"/>
      <c r="E52" s="89"/>
      <c r="F52" s="73">
        <f>F36</f>
        <v>288420</v>
      </c>
      <c r="G52" s="121">
        <f>G51</f>
        <v>2.4496154597777231</v>
      </c>
      <c r="H52" s="119">
        <f>F52*G52</f>
        <v>706518.09090909094</v>
      </c>
      <c r="I52" s="13" t="s">
        <v>29</v>
      </c>
    </row>
    <row r="53" spans="2:10" x14ac:dyDescent="0.2">
      <c r="H53" s="133"/>
    </row>
    <row r="54" spans="2:10" x14ac:dyDescent="0.2">
      <c r="F54" s="133"/>
      <c r="H54" s="133"/>
    </row>
  </sheetData>
  <mergeCells count="11">
    <mergeCell ref="C40:E40"/>
    <mergeCell ref="B3:H3"/>
    <mergeCell ref="C6:D6"/>
    <mergeCell ref="B20:D20"/>
    <mergeCell ref="C23:D23"/>
    <mergeCell ref="B34:H34"/>
    <mergeCell ref="C43:D43"/>
    <mergeCell ref="B46:H46"/>
    <mergeCell ref="B47:D47"/>
    <mergeCell ref="C49:D49"/>
    <mergeCell ref="C50:D50"/>
  </mergeCells>
  <printOptions horizontalCentered="1" verticalCentered="1"/>
  <pageMargins left="0" right="0" top="0" bottom="0" header="0" footer="0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72A-8BD5-4CBA-86A7-2293E3D36F5E}">
  <sheetPr>
    <pageSetUpPr fitToPage="1"/>
  </sheetPr>
  <dimension ref="B1:L57"/>
  <sheetViews>
    <sheetView showGridLines="0" zoomScaleNormal="100" workbookViewId="0">
      <pane ySplit="3" topLeftCell="A4" activePane="bottomLeft" state="frozen"/>
      <selection pane="bottomLeft" activeCell="I50" sqref="I50"/>
    </sheetView>
  </sheetViews>
  <sheetFormatPr baseColWidth="10" defaultRowHeight="12.75" outlineLevelRow="1" x14ac:dyDescent="0.2"/>
  <cols>
    <col min="1" max="1" width="2" style="162" customWidth="1"/>
    <col min="2" max="2" width="27" style="162" customWidth="1"/>
    <col min="3" max="3" width="10.140625" style="159" customWidth="1"/>
    <col min="4" max="4" width="8.85546875" style="159" customWidth="1"/>
    <col min="5" max="5" width="10" style="159" customWidth="1"/>
    <col min="6" max="6" width="8.42578125" style="162" customWidth="1"/>
    <col min="7" max="7" width="14.28515625" style="159" customWidth="1"/>
    <col min="8" max="8" width="1.140625" style="162" customWidth="1"/>
    <col min="9" max="9" width="9.7109375" style="159" customWidth="1"/>
    <col min="10" max="10" width="6.5703125" style="162" bestFit="1" customWidth="1"/>
    <col min="11" max="11" width="10.42578125" style="162" customWidth="1"/>
    <col min="12" max="12" width="15.28515625" style="162" customWidth="1"/>
    <col min="13" max="16384" width="11.42578125" style="162"/>
  </cols>
  <sheetData>
    <row r="1" spans="2:12" ht="20.25" x14ac:dyDescent="0.3">
      <c r="B1" s="158" t="s">
        <v>90</v>
      </c>
      <c r="F1" s="160"/>
      <c r="G1" s="161"/>
      <c r="J1" s="301" t="s">
        <v>211</v>
      </c>
      <c r="K1" s="342">
        <v>2400000</v>
      </c>
      <c r="L1" s="162">
        <v>100</v>
      </c>
    </row>
    <row r="2" spans="2:12" x14ac:dyDescent="0.2">
      <c r="J2" s="302" t="s">
        <v>92</v>
      </c>
      <c r="K2" s="343">
        <f>+K1*0.18</f>
        <v>432000</v>
      </c>
      <c r="L2" s="162">
        <v>18</v>
      </c>
    </row>
    <row r="3" spans="2:12" ht="24.75" customHeight="1" thickBot="1" x14ac:dyDescent="0.25">
      <c r="B3" s="163"/>
      <c r="C3" s="164" t="s">
        <v>91</v>
      </c>
      <c r="D3" s="164" t="s">
        <v>92</v>
      </c>
      <c r="E3" s="164" t="s">
        <v>93</v>
      </c>
      <c r="F3" s="165" t="s">
        <v>94</v>
      </c>
      <c r="G3" s="164" t="s">
        <v>95</v>
      </c>
      <c r="I3" s="166" t="s">
        <v>96</v>
      </c>
      <c r="J3" s="303" t="s">
        <v>212</v>
      </c>
      <c r="K3" s="344">
        <f>+K1+K2</f>
        <v>2832000</v>
      </c>
      <c r="L3" s="162">
        <v>118</v>
      </c>
    </row>
    <row r="4" spans="2:12" x14ac:dyDescent="0.2">
      <c r="B4" s="168" t="s">
        <v>97</v>
      </c>
      <c r="C4" s="410"/>
      <c r="D4" s="411"/>
      <c r="E4" s="411"/>
      <c r="F4" s="411"/>
      <c r="G4" s="412"/>
      <c r="I4" s="167"/>
      <c r="J4" s="167"/>
    </row>
    <row r="5" spans="2:12" x14ac:dyDescent="0.2">
      <c r="B5" s="168" t="s">
        <v>98</v>
      </c>
      <c r="C5" s="410"/>
      <c r="D5" s="411"/>
      <c r="E5" s="411"/>
      <c r="F5" s="411"/>
      <c r="G5" s="412"/>
      <c r="H5" s="169"/>
      <c r="I5" s="167"/>
      <c r="J5" s="167"/>
    </row>
    <row r="6" spans="2:12" x14ac:dyDescent="0.2">
      <c r="B6" s="170" t="s">
        <v>225</v>
      </c>
      <c r="C6" s="410"/>
      <c r="D6" s="411"/>
      <c r="E6" s="411"/>
      <c r="F6" s="412"/>
      <c r="G6" s="172">
        <f>'E.S.F (inicial)'!C7</f>
        <v>815000</v>
      </c>
      <c r="H6" s="169"/>
      <c r="I6" s="167"/>
      <c r="J6" s="173" t="s">
        <v>99</v>
      </c>
    </row>
    <row r="7" spans="2:12" x14ac:dyDescent="0.2">
      <c r="B7" s="170" t="s">
        <v>100</v>
      </c>
      <c r="C7" s="174">
        <f>ER!H5</f>
        <v>5244000.0000000009</v>
      </c>
      <c r="D7" s="174">
        <f>0.18*C7</f>
        <v>943920.00000000012</v>
      </c>
      <c r="E7" s="174">
        <f>C7+D7</f>
        <v>6187920.0000000009</v>
      </c>
      <c r="F7" s="175">
        <v>0.7</v>
      </c>
      <c r="G7" s="174">
        <f>E7*F7</f>
        <v>4331544</v>
      </c>
      <c r="H7" s="169"/>
      <c r="I7" s="176">
        <f>E7-G7</f>
        <v>1856376.0000000009</v>
      </c>
      <c r="J7" s="177" t="s">
        <v>101</v>
      </c>
      <c r="L7" s="178"/>
    </row>
    <row r="8" spans="2:12" x14ac:dyDescent="0.2">
      <c r="B8" s="179" t="s">
        <v>95</v>
      </c>
      <c r="C8" s="180"/>
      <c r="D8" s="181">
        <f>D7</f>
        <v>943920.00000000012</v>
      </c>
      <c r="E8" s="180"/>
      <c r="F8" s="182"/>
      <c r="G8" s="183">
        <f>SUM(G6:G7)</f>
        <v>5146544</v>
      </c>
      <c r="H8" s="169"/>
      <c r="I8" s="167"/>
      <c r="J8" s="167"/>
    </row>
    <row r="9" spans="2:12" x14ac:dyDescent="0.2">
      <c r="C9" s="184"/>
      <c r="D9" s="184"/>
      <c r="E9" s="184"/>
      <c r="F9" s="169"/>
      <c r="G9" s="184"/>
      <c r="H9" s="169"/>
      <c r="I9" s="167"/>
      <c r="J9" s="167"/>
    </row>
    <row r="10" spans="2:12" x14ac:dyDescent="0.2">
      <c r="B10" s="185" t="s">
        <v>102</v>
      </c>
      <c r="C10" s="410"/>
      <c r="D10" s="411"/>
      <c r="E10" s="411"/>
      <c r="F10" s="411"/>
      <c r="G10" s="412"/>
      <c r="H10" s="169"/>
      <c r="I10" s="167"/>
      <c r="J10" s="167"/>
    </row>
    <row r="11" spans="2:12" x14ac:dyDescent="0.2">
      <c r="B11" s="327" t="s">
        <v>103</v>
      </c>
      <c r="C11" s="410"/>
      <c r="D11" s="411"/>
      <c r="E11" s="411"/>
      <c r="F11" s="412"/>
      <c r="G11" s="322">
        <f>'E.S.F (inicial)'!F26</f>
        <v>211000</v>
      </c>
      <c r="H11" s="169"/>
      <c r="I11" s="167"/>
      <c r="J11" s="173" t="s">
        <v>104</v>
      </c>
    </row>
    <row r="12" spans="2:12" x14ac:dyDescent="0.2">
      <c r="B12" s="327" t="s">
        <v>105</v>
      </c>
      <c r="C12" s="410"/>
      <c r="D12" s="411"/>
      <c r="E12" s="411"/>
      <c r="F12" s="412"/>
      <c r="G12" s="186">
        <f>'E.S.F (inicial)'!F27</f>
        <v>465000</v>
      </c>
      <c r="H12" s="169"/>
      <c r="I12" s="304"/>
      <c r="J12" s="173"/>
    </row>
    <row r="13" spans="2:12" x14ac:dyDescent="0.2">
      <c r="B13" s="328" t="s">
        <v>106</v>
      </c>
      <c r="C13" s="410"/>
      <c r="D13" s="411"/>
      <c r="E13" s="411"/>
      <c r="F13" s="412"/>
      <c r="G13" s="186">
        <f>Otros!G8</f>
        <v>42300</v>
      </c>
      <c r="H13" s="169"/>
      <c r="I13" s="167"/>
      <c r="J13" s="173"/>
    </row>
    <row r="14" spans="2:12" x14ac:dyDescent="0.2">
      <c r="B14" s="328" t="s">
        <v>107</v>
      </c>
      <c r="C14" s="410"/>
      <c r="D14" s="411"/>
      <c r="E14" s="411"/>
      <c r="F14" s="412"/>
      <c r="G14" s="186">
        <f>Otros!G21</f>
        <v>30600</v>
      </c>
      <c r="H14" s="169"/>
      <c r="I14" s="167"/>
      <c r="J14" s="173"/>
    </row>
    <row r="15" spans="2:12" x14ac:dyDescent="0.2">
      <c r="B15" s="320" t="s">
        <v>108</v>
      </c>
      <c r="C15" s="410"/>
      <c r="D15" s="411"/>
      <c r="E15" s="411"/>
      <c r="F15" s="412"/>
      <c r="G15" s="319">
        <f>Otros!G13</f>
        <v>178813.32399999999</v>
      </c>
      <c r="H15" s="169"/>
      <c r="I15" s="167"/>
      <c r="J15" s="173"/>
    </row>
    <row r="16" spans="2:12" outlineLevel="1" x14ac:dyDescent="0.2">
      <c r="B16" s="321" t="s">
        <v>22</v>
      </c>
      <c r="C16" s="410"/>
      <c r="D16" s="411"/>
      <c r="E16" s="411"/>
      <c r="F16" s="412"/>
      <c r="G16" s="186"/>
      <c r="H16" s="169"/>
      <c r="I16" s="167"/>
      <c r="J16" s="173"/>
    </row>
    <row r="17" spans="2:10" outlineLevel="1" x14ac:dyDescent="0.2">
      <c r="B17" s="321" t="s">
        <v>168</v>
      </c>
      <c r="C17" s="410"/>
      <c r="D17" s="411"/>
      <c r="E17" s="411"/>
      <c r="F17" s="412"/>
      <c r="G17" s="186"/>
      <c r="H17" s="169"/>
      <c r="I17" s="167"/>
      <c r="J17" s="173"/>
    </row>
    <row r="18" spans="2:10" outlineLevel="1" x14ac:dyDescent="0.2">
      <c r="B18" s="321" t="s">
        <v>23</v>
      </c>
      <c r="C18" s="410"/>
      <c r="D18" s="411"/>
      <c r="E18" s="411"/>
      <c r="F18" s="412"/>
      <c r="G18" s="186"/>
      <c r="H18" s="169"/>
      <c r="I18" s="167"/>
      <c r="J18" s="173"/>
    </row>
    <row r="19" spans="2:10" x14ac:dyDescent="0.2">
      <c r="B19" s="328" t="s">
        <v>109</v>
      </c>
      <c r="C19" s="410"/>
      <c r="D19" s="411"/>
      <c r="E19" s="411"/>
      <c r="F19" s="412"/>
      <c r="G19" s="187">
        <f>Otros!E22</f>
        <v>196376.4</v>
      </c>
      <c r="H19" s="169"/>
      <c r="I19" s="167"/>
      <c r="J19" s="177"/>
    </row>
    <row r="20" spans="2:10" s="318" customFormat="1" ht="13.5" thickBot="1" x14ac:dyDescent="0.25">
      <c r="B20" s="329" t="s">
        <v>213</v>
      </c>
      <c r="C20" s="410"/>
      <c r="D20" s="411"/>
      <c r="E20" s="411"/>
      <c r="F20" s="412"/>
      <c r="G20" s="314">
        <f>'E.S.F (inicial)'!F8</f>
        <v>764000</v>
      </c>
      <c r="H20" s="315"/>
      <c r="I20" s="316"/>
      <c r="J20" s="317"/>
    </row>
    <row r="21" spans="2:10" x14ac:dyDescent="0.2">
      <c r="B21" s="330" t="s">
        <v>110</v>
      </c>
      <c r="C21" s="310">
        <f>ER!H49</f>
        <v>740541.9</v>
      </c>
      <c r="D21" s="311">
        <f>0.18*C21</f>
        <v>133297.54199999999</v>
      </c>
      <c r="E21" s="311">
        <f>C21+D21</f>
        <v>873839.44200000004</v>
      </c>
      <c r="F21" s="312">
        <v>0.6</v>
      </c>
      <c r="G21" s="311">
        <f>E21*F21</f>
        <v>524303.66520000005</v>
      </c>
      <c r="H21" s="169"/>
      <c r="I21" s="313">
        <f>E21-G21</f>
        <v>349535.77679999999</v>
      </c>
      <c r="J21" s="177" t="s">
        <v>111</v>
      </c>
    </row>
    <row r="22" spans="2:10" hidden="1" x14ac:dyDescent="0.2">
      <c r="B22" s="331" t="s">
        <v>107</v>
      </c>
      <c r="C22" s="171"/>
      <c r="D22" s="311">
        <f t="shared" ref="D22:D26" si="0">0.18*C22</f>
        <v>0</v>
      </c>
      <c r="E22" s="311">
        <f t="shared" ref="E22:E26" si="1">C22+D22</f>
        <v>0</v>
      </c>
      <c r="F22" s="171"/>
      <c r="G22" s="311">
        <f t="shared" ref="G22:G26" si="2">E22*F22</f>
        <v>0</v>
      </c>
      <c r="H22" s="169"/>
      <c r="I22" s="188"/>
      <c r="J22" s="189"/>
    </row>
    <row r="23" spans="2:10" x14ac:dyDescent="0.2">
      <c r="B23" s="331" t="s">
        <v>112</v>
      </c>
      <c r="C23" s="187">
        <f>ER!H38</f>
        <v>200640</v>
      </c>
      <c r="D23" s="311">
        <f t="shared" si="0"/>
        <v>36115.199999999997</v>
      </c>
      <c r="E23" s="311">
        <f t="shared" si="1"/>
        <v>236755.20000000001</v>
      </c>
      <c r="F23" s="175">
        <v>1</v>
      </c>
      <c r="G23" s="311">
        <f t="shared" si="2"/>
        <v>236755.20000000001</v>
      </c>
      <c r="H23" s="169"/>
      <c r="I23" s="167"/>
      <c r="J23" s="189"/>
    </row>
    <row r="24" spans="2:10" x14ac:dyDescent="0.2">
      <c r="B24" s="190" t="s">
        <v>113</v>
      </c>
      <c r="C24" s="339">
        <f>ER!H39-4000</f>
        <v>127000</v>
      </c>
      <c r="D24" s="311">
        <f t="shared" si="0"/>
        <v>22860</v>
      </c>
      <c r="E24" s="311">
        <f t="shared" si="1"/>
        <v>149860</v>
      </c>
      <c r="F24" s="175">
        <v>1</v>
      </c>
      <c r="G24" s="311">
        <f t="shared" si="2"/>
        <v>149860</v>
      </c>
      <c r="H24" s="169"/>
      <c r="I24" s="167"/>
      <c r="J24" s="191" t="s">
        <v>114</v>
      </c>
    </row>
    <row r="25" spans="2:10" x14ac:dyDescent="0.2">
      <c r="B25" s="331" t="s">
        <v>115</v>
      </c>
      <c r="C25" s="186">
        <f>ER!H9</f>
        <v>524400.00000000012</v>
      </c>
      <c r="D25" s="311">
        <f t="shared" si="0"/>
        <v>94392.000000000015</v>
      </c>
      <c r="E25" s="311">
        <f t="shared" si="1"/>
        <v>618792.00000000012</v>
      </c>
      <c r="F25" s="175">
        <v>1</v>
      </c>
      <c r="G25" s="311">
        <f t="shared" si="2"/>
        <v>618792.00000000012</v>
      </c>
      <c r="H25" s="169"/>
      <c r="I25" s="167"/>
      <c r="J25" s="189"/>
    </row>
    <row r="26" spans="2:10" x14ac:dyDescent="0.2">
      <c r="B26" s="190" t="s">
        <v>116</v>
      </c>
      <c r="C26" s="339">
        <f>ER!H8-1200</f>
        <v>408800</v>
      </c>
      <c r="D26" s="311">
        <f>0.18*C26</f>
        <v>73584</v>
      </c>
      <c r="E26" s="311">
        <f>C26+D26</f>
        <v>482384</v>
      </c>
      <c r="F26" s="175">
        <v>1</v>
      </c>
      <c r="G26" s="311">
        <f>E26*F26</f>
        <v>482384</v>
      </c>
      <c r="H26" s="169"/>
      <c r="I26" s="167"/>
      <c r="J26" s="189"/>
    </row>
    <row r="27" spans="2:10" x14ac:dyDescent="0.2">
      <c r="B27" s="331" t="s">
        <v>117</v>
      </c>
      <c r="C27" s="410"/>
      <c r="D27" s="411"/>
      <c r="E27" s="411"/>
      <c r="F27" s="412"/>
      <c r="G27" s="186">
        <v>2000</v>
      </c>
      <c r="H27" s="169"/>
      <c r="I27" s="167"/>
      <c r="J27" s="189"/>
    </row>
    <row r="28" spans="2:10" ht="15" customHeight="1" x14ac:dyDescent="0.2">
      <c r="B28" s="192" t="s">
        <v>95</v>
      </c>
      <c r="C28" s="193"/>
      <c r="D28" s="194">
        <f>SUM(D21:D26)</f>
        <v>360248.74199999997</v>
      </c>
      <c r="E28" s="193"/>
      <c r="F28" s="195"/>
      <c r="G28" s="196">
        <f>SUM(G11:G27)</f>
        <v>3902184.5892000003</v>
      </c>
      <c r="H28" s="169"/>
      <c r="I28" s="189"/>
      <c r="J28" s="189"/>
    </row>
    <row r="29" spans="2:10" x14ac:dyDescent="0.2">
      <c r="B29" s="413" t="s">
        <v>118</v>
      </c>
      <c r="C29" s="414"/>
      <c r="D29" s="414"/>
      <c r="E29" s="414"/>
      <c r="F29" s="415"/>
      <c r="G29" s="197">
        <f>G8-G28</f>
        <v>1244359.4107999997</v>
      </c>
      <c r="H29" s="169"/>
      <c r="I29" s="198" t="s">
        <v>119</v>
      </c>
      <c r="J29" s="189"/>
    </row>
    <row r="30" spans="2:10" x14ac:dyDescent="0.2">
      <c r="C30" s="184"/>
      <c r="D30" s="184"/>
      <c r="E30" s="184"/>
      <c r="F30" s="169"/>
      <c r="G30" s="184"/>
      <c r="H30" s="169"/>
      <c r="I30" s="184"/>
      <c r="J30" s="169"/>
    </row>
    <row r="31" spans="2:10" x14ac:dyDescent="0.2">
      <c r="B31" s="199" t="s">
        <v>120</v>
      </c>
      <c r="C31" s="410"/>
      <c r="D31" s="411"/>
      <c r="E31" s="411"/>
      <c r="F31" s="411"/>
      <c r="G31" s="412"/>
      <c r="H31" s="169"/>
      <c r="I31" s="189"/>
      <c r="J31" s="189"/>
    </row>
    <row r="32" spans="2:10" x14ac:dyDescent="0.2">
      <c r="B32" s="199" t="s">
        <v>121</v>
      </c>
      <c r="C32" s="410"/>
      <c r="D32" s="411"/>
      <c r="E32" s="411"/>
      <c r="F32" s="411"/>
      <c r="G32" s="412"/>
      <c r="H32" s="169"/>
      <c r="I32" s="189"/>
      <c r="J32" s="189"/>
    </row>
    <row r="33" spans="2:11" x14ac:dyDescent="0.2">
      <c r="B33" s="200" t="s">
        <v>122</v>
      </c>
      <c r="C33" s="187">
        <v>5000</v>
      </c>
      <c r="D33" s="201">
        <f>0.18*C33</f>
        <v>900</v>
      </c>
      <c r="E33" s="187">
        <f>C33+D33</f>
        <v>5900</v>
      </c>
      <c r="F33" s="175">
        <f>100%</f>
        <v>1</v>
      </c>
      <c r="G33" s="186">
        <f>E33*F33</f>
        <v>5900</v>
      </c>
      <c r="H33" s="169"/>
      <c r="I33" s="202"/>
      <c r="J33" s="173"/>
    </row>
    <row r="34" spans="2:11" x14ac:dyDescent="0.2">
      <c r="B34" s="199" t="s">
        <v>123</v>
      </c>
      <c r="C34" s="410"/>
      <c r="D34" s="411"/>
      <c r="E34" s="411"/>
      <c r="F34" s="411"/>
      <c r="G34" s="412"/>
      <c r="H34" s="169"/>
      <c r="I34" s="189"/>
      <c r="J34" s="189"/>
    </row>
    <row r="35" spans="2:11" x14ac:dyDescent="0.2">
      <c r="B35" s="200" t="s">
        <v>124</v>
      </c>
      <c r="C35" s="186">
        <v>90000</v>
      </c>
      <c r="D35" s="194">
        <f>0.18*C35</f>
        <v>16200</v>
      </c>
      <c r="E35" s="186">
        <f>C35+D35</f>
        <v>106200</v>
      </c>
      <c r="F35" s="175">
        <v>1</v>
      </c>
      <c r="G35" s="186">
        <f>E35*F35</f>
        <v>106200</v>
      </c>
      <c r="H35" s="169"/>
      <c r="I35" s="202"/>
      <c r="J35" s="173"/>
    </row>
    <row r="36" spans="2:11" x14ac:dyDescent="0.2">
      <c r="B36" s="200" t="s">
        <v>125</v>
      </c>
      <c r="C36" s="186"/>
      <c r="D36" s="311"/>
      <c r="E36" s="311"/>
      <c r="F36" s="175"/>
      <c r="G36" s="187"/>
      <c r="I36" s="203"/>
      <c r="J36" s="173"/>
    </row>
    <row r="37" spans="2:11" x14ac:dyDescent="0.2">
      <c r="B37" s="413" t="s">
        <v>126</v>
      </c>
      <c r="C37" s="414"/>
      <c r="D37" s="414"/>
      <c r="E37" s="414"/>
      <c r="F37" s="415"/>
      <c r="G37" s="197">
        <f>G33-G35</f>
        <v>-100300</v>
      </c>
      <c r="H37" s="169"/>
      <c r="I37" s="204" t="s">
        <v>127</v>
      </c>
      <c r="J37" s="189"/>
    </row>
    <row r="38" spans="2:11" x14ac:dyDescent="0.2">
      <c r="C38" s="184"/>
      <c r="D38" s="184"/>
      <c r="E38" s="184"/>
      <c r="F38" s="169"/>
      <c r="G38" s="184"/>
      <c r="H38" s="169"/>
      <c r="I38" s="184"/>
      <c r="J38" s="169"/>
      <c r="K38" s="169"/>
    </row>
    <row r="39" spans="2:11" x14ac:dyDescent="0.2">
      <c r="B39" s="199" t="s">
        <v>128</v>
      </c>
      <c r="C39" s="410"/>
      <c r="D39" s="411"/>
      <c r="E39" s="411"/>
      <c r="F39" s="411"/>
      <c r="G39" s="412"/>
      <c r="H39" s="169"/>
      <c r="I39" s="189"/>
      <c r="J39" s="189"/>
    </row>
    <row r="40" spans="2:11" x14ac:dyDescent="0.2">
      <c r="B40" s="199" t="s">
        <v>121</v>
      </c>
      <c r="C40" s="410"/>
      <c r="D40" s="411"/>
      <c r="E40" s="411"/>
      <c r="F40" s="411"/>
      <c r="G40" s="412"/>
      <c r="H40" s="169"/>
      <c r="I40" s="189"/>
      <c r="J40" s="189"/>
    </row>
    <row r="41" spans="2:11" x14ac:dyDescent="0.2">
      <c r="B41" s="200" t="s">
        <v>129</v>
      </c>
      <c r="C41" s="410"/>
      <c r="D41" s="411"/>
      <c r="E41" s="411"/>
      <c r="F41" s="412"/>
      <c r="G41" s="341">
        <v>95000</v>
      </c>
      <c r="H41" s="169"/>
      <c r="I41" s="176">
        <f>G41+'E.S.F (inicial)'!F18</f>
        <v>1110500</v>
      </c>
      <c r="J41" s="177" t="s">
        <v>130</v>
      </c>
    </row>
    <row r="42" spans="2:11" x14ac:dyDescent="0.2">
      <c r="B42" s="199" t="s">
        <v>123</v>
      </c>
      <c r="C42" s="410"/>
      <c r="D42" s="411"/>
      <c r="E42" s="411"/>
      <c r="F42" s="411"/>
      <c r="G42" s="412"/>
      <c r="H42" s="169"/>
      <c r="I42" s="189"/>
      <c r="J42" s="189"/>
    </row>
    <row r="43" spans="2:11" x14ac:dyDescent="0.2">
      <c r="B43" s="200" t="s">
        <v>131</v>
      </c>
      <c r="C43" s="410"/>
      <c r="D43" s="411"/>
      <c r="E43" s="411"/>
      <c r="F43" s="412"/>
      <c r="G43" s="341">
        <v>13708</v>
      </c>
      <c r="H43" s="169"/>
      <c r="I43" s="176">
        <f>'E.S.F (inicial)'!F13-'EFE '!G43</f>
        <v>479792</v>
      </c>
      <c r="J43" s="177" t="s">
        <v>132</v>
      </c>
    </row>
    <row r="44" spans="2:11" x14ac:dyDescent="0.2">
      <c r="B44" s="200" t="s">
        <v>133</v>
      </c>
      <c r="C44" s="410"/>
      <c r="D44" s="411"/>
      <c r="E44" s="411"/>
      <c r="F44" s="412"/>
      <c r="G44" s="187">
        <v>5000</v>
      </c>
      <c r="I44" s="203"/>
      <c r="J44" s="173"/>
    </row>
    <row r="45" spans="2:11" x14ac:dyDescent="0.2">
      <c r="B45" s="413" t="s">
        <v>134</v>
      </c>
      <c r="C45" s="414"/>
      <c r="D45" s="414"/>
      <c r="E45" s="414"/>
      <c r="F45" s="415"/>
      <c r="G45" s="197">
        <f>G41-G43-G44</f>
        <v>76292</v>
      </c>
      <c r="H45" s="169"/>
      <c r="I45" s="204" t="s">
        <v>135</v>
      </c>
      <c r="J45" s="189"/>
    </row>
    <row r="46" spans="2:11" x14ac:dyDescent="0.2">
      <c r="C46" s="205"/>
      <c r="D46" s="205"/>
      <c r="E46" s="205"/>
      <c r="G46" s="205"/>
      <c r="I46" s="162"/>
    </row>
    <row r="47" spans="2:11" x14ac:dyDescent="0.2">
      <c r="B47" s="416" t="s">
        <v>136</v>
      </c>
      <c r="C47" s="417"/>
      <c r="D47" s="417"/>
      <c r="E47" s="417"/>
      <c r="F47" s="418"/>
      <c r="G47" s="197">
        <f>G29+G37+G45</f>
        <v>1220351.4107999997</v>
      </c>
      <c r="I47" s="206" t="s">
        <v>137</v>
      </c>
      <c r="J47" s="189"/>
    </row>
    <row r="48" spans="2:11" x14ac:dyDescent="0.2">
      <c r="B48" s="416" t="s">
        <v>138</v>
      </c>
      <c r="C48" s="417"/>
      <c r="D48" s="417"/>
      <c r="E48" s="417"/>
      <c r="F48" s="418"/>
      <c r="G48" s="207">
        <f>'E.S.F (inicial)'!C6</f>
        <v>708300</v>
      </c>
      <c r="I48" s="189"/>
      <c r="J48" s="189"/>
    </row>
    <row r="49" spans="2:10" x14ac:dyDescent="0.2">
      <c r="B49" s="416" t="s">
        <v>139</v>
      </c>
      <c r="C49" s="417"/>
      <c r="D49" s="417"/>
      <c r="E49" s="417"/>
      <c r="F49" s="418"/>
      <c r="G49" s="208">
        <f>SUM(G47:G48)</f>
        <v>1928651.4107999997</v>
      </c>
      <c r="I49" s="189"/>
      <c r="J49" s="189"/>
    </row>
    <row r="50" spans="2:10" x14ac:dyDescent="0.2">
      <c r="C50" s="205"/>
      <c r="D50" s="205"/>
      <c r="E50" s="205"/>
      <c r="G50" s="205"/>
      <c r="I50" s="205"/>
      <c r="J50" s="209"/>
    </row>
    <row r="51" spans="2:10" x14ac:dyDescent="0.2">
      <c r="J51" s="209"/>
    </row>
    <row r="52" spans="2:10" x14ac:dyDescent="0.2">
      <c r="J52" s="209"/>
    </row>
    <row r="53" spans="2:10" x14ac:dyDescent="0.2">
      <c r="J53" s="209"/>
    </row>
    <row r="54" spans="2:10" x14ac:dyDescent="0.2">
      <c r="J54" s="209"/>
    </row>
    <row r="55" spans="2:10" x14ac:dyDescent="0.2">
      <c r="J55" s="209"/>
    </row>
    <row r="56" spans="2:10" x14ac:dyDescent="0.2">
      <c r="J56" s="209"/>
    </row>
    <row r="57" spans="2:10" x14ac:dyDescent="0.2">
      <c r="J57" s="209"/>
    </row>
  </sheetData>
  <mergeCells count="30">
    <mergeCell ref="C20:F20"/>
    <mergeCell ref="C14:F14"/>
    <mergeCell ref="C15:F15"/>
    <mergeCell ref="C16:F16"/>
    <mergeCell ref="C17:F17"/>
    <mergeCell ref="C18:F18"/>
    <mergeCell ref="B48:F48"/>
    <mergeCell ref="B49:F49"/>
    <mergeCell ref="C41:F41"/>
    <mergeCell ref="C42:G42"/>
    <mergeCell ref="C43:F43"/>
    <mergeCell ref="C44:F44"/>
    <mergeCell ref="B45:F45"/>
    <mergeCell ref="B47:F47"/>
    <mergeCell ref="C40:G40"/>
    <mergeCell ref="C4:G4"/>
    <mergeCell ref="C5:G5"/>
    <mergeCell ref="C10:G10"/>
    <mergeCell ref="C27:F27"/>
    <mergeCell ref="B29:F29"/>
    <mergeCell ref="C31:G31"/>
    <mergeCell ref="C32:G32"/>
    <mergeCell ref="C34:G34"/>
    <mergeCell ref="B37:F37"/>
    <mergeCell ref="C39:G39"/>
    <mergeCell ref="C6:F6"/>
    <mergeCell ref="C11:F11"/>
    <mergeCell ref="C12:F12"/>
    <mergeCell ref="C13:F13"/>
    <mergeCell ref="C19:F19"/>
  </mergeCells>
  <printOptions horizontalCentered="1" verticalCentered="1"/>
  <pageMargins left="0" right="0" top="0" bottom="0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4419-AEFD-459C-BEA5-3DE3A86CC690}">
  <sheetPr>
    <pageSetUpPr fitToPage="1"/>
  </sheetPr>
  <dimension ref="A1:AE47"/>
  <sheetViews>
    <sheetView showGridLines="0" zoomScaleNormal="100" workbookViewId="0">
      <selection activeCell="G15" sqref="G15"/>
    </sheetView>
  </sheetViews>
  <sheetFormatPr baseColWidth="10" defaultRowHeight="15" outlineLevelRow="1" x14ac:dyDescent="0.25"/>
  <cols>
    <col min="1" max="1" width="7.85546875" customWidth="1"/>
    <col min="2" max="2" width="22.7109375" style="216" customWidth="1"/>
    <col min="3" max="3" width="9" customWidth="1"/>
    <col min="4" max="4" width="10" customWidth="1"/>
    <col min="5" max="5" width="11.42578125" customWidth="1"/>
    <col min="6" max="6" width="10.42578125" customWidth="1"/>
    <col min="9" max="9" width="3.85546875" customWidth="1"/>
    <col min="10" max="10" width="12.28515625" customWidth="1"/>
    <col min="14" max="14" width="21" customWidth="1"/>
    <col min="15" max="15" width="18" customWidth="1"/>
    <col min="16" max="28" width="6.42578125" customWidth="1"/>
    <col min="29" max="29" width="7.85546875" customWidth="1"/>
    <col min="30" max="30" width="6.42578125" customWidth="1"/>
  </cols>
  <sheetData>
    <row r="1" spans="1:31" ht="18.75" x14ac:dyDescent="0.3">
      <c r="A1" s="210" t="s">
        <v>140</v>
      </c>
      <c r="B1" s="210"/>
      <c r="C1" s="210"/>
      <c r="D1" s="441">
        <v>44166</v>
      </c>
      <c r="E1" s="211"/>
      <c r="H1" s="212"/>
      <c r="I1" s="212"/>
    </row>
    <row r="2" spans="1:31" outlineLevel="1" x14ac:dyDescent="0.25">
      <c r="B2" s="213"/>
      <c r="C2" s="214"/>
      <c r="D2" s="214"/>
      <c r="E2" s="215" t="s">
        <v>141</v>
      </c>
      <c r="F2" s="215" t="s">
        <v>142</v>
      </c>
      <c r="G2" s="215" t="s">
        <v>143</v>
      </c>
      <c r="H2" s="215" t="s">
        <v>144</v>
      </c>
      <c r="I2" s="215"/>
    </row>
    <row r="3" spans="1:31" outlineLevel="1" x14ac:dyDescent="0.25">
      <c r="D3" s="217" t="s">
        <v>145</v>
      </c>
      <c r="E3" s="218" t="s">
        <v>146</v>
      </c>
      <c r="F3" s="219" t="s">
        <v>147</v>
      </c>
      <c r="G3" s="218" t="s">
        <v>148</v>
      </c>
      <c r="H3" s="218" t="s">
        <v>149</v>
      </c>
      <c r="I3" s="219"/>
    </row>
    <row r="4" spans="1:31" ht="45" outlineLevel="1" x14ac:dyDescent="0.25">
      <c r="D4" s="220" t="s">
        <v>150</v>
      </c>
      <c r="E4" s="221" t="s">
        <v>151</v>
      </c>
      <c r="F4" s="222" t="s">
        <v>152</v>
      </c>
      <c r="G4" s="340" t="s">
        <v>153</v>
      </c>
      <c r="H4" s="222" t="s">
        <v>154</v>
      </c>
      <c r="I4" s="223"/>
    </row>
    <row r="5" spans="1:31" ht="15.75" outlineLevel="1" x14ac:dyDescent="0.25">
      <c r="B5" s="224" t="s">
        <v>155</v>
      </c>
      <c r="C5" s="225"/>
      <c r="D5" s="226"/>
      <c r="E5" s="227">
        <f>ER!H31</f>
        <v>150480</v>
      </c>
      <c r="F5" s="223"/>
      <c r="G5" s="223"/>
      <c r="H5" s="223"/>
      <c r="I5" s="223"/>
    </row>
    <row r="6" spans="1:31" outlineLevel="1" x14ac:dyDescent="0.25">
      <c r="A6" s="228" t="s">
        <v>119</v>
      </c>
      <c r="B6" s="421" t="s">
        <v>156</v>
      </c>
      <c r="C6" s="422"/>
      <c r="D6" s="229">
        <f>ER!L37</f>
        <v>1.5</v>
      </c>
      <c r="E6" s="230">
        <f>D6*E5</f>
        <v>225720</v>
      </c>
    </row>
    <row r="7" spans="1:31" outlineLevel="1" x14ac:dyDescent="0.25">
      <c r="A7" s="228"/>
    </row>
    <row r="8" spans="1:31" outlineLevel="1" x14ac:dyDescent="0.25">
      <c r="A8" s="228" t="s">
        <v>127</v>
      </c>
      <c r="B8" s="419" t="s">
        <v>157</v>
      </c>
      <c r="C8" s="420"/>
      <c r="D8" s="231">
        <f>SUM(D9:D11)</f>
        <v>0.1028</v>
      </c>
      <c r="E8" s="232">
        <f>SUM(E9:E11)</f>
        <v>23204.016</v>
      </c>
      <c r="F8" s="233">
        <f>'E.S.F (inicial)'!F28</f>
        <v>42300</v>
      </c>
      <c r="G8" s="232">
        <f>F8</f>
        <v>42300</v>
      </c>
      <c r="H8" s="234">
        <f>E8</f>
        <v>23204.016</v>
      </c>
      <c r="I8" s="235"/>
      <c r="J8" t="s">
        <v>234</v>
      </c>
      <c r="O8" s="349"/>
      <c r="P8" s="350"/>
      <c r="Q8" s="350"/>
      <c r="R8" s="350"/>
      <c r="S8" s="350"/>
      <c r="T8" s="350"/>
      <c r="U8" s="350"/>
      <c r="V8" s="350"/>
      <c r="W8" s="350"/>
      <c r="X8" s="350"/>
      <c r="Y8" s="350"/>
      <c r="Z8" s="350"/>
      <c r="AA8" s="350"/>
      <c r="AB8" s="350"/>
      <c r="AC8" s="350"/>
      <c r="AD8" s="351"/>
    </row>
    <row r="9" spans="1:31" outlineLevel="1" x14ac:dyDescent="0.25">
      <c r="A9" s="228"/>
      <c r="B9" s="423" t="s">
        <v>158</v>
      </c>
      <c r="C9" s="424"/>
      <c r="D9" s="236">
        <v>0.09</v>
      </c>
      <c r="E9" s="242">
        <f>D9*E6</f>
        <v>20314.8</v>
      </c>
      <c r="O9" s="352"/>
      <c r="Q9" t="s">
        <v>238</v>
      </c>
      <c r="AD9" s="353"/>
    </row>
    <row r="10" spans="1:31" outlineLevel="1" x14ac:dyDescent="0.25">
      <c r="A10" s="228"/>
      <c r="B10" s="423" t="s">
        <v>159</v>
      </c>
      <c r="C10" s="424"/>
      <c r="D10" s="237">
        <v>7.4999999999999997E-3</v>
      </c>
      <c r="E10" s="242">
        <f>D10*E6</f>
        <v>1692.8999999999999</v>
      </c>
      <c r="J10" s="219" t="s">
        <v>160</v>
      </c>
      <c r="O10" s="352"/>
      <c r="W10">
        <f>SUM(R11:W11)</f>
        <v>1200</v>
      </c>
      <c r="AC10">
        <f>SUM(X11:AC11)</f>
        <v>1200</v>
      </c>
      <c r="AD10" s="353"/>
    </row>
    <row r="11" spans="1:31" ht="15.75" outlineLevel="1" x14ac:dyDescent="0.25">
      <c r="A11" s="228"/>
      <c r="B11" s="423" t="s">
        <v>161</v>
      </c>
      <c r="C11" s="424"/>
      <c r="D11" s="237">
        <v>5.3E-3</v>
      </c>
      <c r="E11" s="242">
        <f>D11*E6</f>
        <v>1196.316</v>
      </c>
      <c r="J11" s="219" t="s">
        <v>235</v>
      </c>
      <c r="N11" s="142"/>
      <c r="O11" s="352"/>
      <c r="Q11" t="s">
        <v>162</v>
      </c>
      <c r="R11" s="354">
        <v>200</v>
      </c>
      <c r="S11" s="354">
        <f>+R11</f>
        <v>200</v>
      </c>
      <c r="T11" s="354">
        <f t="shared" ref="T11:W11" si="0">+S11</f>
        <v>200</v>
      </c>
      <c r="U11" s="354">
        <f t="shared" si="0"/>
        <v>200</v>
      </c>
      <c r="V11" s="354">
        <f t="shared" si="0"/>
        <v>200</v>
      </c>
      <c r="W11" s="354">
        <f t="shared" si="0"/>
        <v>200</v>
      </c>
      <c r="X11" s="355">
        <v>200</v>
      </c>
      <c r="Y11" s="356">
        <f>+X11</f>
        <v>200</v>
      </c>
      <c r="Z11" s="356">
        <f t="shared" ref="Z11:AC11" si="1">+Y11</f>
        <v>200</v>
      </c>
      <c r="AA11" s="356">
        <f t="shared" si="1"/>
        <v>200</v>
      </c>
      <c r="AB11" s="356">
        <f t="shared" si="1"/>
        <v>200</v>
      </c>
      <c r="AC11" s="356">
        <f t="shared" si="1"/>
        <v>200</v>
      </c>
      <c r="AD11" s="353"/>
    </row>
    <row r="12" spans="1:31" ht="15.75" outlineLevel="1" x14ac:dyDescent="0.25">
      <c r="A12" s="228"/>
      <c r="N12" s="142"/>
      <c r="O12" s="357" t="s">
        <v>164</v>
      </c>
      <c r="Q12" t="s">
        <v>165</v>
      </c>
      <c r="R12" s="358">
        <v>1</v>
      </c>
      <c r="S12" s="358">
        <v>2</v>
      </c>
      <c r="T12" s="358">
        <v>3</v>
      </c>
      <c r="U12" s="358">
        <v>4</v>
      </c>
      <c r="V12" s="358">
        <v>5</v>
      </c>
      <c r="W12" s="359">
        <v>6</v>
      </c>
      <c r="X12" s="358">
        <v>7</v>
      </c>
      <c r="Y12" s="360">
        <v>8</v>
      </c>
      <c r="Z12" s="358">
        <v>9</v>
      </c>
      <c r="AA12" s="358">
        <v>10</v>
      </c>
      <c r="AB12" s="358">
        <v>11</v>
      </c>
      <c r="AC12" s="358">
        <v>12</v>
      </c>
      <c r="AD12" s="353"/>
      <c r="AE12" s="142"/>
    </row>
    <row r="13" spans="1:31" ht="15.75" outlineLevel="1" x14ac:dyDescent="0.25">
      <c r="A13" s="228" t="s">
        <v>135</v>
      </c>
      <c r="B13" s="419" t="s">
        <v>163</v>
      </c>
      <c r="C13" s="420"/>
      <c r="D13" s="231">
        <f>SUM(D14:D16)</f>
        <v>0.36219999999999997</v>
      </c>
      <c r="E13" s="232">
        <f>SUM(E14:E16)</f>
        <v>81755.784</v>
      </c>
      <c r="F13" s="232">
        <f>SUM(F14:F16)</f>
        <v>247000</v>
      </c>
      <c r="G13" s="232">
        <f>SUM(G14:G16)</f>
        <v>178813.32399999999</v>
      </c>
      <c r="H13" s="234">
        <f>SUM(H14:H16)</f>
        <v>149942.46</v>
      </c>
      <c r="I13" s="239"/>
      <c r="N13" s="142"/>
      <c r="O13" s="352"/>
      <c r="Q13" t="s">
        <v>167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361">
        <f>+W10</f>
        <v>1200</v>
      </c>
      <c r="Y13" s="362"/>
      <c r="AC13" s="363">
        <f>+AC10</f>
        <v>1200</v>
      </c>
      <c r="AD13" s="364" t="s">
        <v>239</v>
      </c>
      <c r="AE13" s="142"/>
    </row>
    <row r="14" spans="1:31" ht="15.75" outlineLevel="1" x14ac:dyDescent="0.25">
      <c r="A14" s="228"/>
      <c r="B14" s="423" t="s">
        <v>22</v>
      </c>
      <c r="C14" s="424"/>
      <c r="D14" s="345">
        <v>0.1817</v>
      </c>
      <c r="E14" s="305">
        <f>D14*E6</f>
        <v>41013.324000000001</v>
      </c>
      <c r="F14" s="305">
        <f>'E.S.F (inicial)'!F33</f>
        <v>122800</v>
      </c>
      <c r="G14" s="241">
        <f>E14+F14</f>
        <v>163813.32399999999</v>
      </c>
      <c r="H14" s="242">
        <f>E14+F14-G14</f>
        <v>0</v>
      </c>
      <c r="I14" s="243"/>
      <c r="J14" s="244" t="s">
        <v>166</v>
      </c>
      <c r="K14" s="245"/>
      <c r="N14" s="142"/>
      <c r="O14" s="365"/>
      <c r="P14" s="366"/>
      <c r="Q14" s="366" t="s">
        <v>240</v>
      </c>
      <c r="R14" s="366"/>
      <c r="S14" s="366"/>
      <c r="T14" s="366"/>
      <c r="U14" s="366"/>
      <c r="V14" s="366"/>
      <c r="W14" s="366">
        <f>+W10</f>
        <v>1200</v>
      </c>
      <c r="X14" s="367">
        <f>+X11</f>
        <v>200</v>
      </c>
      <c r="Y14" s="368">
        <v>600</v>
      </c>
      <c r="Z14" s="368">
        <v>900</v>
      </c>
      <c r="AA14" s="366" t="s">
        <v>236</v>
      </c>
      <c r="AB14" s="366"/>
      <c r="AC14" s="369">
        <v>0</v>
      </c>
      <c r="AD14" s="370"/>
      <c r="AE14" s="142"/>
    </row>
    <row r="15" spans="1:31" ht="15.75" outlineLevel="1" x14ac:dyDescent="0.25">
      <c r="A15" s="228"/>
      <c r="B15" s="423" t="s">
        <v>168</v>
      </c>
      <c r="C15" s="424"/>
      <c r="D15" s="246">
        <v>9.7199999999999995E-2</v>
      </c>
      <c r="E15" s="242">
        <f>D15*E6</f>
        <v>21939.984</v>
      </c>
      <c r="F15" s="247">
        <f>'E.S.F (inicial)'!F34</f>
        <v>61400</v>
      </c>
      <c r="G15" s="247">
        <v>0</v>
      </c>
      <c r="H15" s="242">
        <f t="shared" ref="H15:H16" si="2">E15+F15-G15</f>
        <v>83339.983999999997</v>
      </c>
      <c r="I15" s="243"/>
      <c r="J15" s="244" t="s">
        <v>169</v>
      </c>
      <c r="K15" s="245"/>
      <c r="N15" s="142"/>
      <c r="O15" s="349"/>
      <c r="P15" s="350"/>
      <c r="Q15" t="s">
        <v>238</v>
      </c>
      <c r="R15" s="350"/>
      <c r="S15" s="350"/>
      <c r="T15" s="350"/>
      <c r="U15" s="350"/>
      <c r="V15" s="350"/>
      <c r="W15" s="350"/>
      <c r="X15" s="350"/>
      <c r="Y15" s="350"/>
      <c r="Z15" s="350"/>
      <c r="AA15" s="350"/>
      <c r="AB15" s="350"/>
      <c r="AC15" s="350"/>
      <c r="AD15" s="351"/>
      <c r="AE15" s="142"/>
    </row>
    <row r="16" spans="1:31" ht="15.75" outlineLevel="1" x14ac:dyDescent="0.25">
      <c r="A16" s="228"/>
      <c r="B16" s="423" t="s">
        <v>23</v>
      </c>
      <c r="C16" s="424"/>
      <c r="D16" s="246">
        <v>8.3299999999999999E-2</v>
      </c>
      <c r="E16" s="242">
        <f>D16*E6</f>
        <v>18802.475999999999</v>
      </c>
      <c r="F16" s="242">
        <f>'E.S.F (inicial)'!F35</f>
        <v>62800</v>
      </c>
      <c r="G16" s="248">
        <v>15000</v>
      </c>
      <c r="H16" s="242">
        <f t="shared" si="2"/>
        <v>66602.475999999995</v>
      </c>
      <c r="I16" s="243"/>
      <c r="J16" t="s">
        <v>170</v>
      </c>
      <c r="K16" s="245"/>
      <c r="O16" s="357" t="s">
        <v>168</v>
      </c>
      <c r="U16">
        <f>SUM(P17:U17)</f>
        <v>600</v>
      </c>
      <c r="AA16">
        <f>SUM(V17:AA17)</f>
        <v>600</v>
      </c>
      <c r="AD16" s="371"/>
      <c r="AE16" s="142"/>
    </row>
    <row r="17" spans="1:31" ht="15.75" outlineLevel="1" x14ac:dyDescent="0.25">
      <c r="A17" s="228"/>
      <c r="N17" s="142"/>
      <c r="O17" s="372" t="s">
        <v>162</v>
      </c>
      <c r="P17" s="373">
        <v>100</v>
      </c>
      <c r="Q17" s="373">
        <v>100</v>
      </c>
      <c r="R17" s="373">
        <v>100</v>
      </c>
      <c r="S17" s="373">
        <v>100</v>
      </c>
      <c r="T17" s="373">
        <v>100</v>
      </c>
      <c r="U17" s="374">
        <v>100</v>
      </c>
      <c r="V17" s="375">
        <v>100</v>
      </c>
      <c r="W17" s="376">
        <v>100</v>
      </c>
      <c r="X17" s="376">
        <v>100</v>
      </c>
      <c r="Y17" s="376">
        <v>100</v>
      </c>
      <c r="Z17" s="376">
        <v>100</v>
      </c>
      <c r="AA17" s="377">
        <v>100</v>
      </c>
      <c r="AB17" s="378" t="s">
        <v>172</v>
      </c>
      <c r="AC17" s="373"/>
      <c r="AD17" s="353"/>
      <c r="AE17" s="142"/>
    </row>
    <row r="18" spans="1:31" ht="15.75" outlineLevel="1" x14ac:dyDescent="0.25">
      <c r="A18" s="228" t="s">
        <v>173</v>
      </c>
      <c r="B18" s="421" t="s">
        <v>174</v>
      </c>
      <c r="C18" s="427"/>
      <c r="D18" s="422"/>
      <c r="E18" s="249">
        <f>E6+E8+E13</f>
        <v>330679.8</v>
      </c>
      <c r="J18" s="250" t="s">
        <v>175</v>
      </c>
      <c r="N18" s="240"/>
      <c r="O18" s="372" t="s">
        <v>165</v>
      </c>
      <c r="P18" s="379">
        <v>11</v>
      </c>
      <c r="Q18" s="358">
        <v>12</v>
      </c>
      <c r="R18" s="358">
        <v>1</v>
      </c>
      <c r="S18" s="358">
        <v>2</v>
      </c>
      <c r="T18" s="358">
        <v>3</v>
      </c>
      <c r="U18" s="359">
        <v>4</v>
      </c>
      <c r="V18" s="380">
        <v>5</v>
      </c>
      <c r="W18" s="358">
        <v>6</v>
      </c>
      <c r="X18" s="358">
        <v>7</v>
      </c>
      <c r="Y18" s="358">
        <v>8</v>
      </c>
      <c r="Z18" s="358">
        <v>9</v>
      </c>
      <c r="AA18" s="359">
        <v>10</v>
      </c>
      <c r="AB18" s="379">
        <v>11</v>
      </c>
      <c r="AC18" s="358">
        <v>12</v>
      </c>
      <c r="AD18" s="353"/>
      <c r="AE18" s="142"/>
    </row>
    <row r="19" spans="1:31" ht="16.5" outlineLevel="1" thickBot="1" x14ac:dyDescent="0.3">
      <c r="A19" s="228"/>
      <c r="N19" s="142"/>
      <c r="O19" s="372" t="s">
        <v>167</v>
      </c>
      <c r="P19" s="381"/>
      <c r="V19" s="382">
        <f>+U16</f>
        <v>600</v>
      </c>
      <c r="AB19" s="383">
        <f>+AA16</f>
        <v>600</v>
      </c>
      <c r="AD19" s="353"/>
      <c r="AE19" s="142"/>
    </row>
    <row r="20" spans="1:31" ht="16.5" outlineLevel="1" thickBot="1" x14ac:dyDescent="0.3">
      <c r="A20" s="228" t="s">
        <v>176</v>
      </c>
      <c r="B20" s="421" t="s">
        <v>156</v>
      </c>
      <c r="C20" s="422"/>
      <c r="D20" s="226"/>
      <c r="E20" s="251">
        <f>E6</f>
        <v>225720</v>
      </c>
      <c r="O20" s="384" t="s">
        <v>240</v>
      </c>
      <c r="P20" s="366"/>
      <c r="Q20" s="366"/>
      <c r="R20" s="366"/>
      <c r="S20" s="366"/>
      <c r="T20" s="366"/>
      <c r="U20" s="366"/>
      <c r="V20" s="385" t="s">
        <v>171</v>
      </c>
      <c r="W20" s="366"/>
      <c r="X20" s="366"/>
      <c r="Y20" s="366"/>
      <c r="Z20" s="366"/>
      <c r="AA20" s="366"/>
      <c r="AB20" s="385" t="s">
        <v>172</v>
      </c>
      <c r="AC20" s="366"/>
      <c r="AD20" s="386"/>
      <c r="AE20" s="142"/>
    </row>
    <row r="21" spans="1:31" outlineLevel="1" x14ac:dyDescent="0.25">
      <c r="A21" s="228" t="s">
        <v>177</v>
      </c>
      <c r="B21" s="428" t="s">
        <v>178</v>
      </c>
      <c r="C21" s="428"/>
      <c r="D21" s="246">
        <v>0.13</v>
      </c>
      <c r="E21" s="232">
        <f>D21*E20</f>
        <v>29343.600000000002</v>
      </c>
      <c r="F21" s="233">
        <f>'E.S.F (inicial)'!F29</f>
        <v>30600</v>
      </c>
      <c r="G21" s="252">
        <f>F21</f>
        <v>30600</v>
      </c>
      <c r="H21" s="234">
        <f>E21</f>
        <v>29343.600000000002</v>
      </c>
      <c r="I21" s="235"/>
      <c r="J21" t="s">
        <v>234</v>
      </c>
      <c r="L21" s="238" t="s">
        <v>179</v>
      </c>
    </row>
    <row r="22" spans="1:31" ht="15.75" outlineLevel="1" x14ac:dyDescent="0.25">
      <c r="A22" s="228" t="s">
        <v>180</v>
      </c>
      <c r="B22" s="429" t="s">
        <v>237</v>
      </c>
      <c r="C22" s="429"/>
      <c r="D22" s="226"/>
      <c r="E22" s="253">
        <f>E20-E21</f>
        <v>196376.4</v>
      </c>
      <c r="F22" s="254"/>
      <c r="J22" s="254" t="s">
        <v>181</v>
      </c>
    </row>
    <row r="23" spans="1:31" x14ac:dyDescent="0.25">
      <c r="E23" s="255"/>
    </row>
    <row r="25" spans="1:31" ht="18.75" x14ac:dyDescent="0.3">
      <c r="A25" s="210" t="s">
        <v>192</v>
      </c>
      <c r="B25" s="210"/>
      <c r="C25" s="210"/>
      <c r="D25" s="210"/>
      <c r="E25" s="210"/>
    </row>
    <row r="26" spans="1:31" ht="19.5" thickBot="1" x14ac:dyDescent="0.35">
      <c r="A26" s="265" t="s">
        <v>193</v>
      </c>
      <c r="B26" s="210"/>
      <c r="C26" s="210"/>
      <c r="D26" s="210"/>
      <c r="E26" s="440">
        <f>E13</f>
        <v>81755.784</v>
      </c>
    </row>
    <row r="27" spans="1:31" outlineLevel="1" x14ac:dyDescent="0.25">
      <c r="D27" s="266" t="s">
        <v>135</v>
      </c>
      <c r="E27" s="266" t="s">
        <v>141</v>
      </c>
      <c r="F27" s="267" t="s">
        <v>142</v>
      </c>
      <c r="G27" s="266" t="s">
        <v>194</v>
      </c>
    </row>
    <row r="28" spans="1:31" ht="36" customHeight="1" outlineLevel="1" x14ac:dyDescent="0.25">
      <c r="B28" s="268" t="s">
        <v>195</v>
      </c>
      <c r="C28" s="257"/>
      <c r="D28" s="269" t="s">
        <v>248</v>
      </c>
      <c r="E28" s="270" t="s">
        <v>242</v>
      </c>
      <c r="F28" s="271" t="s">
        <v>244</v>
      </c>
      <c r="G28" s="272" t="s">
        <v>196</v>
      </c>
    </row>
    <row r="29" spans="1:31" outlineLevel="1" x14ac:dyDescent="0.25">
      <c r="A29" s="217" t="s">
        <v>119</v>
      </c>
      <c r="B29" s="273" t="s">
        <v>197</v>
      </c>
      <c r="C29" s="274"/>
      <c r="D29" s="275">
        <f>'E.S.F (inicial)'!C31</f>
        <v>4940000</v>
      </c>
      <c r="E29" s="276">
        <f>'EFE '!C35</f>
        <v>90000</v>
      </c>
      <c r="F29" s="277">
        <f>ER!N10</f>
        <v>125000</v>
      </c>
      <c r="G29" s="278">
        <f>+D29+E29-F29</f>
        <v>4905000</v>
      </c>
      <c r="H29" t="s">
        <v>198</v>
      </c>
    </row>
    <row r="30" spans="1:31" ht="15.75" outlineLevel="1" thickBot="1" x14ac:dyDescent="0.3">
      <c r="A30" s="217" t="s">
        <v>127</v>
      </c>
      <c r="B30" s="273" t="s">
        <v>199</v>
      </c>
      <c r="C30" s="274"/>
      <c r="D30" s="275">
        <f>-'E.S.F (inicial)'!C32</f>
        <v>2620000</v>
      </c>
      <c r="E30" s="279">
        <f>4000+1200</f>
        <v>5200</v>
      </c>
      <c r="F30" s="280">
        <f>-ER!N11</f>
        <v>89000</v>
      </c>
      <c r="G30" s="278">
        <f>+D30+E30-F30</f>
        <v>2536200</v>
      </c>
    </row>
    <row r="31" spans="1:31" outlineLevel="1" x14ac:dyDescent="0.25">
      <c r="B31" s="273"/>
      <c r="C31" s="274"/>
    </row>
    <row r="32" spans="1:31" ht="15.75" outlineLevel="1" thickBot="1" x14ac:dyDescent="0.3"/>
    <row r="33" spans="1:7" ht="30" outlineLevel="1" x14ac:dyDescent="0.25">
      <c r="B33" s="268" t="s">
        <v>79</v>
      </c>
      <c r="C33" s="257"/>
      <c r="D33" s="269" t="s">
        <v>248</v>
      </c>
      <c r="E33" s="270" t="s">
        <v>243</v>
      </c>
      <c r="F33" s="346" t="s">
        <v>245</v>
      </c>
      <c r="G33" s="272" t="s">
        <v>196</v>
      </c>
    </row>
    <row r="34" spans="1:7" outlineLevel="1" x14ac:dyDescent="0.25">
      <c r="B34" s="273" t="s">
        <v>79</v>
      </c>
      <c r="C34" s="274"/>
      <c r="D34" s="275"/>
      <c r="E34" s="275"/>
      <c r="F34" s="277"/>
      <c r="G34" s="278"/>
    </row>
    <row r="35" spans="1:7" ht="15.75" outlineLevel="1" thickBot="1" x14ac:dyDescent="0.3">
      <c r="B35" s="273" t="s">
        <v>200</v>
      </c>
      <c r="C35" s="274"/>
      <c r="D35" s="275"/>
      <c r="E35" s="279"/>
      <c r="F35" s="280"/>
      <c r="G35" s="278"/>
    </row>
    <row r="36" spans="1:7" x14ac:dyDescent="0.25">
      <c r="C36" s="216"/>
      <c r="D36" s="216"/>
      <c r="E36" s="216"/>
      <c r="F36" s="216"/>
      <c r="G36" s="216"/>
    </row>
    <row r="37" spans="1:7" x14ac:dyDescent="0.25">
      <c r="C37" s="216"/>
      <c r="D37" s="216"/>
      <c r="E37" s="216"/>
      <c r="F37" s="216"/>
      <c r="G37" s="216"/>
    </row>
    <row r="38" spans="1:7" ht="18.75" x14ac:dyDescent="0.3">
      <c r="A38" s="210" t="s">
        <v>182</v>
      </c>
      <c r="B38" s="210"/>
      <c r="C38" s="210"/>
      <c r="D38" s="210"/>
      <c r="E38" s="210"/>
    </row>
    <row r="39" spans="1:7" x14ac:dyDescent="0.25">
      <c r="B39" s="256"/>
      <c r="C39" s="257"/>
      <c r="D39" s="258"/>
      <c r="E39" s="258"/>
    </row>
    <row r="40" spans="1:7" outlineLevel="1" x14ac:dyDescent="0.25">
      <c r="B40" s="430" t="s">
        <v>183</v>
      </c>
      <c r="C40" s="431"/>
      <c r="D40" s="259">
        <f>'EFE '!D8+'EFE '!D33</f>
        <v>944820.00000000012</v>
      </c>
      <c r="E40" s="258"/>
    </row>
    <row r="41" spans="1:7" outlineLevel="1" x14ac:dyDescent="0.25">
      <c r="B41" s="430" t="s">
        <v>184</v>
      </c>
      <c r="C41" s="431"/>
      <c r="D41" s="260">
        <f>'EFE '!D28+'EFE '!D35</f>
        <v>376448.74199999997</v>
      </c>
      <c r="E41" s="258" t="s">
        <v>185</v>
      </c>
    </row>
    <row r="42" spans="1:7" outlineLevel="1" x14ac:dyDescent="0.25">
      <c r="B42" s="425" t="s">
        <v>186</v>
      </c>
      <c r="C42" s="426"/>
      <c r="D42" s="261">
        <f>+D40-D41</f>
        <v>568371.25800000015</v>
      </c>
      <c r="E42" s="262" t="s">
        <v>187</v>
      </c>
    </row>
    <row r="43" spans="1:7" outlineLevel="1" x14ac:dyDescent="0.25">
      <c r="B43" s="432" t="s">
        <v>188</v>
      </c>
      <c r="C43" s="431"/>
      <c r="D43" s="263">
        <v>0</v>
      </c>
      <c r="E43" s="258" t="s">
        <v>241</v>
      </c>
    </row>
    <row r="44" spans="1:7" outlineLevel="1" x14ac:dyDescent="0.25">
      <c r="B44" s="425" t="s">
        <v>189</v>
      </c>
      <c r="C44" s="426"/>
      <c r="D44" s="264">
        <f>+D42</f>
        <v>568371.25800000015</v>
      </c>
      <c r="F44" s="258" t="s">
        <v>190</v>
      </c>
    </row>
    <row r="45" spans="1:7" outlineLevel="1" x14ac:dyDescent="0.25">
      <c r="F45" s="258" t="s">
        <v>191</v>
      </c>
    </row>
    <row r="47" spans="1:7" x14ac:dyDescent="0.25">
      <c r="C47" s="216"/>
      <c r="D47" s="216"/>
      <c r="E47" s="216"/>
      <c r="F47" s="216"/>
      <c r="G47" s="216"/>
    </row>
  </sheetData>
  <mergeCells count="18">
    <mergeCell ref="B44:C44"/>
    <mergeCell ref="B14:C14"/>
    <mergeCell ref="B15:C15"/>
    <mergeCell ref="B16:C16"/>
    <mergeCell ref="B18:D18"/>
    <mergeCell ref="B20:C20"/>
    <mergeCell ref="B21:C21"/>
    <mergeCell ref="B22:C22"/>
    <mergeCell ref="B40:C40"/>
    <mergeCell ref="B41:C41"/>
    <mergeCell ref="B42:C42"/>
    <mergeCell ref="B43:C43"/>
    <mergeCell ref="B13:C13"/>
    <mergeCell ref="B6:C6"/>
    <mergeCell ref="B8:C8"/>
    <mergeCell ref="B9:C9"/>
    <mergeCell ref="B10:C10"/>
    <mergeCell ref="B11:C11"/>
  </mergeCells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4A48-524C-4291-BB11-73158D68C2B7}">
  <dimension ref="A1:I35"/>
  <sheetViews>
    <sheetView showGridLines="0" tabSelected="1" zoomScale="110" zoomScaleNormal="110" workbookViewId="0">
      <selection activeCell="H22" sqref="H22"/>
    </sheetView>
  </sheetViews>
  <sheetFormatPr baseColWidth="10" defaultRowHeight="12.75" x14ac:dyDescent="0.2"/>
  <cols>
    <col min="1" max="1" width="5.140625" style="162" customWidth="1"/>
    <col min="2" max="2" width="32.42578125" style="162" customWidth="1"/>
    <col min="3" max="3" width="10.7109375" style="159" customWidth="1"/>
    <col min="4" max="4" width="0.7109375" style="162" customWidth="1"/>
    <col min="5" max="5" width="36" style="281" customWidth="1"/>
    <col min="6" max="6" width="10.140625" style="159" customWidth="1"/>
    <col min="7" max="7" width="4.85546875" style="337" customWidth="1"/>
    <col min="8" max="16384" width="11.42578125" style="162"/>
  </cols>
  <sheetData>
    <row r="1" spans="1:9" ht="20.25" x14ac:dyDescent="0.3">
      <c r="B1" s="158" t="s">
        <v>201</v>
      </c>
    </row>
    <row r="2" spans="1:9" x14ac:dyDescent="0.2">
      <c r="B2" s="282"/>
      <c r="C2" s="283"/>
      <c r="D2" s="282"/>
      <c r="E2" s="284"/>
      <c r="F2" s="283"/>
    </row>
    <row r="3" spans="1:9" x14ac:dyDescent="0.2">
      <c r="B3" s="285" t="s">
        <v>3</v>
      </c>
      <c r="C3" s="286"/>
      <c r="D3" s="287"/>
      <c r="E3" s="285" t="s">
        <v>8</v>
      </c>
      <c r="F3" s="286"/>
    </row>
    <row r="4" spans="1:9" x14ac:dyDescent="0.2">
      <c r="A4" s="332" t="s">
        <v>202</v>
      </c>
      <c r="B4" s="288" t="s">
        <v>0</v>
      </c>
      <c r="C4" s="333">
        <f>'EFE '!G49</f>
        <v>1928651.4107999997</v>
      </c>
      <c r="D4" s="290"/>
      <c r="E4" s="288" t="s">
        <v>214</v>
      </c>
      <c r="F4" s="289">
        <f>F29</f>
        <v>1443131.6665541132</v>
      </c>
      <c r="G4" s="337" t="s">
        <v>203</v>
      </c>
    </row>
    <row r="5" spans="1:9" x14ac:dyDescent="0.2">
      <c r="A5" s="332" t="s">
        <v>202</v>
      </c>
      <c r="B5" s="288" t="s">
        <v>1</v>
      </c>
      <c r="C5" s="289">
        <f>'EFE '!I7</f>
        <v>1856376.0000000009</v>
      </c>
      <c r="D5" s="290"/>
      <c r="E5" s="288" t="s">
        <v>215</v>
      </c>
      <c r="F5" s="291">
        <f>F35</f>
        <v>149942.46</v>
      </c>
      <c r="G5" s="337" t="s">
        <v>203</v>
      </c>
      <c r="H5" s="292"/>
    </row>
    <row r="6" spans="1:9" x14ac:dyDescent="0.2">
      <c r="A6" s="332" t="s">
        <v>204</v>
      </c>
      <c r="B6" s="288" t="s">
        <v>219</v>
      </c>
      <c r="C6" s="289">
        <f>'E.S.F final'!C27</f>
        <v>145123.70865800866</v>
      </c>
      <c r="D6" s="290"/>
      <c r="E6" s="288" t="s">
        <v>6</v>
      </c>
      <c r="F6" s="291">
        <f>'EFE '!I21</f>
        <v>349535.77679999999</v>
      </c>
      <c r="G6" s="337" t="s">
        <v>202</v>
      </c>
    </row>
    <row r="7" spans="1:9" x14ac:dyDescent="0.2">
      <c r="A7" s="332"/>
      <c r="B7" s="288" t="s">
        <v>80</v>
      </c>
      <c r="C7" s="291"/>
      <c r="D7" s="290"/>
      <c r="E7" s="288" t="s">
        <v>81</v>
      </c>
      <c r="F7" s="291"/>
    </row>
    <row r="8" spans="1:9" x14ac:dyDescent="0.2">
      <c r="B8" s="285" t="s">
        <v>2</v>
      </c>
      <c r="C8" s="293">
        <f>SUM(C4:C7)</f>
        <v>3930151.1194580095</v>
      </c>
      <c r="D8" s="290"/>
      <c r="E8" s="285" t="s">
        <v>10</v>
      </c>
      <c r="F8" s="293">
        <f>SUM(F4:F7)</f>
        <v>1942609.903354113</v>
      </c>
      <c r="I8" s="162" t="s">
        <v>205</v>
      </c>
    </row>
    <row r="9" spans="1:9" x14ac:dyDescent="0.2">
      <c r="B9" s="288"/>
      <c r="C9" s="291"/>
      <c r="D9" s="290"/>
      <c r="E9" s="288"/>
      <c r="F9" s="291"/>
    </row>
    <row r="10" spans="1:9" x14ac:dyDescent="0.2">
      <c r="B10" s="285" t="s">
        <v>4</v>
      </c>
      <c r="C10" s="291"/>
      <c r="D10" s="290"/>
      <c r="E10" s="285" t="s">
        <v>9</v>
      </c>
      <c r="F10" s="291"/>
    </row>
    <row r="11" spans="1:9" x14ac:dyDescent="0.2">
      <c r="A11" s="162" t="s">
        <v>203</v>
      </c>
      <c r="B11" s="288" t="s">
        <v>220</v>
      </c>
      <c r="C11" s="291">
        <f>C32</f>
        <v>2368800</v>
      </c>
      <c r="D11" s="290"/>
      <c r="E11" s="288" t="s">
        <v>216</v>
      </c>
      <c r="F11" s="291">
        <f>'EFE '!I43</f>
        <v>479792</v>
      </c>
      <c r="G11" s="337" t="s">
        <v>202</v>
      </c>
    </row>
    <row r="12" spans="1:9" x14ac:dyDescent="0.2">
      <c r="B12" s="288" t="s">
        <v>226</v>
      </c>
      <c r="C12" s="291"/>
      <c r="D12" s="290"/>
      <c r="E12" s="285" t="s">
        <v>11</v>
      </c>
      <c r="F12" s="293">
        <f>+F11</f>
        <v>479792</v>
      </c>
    </row>
    <row r="13" spans="1:9" x14ac:dyDescent="0.2">
      <c r="B13" s="294"/>
      <c r="C13" s="291"/>
      <c r="D13" s="290"/>
      <c r="E13" s="295" t="s">
        <v>16</v>
      </c>
      <c r="F13" s="293">
        <f>+F8+F12</f>
        <v>2422401.903354113</v>
      </c>
    </row>
    <row r="14" spans="1:9" x14ac:dyDescent="0.2">
      <c r="B14" s="294"/>
      <c r="C14" s="291"/>
      <c r="D14" s="290"/>
      <c r="E14" s="295"/>
      <c r="F14" s="291"/>
    </row>
    <row r="15" spans="1:9" x14ac:dyDescent="0.2">
      <c r="B15" s="288"/>
      <c r="C15" s="291"/>
      <c r="D15" s="290"/>
      <c r="E15" s="285" t="s">
        <v>12</v>
      </c>
      <c r="F15" s="291"/>
    </row>
    <row r="16" spans="1:9" x14ac:dyDescent="0.2">
      <c r="B16" s="288"/>
      <c r="C16" s="291"/>
      <c r="D16" s="290"/>
      <c r="E16" s="288" t="s">
        <v>13</v>
      </c>
      <c r="F16" s="291">
        <f>'EFE '!I41</f>
        <v>1110500</v>
      </c>
      <c r="G16" s="337" t="s">
        <v>202</v>
      </c>
    </row>
    <row r="17" spans="2:8" x14ac:dyDescent="0.2">
      <c r="B17" s="288"/>
      <c r="C17" s="291"/>
      <c r="D17" s="290"/>
      <c r="E17" s="288" t="s">
        <v>77</v>
      </c>
      <c r="F17" s="291">
        <f>'E.S.F (inicial)'!F19</f>
        <v>244500</v>
      </c>
      <c r="G17" s="337" t="s">
        <v>208</v>
      </c>
    </row>
    <row r="18" spans="2:8" x14ac:dyDescent="0.2">
      <c r="B18" s="288"/>
      <c r="C18" s="291"/>
      <c r="D18" s="290"/>
      <c r="E18" s="288" t="s">
        <v>207</v>
      </c>
      <c r="F18" s="291">
        <f>SUM('E.S.F (inicial)'!F20:F21)</f>
        <v>561600</v>
      </c>
      <c r="G18" s="337" t="s">
        <v>208</v>
      </c>
      <c r="H18" s="296" t="s">
        <v>209</v>
      </c>
    </row>
    <row r="19" spans="2:8" x14ac:dyDescent="0.2">
      <c r="B19" s="288"/>
      <c r="C19" s="291"/>
      <c r="D19" s="290"/>
      <c r="E19" s="288" t="s">
        <v>210</v>
      </c>
      <c r="F19" s="291">
        <f>ER!H16-'EFE '!G44</f>
        <v>1959949.216103897</v>
      </c>
      <c r="G19" s="337" t="s">
        <v>204</v>
      </c>
      <c r="H19" s="292"/>
    </row>
    <row r="20" spans="2:8" x14ac:dyDescent="0.2">
      <c r="B20" s="288"/>
      <c r="C20" s="291"/>
      <c r="D20" s="290"/>
      <c r="E20" s="288"/>
      <c r="F20" s="291"/>
    </row>
    <row r="21" spans="2:8" x14ac:dyDescent="0.2">
      <c r="B21" s="285" t="s">
        <v>5</v>
      </c>
      <c r="C21" s="293">
        <f>SUM(C11:C20)</f>
        <v>2368800</v>
      </c>
      <c r="D21" s="290"/>
      <c r="E21" s="285" t="s">
        <v>14</v>
      </c>
      <c r="F21" s="293">
        <f>SUM(F16:F20)</f>
        <v>3876549.216103897</v>
      </c>
    </row>
    <row r="22" spans="2:8" x14ac:dyDescent="0.2">
      <c r="B22" s="297" t="s">
        <v>17</v>
      </c>
      <c r="C22" s="298">
        <f>+C8+C21</f>
        <v>6298951.1194580095</v>
      </c>
      <c r="D22" s="299"/>
      <c r="E22" s="300" t="s">
        <v>15</v>
      </c>
      <c r="F22" s="293">
        <f>+F13+F21</f>
        <v>6298951.1194580104</v>
      </c>
      <c r="H22" s="292">
        <f>+F22-C22</f>
        <v>0</v>
      </c>
    </row>
    <row r="23" spans="2:8" ht="28.5" customHeight="1" x14ac:dyDescent="0.2"/>
    <row r="24" spans="2:8" x14ac:dyDescent="0.2">
      <c r="B24" s="347" t="s">
        <v>219</v>
      </c>
      <c r="C24" s="348"/>
      <c r="E24" s="347" t="s">
        <v>214</v>
      </c>
      <c r="F24" s="348"/>
    </row>
    <row r="25" spans="2:8" x14ac:dyDescent="0.2">
      <c r="B25" s="306" t="s">
        <v>223</v>
      </c>
      <c r="C25" s="307">
        <f>ER!H24</f>
        <v>74471.899567099565</v>
      </c>
      <c r="E25" s="306" t="s">
        <v>217</v>
      </c>
      <c r="F25" s="307">
        <f>Otros!D44</f>
        <v>568371.25800000015</v>
      </c>
    </row>
    <row r="26" spans="2:8" x14ac:dyDescent="0.2">
      <c r="B26" s="306" t="s">
        <v>222</v>
      </c>
      <c r="C26" s="307">
        <f>ER!H51</f>
        <v>70651.809090909097</v>
      </c>
      <c r="E26" s="306" t="s">
        <v>218</v>
      </c>
      <c r="F26" s="307">
        <f>ER!H15</f>
        <v>822212.79255411273</v>
      </c>
    </row>
    <row r="27" spans="2:8" x14ac:dyDescent="0.2">
      <c r="C27" s="309">
        <f>+C25+C26</f>
        <v>145123.70865800866</v>
      </c>
      <c r="E27" s="288" t="s">
        <v>221</v>
      </c>
      <c r="F27" s="307">
        <f>Otros!H8</f>
        <v>23204.016</v>
      </c>
    </row>
    <row r="28" spans="2:8" x14ac:dyDescent="0.2">
      <c r="E28" s="288" t="s">
        <v>7</v>
      </c>
      <c r="F28" s="307">
        <f>Otros!H21</f>
        <v>29343.600000000002</v>
      </c>
    </row>
    <row r="29" spans="2:8" x14ac:dyDescent="0.2">
      <c r="B29" s="347" t="s">
        <v>224</v>
      </c>
      <c r="C29" s="348"/>
      <c r="E29" s="308"/>
      <c r="F29" s="309">
        <f>SUM(F25:F28)</f>
        <v>1443131.6665541132</v>
      </c>
    </row>
    <row r="30" spans="2:8" x14ac:dyDescent="0.2">
      <c r="B30" s="288" t="s">
        <v>206</v>
      </c>
      <c r="C30" s="307">
        <f>Otros!G29</f>
        <v>4905000</v>
      </c>
      <c r="E30" s="308"/>
      <c r="F30" s="308"/>
    </row>
    <row r="31" spans="2:8" x14ac:dyDescent="0.2">
      <c r="B31" s="294" t="s">
        <v>78</v>
      </c>
      <c r="C31" s="307">
        <f>-Otros!G30</f>
        <v>-2536200</v>
      </c>
      <c r="E31" s="347" t="s">
        <v>215</v>
      </c>
      <c r="F31" s="348"/>
    </row>
    <row r="32" spans="2:8" x14ac:dyDescent="0.2">
      <c r="C32" s="309">
        <f>+C30+C31</f>
        <v>2368800</v>
      </c>
      <c r="E32" s="306" t="s">
        <v>22</v>
      </c>
      <c r="F32" s="307">
        <f>Otros!H14</f>
        <v>0</v>
      </c>
    </row>
    <row r="33" spans="5:6" x14ac:dyDescent="0.2">
      <c r="E33" s="306" t="s">
        <v>168</v>
      </c>
      <c r="F33" s="307">
        <f>Otros!H15</f>
        <v>83339.983999999997</v>
      </c>
    </row>
    <row r="34" spans="5:6" x14ac:dyDescent="0.2">
      <c r="E34" s="306" t="s">
        <v>23</v>
      </c>
      <c r="F34" s="307">
        <f>Otros!H16</f>
        <v>66602.475999999995</v>
      </c>
    </row>
    <row r="35" spans="5:6" x14ac:dyDescent="0.2">
      <c r="F35" s="309">
        <f>SUM(F32:F34)</f>
        <v>149942.46</v>
      </c>
    </row>
  </sheetData>
  <printOptions verticalCentered="1"/>
  <pageMargins left="0.23622047244094491" right="0.23622047244094491" top="0.74803149606299213" bottom="0.74803149606299213" header="0.31496062992125984" footer="0.31496062992125984"/>
  <pageSetup paperSize="9" scale="1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E.S.F (inicial)</vt:lpstr>
      <vt:lpstr>ER</vt:lpstr>
      <vt:lpstr>EFE </vt:lpstr>
      <vt:lpstr>Otros</vt:lpstr>
      <vt:lpstr>E.S.F final</vt:lpstr>
      <vt:lpstr>'E.S.F (inicial)'!Área_de_impresión</vt:lpstr>
      <vt:lpstr>'E.S.F final'!Área_de_impresión</vt:lpstr>
      <vt:lpstr>'EFE '!Área_de_impresión</vt:lpstr>
      <vt:lpstr>ER!Área_de_impresión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contador15</dc:creator>
  <cp:lastModifiedBy>Admin</cp:lastModifiedBy>
  <cp:lastPrinted>2019-10-26T18:27:46Z</cp:lastPrinted>
  <dcterms:created xsi:type="dcterms:W3CDTF">2018-06-01T18:23:02Z</dcterms:created>
  <dcterms:modified xsi:type="dcterms:W3CDTF">2021-10-31T19:48:24Z</dcterms:modified>
</cp:coreProperties>
</file>