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29DB118F-0A22-4BCF-A577-5AB0F661A04C}" xr6:coauthVersionLast="45" xr6:coauthVersionMax="45" xr10:uidLastSave="{00000000-0000-0000-0000-000000000000}"/>
  <bookViews>
    <workbookView xWindow="-120" yWindow="-120" windowWidth="29040" windowHeight="15840" tabRatio="986" activeTab="3"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F70" i="20" s="1"/>
  <c r="E69" i="20"/>
  <c r="F69" i="20"/>
  <c r="E68" i="20"/>
  <c r="F68" i="20" s="1"/>
  <c r="C69" i="20"/>
  <c r="C70" i="20"/>
  <c r="C68" i="20"/>
  <c r="C7" i="20"/>
  <c r="B70" i="20"/>
  <c r="B69" i="20"/>
  <c r="B68" i="20"/>
  <c r="G70" i="20" l="1"/>
  <c r="I70" i="20"/>
  <c r="G69" i="20"/>
  <c r="C71" i="20"/>
  <c r="D69" i="20"/>
  <c r="D70" i="20"/>
  <c r="D68" i="20"/>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F19" i="20"/>
  <c r="E21" i="20"/>
  <c r="F21" i="20" s="1"/>
  <c r="E20" i="20"/>
  <c r="F20" i="20" s="1"/>
  <c r="E19" i="20"/>
  <c r="H19" i="20"/>
  <c r="B20" i="20"/>
  <c r="B19" i="20"/>
  <c r="L70" i="20" l="1"/>
  <c r="M70" i="20" s="1"/>
  <c r="J70" i="20"/>
  <c r="O70" i="20"/>
  <c r="R70" i="20" s="1"/>
  <c r="U70" i="20" s="1"/>
  <c r="I69" i="20"/>
  <c r="J69" i="20" s="1"/>
  <c r="G68" i="20"/>
  <c r="G71" i="20" s="1"/>
  <c r="I19" i="20"/>
  <c r="L19" i="20" s="1"/>
  <c r="I20" i="20"/>
  <c r="L20" i="20" s="1"/>
  <c r="O20" i="20" s="1"/>
  <c r="R20" i="20" s="1"/>
  <c r="U20" i="20" s="1"/>
  <c r="X20" i="20" s="1"/>
  <c r="AA20" i="20" s="1"/>
  <c r="AD20" i="20" s="1"/>
  <c r="AG20" i="20" s="1"/>
  <c r="AJ20" i="20" s="1"/>
  <c r="AM20" i="20" s="1"/>
  <c r="D71" i="20"/>
  <c r="O19" i="20"/>
  <c r="I21" i="20"/>
  <c r="L21" i="20" s="1"/>
  <c r="O21" i="20" s="1"/>
  <c r="R21" i="20" s="1"/>
  <c r="U21" i="20" s="1"/>
  <c r="X21" i="20" s="1"/>
  <c r="AA21" i="20" s="1"/>
  <c r="AD21" i="20" s="1"/>
  <c r="AG21" i="20" s="1"/>
  <c r="AJ21" i="20" s="1"/>
  <c r="AM21" i="20" s="1"/>
  <c r="R19" i="20"/>
  <c r="U19" i="20" s="1"/>
  <c r="X19" i="20" s="1"/>
  <c r="AA19" i="20" s="1"/>
  <c r="AD19" i="20" s="1"/>
  <c r="AG19" i="20" s="1"/>
  <c r="AJ19" i="20" s="1"/>
  <c r="AM19" i="20" s="1"/>
  <c r="P70" i="20" l="1"/>
  <c r="L69" i="20"/>
  <c r="S70" i="20"/>
  <c r="I68" i="20"/>
  <c r="J68" i="20" s="1"/>
  <c r="J71" i="20" s="1"/>
  <c r="L68" i="20"/>
  <c r="M69" i="20"/>
  <c r="O69" i="20"/>
  <c r="V70" i="20"/>
  <c r="X70" i="20"/>
  <c r="O68" i="20" l="1"/>
  <c r="M68" i="20"/>
  <c r="M71" i="20" s="1"/>
  <c r="P69" i="20"/>
  <c r="R69" i="20"/>
  <c r="Y70" i="20"/>
  <c r="AA70" i="20"/>
  <c r="B58" i="20"/>
  <c r="B59" i="20" s="1"/>
  <c r="R68" i="20" l="1"/>
  <c r="P68" i="20"/>
  <c r="P71" i="20" s="1"/>
  <c r="AB70" i="20"/>
  <c r="AD70" i="20"/>
  <c r="U69" i="20"/>
  <c r="S69" i="20"/>
  <c r="C22" i="20"/>
  <c r="U68" i="20" l="1"/>
  <c r="S68" i="20"/>
  <c r="S71" i="20" s="1"/>
  <c r="AE70" i="20"/>
  <c r="AG70" i="20"/>
  <c r="V69" i="20"/>
  <c r="X69" i="20"/>
  <c r="N31" i="30"/>
  <c r="N30" i="30"/>
  <c r="V68" i="20" l="1"/>
  <c r="V71" i="20" s="1"/>
  <c r="X68" i="20"/>
  <c r="Y69" i="20"/>
  <c r="AA69" i="20"/>
  <c r="AH70" i="20"/>
  <c r="AJ70" i="20"/>
  <c r="E60" i="22"/>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Y68" i="20" l="1"/>
  <c r="Y71" i="20" s="1"/>
  <c r="AA68" i="20"/>
  <c r="AD69" i="20"/>
  <c r="AB69" i="20"/>
  <c r="AM70" i="20"/>
  <c r="AN70" i="20" s="1"/>
  <c r="AK70" i="20"/>
  <c r="M5" i="21"/>
  <c r="L5" i="21"/>
  <c r="K5" i="21"/>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AD68" i="20" l="1"/>
  <c r="AB68" i="20"/>
  <c r="AB71" i="20" s="1"/>
  <c r="AG69" i="20"/>
  <c r="AE69" i="20"/>
  <c r="K12" i="19"/>
  <c r="L12" i="19"/>
  <c r="L16" i="19"/>
  <c r="L23" i="19"/>
  <c r="K16" i="19"/>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AG68" i="20" l="1"/>
  <c r="AE68" i="20"/>
  <c r="AE71" i="20" s="1"/>
  <c r="AH69" i="20"/>
  <c r="AJ69" i="20"/>
  <c r="K39" i="19"/>
  <c r="I5" i="19" s="1"/>
  <c r="K16" i="21" s="1"/>
  <c r="F17" i="37" s="1"/>
  <c r="F16" i="38"/>
  <c r="I15" i="30"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AH68" i="20" l="1"/>
  <c r="AJ68" i="20"/>
  <c r="AH71" i="20"/>
  <c r="AK69" i="20"/>
  <c r="AM69" i="20"/>
  <c r="AN69" i="20" s="1"/>
  <c r="F16" i="29"/>
  <c r="H16" i="38"/>
  <c r="K15" i="30" s="1"/>
  <c r="G16" i="29"/>
  <c r="G16" i="38"/>
  <c r="J15" i="30" s="1"/>
  <c r="G17" i="37"/>
  <c r="H16" i="29"/>
  <c r="F32" i="38"/>
  <c r="I19" i="30"/>
  <c r="I31" i="30" s="1"/>
  <c r="H32" i="38"/>
  <c r="K19" i="30"/>
  <c r="K31" i="30" s="1"/>
  <c r="G32" i="38"/>
  <c r="J19" i="30"/>
  <c r="J31" i="30" s="1"/>
  <c r="AK68" i="20" l="1"/>
  <c r="AK71" i="20" s="1"/>
  <c r="AM68" i="20"/>
  <c r="AN68" i="20" s="1"/>
  <c r="AN71" i="20" s="1"/>
  <c r="E51" i="25"/>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W88" i="27" s="1"/>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J15" i="22"/>
  <c r="K15" i="22"/>
  <c r="L15" i="22"/>
  <c r="M15" i="22"/>
  <c r="N15" i="22"/>
  <c r="O15" i="22"/>
  <c r="D15" i="22"/>
  <c r="P13" i="22"/>
  <c r="P14" i="22"/>
  <c r="P12" i="22"/>
  <c r="P18" i="22"/>
  <c r="P11" i="22"/>
  <c r="E5" i="22"/>
  <c r="D5" i="22"/>
  <c r="C5" i="22"/>
  <c r="F61" i="22" l="1"/>
  <c r="I24" i="22"/>
  <c r="J61" i="22"/>
  <c r="AB94" i="27"/>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Q93" i="27" l="1"/>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G95" i="27" l="1"/>
  <c r="AB93" i="27"/>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l="1"/>
  <c r="C7" i="25" s="1"/>
  <c r="D24" i="3"/>
  <c r="G24" i="38"/>
  <c r="J9" i="30"/>
  <c r="J23" i="30" s="1"/>
  <c r="H24" i="38"/>
  <c r="K9" i="30"/>
  <c r="K23" i="30" s="1"/>
  <c r="F24" i="38"/>
  <c r="I9" i="30"/>
  <c r="I23" i="30" s="1"/>
  <c r="G9" i="29"/>
  <c r="G23" i="29" s="1"/>
  <c r="G28" i="29" s="1"/>
  <c r="L6" i="21"/>
  <c r="C6" i="19"/>
  <c r="C6" i="23"/>
  <c r="C6" i="24"/>
  <c r="C14" i="24" s="1"/>
  <c r="C7" i="27"/>
  <c r="D6" i="22"/>
  <c r="M12" i="21"/>
  <c r="D12" i="24"/>
  <c r="L12" i="21"/>
  <c r="C12" i="24"/>
  <c r="AB95" i="27"/>
  <c r="I6" i="27" s="1"/>
  <c r="L11" i="21" s="1"/>
  <c r="D26" i="3"/>
  <c r="H9" i="29" s="1"/>
  <c r="H23" i="29" s="1"/>
  <c r="H28" i="29" s="1"/>
  <c r="F14" i="21" l="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G27" i="29" l="1"/>
  <c r="G29" i="29" s="1"/>
  <c r="H30" i="29" s="1"/>
  <c r="G25" i="38"/>
  <c r="J10" i="30"/>
  <c r="J24" i="30" s="1"/>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G31" i="29"/>
  <c r="G33" i="29" s="1"/>
  <c r="J11" i="30"/>
  <c r="J25" i="30" s="1"/>
  <c r="G26" i="38"/>
  <c r="F16" i="21"/>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Z56" i="27"/>
  <c r="AA56" i="27" s="1"/>
  <c r="Z57" i="27"/>
  <c r="AA57" i="27" s="1"/>
  <c r="Z58" i="27"/>
  <c r="AA58" i="27" s="1"/>
  <c r="Z59" i="27"/>
  <c r="AA59" i="27" s="1"/>
  <c r="Z60" i="27"/>
  <c r="AA60" i="27" s="1"/>
  <c r="Z61" i="27"/>
  <c r="AA61" i="27" s="1"/>
  <c r="Z62" i="27"/>
  <c r="AA62" i="27" s="1"/>
  <c r="Z63" i="27"/>
  <c r="AA63" i="27" s="1"/>
  <c r="Z64" i="27"/>
  <c r="AA64" i="27" s="1"/>
  <c r="X56" i="27"/>
  <c r="Y56" i="27" s="1"/>
  <c r="X57" i="27"/>
  <c r="Y57" i="27" s="1"/>
  <c r="X58" i="27"/>
  <c r="Y58" i="27" s="1"/>
  <c r="X59" i="27"/>
  <c r="Y59" i="27" s="1"/>
  <c r="X60" i="27"/>
  <c r="Y60" i="27" s="1"/>
  <c r="X61" i="27"/>
  <c r="Y61" i="27" s="1"/>
  <c r="X62" i="27"/>
  <c r="Y62" i="27" s="1"/>
  <c r="X63" i="27"/>
  <c r="Y63" i="27" s="1"/>
  <c r="X64" i="27"/>
  <c r="Y64" i="27" s="1"/>
  <c r="V57" i="27"/>
  <c r="W57" i="27" s="1"/>
  <c r="V58" i="27"/>
  <c r="W58" i="27" s="1"/>
  <c r="V59" i="27"/>
  <c r="W59" i="27" s="1"/>
  <c r="V60" i="27"/>
  <c r="W60" i="27" s="1"/>
  <c r="V61" i="27"/>
  <c r="W61" i="27" s="1"/>
  <c r="V62" i="27"/>
  <c r="W62" i="27" s="1"/>
  <c r="V63" i="27"/>
  <c r="W63" i="27" s="1"/>
  <c r="V64" i="27"/>
  <c r="W64" i="27" s="1"/>
  <c r="T56" i="27"/>
  <c r="U56" i="27" s="1"/>
  <c r="T57" i="27"/>
  <c r="U57" i="27" s="1"/>
  <c r="T58" i="27"/>
  <c r="U58" i="27" s="1"/>
  <c r="T59" i="27"/>
  <c r="U59" i="27" s="1"/>
  <c r="T60" i="27"/>
  <c r="U60" i="27" s="1"/>
  <c r="T61" i="27"/>
  <c r="U61" i="27" s="1"/>
  <c r="T62" i="27"/>
  <c r="U62" i="27" s="1"/>
  <c r="T63" i="27"/>
  <c r="U63" i="27" s="1"/>
  <c r="T64" i="27"/>
  <c r="U64" i="27" s="1"/>
  <c r="R56" i="27"/>
  <c r="S56" i="27" s="1"/>
  <c r="R57" i="27"/>
  <c r="S57" i="27" s="1"/>
  <c r="R58" i="27"/>
  <c r="S58" i="27" s="1"/>
  <c r="R59" i="27"/>
  <c r="S59" i="27" s="1"/>
  <c r="R60" i="27"/>
  <c r="S60" i="27" s="1"/>
  <c r="R61" i="27"/>
  <c r="S61" i="27" s="1"/>
  <c r="R62" i="27"/>
  <c r="S62" i="27" s="1"/>
  <c r="R63" i="27"/>
  <c r="S63" i="27" s="1"/>
  <c r="R64" i="27"/>
  <c r="S64" i="27" s="1"/>
  <c r="P56" i="27"/>
  <c r="Q56" i="27" s="1"/>
  <c r="P57" i="27"/>
  <c r="Q57" i="27" s="1"/>
  <c r="P58" i="27"/>
  <c r="Q58" i="27" s="1"/>
  <c r="P59" i="27"/>
  <c r="Q59" i="27" s="1"/>
  <c r="P60" i="27"/>
  <c r="Q60" i="27" s="1"/>
  <c r="P61" i="27"/>
  <c r="Q61" i="27" s="1"/>
  <c r="P62" i="27"/>
  <c r="Q62" i="27" s="1"/>
  <c r="P63" i="27"/>
  <c r="Q63" i="27" s="1"/>
  <c r="P64" i="27"/>
  <c r="Q64" i="27" s="1"/>
  <c r="N57" i="27"/>
  <c r="O57" i="27" s="1"/>
  <c r="N58" i="27"/>
  <c r="O58" i="27" s="1"/>
  <c r="N59" i="27"/>
  <c r="O59" i="27" s="1"/>
  <c r="N60" i="27"/>
  <c r="O60" i="27" s="1"/>
  <c r="N61" i="27"/>
  <c r="O61" i="27" s="1"/>
  <c r="N62" i="27"/>
  <c r="O62" i="27" s="1"/>
  <c r="N63" i="27"/>
  <c r="O63" i="27" s="1"/>
  <c r="N64" i="27"/>
  <c r="O64" i="27" s="1"/>
  <c r="L56" i="27"/>
  <c r="M56" i="27" s="1"/>
  <c r="L57" i="27"/>
  <c r="M57" i="27" s="1"/>
  <c r="L58" i="27"/>
  <c r="M58" i="27" s="1"/>
  <c r="L59" i="27"/>
  <c r="M59" i="27" s="1"/>
  <c r="L60" i="27"/>
  <c r="M60" i="27" s="1"/>
  <c r="L61" i="27"/>
  <c r="M61" i="27" s="1"/>
  <c r="L62" i="27"/>
  <c r="M62" i="27" s="1"/>
  <c r="L63" i="27"/>
  <c r="M63" i="27" s="1"/>
  <c r="L64" i="27"/>
  <c r="M64" i="27" s="1"/>
  <c r="J56" i="27"/>
  <c r="K56" i="27" s="1"/>
  <c r="J57" i="27"/>
  <c r="K57" i="27" s="1"/>
  <c r="J58" i="27"/>
  <c r="K58" i="27" s="1"/>
  <c r="J59" i="27"/>
  <c r="K59" i="27" s="1"/>
  <c r="J60" i="27"/>
  <c r="K60" i="27" s="1"/>
  <c r="J61" i="27"/>
  <c r="K61" i="27" s="1"/>
  <c r="J62" i="27"/>
  <c r="K62" i="27" s="1"/>
  <c r="J63" i="27"/>
  <c r="K63" i="27" s="1"/>
  <c r="J64" i="27"/>
  <c r="K64" i="27" s="1"/>
  <c r="H56" i="27"/>
  <c r="I56" i="27" s="1"/>
  <c r="H57" i="27"/>
  <c r="I57" i="27" s="1"/>
  <c r="H58" i="27"/>
  <c r="I58" i="27" s="1"/>
  <c r="H59" i="27"/>
  <c r="I59" i="27" s="1"/>
  <c r="H60" i="27"/>
  <c r="I60" i="27" s="1"/>
  <c r="H61" i="27"/>
  <c r="I61" i="27" s="1"/>
  <c r="H62" i="27"/>
  <c r="I62" i="27" s="1"/>
  <c r="H63" i="27"/>
  <c r="I63" i="27" s="1"/>
  <c r="H64" i="27"/>
  <c r="I64" i="27" s="1"/>
  <c r="F56" i="27"/>
  <c r="G56" i="27" s="1"/>
  <c r="F57" i="27"/>
  <c r="G57" i="27" s="1"/>
  <c r="F58" i="27"/>
  <c r="G58" i="27" s="1"/>
  <c r="F59" i="27"/>
  <c r="G59" i="27" s="1"/>
  <c r="F60" i="27"/>
  <c r="G60" i="27" s="1"/>
  <c r="F61" i="27"/>
  <c r="G61" i="27" s="1"/>
  <c r="F62" i="27"/>
  <c r="G62" i="27" s="1"/>
  <c r="F63" i="27"/>
  <c r="G63" i="27" s="1"/>
  <c r="F64" i="27"/>
  <c r="G64" i="27" s="1"/>
  <c r="D56" i="27"/>
  <c r="E56" i="27" s="1"/>
  <c r="D57" i="27"/>
  <c r="E57" i="27" s="1"/>
  <c r="D58" i="27"/>
  <c r="E58" i="27" s="1"/>
  <c r="D59" i="27"/>
  <c r="E59" i="27" s="1"/>
  <c r="D60" i="27"/>
  <c r="E60" i="27" s="1"/>
  <c r="D61" i="27"/>
  <c r="E61" i="27" s="1"/>
  <c r="D62" i="27"/>
  <c r="E62" i="27" s="1"/>
  <c r="D63" i="27"/>
  <c r="E63" i="27" s="1"/>
  <c r="D64" i="27"/>
  <c r="E64" i="27" s="1"/>
  <c r="G27" i="38" l="1"/>
  <c r="G29" i="38" s="1"/>
  <c r="H30" i="38" s="1"/>
  <c r="AB63" i="27"/>
  <c r="H54" i="27"/>
  <c r="I54" i="27" s="1"/>
  <c r="J53" i="27"/>
  <c r="K53" i="27" s="1"/>
  <c r="J55" i="27"/>
  <c r="L55" i="27"/>
  <c r="N54" i="27"/>
  <c r="O54" i="27" s="1"/>
  <c r="P53" i="27"/>
  <c r="P55" i="27"/>
  <c r="F53" i="27"/>
  <c r="G53" i="27" s="1"/>
  <c r="H55" i="27"/>
  <c r="L53" i="27"/>
  <c r="N53" i="27"/>
  <c r="AB59" i="27"/>
  <c r="P54" i="27"/>
  <c r="Q54" i="27" s="1"/>
  <c r="R53" i="27"/>
  <c r="S53" i="27" s="1"/>
  <c r="R55" i="27"/>
  <c r="AB64" i="27"/>
  <c r="R54" i="27"/>
  <c r="S54" i="27" s="1"/>
  <c r="T53" i="27"/>
  <c r="U53" i="27" s="1"/>
  <c r="T55" i="27"/>
  <c r="V56" i="27"/>
  <c r="W56" i="27" s="1"/>
  <c r="F54" i="27"/>
  <c r="G54" i="27" s="1"/>
  <c r="J54" i="27"/>
  <c r="K54" i="27" s="1"/>
  <c r="AB61" i="27"/>
  <c r="AB58" i="27"/>
  <c r="AB57" i="27"/>
  <c r="T54" i="27"/>
  <c r="U54" i="27" s="1"/>
  <c r="V53" i="27"/>
  <c r="W53" i="27" s="1"/>
  <c r="V55" i="27"/>
  <c r="N56" i="27"/>
  <c r="O56" i="27" s="1"/>
  <c r="N55" i="27"/>
  <c r="V54" i="27"/>
  <c r="W54" i="27" s="1"/>
  <c r="X53" i="27"/>
  <c r="Y53" i="27" s="1"/>
  <c r="X55" i="27"/>
  <c r="H53" i="27"/>
  <c r="I53" i="27" s="1"/>
  <c r="AB62" i="27"/>
  <c r="AB60" i="27"/>
  <c r="D55" i="27"/>
  <c r="X54" i="27"/>
  <c r="Y54" i="27" s="1"/>
  <c r="Z53" i="27"/>
  <c r="AA53" i="27" s="1"/>
  <c r="Z55" i="27"/>
  <c r="L54" i="27"/>
  <c r="M54" i="27" s="1"/>
  <c r="D54" i="27"/>
  <c r="E54" i="27" s="1"/>
  <c r="F55" i="27"/>
  <c r="Z54" i="27"/>
  <c r="AA54" i="27" s="1"/>
  <c r="G32" i="37"/>
  <c r="G34" i="37" s="1"/>
  <c r="F23" i="38"/>
  <c r="F28" i="38" s="1"/>
  <c r="I8" i="30"/>
  <c r="I22" i="30" s="1"/>
  <c r="I27" i="30" s="1"/>
  <c r="K8" i="30"/>
  <c r="K22" i="30" s="1"/>
  <c r="K27" i="30" s="1"/>
  <c r="H23" i="38"/>
  <c r="H28" i="38" s="1"/>
  <c r="K25" i="30"/>
  <c r="J26" i="30"/>
  <c r="F20" i="21"/>
  <c r="F22" i="21" s="1"/>
  <c r="F18" i="21"/>
  <c r="G19" i="21" s="1"/>
  <c r="G31" i="38"/>
  <c r="G33" i="38" s="1"/>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L102" i="27"/>
  <c r="M102" i="27" s="1"/>
  <c r="F102" i="27"/>
  <c r="G102" i="27" s="1"/>
  <c r="N102" i="27"/>
  <c r="O102" i="27" s="1"/>
  <c r="V102" i="27"/>
  <c r="W102" i="27" s="1"/>
  <c r="D102" i="27"/>
  <c r="E102" i="27" s="1"/>
  <c r="H102" i="27"/>
  <c r="I102" i="27" s="1"/>
  <c r="P102" i="27"/>
  <c r="Q102" i="27" s="1"/>
  <c r="X102" i="27"/>
  <c r="Y102" i="27" s="1"/>
  <c r="T102" i="27"/>
  <c r="U102" i="27" s="1"/>
  <c r="J102" i="27"/>
  <c r="K102" i="27" s="1"/>
  <c r="R102" i="27"/>
  <c r="S102" i="27" s="1"/>
  <c r="Z102" i="27"/>
  <c r="AA102" i="27"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V101" i="27"/>
  <c r="W101" i="27" s="1"/>
  <c r="H101" i="27"/>
  <c r="I101" i="27" s="1"/>
  <c r="P101" i="27"/>
  <c r="X101" i="27"/>
  <c r="Y101" i="27" s="1"/>
  <c r="N101" i="27"/>
  <c r="J101" i="27"/>
  <c r="K101" i="27" s="1"/>
  <c r="R101" i="27"/>
  <c r="S101" i="27" s="1"/>
  <c r="Z101" i="27"/>
  <c r="AA101" i="27" s="1"/>
  <c r="F101" i="27"/>
  <c r="G101" i="27" s="1"/>
  <c r="D101" i="27"/>
  <c r="E101" i="27" s="1"/>
  <c r="L101" i="27"/>
  <c r="T101" i="27"/>
  <c r="U101" i="27" s="1"/>
  <c r="D9" i="26"/>
  <c r="C9" i="26"/>
  <c r="B9" i="26"/>
  <c r="AB56" i="27" l="1"/>
  <c r="AB54" i="27"/>
  <c r="M53" i="27"/>
  <c r="M69" i="27"/>
  <c r="M70" i="27"/>
  <c r="M55" i="27"/>
  <c r="AA103" i="27"/>
  <c r="AA118" i="27"/>
  <c r="Q101" i="27"/>
  <c r="Q117" i="27"/>
  <c r="AA70" i="27"/>
  <c r="AA55" i="27"/>
  <c r="AA71" i="27" s="1"/>
  <c r="I70" i="27"/>
  <c r="I55" i="27"/>
  <c r="I71" i="27" s="1"/>
  <c r="K70" i="27"/>
  <c r="K55" i="27"/>
  <c r="K71" i="27" s="1"/>
  <c r="S70" i="27"/>
  <c r="S55" i="27"/>
  <c r="S71" i="27" s="1"/>
  <c r="G103" i="27"/>
  <c r="G118" i="27"/>
  <c r="Y70" i="27"/>
  <c r="Y55" i="27"/>
  <c r="Y71" i="27" s="1"/>
  <c r="W70" i="27"/>
  <c r="W55" i="27"/>
  <c r="W71" i="27" s="1"/>
  <c r="Y103" i="27"/>
  <c r="Y118" i="27"/>
  <c r="O53" i="27"/>
  <c r="O69" i="27"/>
  <c r="O103" i="27"/>
  <c r="O118" i="27"/>
  <c r="W103" i="27"/>
  <c r="W118" i="27"/>
  <c r="O70" i="27"/>
  <c r="O55" i="27"/>
  <c r="K103" i="27"/>
  <c r="K118" i="27"/>
  <c r="Q70" i="27"/>
  <c r="Q55" i="27"/>
  <c r="M101" i="27"/>
  <c r="M117" i="27"/>
  <c r="Q103" i="27"/>
  <c r="Q118" i="27"/>
  <c r="I103" i="27"/>
  <c r="I118" i="27"/>
  <c r="O101" i="27"/>
  <c r="O117" i="27"/>
  <c r="U103" i="27"/>
  <c r="U118" i="27"/>
  <c r="M103" i="27"/>
  <c r="M118" i="27"/>
  <c r="E103" i="27"/>
  <c r="E118" i="27"/>
  <c r="G70" i="27"/>
  <c r="G55" i="27"/>
  <c r="G71" i="27" s="1"/>
  <c r="U70" i="27"/>
  <c r="U55" i="27"/>
  <c r="S103" i="27"/>
  <c r="S118" i="27"/>
  <c r="E70" i="27"/>
  <c r="E55" i="27"/>
  <c r="E71" i="27" s="1"/>
  <c r="Q53" i="27"/>
  <c r="Q69" i="27"/>
  <c r="J30" i="30"/>
  <c r="J32" i="30" s="1"/>
  <c r="J28" i="30"/>
  <c r="K29" i="30" s="1"/>
  <c r="AB108" i="27"/>
  <c r="AB102" i="27"/>
  <c r="AB104" i="27"/>
  <c r="B21" i="20"/>
  <c r="D7" i="20"/>
  <c r="B7" i="20"/>
  <c r="AA119" i="27" l="1"/>
  <c r="J19" i="20"/>
  <c r="P19" i="20"/>
  <c r="V19" i="20"/>
  <c r="AB19" i="20"/>
  <c r="AH19" i="20"/>
  <c r="AN19" i="20"/>
  <c r="M19" i="20"/>
  <c r="S19" i="20"/>
  <c r="Y19" i="20"/>
  <c r="AE19" i="20"/>
  <c r="AK19" i="20"/>
  <c r="AK22" i="20" s="1"/>
  <c r="D19" i="20"/>
  <c r="C17" i="26" s="1"/>
  <c r="G19" i="20"/>
  <c r="D20" i="20"/>
  <c r="AK20" i="20"/>
  <c r="Y20" i="20"/>
  <c r="M20" i="20"/>
  <c r="P20" i="20"/>
  <c r="S20" i="20"/>
  <c r="AH20" i="20"/>
  <c r="V20" i="20"/>
  <c r="G20" i="20"/>
  <c r="AN20" i="20"/>
  <c r="AB20" i="20"/>
  <c r="AE20" i="20"/>
  <c r="J20" i="20"/>
  <c r="D21" i="20"/>
  <c r="C24" i="26" s="1"/>
  <c r="AH21" i="20"/>
  <c r="V21" i="20"/>
  <c r="J21" i="20"/>
  <c r="G21" i="20"/>
  <c r="AN21" i="20"/>
  <c r="AB21" i="20"/>
  <c r="AK21" i="20"/>
  <c r="Y21" i="20"/>
  <c r="M21" i="20"/>
  <c r="P21" i="20"/>
  <c r="AE21" i="20"/>
  <c r="S21" i="20"/>
  <c r="E119" i="27"/>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C28" i="26"/>
  <c r="C20" i="26"/>
  <c r="C27" i="26"/>
  <c r="C23" i="26"/>
  <c r="C19" i="26"/>
  <c r="C26" i="26"/>
  <c r="C22" i="26"/>
  <c r="C18" i="26"/>
  <c r="D22" i="20" l="1"/>
  <c r="AB119" i="27"/>
  <c r="J6" i="27" s="1"/>
  <c r="M11" i="21" s="1"/>
  <c r="H12" i="37" s="1"/>
  <c r="H26" i="37" s="1"/>
  <c r="H28" i="37" s="1"/>
  <c r="K11" i="21"/>
  <c r="B11" i="24"/>
  <c r="K12" i="21"/>
  <c r="B12" i="24"/>
  <c r="E30" i="26"/>
  <c r="G22" i="20"/>
  <c r="S22" i="20"/>
  <c r="V22" i="20"/>
  <c r="AE22" i="20"/>
  <c r="Y22" i="20"/>
  <c r="AH22" i="20"/>
  <c r="AB22" i="20"/>
  <c r="M22" i="20"/>
  <c r="P22" i="20"/>
  <c r="AN22" i="20"/>
  <c r="D30" i="26"/>
  <c r="C30" i="26"/>
  <c r="D11" i="24" l="1"/>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<sst xmlns="http://schemas.openxmlformats.org/spreadsheetml/2006/main" count="1057" uniqueCount="324">
  <si>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</si>
  <si>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</si>
  <si>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</si>
  <si>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</si>
  <si>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</si>
  <si>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</si>
  <si>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</si>
  <si>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</si>
  <si>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</si>
  <si>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</si>
  <si>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</si>
  <si>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</si>
  <si>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</si>
  <si>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</si>
  <si>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</si>
  <si>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</si>
  <si>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</si>
  <si>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</si>
  <si>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</si>
  <si>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</si>
  <si>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</si>
  <si>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</si>
  <si>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</si>
  <si>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</si>
  <si>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</si>
  <si>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</si>
  <si>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</si>
  <si>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</si>
  <si>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</si>
  <si>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</si>
  <si>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</si>
  <si>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</si>
  <si>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</si>
  <si>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</si>
  <si>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</si>
  <si>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</si>
  <si>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</si>
  <si>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</si>
  <si>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</si>
  <si>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</si>
  <si>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</si>
  <si>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</si>
  <si>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</si>
  <si>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</si>
  <si>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</si>
  <si>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</si>
  <si>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</si>
  <si>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</si>
  <si>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</si>
  <si>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</si>
  <si>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</si>
  <si>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</si>
  <si>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</si>
  <si>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</si>
  <si>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</si>
  <si>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2019</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</si>
  <si>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</si>
  <si>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</si>
  <si>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</si>
  <si>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</si>
  <si>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</si>
  <si>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</si>
  <si>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</si>
  <si>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</si>
  <si>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</si>
  <si>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</si>
  <si>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</si>
  <si>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</si>
  <si>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</si>
  <si>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</si>
  <si>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</si>
  <si>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</si>
  <si>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Descripción</t>
  </si>
  <si>
    <t>CONCLUSIÓN</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</si>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</sst>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 #,##0.00\ &quot;€&quot;_-;\-* #,##0.00\ &quot;€&quot;_-;_-* &quot;-&quot;??\ &quot;€&quot;_-;_-@_-"/>
    <numFmt numFmtId="164" formatCode="_-* #,##0.00\ _€_-;\-* #,##0.00\ _€_-;_-* &quot;-&quot;??\ _€_-;_-@_-"/>
    <numFmt numFmtId="165" formatCode="&quot;$&quot;\ #,##0.00;[Red]\-&quot;$&quot;\ #,##0.00"/>
    <numFmt numFmtId="166" formatCode="_-&quot;$&quot;\ * #,##0.00_-;\-&quot;$&quot;\ * #,##0.00_-;_-&quot;$&quot;\ * &quot;-&quot;??_-;_-@_-"/>
    <numFmt numFmtId="167" formatCode="0.0%"/>
    <numFmt numFmtId="168" formatCode="General_)"/>
    <numFmt numFmtId="169" formatCode="_-* #,##0\ _€_-;\-* #,##0\ _€_-;_-* &quot;-&quot;??\ _€_-;_-@_-"/>
    <numFmt numFmtId="170" formatCode="_ [$$-2C0A]\ * #,##0.00_ ;_ [$$-2C0A]\ * \-#,##0.00_ ;_ [$$-2C0A]\ * &quot;-&quot;??_ ;_ @_ "/>
    <numFmt numFmtId="171" formatCode="&quot;$&quot;\ #,##0.00"/>
    <numFmt numFmtId="172" formatCode="&quot;$&quot;#,##0.00"/>
    <numFmt numFmtId="173" formatCode="_ &quot;$&quot;\ * #,##0.00_ ;_ &quot;$&quot;\ * \-#,##0.00_ ;_ &quot;$&quot;\ * &quot;-&quot;??_ ;_ @_ "/>
    <numFmt numFmtId="174" formatCode="&quot;$&quot;#,##0;[Red]\-&quot;$&quot;#,##0"/>
    <numFmt numFmtId="175" formatCode="_ [$€-2]\ * #,##0.00_ ;_ [$€-2]\ * \-#,##0.00_ ;_ [$€-2]\ * &quot;-&quot;??_ "/>
    <numFmt numFmtId="176" formatCode="_-&quot;$&quot;* #,##0.00_-;\-&quot;$&quot;* #,##0.00_-;_-&quot;$&quot;* &quot;-&quot;??_-;_-@_-"/>
    <numFmt numFmtId="177" formatCode="[$$-2C0A]\ #,##0.00"/>
    <numFmt numFmtId="178" formatCode="[$$-2C0A]\ #,##0"/>
    <numFmt numFmtId="179" formatCode="0_ ;\-0\ "/>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s>
  <fills count="20">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s>
  <cellStyleXfs count="26">
    <xf numFmtId="0" fontId="0" fillId="0" borderId="0"/>
    <xf numFmtId="0" fontId="3" fillId="0" borderId="0" applyNumberForma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6"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3" fontId="10" fillId="0" borderId="0" applyFont="0" applyFill="0" applyBorder="0" applyAlignment="0" applyProtection="0"/>
    <xf numFmtId="175"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6"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3" fontId="10" fillId="0" borderId="0" applyFont="0" applyFill="0" applyBorder="0" applyAlignment="0" applyProtection="0"/>
    <xf numFmtId="9" fontId="10" fillId="0" borderId="0" applyFont="0" applyFill="0" applyBorder="0" applyAlignment="0" applyProtection="0"/>
    <xf numFmtId="176" fontId="10" fillId="0" borderId="0" applyFont="0" applyFill="0" applyBorder="0" applyAlignment="0" applyProtection="0"/>
  </cellStyleXfs>
  <cellXfs count="848">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4"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4" fontId="0" fillId="0" borderId="1" xfId="2" applyFont="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0" fontId="0" fillId="0" borderId="3" xfId="0" applyBorder="1"/>
    <xf numFmtId="0" fontId="0" fillId="0" borderId="0" xfId="0" applyBorder="1"/>
    <xf numFmtId="164"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6"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1" fontId="0" fillId="2" borderId="34"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9" borderId="1" xfId="0" applyNumberFormat="1" applyFont="1" applyFill="1" applyBorder="1"/>
    <xf numFmtId="0" fontId="12" fillId="9" borderId="29" xfId="0" applyFont="1" applyFill="1" applyBorder="1"/>
    <xf numFmtId="170" fontId="12" fillId="9" borderId="30" xfId="0" applyNumberFormat="1" applyFont="1" applyFill="1" applyBorder="1"/>
    <xf numFmtId="0" fontId="12" fillId="9" borderId="32" xfId="0" applyFont="1" applyFill="1" applyBorder="1"/>
    <xf numFmtId="0" fontId="12" fillId="9" borderId="34" xfId="0" applyFont="1" applyFill="1" applyBorder="1"/>
    <xf numFmtId="170" fontId="12" fillId="9" borderId="35" xfId="0" applyNumberFormat="1" applyFont="1" applyFill="1" applyBorder="1"/>
    <xf numFmtId="9" fontId="9" fillId="2" borderId="0" xfId="3" applyFont="1" applyFill="1" applyBorder="1" applyAlignment="1">
      <alignment horizontal="left" vertical="top" wrapText="1"/>
    </xf>
    <xf numFmtId="166"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164" fontId="22" fillId="6" borderId="26" xfId="2" applyFont="1" applyFill="1" applyBorder="1" applyAlignment="1">
      <alignment horizontal="center" vertical="center" wrapText="1"/>
    </xf>
    <xf numFmtId="164" fontId="12" fillId="6" borderId="44" xfId="2" applyFont="1" applyFill="1" applyBorder="1" applyAlignment="1">
      <alignment horizontal="center" wrapText="1"/>
    </xf>
    <xf numFmtId="164" fontId="22" fillId="6" borderId="45" xfId="2" applyFont="1" applyFill="1" applyBorder="1" applyAlignment="1">
      <alignment horizontal="center" vertical="center" wrapText="1"/>
    </xf>
    <xf numFmtId="0" fontId="11" fillId="7" borderId="34" xfId="0" applyFont="1" applyFill="1" applyBorder="1" applyAlignment="1">
      <alignment wrapText="1"/>
    </xf>
    <xf numFmtId="166" fontId="11" fillId="7" borderId="35" xfId="0" applyNumberFormat="1" applyFont="1" applyFill="1" applyBorder="1" applyAlignment="1">
      <alignment wrapText="1"/>
    </xf>
    <xf numFmtId="166" fontId="11" fillId="7" borderId="43" xfId="0" applyNumberFormat="1" applyFont="1" applyFill="1" applyBorder="1" applyAlignment="1">
      <alignment wrapText="1"/>
    </xf>
    <xf numFmtId="164" fontId="12" fillId="12" borderId="29" xfId="2" applyFont="1" applyFill="1" applyBorder="1" applyAlignment="1">
      <alignment horizontal="left" wrapText="1"/>
    </xf>
    <xf numFmtId="166" fontId="0" fillId="12" borderId="30" xfId="0" applyNumberFormat="1" applyFill="1" applyBorder="1" applyAlignment="1">
      <alignment wrapText="1"/>
    </xf>
    <xf numFmtId="166" fontId="0" fillId="12" borderId="46" xfId="0" applyNumberFormat="1" applyFill="1" applyBorder="1" applyAlignment="1">
      <alignment wrapText="1"/>
    </xf>
    <xf numFmtId="164" fontId="12" fillId="12" borderId="32" xfId="2" applyFont="1" applyFill="1" applyBorder="1" applyAlignment="1">
      <alignment horizontal="left" wrapText="1"/>
    </xf>
    <xf numFmtId="166" fontId="0" fillId="12" borderId="1" xfId="0" applyNumberFormat="1" applyFill="1" applyBorder="1" applyAlignment="1">
      <alignment wrapText="1"/>
    </xf>
    <xf numFmtId="166" fontId="0" fillId="12" borderId="42" xfId="0" applyNumberFormat="1" applyFill="1" applyBorder="1" applyAlignment="1">
      <alignment wrapText="1"/>
    </xf>
    <xf numFmtId="164" fontId="12" fillId="12" borderId="34" xfId="2" applyFont="1" applyFill="1" applyBorder="1" applyAlignment="1">
      <alignment horizontal="left" wrapText="1"/>
    </xf>
    <xf numFmtId="166" fontId="0" fillId="12" borderId="35" xfId="0" applyNumberFormat="1" applyFill="1" applyBorder="1" applyAlignment="1">
      <alignment wrapText="1"/>
    </xf>
    <xf numFmtId="166" fontId="0" fillId="12" borderId="43" xfId="0" applyNumberFormat="1" applyFill="1" applyBorder="1" applyAlignment="1">
      <alignment wrapText="1"/>
    </xf>
    <xf numFmtId="164" fontId="12" fillId="10" borderId="29" xfId="2" applyFont="1" applyFill="1" applyBorder="1" applyAlignment="1">
      <alignment horizontal="left" wrapText="1"/>
    </xf>
    <xf numFmtId="166" fontId="0" fillId="10" borderId="30" xfId="0" applyNumberFormat="1" applyFill="1" applyBorder="1" applyAlignment="1">
      <alignment wrapText="1"/>
    </xf>
    <xf numFmtId="166" fontId="0" fillId="10" borderId="46" xfId="0" applyNumberFormat="1" applyFill="1" applyBorder="1" applyAlignment="1">
      <alignment wrapText="1"/>
    </xf>
    <xf numFmtId="164" fontId="12" fillId="10" borderId="32" xfId="2" applyFont="1" applyFill="1" applyBorder="1" applyAlignment="1">
      <alignment horizontal="left" wrapText="1"/>
    </xf>
    <xf numFmtId="166" fontId="0" fillId="10" borderId="1" xfId="0" applyNumberFormat="1" applyFill="1" applyBorder="1" applyAlignment="1">
      <alignment wrapText="1"/>
    </xf>
    <xf numFmtId="166" fontId="0" fillId="10" borderId="42" xfId="0" applyNumberFormat="1" applyFill="1" applyBorder="1" applyAlignment="1">
      <alignment wrapText="1"/>
    </xf>
    <xf numFmtId="164" fontId="12" fillId="10" borderId="34" xfId="2" applyFont="1" applyFill="1" applyBorder="1" applyAlignment="1">
      <alignment horizontal="left" wrapText="1"/>
    </xf>
    <xf numFmtId="166" fontId="0" fillId="10" borderId="35" xfId="0" applyNumberFormat="1" applyFill="1" applyBorder="1" applyAlignment="1">
      <alignment wrapText="1"/>
    </xf>
    <xf numFmtId="166" fontId="0" fillId="10" borderId="43" xfId="0" applyNumberFormat="1" applyFill="1" applyBorder="1" applyAlignment="1">
      <alignment wrapText="1"/>
    </xf>
    <xf numFmtId="164" fontId="12" fillId="6" borderId="29" xfId="2" applyFont="1" applyFill="1" applyBorder="1" applyAlignment="1">
      <alignment horizontal="left" wrapText="1"/>
    </xf>
    <xf numFmtId="166" fontId="0" fillId="6" borderId="30" xfId="0" applyNumberFormat="1" applyFill="1" applyBorder="1" applyAlignment="1">
      <alignment wrapText="1"/>
    </xf>
    <xf numFmtId="166" fontId="0" fillId="6" borderId="46" xfId="0" applyNumberFormat="1" applyFill="1" applyBorder="1" applyAlignment="1">
      <alignment wrapText="1"/>
    </xf>
    <xf numFmtId="164" fontId="12" fillId="6" borderId="32" xfId="2" applyFont="1" applyFill="1" applyBorder="1" applyAlignment="1">
      <alignment horizontal="left" wrapText="1"/>
    </xf>
    <xf numFmtId="166" fontId="0" fillId="6" borderId="1" xfId="0" applyNumberFormat="1" applyFill="1" applyBorder="1" applyAlignment="1">
      <alignment wrapText="1"/>
    </xf>
    <xf numFmtId="166" fontId="0" fillId="6" borderId="42" xfId="0" applyNumberFormat="1" applyFill="1" applyBorder="1" applyAlignment="1">
      <alignment wrapText="1"/>
    </xf>
    <xf numFmtId="164" fontId="12" fillId="6" borderId="34" xfId="2" applyFont="1" applyFill="1" applyBorder="1" applyAlignment="1">
      <alignment horizontal="left" vertical="center" wrapText="1"/>
    </xf>
    <xf numFmtId="166" fontId="0" fillId="6" borderId="35" xfId="0" applyNumberFormat="1" applyFill="1" applyBorder="1" applyAlignment="1">
      <alignment wrapText="1"/>
    </xf>
    <xf numFmtId="166" fontId="0" fillId="6" borderId="43" xfId="0" applyNumberFormat="1" applyFill="1" applyBorder="1" applyAlignment="1">
      <alignment wrapText="1"/>
    </xf>
    <xf numFmtId="164" fontId="12" fillId="11" borderId="57" xfId="2" applyFont="1" applyFill="1" applyBorder="1" applyAlignment="1">
      <alignment horizontal="left" vertical="center" wrapText="1"/>
    </xf>
    <xf numFmtId="166" fontId="0" fillId="11" borderId="3" xfId="0" applyNumberFormat="1" applyFill="1" applyBorder="1" applyAlignment="1">
      <alignment wrapText="1"/>
    </xf>
    <xf numFmtId="166" fontId="0" fillId="11" borderId="58" xfId="0" applyNumberFormat="1" applyFill="1" applyBorder="1" applyAlignment="1">
      <alignment wrapText="1"/>
    </xf>
    <xf numFmtId="0" fontId="20" fillId="13" borderId="0" xfId="0" applyFont="1" applyFill="1" applyBorder="1" applyAlignment="1">
      <alignment horizontal="center" vertical="center"/>
    </xf>
    <xf numFmtId="0" fontId="0" fillId="13" borderId="0" xfId="0" applyFill="1" applyBorder="1"/>
    <xf numFmtId="171" fontId="0" fillId="13" borderId="0" xfId="0" applyNumberFormat="1" applyFill="1" applyBorder="1"/>
    <xf numFmtId="0" fontId="0" fillId="13" borderId="0" xfId="0" applyFont="1" applyFill="1" applyBorder="1" applyAlignment="1">
      <alignment horizontal="center" vertical="center"/>
    </xf>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9"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6" fontId="0" fillId="0" borderId="1" xfId="6" applyFont="1" applyBorder="1" applyAlignment="1">
      <alignment horizontal="center"/>
    </xf>
    <xf numFmtId="0" fontId="0" fillId="0" borderId="12" xfId="0" applyBorder="1"/>
    <xf numFmtId="166" fontId="0" fillId="0" borderId="24" xfId="6" applyFont="1" applyBorder="1" applyAlignment="1">
      <alignment horizontal="center"/>
    </xf>
    <xf numFmtId="0" fontId="0" fillId="2" borderId="48" xfId="0" applyFill="1" applyBorder="1" applyAlignment="1">
      <alignment horizontal="left"/>
    </xf>
    <xf numFmtId="0" fontId="3" fillId="2" borderId="48" xfId="1" applyFill="1" applyBorder="1" applyAlignment="1">
      <alignment horizontal="left"/>
    </xf>
    <xf numFmtId="0" fontId="0" fillId="2" borderId="48" xfId="0" applyFill="1" applyBorder="1"/>
    <xf numFmtId="166" fontId="11" fillId="5" borderId="54" xfId="6" applyFont="1" applyFill="1" applyBorder="1" applyAlignment="1">
      <alignment horizontal="center"/>
    </xf>
    <xf numFmtId="166" fontId="11" fillId="5" borderId="55" xfId="6" applyFont="1" applyFill="1" applyBorder="1" applyAlignment="1">
      <alignment horizontal="center"/>
    </xf>
    <xf numFmtId="166" fontId="11" fillId="5" borderId="64" xfId="6" applyFont="1" applyFill="1" applyBorder="1" applyAlignment="1">
      <alignment horizontal="center"/>
    </xf>
    <xf numFmtId="0" fontId="11" fillId="5" borderId="19" xfId="0" applyFont="1" applyFill="1" applyBorder="1"/>
    <xf numFmtId="166" fontId="11" fillId="5" borderId="21" xfId="6" applyFont="1" applyFill="1" applyBorder="1" applyAlignment="1">
      <alignment horizontal="center"/>
    </xf>
    <xf numFmtId="166" fontId="11" fillId="5" borderId="67" xfId="6" applyFont="1" applyFill="1" applyBorder="1" applyAlignment="1">
      <alignment horizontal="center"/>
    </xf>
    <xf numFmtId="166" fontId="11" fillId="5" borderId="50" xfId="6" applyFont="1" applyFill="1" applyBorder="1" applyAlignment="1">
      <alignment horizontal="center"/>
    </xf>
    <xf numFmtId="166" fontId="0" fillId="0" borderId="3" xfId="6" applyFont="1" applyBorder="1" applyAlignment="1">
      <alignment horizontal="center"/>
    </xf>
    <xf numFmtId="166" fontId="0" fillId="0" borderId="27" xfId="6" applyFont="1" applyBorder="1" applyAlignment="1">
      <alignment horizontal="center"/>
    </xf>
    <xf numFmtId="0" fontId="11" fillId="5" borderId="21" xfId="0" applyFont="1" applyFill="1" applyBorder="1" applyAlignment="1">
      <alignment horizontal="center"/>
    </xf>
    <xf numFmtId="0" fontId="11" fillId="5" borderId="67" xfId="0" applyFont="1" applyFill="1" applyBorder="1" applyAlignment="1">
      <alignment horizontal="center"/>
    </xf>
    <xf numFmtId="0" fontId="11" fillId="5" borderId="50" xfId="0" applyFont="1" applyFill="1" applyBorder="1" applyAlignment="1">
      <alignment horizontal="center"/>
    </xf>
    <xf numFmtId="0" fontId="11" fillId="5" borderId="7" xfId="0" applyFont="1" applyFill="1" applyBorder="1" applyAlignment="1">
      <alignment horizontal="center"/>
    </xf>
    <xf numFmtId="166" fontId="0" fillId="0" borderId="30" xfId="6" applyFont="1" applyBorder="1" applyAlignment="1">
      <alignment horizontal="center"/>
    </xf>
    <xf numFmtId="166" fontId="0" fillId="0" borderId="22" xfId="6" applyFont="1" applyBorder="1" applyAlignment="1">
      <alignment horizontal="center"/>
    </xf>
    <xf numFmtId="166" fontId="11" fillId="5" borderId="53" xfId="6" applyFont="1" applyFill="1" applyBorder="1" applyAlignment="1">
      <alignment horizontal="center"/>
    </xf>
    <xf numFmtId="0" fontId="0" fillId="2" borderId="31" xfId="0" applyFill="1" applyBorder="1" applyAlignment="1">
      <alignment horizontal="left"/>
    </xf>
    <xf numFmtId="166" fontId="0" fillId="0" borderId="35" xfId="6" applyFont="1" applyBorder="1" applyAlignment="1">
      <alignment horizontal="center"/>
    </xf>
    <xf numFmtId="166" fontId="0" fillId="0" borderId="38" xfId="6" applyFont="1" applyBorder="1" applyAlignment="1">
      <alignment horizontal="center"/>
    </xf>
    <xf numFmtId="0" fontId="0" fillId="2" borderId="56" xfId="0" applyFill="1" applyBorder="1" applyAlignment="1">
      <alignment horizontal="left"/>
    </xf>
    <xf numFmtId="166" fontId="0" fillId="0" borderId="30" xfId="6" applyFont="1" applyBorder="1" applyAlignment="1">
      <alignment horizontal="left" vertical="center"/>
    </xf>
    <xf numFmtId="166" fontId="0" fillId="0" borderId="22" xfId="6" applyFont="1" applyBorder="1" applyAlignment="1">
      <alignment horizontal="left" vertical="center"/>
    </xf>
    <xf numFmtId="166" fontId="11" fillId="5" borderId="53" xfId="6" applyFont="1" applyFill="1" applyBorder="1" applyAlignment="1">
      <alignment horizontal="left" vertical="center"/>
    </xf>
    <xf numFmtId="0" fontId="0" fillId="2" borderId="31" xfId="0" applyFill="1" applyBorder="1" applyAlignment="1">
      <alignment horizontal="left" vertical="center"/>
    </xf>
    <xf numFmtId="0" fontId="21" fillId="5" borderId="50" xfId="0" applyFont="1" applyFill="1" applyBorder="1" applyAlignment="1">
      <alignment horizontal="center"/>
    </xf>
    <xf numFmtId="166" fontId="0" fillId="0" borderId="21" xfId="6" applyFont="1" applyBorder="1" applyAlignment="1">
      <alignment horizontal="center"/>
    </xf>
    <xf numFmtId="166" fontId="0" fillId="0" borderId="67" xfId="6" applyFont="1" applyBorder="1" applyAlignment="1">
      <alignment horizontal="center"/>
    </xf>
    <xf numFmtId="0" fontId="0" fillId="2" borderId="7" xfId="0" applyFill="1" applyBorder="1" applyAlignment="1">
      <alignment horizontal="left"/>
    </xf>
    <xf numFmtId="166" fontId="11" fillId="8" borderId="50" xfId="6" applyFont="1" applyFill="1" applyBorder="1" applyAlignment="1">
      <alignment horizontal="center"/>
    </xf>
    <xf numFmtId="0" fontId="11" fillId="5" borderId="68" xfId="0" applyFont="1" applyFill="1" applyBorder="1" applyAlignment="1">
      <alignment horizontal="center"/>
    </xf>
    <xf numFmtId="166" fontId="0" fillId="0" borderId="23" xfId="6" applyFont="1" applyBorder="1" applyAlignment="1">
      <alignment horizontal="center"/>
    </xf>
    <xf numFmtId="166" fontId="0" fillId="0" borderId="2" xfId="6" applyFont="1" applyBorder="1" applyAlignment="1">
      <alignment horizontal="center"/>
    </xf>
    <xf numFmtId="166" fontId="0" fillId="0" borderId="51" xfId="6" applyFont="1" applyBorder="1" applyAlignment="1">
      <alignment horizontal="center"/>
    </xf>
    <xf numFmtId="166" fontId="0" fillId="0" borderId="23" xfId="6" applyFont="1" applyBorder="1" applyAlignment="1">
      <alignment horizontal="left" vertical="center"/>
    </xf>
    <xf numFmtId="166" fontId="0" fillId="0" borderId="68" xfId="6" applyFont="1" applyBorder="1" applyAlignment="1">
      <alignment horizontal="center"/>
    </xf>
    <xf numFmtId="166" fontId="0" fillId="0" borderId="66" xfId="6" applyFont="1" applyBorder="1" applyAlignment="1">
      <alignment horizontal="center"/>
    </xf>
    <xf numFmtId="0" fontId="0" fillId="0" borderId="31" xfId="0" applyBorder="1"/>
    <xf numFmtId="0" fontId="0" fillId="0" borderId="48" xfId="0" applyBorder="1"/>
    <xf numFmtId="0" fontId="0" fillId="2" borderId="48" xfId="0" applyFill="1" applyBorder="1" applyAlignment="1">
      <alignment wrapText="1"/>
    </xf>
    <xf numFmtId="0" fontId="0" fillId="0" borderId="56" xfId="0" applyBorder="1"/>
    <xf numFmtId="0" fontId="0" fillId="0" borderId="31"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6"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2" xfId="0" applyFill="1" applyBorder="1" applyAlignment="1">
      <alignment wrapText="1"/>
    </xf>
    <xf numFmtId="166" fontId="0" fillId="2" borderId="42" xfId="6" applyFont="1" applyFill="1" applyBorder="1" applyAlignment="1">
      <alignment horizontal="center"/>
    </xf>
    <xf numFmtId="0" fontId="0" fillId="2" borderId="34" xfId="0" applyFill="1" applyBorder="1" applyAlignment="1">
      <alignment wrapText="1"/>
    </xf>
    <xf numFmtId="0" fontId="0" fillId="2" borderId="35" xfId="0" applyFill="1" applyBorder="1" applyAlignment="1">
      <alignment horizontal="center"/>
    </xf>
    <xf numFmtId="166" fontId="0" fillId="2" borderId="35" xfId="6" applyFont="1" applyFill="1" applyBorder="1" applyAlignment="1">
      <alignment horizontal="center"/>
    </xf>
    <xf numFmtId="166" fontId="0" fillId="2" borderId="43" xfId="6" applyFont="1" applyFill="1" applyBorder="1" applyAlignment="1">
      <alignment horizontal="center"/>
    </xf>
    <xf numFmtId="0" fontId="12" fillId="5" borderId="19" xfId="0" applyFont="1" applyFill="1" applyBorder="1" applyAlignment="1">
      <alignment horizontal="center" vertical="center"/>
    </xf>
    <xf numFmtId="0" fontId="12" fillId="5" borderId="57" xfId="0" applyFont="1" applyFill="1" applyBorder="1" applyAlignment="1">
      <alignment horizontal="center" vertical="center" wrapText="1"/>
    </xf>
    <xf numFmtId="0" fontId="12" fillId="5" borderId="58" xfId="0" applyFont="1" applyFill="1" applyBorder="1" applyAlignment="1">
      <alignment horizontal="center" vertical="center"/>
    </xf>
    <xf numFmtId="0" fontId="12" fillId="2" borderId="0" xfId="0" applyFont="1" applyFill="1" applyBorder="1" applyAlignment="1">
      <alignment horizontal="center" vertical="center"/>
    </xf>
    <xf numFmtId="166" fontId="0" fillId="2" borderId="0" xfId="6" applyFont="1" applyFill="1" applyBorder="1" applyAlignment="1">
      <alignment horizontal="center"/>
    </xf>
    <xf numFmtId="166" fontId="0" fillId="2" borderId="0" xfId="0" applyNumberFormat="1" applyFill="1" applyBorder="1"/>
    <xf numFmtId="0" fontId="12" fillId="2" borderId="0" xfId="0" applyFont="1" applyFill="1" applyBorder="1"/>
    <xf numFmtId="166" fontId="11" fillId="8" borderId="20" xfId="0" applyNumberFormat="1" applyFont="1" applyFill="1" applyBorder="1"/>
    <xf numFmtId="0" fontId="12" fillId="6" borderId="57"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58"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3" xfId="0" applyNumberFormat="1" applyBorder="1" applyAlignment="1">
      <alignment horizontal="center"/>
    </xf>
    <xf numFmtId="1" fontId="0" fillId="0" borderId="2" xfId="0" applyNumberFormat="1" applyBorder="1" applyAlignment="1">
      <alignment horizontal="center"/>
    </xf>
    <xf numFmtId="172" fontId="0" fillId="0" borderId="58" xfId="0" applyNumberFormat="1" applyBorder="1" applyAlignment="1">
      <alignment horizontal="center"/>
    </xf>
    <xf numFmtId="0" fontId="0" fillId="0" borderId="32" xfId="0" applyBorder="1" applyAlignment="1">
      <alignment horizontal="left" vertical="center"/>
    </xf>
    <xf numFmtId="172" fontId="0" fillId="0" borderId="42" xfId="0" applyNumberFormat="1" applyBorder="1" applyAlignment="1">
      <alignment horizontal="center"/>
    </xf>
    <xf numFmtId="0" fontId="0" fillId="0" borderId="32" xfId="0" applyBorder="1" applyAlignment="1">
      <alignment horizontal="left" vertical="center" wrapText="1"/>
    </xf>
    <xf numFmtId="0" fontId="11" fillId="5" borderId="40" xfId="0" applyFont="1" applyFill="1" applyBorder="1" applyAlignment="1">
      <alignment horizontal="center"/>
    </xf>
    <xf numFmtId="0" fontId="11" fillId="5" borderId="33" xfId="0" applyFont="1" applyFill="1" applyBorder="1" applyAlignment="1">
      <alignment horizontal="center"/>
    </xf>
    <xf numFmtId="0" fontId="11" fillId="5" borderId="66" xfId="0" applyFont="1" applyFill="1" applyBorder="1" applyAlignment="1">
      <alignment horizontal="center"/>
    </xf>
    <xf numFmtId="0" fontId="11" fillId="5" borderId="59" xfId="0" applyFont="1" applyFill="1" applyBorder="1" applyAlignment="1">
      <alignment horizontal="center"/>
    </xf>
    <xf numFmtId="0" fontId="11" fillId="5" borderId="28" xfId="0" applyFont="1" applyFill="1" applyBorder="1" applyAlignment="1">
      <alignment horizontal="center"/>
    </xf>
    <xf numFmtId="0" fontId="0" fillId="0" borderId="29" xfId="0" applyBorder="1" applyAlignment="1">
      <alignment horizontal="left" vertical="center"/>
    </xf>
    <xf numFmtId="172" fontId="0" fillId="0" borderId="46" xfId="0" applyNumberFormat="1" applyBorder="1" applyAlignment="1">
      <alignment horizontal="center"/>
    </xf>
    <xf numFmtId="1" fontId="0" fillId="0" borderId="23" xfId="0" applyNumberFormat="1" applyBorder="1" applyAlignment="1">
      <alignment horizontal="center"/>
    </xf>
    <xf numFmtId="0" fontId="0" fillId="0" borderId="34" xfId="0" applyBorder="1" applyAlignment="1">
      <alignment horizontal="left" vertical="center"/>
    </xf>
    <xf numFmtId="172" fontId="0" fillId="0" borderId="43" xfId="0" applyNumberFormat="1" applyBorder="1" applyAlignment="1">
      <alignment horizontal="center"/>
    </xf>
    <xf numFmtId="1" fontId="0" fillId="0" borderId="51"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2" fontId="0" fillId="0" borderId="20" xfId="0" applyNumberFormat="1" applyBorder="1" applyAlignment="1">
      <alignment horizontal="center"/>
    </xf>
    <xf numFmtId="1" fontId="0" fillId="0" borderId="68" xfId="0" applyNumberFormat="1" applyBorder="1" applyAlignment="1">
      <alignment horizontal="center"/>
    </xf>
    <xf numFmtId="0" fontId="0" fillId="0" borderId="34" xfId="0" applyBorder="1" applyAlignment="1">
      <alignment horizontal="left" vertical="center" wrapText="1"/>
    </xf>
    <xf numFmtId="172" fontId="0" fillId="13" borderId="43" xfId="0" applyNumberFormat="1" applyFill="1" applyBorder="1" applyAlignment="1">
      <alignment horizontal="center"/>
    </xf>
    <xf numFmtId="1" fontId="0" fillId="13" borderId="51" xfId="0" applyNumberFormat="1" applyFill="1" applyBorder="1" applyAlignment="1">
      <alignment horizontal="center"/>
    </xf>
    <xf numFmtId="0" fontId="0" fillId="13" borderId="12" xfId="0" applyFill="1" applyBorder="1"/>
    <xf numFmtId="0" fontId="0" fillId="13" borderId="11" xfId="0" applyFill="1" applyBorder="1"/>
    <xf numFmtId="166" fontId="0" fillId="0" borderId="36" xfId="6" applyFont="1" applyBorder="1" applyAlignment="1">
      <alignment horizontal="center"/>
    </xf>
    <xf numFmtId="172" fontId="0" fillId="13" borderId="20" xfId="0" applyNumberFormat="1" applyFill="1" applyBorder="1" applyAlignment="1">
      <alignment horizontal="center"/>
    </xf>
    <xf numFmtId="1" fontId="0" fillId="13" borderId="68" xfId="0" applyNumberFormat="1" applyFill="1" applyBorder="1" applyAlignment="1">
      <alignment horizontal="center"/>
    </xf>
    <xf numFmtId="0" fontId="0" fillId="0" borderId="57" xfId="0" applyBorder="1"/>
    <xf numFmtId="0" fontId="0" fillId="0" borderId="32" xfId="0" applyBorder="1"/>
    <xf numFmtId="173" fontId="11" fillId="8" borderId="6" xfId="0" applyNumberFormat="1" applyFont="1" applyFill="1" applyBorder="1"/>
    <xf numFmtId="0" fontId="11" fillId="6" borderId="15" xfId="0" applyFont="1" applyFill="1" applyBorder="1" applyAlignment="1">
      <alignment horizontal="center"/>
    </xf>
    <xf numFmtId="166" fontId="0" fillId="6" borderId="53" xfId="0" applyNumberFormat="1" applyFill="1" applyBorder="1"/>
    <xf numFmtId="166" fontId="0" fillId="6" borderId="54" xfId="0" applyNumberFormat="1" applyFill="1" applyBorder="1"/>
    <xf numFmtId="166" fontId="0" fillId="6" borderId="55" xfId="0" applyNumberFormat="1" applyFill="1" applyBorder="1"/>
    <xf numFmtId="166" fontId="0" fillId="6" borderId="50" xfId="0" applyNumberFormat="1" applyFill="1" applyBorder="1"/>
    <xf numFmtId="166" fontId="0" fillId="6" borderId="65" xfId="0" applyNumberFormat="1" applyFill="1" applyBorder="1"/>
    <xf numFmtId="173" fontId="0" fillId="6" borderId="70" xfId="0" applyNumberFormat="1" applyFill="1" applyBorder="1"/>
    <xf numFmtId="173" fontId="0" fillId="6" borderId="36" xfId="0" applyNumberFormat="1" applyFill="1" applyBorder="1"/>
    <xf numFmtId="1" fontId="0" fillId="0" borderId="30" xfId="0" applyNumberFormat="1" applyBorder="1" applyAlignment="1">
      <alignment horizontal="center"/>
    </xf>
    <xf numFmtId="1" fontId="0" fillId="0" borderId="35" xfId="0" applyNumberFormat="1" applyBorder="1" applyAlignment="1">
      <alignment horizontal="center"/>
    </xf>
    <xf numFmtId="1" fontId="0" fillId="0" borderId="21" xfId="0" applyNumberFormat="1" applyBorder="1" applyAlignment="1">
      <alignment horizontal="center"/>
    </xf>
    <xf numFmtId="1" fontId="0" fillId="13" borderId="35" xfId="0" applyNumberFormat="1" applyFill="1" applyBorder="1" applyAlignment="1">
      <alignment horizontal="center"/>
    </xf>
    <xf numFmtId="1" fontId="0" fillId="13" borderId="21" xfId="0" applyNumberFormat="1" applyFill="1" applyBorder="1" applyAlignment="1">
      <alignment horizontal="center"/>
    </xf>
    <xf numFmtId="1" fontId="0" fillId="13" borderId="11" xfId="0" applyNumberFormat="1" applyFill="1" applyBorder="1"/>
    <xf numFmtId="1" fontId="0" fillId="0" borderId="71" xfId="0" applyNumberFormat="1" applyBorder="1" applyAlignment="1">
      <alignment horizontal="center"/>
    </xf>
    <xf numFmtId="1" fontId="0" fillId="0" borderId="36" xfId="0" applyNumberFormat="1" applyBorder="1" applyAlignment="1">
      <alignment horizontal="center"/>
    </xf>
    <xf numFmtId="166" fontId="0" fillId="0" borderId="70" xfId="6" applyFont="1" applyBorder="1" applyAlignment="1">
      <alignment horizontal="center"/>
    </xf>
    <xf numFmtId="166" fontId="0" fillId="6" borderId="6" xfId="0" applyNumberFormat="1" applyFill="1" applyBorder="1"/>
    <xf numFmtId="0" fontId="11" fillId="5" borderId="15" xfId="0" applyFont="1" applyFill="1" applyBorder="1" applyAlignment="1">
      <alignment horizontal="center" vertical="center" wrapText="1"/>
    </xf>
    <xf numFmtId="0" fontId="0" fillId="0" borderId="41" xfId="0" applyBorder="1" applyAlignment="1">
      <alignment horizontal="left" vertical="center"/>
    </xf>
    <xf numFmtId="172" fontId="0" fillId="0" borderId="37" xfId="0" applyNumberFormat="1" applyBorder="1" applyAlignment="1">
      <alignment horizontal="center"/>
    </xf>
    <xf numFmtId="0" fontId="12" fillId="6" borderId="3" xfId="0" applyFont="1" applyFill="1" applyBorder="1" applyAlignment="1">
      <alignment horizontal="center" vertical="center" wrapText="1"/>
    </xf>
    <xf numFmtId="10" fontId="12" fillId="6" borderId="59" xfId="0" applyNumberFormat="1" applyFont="1" applyFill="1" applyBorder="1" applyAlignment="1">
      <alignment horizontal="center" vertical="center"/>
    </xf>
    <xf numFmtId="9" fontId="12" fillId="6" borderId="59"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3" xfId="0" applyFont="1" applyFill="1" applyBorder="1" applyAlignment="1">
      <alignment horizontal="center" vertical="center"/>
    </xf>
    <xf numFmtId="10" fontId="12" fillId="6" borderId="66" xfId="0" applyNumberFormat="1" applyFont="1" applyFill="1" applyBorder="1" applyAlignment="1">
      <alignment horizontal="center" vertical="center"/>
    </xf>
    <xf numFmtId="166" fontId="0" fillId="0" borderId="20" xfId="6" applyFont="1" applyBorder="1" applyAlignment="1">
      <alignment horizontal="left" vertical="center"/>
    </xf>
    <xf numFmtId="166" fontId="0" fillId="2" borderId="46" xfId="6" applyFont="1" applyFill="1" applyBorder="1"/>
    <xf numFmtId="166" fontId="0" fillId="2" borderId="42" xfId="6" applyFont="1" applyFill="1" applyBorder="1"/>
    <xf numFmtId="166" fontId="0" fillId="2" borderId="43" xfId="6" applyFont="1" applyFill="1" applyBorder="1"/>
    <xf numFmtId="166" fontId="11" fillId="6" borderId="50" xfId="6" applyFont="1" applyFill="1" applyBorder="1"/>
    <xf numFmtId="166" fontId="11" fillId="6" borderId="53" xfId="6" applyFont="1" applyFill="1" applyBorder="1"/>
    <xf numFmtId="166" fontId="11" fillId="6" borderId="54" xfId="6" applyFont="1" applyFill="1" applyBorder="1"/>
    <xf numFmtId="166"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6" fontId="0" fillId="0" borderId="50" xfId="6" applyFont="1" applyBorder="1" applyAlignment="1">
      <alignment horizontal="center"/>
    </xf>
    <xf numFmtId="166" fontId="0" fillId="0" borderId="53" xfId="6" applyFont="1" applyBorder="1" applyAlignment="1">
      <alignment horizontal="center"/>
    </xf>
    <xf numFmtId="166" fontId="0" fillId="0" borderId="54" xfId="6" applyFont="1" applyBorder="1" applyAlignment="1">
      <alignment horizontal="center"/>
    </xf>
    <xf numFmtId="166" fontId="0" fillId="0" borderId="55" xfId="6" applyFont="1" applyBorder="1" applyAlignment="1">
      <alignment horizontal="center"/>
    </xf>
    <xf numFmtId="166" fontId="0" fillId="2" borderId="33" xfId="6" applyFont="1" applyFill="1" applyBorder="1"/>
    <xf numFmtId="0" fontId="12" fillId="6" borderId="1" xfId="0" applyFont="1" applyFill="1" applyBorder="1" applyAlignment="1">
      <alignment horizontal="center" vertical="center"/>
    </xf>
    <xf numFmtId="172"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4" xfId="0" applyNumberFormat="1" applyBorder="1" applyAlignment="1">
      <alignment horizontal="center"/>
    </xf>
    <xf numFmtId="171" fontId="0" fillId="0" borderId="35" xfId="0" applyNumberFormat="1" applyBorder="1" applyAlignment="1">
      <alignment horizontal="center"/>
    </xf>
    <xf numFmtId="171" fontId="0" fillId="0" borderId="43" xfId="0" applyNumberFormat="1" applyBorder="1" applyAlignment="1">
      <alignment horizontal="center"/>
    </xf>
    <xf numFmtId="0" fontId="11" fillId="6" borderId="57" xfId="0" applyFont="1" applyFill="1" applyBorder="1" applyAlignment="1">
      <alignment horizontal="center"/>
    </xf>
    <xf numFmtId="0" fontId="11" fillId="6" borderId="3" xfId="0" applyFont="1" applyFill="1" applyBorder="1" applyAlignment="1">
      <alignment horizontal="center"/>
    </xf>
    <xf numFmtId="0" fontId="11" fillId="6" borderId="58" xfId="0" applyFont="1" applyFill="1" applyBorder="1" applyAlignment="1">
      <alignment horizontal="center"/>
    </xf>
    <xf numFmtId="171" fontId="0" fillId="0" borderId="3" xfId="0" applyNumberFormat="1" applyBorder="1" applyAlignment="1">
      <alignment horizontal="center"/>
    </xf>
    <xf numFmtId="0" fontId="0" fillId="0" borderId="32" xfId="0" applyBorder="1" applyAlignment="1">
      <alignment vertical="center"/>
    </xf>
    <xf numFmtId="171"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2" fontId="11" fillId="6" borderId="35" xfId="0" applyNumberFormat="1" applyFont="1" applyFill="1" applyBorder="1" applyAlignment="1">
      <alignment horizontal="center"/>
    </xf>
    <xf numFmtId="171" fontId="11" fillId="8" borderId="43" xfId="0" applyNumberFormat="1" applyFont="1" applyFill="1" applyBorder="1"/>
    <xf numFmtId="0" fontId="12" fillId="6" borderId="32" xfId="0" applyFont="1" applyFill="1" applyBorder="1" applyAlignment="1">
      <alignment horizontal="center" vertical="center"/>
    </xf>
    <xf numFmtId="171" fontId="11" fillId="8"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1" fontId="11" fillId="8" borderId="50" xfId="0" applyNumberFormat="1" applyFont="1" applyFill="1" applyBorder="1" applyAlignment="1">
      <alignment horizontal="center"/>
    </xf>
    <xf numFmtId="171" fontId="0" fillId="0" borderId="59" xfId="0" applyNumberFormat="1" applyBorder="1" applyAlignment="1">
      <alignment horizontal="center"/>
    </xf>
    <xf numFmtId="0" fontId="12" fillId="6" borderId="57" xfId="0" applyFont="1" applyFill="1" applyBorder="1" applyAlignment="1">
      <alignment horizontal="center"/>
    </xf>
    <xf numFmtId="0" fontId="12" fillId="6" borderId="3" xfId="0" applyFont="1" applyFill="1" applyBorder="1" applyAlignment="1">
      <alignment horizontal="center"/>
    </xf>
    <xf numFmtId="0" fontId="12" fillId="6" borderId="58"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2" xfId="0" applyNumberFormat="1" applyBorder="1" applyAlignment="1">
      <alignment horizontal="center"/>
    </xf>
    <xf numFmtId="171" fontId="0" fillId="0" borderId="33" xfId="0" applyNumberFormat="1" applyBorder="1" applyAlignment="1">
      <alignment horizontal="center"/>
    </xf>
    <xf numFmtId="0" fontId="0" fillId="0" borderId="1" xfId="0" applyBorder="1" applyAlignment="1">
      <alignment horizontal="center" vertical="center"/>
    </xf>
    <xf numFmtId="0" fontId="0" fillId="0" borderId="63" xfId="0" applyBorder="1" applyAlignment="1">
      <alignment horizontal="center"/>
    </xf>
    <xf numFmtId="0" fontId="0" fillId="0" borderId="2" xfId="0" applyBorder="1" applyAlignment="1">
      <alignment vertical="center"/>
    </xf>
    <xf numFmtId="171" fontId="0" fillId="14"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4"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2" xfId="0" applyNumberFormat="1" applyFill="1" applyBorder="1" applyAlignment="1">
      <alignment horizontal="center"/>
    </xf>
    <xf numFmtId="171" fontId="0" fillId="14" borderId="42" xfId="0" applyNumberFormat="1" applyFill="1" applyBorder="1" applyAlignment="1">
      <alignment horizontal="center"/>
    </xf>
    <xf numFmtId="171" fontId="0" fillId="14" borderId="32" xfId="0" applyNumberFormat="1" applyFill="1" applyBorder="1" applyAlignment="1">
      <alignment horizontal="center"/>
    </xf>
    <xf numFmtId="171" fontId="0" fillId="8" borderId="42" xfId="0" applyNumberFormat="1" applyFill="1" applyBorder="1" applyAlignment="1">
      <alignment horizontal="center"/>
    </xf>
    <xf numFmtId="171" fontId="0" fillId="14" borderId="34" xfId="0" applyNumberFormat="1" applyFill="1" applyBorder="1" applyAlignment="1">
      <alignment horizontal="center"/>
    </xf>
    <xf numFmtId="171" fontId="0" fillId="14" borderId="35" xfId="0" applyNumberFormat="1" applyFill="1" applyBorder="1" applyAlignment="1">
      <alignment horizontal="center"/>
    </xf>
    <xf numFmtId="171" fontId="0" fillId="8" borderId="43" xfId="0" applyNumberFormat="1" applyFill="1" applyBorder="1" applyAlignment="1">
      <alignment horizontal="center"/>
    </xf>
    <xf numFmtId="171" fontId="0" fillId="8" borderId="32" xfId="0" applyNumberFormat="1" applyFill="1" applyBorder="1"/>
    <xf numFmtId="171" fontId="0" fillId="8" borderId="42" xfId="0" applyNumberFormat="1" applyFill="1" applyBorder="1"/>
    <xf numFmtId="171" fontId="0" fillId="14" borderId="32" xfId="0" applyNumberFormat="1" applyFill="1" applyBorder="1"/>
    <xf numFmtId="171" fontId="0" fillId="14" borderId="42" xfId="0" applyNumberFormat="1" applyFill="1" applyBorder="1"/>
    <xf numFmtId="171" fontId="0" fillId="14" borderId="34" xfId="0" applyNumberFormat="1" applyFill="1" applyBorder="1"/>
    <xf numFmtId="171" fontId="0" fillId="14" borderId="35" xfId="0" applyNumberFormat="1" applyFill="1" applyBorder="1"/>
    <xf numFmtId="171" fontId="0" fillId="14" borderId="43"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1" fontId="0" fillId="0" borderId="30" xfId="0" applyNumberFormat="1" applyBorder="1" applyAlignment="1">
      <alignment horizontal="center"/>
    </xf>
    <xf numFmtId="0" fontId="0" fillId="0" borderId="22" xfId="0" applyBorder="1" applyAlignment="1">
      <alignment horizontal="center"/>
    </xf>
    <xf numFmtId="171" fontId="0" fillId="8" borderId="29" xfId="0" applyNumberFormat="1" applyFill="1" applyBorder="1" applyAlignment="1">
      <alignment horizontal="center"/>
    </xf>
    <xf numFmtId="171" fontId="0" fillId="14" borderId="30" xfId="0" applyNumberFormat="1" applyFill="1" applyBorder="1" applyAlignment="1">
      <alignment horizontal="center"/>
    </xf>
    <xf numFmtId="171" fontId="0" fillId="14" borderId="46" xfId="0" applyNumberFormat="1" applyFill="1" applyBorder="1" applyAlignment="1">
      <alignment horizontal="center"/>
    </xf>
    <xf numFmtId="171" fontId="0" fillId="8" borderId="29" xfId="0" applyNumberFormat="1" applyFill="1" applyBorder="1"/>
    <xf numFmtId="171" fontId="0" fillId="8"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1" fontId="0" fillId="8" borderId="30" xfId="0" applyNumberFormat="1" applyFill="1" applyBorder="1"/>
    <xf numFmtId="171" fontId="0" fillId="8" borderId="35" xfId="0" applyNumberFormat="1" applyFill="1" applyBorder="1" applyAlignment="1">
      <alignment horizontal="center"/>
    </xf>
    <xf numFmtId="171" fontId="0" fillId="14" borderId="43" xfId="0" applyNumberFormat="1" applyFill="1" applyBorder="1" applyAlignment="1">
      <alignment horizontal="center"/>
    </xf>
    <xf numFmtId="171" fontId="0" fillId="8" borderId="43" xfId="0" applyNumberFormat="1" applyFill="1" applyBorder="1"/>
    <xf numFmtId="0" fontId="0" fillId="0" borderId="70"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1" fontId="12" fillId="8" borderId="68" xfId="0" applyNumberFormat="1" applyFont="1" applyFill="1" applyBorder="1"/>
    <xf numFmtId="0" fontId="0" fillId="0" borderId="2" xfId="0" applyBorder="1" applyAlignment="1">
      <alignment horizontal="center"/>
    </xf>
    <xf numFmtId="0" fontId="0" fillId="0" borderId="42" xfId="0" applyBorder="1"/>
    <xf numFmtId="171" fontId="0" fillId="0" borderId="58" xfId="0" applyNumberFormat="1" applyBorder="1" applyAlignment="1">
      <alignment horizontal="center"/>
    </xf>
    <xf numFmtId="0" fontId="11" fillId="6" borderId="68"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6" xfId="0" applyBorder="1" applyAlignment="1">
      <alignment horizontal="center"/>
    </xf>
    <xf numFmtId="0" fontId="0" fillId="8" borderId="68"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2" xfId="0" applyNumberFormat="1" applyBorder="1" applyAlignment="1">
      <alignment horizontal="center"/>
    </xf>
    <xf numFmtId="171" fontId="0" fillId="0" borderId="26" xfId="0" applyNumberFormat="1" applyBorder="1" applyAlignment="1">
      <alignment horizontal="center"/>
    </xf>
    <xf numFmtId="171" fontId="0" fillId="0" borderId="45" xfId="0" applyNumberFormat="1" applyBorder="1" applyAlignment="1">
      <alignment horizontal="center"/>
    </xf>
    <xf numFmtId="165" fontId="0" fillId="2" borderId="0" xfId="0" applyNumberFormat="1" applyFill="1"/>
    <xf numFmtId="171" fontId="11" fillId="8" borderId="29" xfId="0" applyNumberFormat="1" applyFont="1" applyFill="1" applyBorder="1"/>
    <xf numFmtId="9" fontId="11" fillId="11" borderId="46" xfId="0" applyNumberFormat="1" applyFont="1" applyFill="1" applyBorder="1" applyAlignment="1">
      <alignment horizontal="center"/>
    </xf>
    <xf numFmtId="171" fontId="11" fillId="8" borderId="32" xfId="0" applyNumberFormat="1" applyFont="1" applyFill="1" applyBorder="1"/>
    <xf numFmtId="174" fontId="11" fillId="11" borderId="42" xfId="0" applyNumberFormat="1" applyFont="1" applyFill="1" applyBorder="1" applyAlignment="1">
      <alignment horizontal="center"/>
    </xf>
    <xf numFmtId="171" fontId="11" fillId="8" borderId="34" xfId="0" applyNumberFormat="1" applyFont="1" applyFill="1" applyBorder="1"/>
    <xf numFmtId="9" fontId="11" fillId="11" borderId="43" xfId="0" applyNumberFormat="1" applyFont="1" applyFill="1" applyBorder="1" applyAlignment="1">
      <alignment horizontal="center"/>
    </xf>
    <xf numFmtId="171" fontId="0" fillId="8" borderId="68" xfId="0" applyNumberFormat="1" applyFill="1" applyBorder="1" applyAlignment="1">
      <alignment horizontal="center"/>
    </xf>
    <xf numFmtId="166"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4"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2" xfId="0" applyNumberFormat="1" applyFont="1" applyFill="1" applyBorder="1" applyAlignment="1">
      <alignment horizontal="center"/>
    </xf>
    <xf numFmtId="171"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5"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4"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8"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3"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4" xfId="0" applyFont="1" applyFill="1" applyBorder="1" applyAlignment="1">
      <alignment horizontal="center" vertical="center"/>
    </xf>
    <xf numFmtId="0" fontId="0" fillId="2" borderId="66" xfId="0" applyFill="1" applyBorder="1" applyAlignment="1">
      <alignment horizontal="left" vertical="center" wrapText="1"/>
    </xf>
    <xf numFmtId="0" fontId="0" fillId="2" borderId="59" xfId="0" applyFill="1" applyBorder="1" applyAlignment="1">
      <alignment horizontal="left" vertical="center" wrapText="1"/>
    </xf>
    <xf numFmtId="0" fontId="0" fillId="2" borderId="59" xfId="0" applyFill="1" applyBorder="1" applyAlignment="1">
      <alignment horizontal="center" vertical="center"/>
    </xf>
    <xf numFmtId="0" fontId="0" fillId="2" borderId="33" xfId="0" applyFill="1" applyBorder="1" applyAlignment="1">
      <alignment horizontal="center" vertical="center"/>
    </xf>
    <xf numFmtId="0" fontId="11" fillId="5" borderId="65"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8"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2"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57" xfId="0" applyNumberFormat="1" applyFill="1" applyBorder="1"/>
    <xf numFmtId="9" fontId="0" fillId="2" borderId="58" xfId="0" applyNumberFormat="1" applyFill="1" applyBorder="1" applyAlignment="1">
      <alignment horizontal="center"/>
    </xf>
    <xf numFmtId="171" fontId="0" fillId="5" borderId="32" xfId="0" applyNumberFormat="1" applyFill="1" applyBorder="1"/>
    <xf numFmtId="174" fontId="0" fillId="2" borderId="42" xfId="0" applyNumberFormat="1" applyFill="1" applyBorder="1" applyAlignment="1">
      <alignment horizontal="center"/>
    </xf>
    <xf numFmtId="171" fontId="0" fillId="5" borderId="34" xfId="0" applyNumberFormat="1" applyFill="1" applyBorder="1"/>
    <xf numFmtId="167"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4" fontId="0" fillId="2" borderId="0" xfId="2" applyFont="1" applyFill="1"/>
    <xf numFmtId="0" fontId="24" fillId="16" borderId="50" xfId="0" applyFont="1" applyFill="1" applyBorder="1" applyAlignment="1">
      <alignment horizontal="center"/>
    </xf>
    <xf numFmtId="171" fontId="11" fillId="17" borderId="1" xfId="0" applyNumberFormat="1" applyFont="1" applyFill="1" applyBorder="1" applyAlignment="1">
      <alignment horizontal="center" vertical="center"/>
    </xf>
    <xf numFmtId="171" fontId="11" fillId="12" borderId="1" xfId="0" applyNumberFormat="1" applyFont="1" applyFill="1" applyBorder="1" applyAlignment="1">
      <alignment horizontal="center" vertical="center"/>
    </xf>
    <xf numFmtId="171" fontId="11" fillId="16" borderId="1" xfId="0" applyNumberFormat="1" applyFont="1" applyFill="1" applyBorder="1" applyAlignment="1">
      <alignment horizontal="center" vertical="center"/>
    </xf>
    <xf numFmtId="0" fontId="0" fillId="0" borderId="0" xfId="0" applyFill="1"/>
    <xf numFmtId="0" fontId="0" fillId="18" borderId="0" xfId="0" applyFill="1"/>
    <xf numFmtId="0" fontId="0" fillId="19" borderId="0" xfId="0" applyFill="1"/>
    <xf numFmtId="0" fontId="15" fillId="18" borderId="0" xfId="0" applyFont="1" applyFill="1" applyAlignment="1">
      <alignment vertical="center"/>
    </xf>
    <xf numFmtId="0" fontId="5" fillId="18" borderId="0" xfId="0" applyFont="1" applyFill="1" applyAlignment="1">
      <alignment vertical="center"/>
    </xf>
    <xf numFmtId="0" fontId="15" fillId="19" borderId="0" xfId="0" applyFont="1" applyFill="1" applyAlignment="1">
      <alignment vertical="center"/>
    </xf>
    <xf numFmtId="0" fontId="5" fillId="19" borderId="0" xfId="0" applyFont="1" applyFill="1" applyAlignment="1">
      <alignment vertical="center"/>
    </xf>
    <xf numFmtId="0" fontId="6" fillId="19" borderId="0" xfId="0" applyFont="1" applyFill="1" applyAlignment="1">
      <alignment vertical="center"/>
    </xf>
    <xf numFmtId="0" fontId="7" fillId="16" borderId="75" xfId="1" applyFont="1" applyFill="1" applyBorder="1" applyAlignment="1">
      <alignment horizontal="center" vertical="center"/>
    </xf>
    <xf numFmtId="0" fontId="7" fillId="16" borderId="76" xfId="1" applyFont="1" applyFill="1" applyBorder="1" applyAlignment="1">
      <alignment horizontal="center" vertical="center"/>
    </xf>
    <xf numFmtId="0" fontId="7" fillId="16" borderId="77"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6" borderId="74" xfId="0" applyFont="1" applyFill="1" applyBorder="1" applyAlignment="1">
      <alignment horizontal="center"/>
    </xf>
    <xf numFmtId="0" fontId="0" fillId="16" borderId="0" xfId="0" applyFill="1"/>
    <xf numFmtId="0" fontId="0" fillId="16" borderId="78" xfId="0" applyFill="1" applyBorder="1"/>
    <xf numFmtId="0" fontId="0" fillId="16" borderId="79" xfId="0" applyFill="1" applyBorder="1"/>
    <xf numFmtId="0" fontId="15" fillId="16" borderId="79" xfId="0" applyFont="1" applyFill="1" applyBorder="1" applyAlignment="1">
      <alignment horizontal="center" vertical="center"/>
    </xf>
    <xf numFmtId="0" fontId="16" fillId="16" borderId="79"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90" xfId="0" applyFont="1" applyFill="1" applyBorder="1" applyAlignment="1">
      <alignment horizontal="left" vertical="top" wrapText="1"/>
    </xf>
    <xf numFmtId="166" fontId="9" fillId="2" borderId="91" xfId="0" applyNumberFormat="1" applyFont="1" applyFill="1" applyBorder="1" applyAlignment="1">
      <alignment horizontal="left" vertical="top" wrapText="1"/>
    </xf>
    <xf numFmtId="0" fontId="9" fillId="2" borderId="92" xfId="0" applyFont="1" applyFill="1" applyBorder="1" applyAlignment="1">
      <alignment horizontal="left" vertical="top" wrapText="1"/>
    </xf>
    <xf numFmtId="166" fontId="9" fillId="2" borderId="93" xfId="0" applyNumberFormat="1" applyFont="1" applyFill="1" applyBorder="1" applyAlignment="1">
      <alignment horizontal="left" vertical="top" wrapText="1"/>
    </xf>
    <xf numFmtId="0" fontId="9" fillId="2" borderId="94" xfId="0" applyFont="1" applyFill="1" applyBorder="1" applyAlignment="1">
      <alignment horizontal="left" vertical="top" wrapText="1"/>
    </xf>
    <xf numFmtId="9" fontId="9" fillId="2" borderId="95" xfId="3" applyFont="1" applyFill="1" applyBorder="1" applyAlignment="1">
      <alignment horizontal="left" vertical="top" wrapText="1"/>
    </xf>
    <xf numFmtId="166" fontId="9" fillId="2" borderId="96" xfId="0" applyNumberFormat="1" applyFont="1" applyFill="1" applyBorder="1" applyAlignment="1">
      <alignment horizontal="left" vertical="top" wrapText="1"/>
    </xf>
    <xf numFmtId="0" fontId="21" fillId="9" borderId="87" xfId="0" applyFont="1" applyFill="1" applyBorder="1" applyAlignment="1">
      <alignment horizontal="left" vertical="top" wrapText="1"/>
    </xf>
    <xf numFmtId="0" fontId="21" fillId="9" borderId="88" xfId="0" applyFont="1" applyFill="1" applyBorder="1" applyAlignment="1">
      <alignment horizontal="left" vertical="top" wrapText="1"/>
    </xf>
    <xf numFmtId="0" fontId="21" fillId="9" borderId="89" xfId="0" applyFont="1" applyFill="1" applyBorder="1" applyAlignment="1">
      <alignment horizontal="left" vertical="top" wrapText="1"/>
    </xf>
    <xf numFmtId="0" fontId="12" fillId="16" borderId="97" xfId="0" applyFont="1" applyFill="1" applyBorder="1" applyAlignment="1">
      <alignment horizontal="center" vertical="center" wrapText="1"/>
    </xf>
    <xf numFmtId="0" fontId="12" fillId="16" borderId="98" xfId="0" applyFont="1" applyFill="1" applyBorder="1" applyAlignment="1">
      <alignment horizontal="center" vertical="center" wrapText="1"/>
    </xf>
    <xf numFmtId="0" fontId="12" fillId="16" borderId="99" xfId="0" applyFont="1" applyFill="1" applyBorder="1" applyAlignment="1">
      <alignment horizontal="center" vertical="center" wrapText="1"/>
    </xf>
    <xf numFmtId="169" fontId="7" fillId="2" borderId="94" xfId="2" applyNumberFormat="1" applyFont="1" applyFill="1" applyBorder="1" applyAlignment="1">
      <alignment horizontal="left" vertical="top" wrapText="1"/>
    </xf>
    <xf numFmtId="169" fontId="7" fillId="2" borderId="95" xfId="2" applyNumberFormat="1" applyFont="1" applyFill="1" applyBorder="1" applyAlignment="1">
      <alignment horizontal="left" vertical="top" wrapText="1"/>
    </xf>
    <xf numFmtId="166" fontId="21" fillId="16" borderId="96" xfId="6" applyFont="1" applyFill="1" applyBorder="1" applyAlignment="1">
      <alignment horizontal="left" vertical="top" wrapText="1"/>
    </xf>
    <xf numFmtId="3" fontId="0" fillId="0" borderId="0" xfId="0" applyNumberFormat="1" applyFill="1"/>
    <xf numFmtId="0" fontId="12" fillId="9" borderId="104" xfId="0" applyFont="1" applyFill="1" applyBorder="1" applyAlignment="1">
      <alignment horizontal="center"/>
    </xf>
    <xf numFmtId="0" fontId="12" fillId="9" borderId="74" xfId="0" applyFont="1" applyFill="1" applyBorder="1" applyAlignment="1">
      <alignment horizontal="center"/>
    </xf>
    <xf numFmtId="0" fontId="15" fillId="16" borderId="0" xfId="0" applyFont="1" applyFill="1" applyAlignment="1">
      <alignment vertical="center"/>
    </xf>
    <xf numFmtId="0" fontId="5" fillId="16" borderId="0" xfId="0" applyFont="1" applyFill="1" applyAlignment="1">
      <alignment vertical="center"/>
    </xf>
    <xf numFmtId="0" fontId="11" fillId="16" borderId="32" xfId="0" applyFont="1" applyFill="1" applyBorder="1" applyAlignment="1">
      <alignment horizontal="center"/>
    </xf>
    <xf numFmtId="0" fontId="11" fillId="16" borderId="1" xfId="0" applyFont="1" applyFill="1" applyBorder="1" applyAlignment="1">
      <alignment horizontal="center"/>
    </xf>
    <xf numFmtId="0" fontId="11" fillId="16" borderId="42" xfId="0" applyFont="1" applyFill="1" applyBorder="1" applyAlignment="1">
      <alignment horizontal="center"/>
    </xf>
    <xf numFmtId="169" fontId="0" fillId="11" borderId="61" xfId="2" applyNumberFormat="1" applyFont="1" applyFill="1" applyBorder="1" applyAlignment="1">
      <alignment horizontal="center" vertical="center"/>
    </xf>
    <xf numFmtId="169" fontId="0" fillId="6" borderId="61"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9" borderId="66" xfId="0" applyFont="1" applyFill="1" applyBorder="1" applyAlignment="1">
      <alignment horizontal="center" vertical="center" wrapText="1"/>
    </xf>
    <xf numFmtId="0" fontId="11" fillId="9" borderId="33" xfId="0" applyFont="1" applyFill="1" applyBorder="1" applyAlignment="1">
      <alignment horizontal="center" vertical="center" wrapText="1"/>
    </xf>
    <xf numFmtId="0" fontId="11" fillId="9" borderId="40" xfId="0" applyFont="1" applyFill="1" applyBorder="1" applyAlignment="1">
      <alignment horizontal="center" vertical="center" wrapText="1"/>
    </xf>
    <xf numFmtId="166" fontId="11" fillId="2" borderId="20" xfId="0" applyNumberFormat="1" applyFont="1" applyFill="1" applyBorder="1"/>
    <xf numFmtId="169" fontId="0" fillId="16" borderId="16" xfId="0" applyNumberFormat="1" applyFill="1" applyBorder="1"/>
    <xf numFmtId="0" fontId="20" fillId="0" borderId="0" xfId="0" applyFont="1" applyFill="1" applyBorder="1" applyAlignment="1">
      <alignment horizontal="center" vertical="center"/>
    </xf>
    <xf numFmtId="0" fontId="21" fillId="0" borderId="0" xfId="0" applyFont="1" applyFill="1" applyBorder="1" applyAlignment="1">
      <alignment vertical="top" wrapText="1"/>
    </xf>
    <xf numFmtId="0" fontId="21"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ill="1" applyBorder="1" applyAlignment="1">
      <alignment horizontal="left" wrapText="1"/>
    </xf>
    <xf numFmtId="0" fontId="0" fillId="0" borderId="0" xfId="0" applyFont="1" applyFill="1" applyBorder="1" applyAlignment="1">
      <alignment vertical="center"/>
    </xf>
    <xf numFmtId="171" fontId="0" fillId="0" borderId="0" xfId="0" applyNumberFormat="1" applyFill="1" applyBorder="1" applyAlignment="1">
      <alignment horizontal="left" wrapText="1"/>
    </xf>
    <xf numFmtId="171" fontId="0" fillId="0" borderId="0" xfId="0" applyNumberFormat="1" applyFill="1" applyBorder="1"/>
    <xf numFmtId="169" fontId="0" fillId="10" borderId="44" xfId="2" applyNumberFormat="1" applyFont="1" applyFill="1" applyBorder="1" applyAlignment="1">
      <alignment vertical="center"/>
    </xf>
    <xf numFmtId="166" fontId="0" fillId="10" borderId="52" xfId="6" applyFont="1" applyFill="1" applyBorder="1" applyAlignment="1">
      <alignment vertical="center"/>
    </xf>
    <xf numFmtId="166" fontId="0" fillId="11" borderId="52" xfId="6" applyFont="1" applyFill="1" applyBorder="1" applyAlignment="1">
      <alignment vertical="center"/>
    </xf>
    <xf numFmtId="166" fontId="0" fillId="6" borderId="52" xfId="6" applyFont="1" applyFill="1" applyBorder="1" applyAlignment="1">
      <alignment vertical="center"/>
    </xf>
    <xf numFmtId="164" fontId="9" fillId="10" borderId="61" xfId="2" applyFont="1" applyFill="1" applyBorder="1" applyAlignment="1">
      <alignment vertical="center"/>
    </xf>
    <xf numFmtId="164" fontId="9" fillId="11" borderId="61" xfId="2" applyFont="1" applyFill="1" applyBorder="1" applyAlignment="1">
      <alignment vertical="center"/>
    </xf>
    <xf numFmtId="164" fontId="9" fillId="6" borderId="61" xfId="2" applyFont="1" applyFill="1" applyBorder="1" applyAlignment="1">
      <alignment vertical="center"/>
    </xf>
    <xf numFmtId="0" fontId="0" fillId="2" borderId="0" xfId="0" applyFont="1" applyFill="1" applyBorder="1" applyAlignment="1">
      <alignment horizontal="center" vertical="center"/>
    </xf>
    <xf numFmtId="0" fontId="11"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20" fillId="0" borderId="0" xfId="0" applyFont="1" applyFill="1" applyBorder="1" applyAlignment="1"/>
    <xf numFmtId="0" fontId="30" fillId="9" borderId="24" xfId="7" applyFont="1" applyFill="1" applyBorder="1" applyAlignment="1"/>
    <xf numFmtId="0" fontId="30" fillId="9" borderId="28" xfId="7" applyFont="1" applyFill="1" applyBorder="1" applyAlignment="1"/>
    <xf numFmtId="0" fontId="33" fillId="9" borderId="50" xfId="7" applyFont="1" applyFill="1" applyBorder="1" applyAlignment="1"/>
    <xf numFmtId="0" fontId="20" fillId="16" borderId="50" xfId="0" applyFont="1" applyFill="1" applyBorder="1" applyAlignment="1">
      <alignment vertical="center"/>
    </xf>
    <xf numFmtId="177"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8" fontId="29" fillId="0" borderId="47" xfId="0" applyNumberFormat="1" applyFont="1" applyFill="1" applyBorder="1" applyAlignment="1">
      <alignment horizontal="center" vertical="center"/>
    </xf>
    <xf numFmtId="178" fontId="29" fillId="0" borderId="47" xfId="0" applyNumberFormat="1" applyFont="1" applyFill="1" applyBorder="1" applyAlignment="1">
      <alignment horizontal="center" wrapText="1"/>
    </xf>
    <xf numFmtId="178" fontId="29" fillId="0" borderId="54" xfId="0" applyNumberFormat="1" applyFont="1" applyFill="1" applyBorder="1" applyAlignment="1">
      <alignment horizontal="center" vertical="center"/>
    </xf>
    <xf numFmtId="169" fontId="0" fillId="11" borderId="50" xfId="2" applyNumberFormat="1" applyFont="1" applyFill="1" applyBorder="1" applyAlignment="1">
      <alignment vertical="center"/>
    </xf>
    <xf numFmtId="169" fontId="0" fillId="6" borderId="50" xfId="2" applyNumberFormat="1" applyFont="1" applyFill="1" applyBorder="1" applyAlignment="1">
      <alignment vertical="center"/>
    </xf>
    <xf numFmtId="169" fontId="0" fillId="10" borderId="50" xfId="2" applyNumberFormat="1" applyFont="1" applyFill="1" applyBorder="1" applyAlignment="1">
      <alignment vertical="center"/>
    </xf>
    <xf numFmtId="0" fontId="11" fillId="9" borderId="108" xfId="0" applyFont="1" applyFill="1" applyBorder="1" applyAlignment="1">
      <alignment horizontal="center" vertical="center" wrapText="1"/>
    </xf>
    <xf numFmtId="0" fontId="11" fillId="9" borderId="28" xfId="0" applyFont="1" applyFill="1" applyBorder="1" applyAlignment="1">
      <alignment horizontal="center" vertical="center" wrapText="1"/>
    </xf>
    <xf numFmtId="166" fontId="0" fillId="10" borderId="0" xfId="6" applyFont="1" applyFill="1" applyBorder="1" applyAlignment="1">
      <alignment vertical="center"/>
    </xf>
    <xf numFmtId="0" fontId="14" fillId="16" borderId="0" xfId="0" applyFont="1" applyFill="1" applyBorder="1" applyAlignment="1">
      <alignment horizontal="left"/>
    </xf>
    <xf numFmtId="0" fontId="11" fillId="16" borderId="0" xfId="0" applyFont="1" applyFill="1" applyBorder="1" applyAlignment="1">
      <alignment horizontal="center"/>
    </xf>
    <xf numFmtId="164" fontId="22" fillId="9" borderId="108" xfId="2" applyFont="1" applyFill="1" applyBorder="1" applyAlignment="1">
      <alignment horizontal="center" vertical="center"/>
    </xf>
    <xf numFmtId="166" fontId="0" fillId="11" borderId="8" xfId="6" applyFont="1" applyFill="1" applyBorder="1" applyAlignment="1">
      <alignment horizontal="center" vertical="center"/>
    </xf>
    <xf numFmtId="0" fontId="26" fillId="2" borderId="0" xfId="0" applyFont="1" applyFill="1" applyBorder="1" applyAlignment="1">
      <alignment horizontal="center" vertical="top" wrapText="1"/>
    </xf>
    <xf numFmtId="178" fontId="29" fillId="0" borderId="0" xfId="0" applyNumberFormat="1" applyFont="1" applyFill="1" applyBorder="1" applyAlignment="1">
      <alignment horizontal="center" vertical="center"/>
    </xf>
    <xf numFmtId="169" fontId="11" fillId="13" borderId="41" xfId="0" applyNumberFormat="1" applyFont="1" applyFill="1" applyBorder="1"/>
    <xf numFmtId="166" fontId="11" fillId="2" borderId="37" xfId="6" applyFont="1" applyFill="1" applyBorder="1"/>
    <xf numFmtId="169" fontId="0" fillId="10" borderId="30" xfId="0" applyNumberFormat="1" applyFill="1" applyBorder="1" applyAlignment="1">
      <alignment vertical="center"/>
    </xf>
    <xf numFmtId="166" fontId="0" fillId="6" borderId="20" xfId="6" applyFont="1" applyFill="1" applyBorder="1" applyAlignment="1">
      <alignment vertical="center"/>
    </xf>
    <xf numFmtId="1" fontId="0" fillId="10" borderId="23" xfId="0" applyNumberFormat="1" applyFill="1" applyBorder="1" applyAlignment="1">
      <alignment vertical="center"/>
    </xf>
    <xf numFmtId="169" fontId="0" fillId="11" borderId="1" xfId="0" applyNumberFormat="1" applyFill="1" applyBorder="1" applyAlignment="1">
      <alignment vertical="center"/>
    </xf>
    <xf numFmtId="169" fontId="0" fillId="10" borderId="46" xfId="0" applyNumberFormat="1" applyFill="1" applyBorder="1" applyAlignment="1">
      <alignment vertical="center"/>
    </xf>
    <xf numFmtId="169" fontId="0" fillId="11" borderId="42" xfId="0" applyNumberFormat="1" applyFill="1" applyBorder="1" applyAlignment="1">
      <alignment vertical="center"/>
    </xf>
    <xf numFmtId="169" fontId="0" fillId="6" borderId="43" xfId="0" applyNumberFormat="1" applyFill="1" applyBorder="1" applyAlignment="1">
      <alignment vertical="center"/>
    </xf>
    <xf numFmtId="1" fontId="0" fillId="10" borderId="23" xfId="6" applyNumberFormat="1" applyFont="1" applyFill="1" applyBorder="1" applyAlignment="1">
      <alignment vertical="center"/>
    </xf>
    <xf numFmtId="179" fontId="0" fillId="10" borderId="29" xfId="6" applyNumberFormat="1" applyFont="1" applyFill="1" applyBorder="1" applyAlignment="1">
      <alignment vertical="center"/>
    </xf>
    <xf numFmtId="166" fontId="0" fillId="10" borderId="46" xfId="6" applyFont="1" applyFill="1" applyBorder="1" applyAlignment="1">
      <alignment vertical="center"/>
    </xf>
    <xf numFmtId="166" fontId="0" fillId="11" borderId="42" xfId="6" applyFont="1" applyFill="1" applyBorder="1" applyAlignment="1">
      <alignment vertical="center"/>
    </xf>
    <xf numFmtId="166" fontId="0" fillId="6" borderId="43" xfId="6" applyFont="1" applyFill="1" applyBorder="1" applyAlignment="1">
      <alignment vertical="center"/>
    </xf>
    <xf numFmtId="179" fontId="0" fillId="10" borderId="23" xfId="6" applyNumberFormat="1" applyFont="1" applyFill="1" applyBorder="1" applyAlignment="1">
      <alignment vertical="center"/>
    </xf>
    <xf numFmtId="166" fontId="0" fillId="10" borderId="60" xfId="6" applyFont="1" applyFill="1" applyBorder="1" applyAlignment="1">
      <alignment vertical="center"/>
    </xf>
    <xf numFmtId="0" fontId="11" fillId="9" borderId="59" xfId="0" applyFont="1" applyFill="1" applyBorder="1" applyAlignment="1">
      <alignment horizontal="center" vertical="center" wrapText="1"/>
    </xf>
    <xf numFmtId="166" fontId="0" fillId="11" borderId="109" xfId="6" applyFont="1" applyFill="1" applyBorder="1" applyAlignment="1">
      <alignment horizontal="center" vertical="center"/>
    </xf>
    <xf numFmtId="166" fontId="0" fillId="6" borderId="109" xfId="6" applyFont="1" applyFill="1" applyBorder="1" applyAlignment="1">
      <alignment horizontal="center" vertical="center"/>
    </xf>
    <xf numFmtId="179" fontId="0" fillId="11" borderId="32" xfId="6" applyNumberFormat="1" applyFont="1" applyFill="1" applyBorder="1" applyAlignment="1">
      <alignment vertical="center"/>
    </xf>
    <xf numFmtId="179" fontId="0" fillId="11" borderId="2" xfId="6" applyNumberFormat="1" applyFont="1" applyFill="1" applyBorder="1" applyAlignment="1">
      <alignment vertical="center"/>
    </xf>
    <xf numFmtId="1" fontId="0" fillId="11" borderId="2" xfId="6" applyNumberFormat="1" applyFont="1" applyFill="1" applyBorder="1" applyAlignment="1">
      <alignment vertical="center"/>
    </xf>
    <xf numFmtId="1" fontId="0" fillId="11" borderId="2" xfId="0" applyNumberFormat="1" applyFill="1" applyBorder="1" applyAlignment="1">
      <alignment vertical="center"/>
    </xf>
    <xf numFmtId="179" fontId="0" fillId="6" borderId="34" xfId="6" applyNumberFormat="1" applyFont="1" applyFill="1" applyBorder="1" applyAlignment="1">
      <alignment vertical="center"/>
    </xf>
    <xf numFmtId="169" fontId="0" fillId="6" borderId="35" xfId="0" applyNumberFormat="1" applyFill="1" applyBorder="1" applyAlignment="1">
      <alignment vertical="center"/>
    </xf>
    <xf numFmtId="179"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6" fontId="11" fillId="13" borderId="11" xfId="0" applyNumberFormat="1" applyFont="1" applyFill="1" applyBorder="1"/>
    <xf numFmtId="166" fontId="11" fillId="13" borderId="11" xfId="6" applyFont="1" applyFill="1" applyBorder="1"/>
    <xf numFmtId="0" fontId="12" fillId="10" borderId="106" xfId="0" applyFont="1" applyFill="1" applyBorder="1" applyAlignment="1">
      <alignment horizontal="center" vertical="center"/>
    </xf>
    <xf numFmtId="0" fontId="12" fillId="10" borderId="100" xfId="0" applyFont="1" applyFill="1" applyBorder="1" applyAlignment="1">
      <alignment horizontal="center" vertical="center"/>
    </xf>
    <xf numFmtId="0" fontId="12" fillId="10" borderId="107" xfId="0" applyFont="1" applyFill="1" applyBorder="1" applyAlignment="1">
      <alignment horizontal="center" vertical="center"/>
    </xf>
    <xf numFmtId="0" fontId="12" fillId="11" borderId="106" xfId="0" applyFont="1" applyFill="1" applyBorder="1" applyAlignment="1">
      <alignment horizontal="center" vertical="center"/>
    </xf>
    <xf numFmtId="0" fontId="12" fillId="11" borderId="100" xfId="0" applyFont="1" applyFill="1" applyBorder="1" applyAlignment="1">
      <alignment horizontal="center" vertical="center"/>
    </xf>
    <xf numFmtId="0" fontId="12" fillId="11" borderId="107" xfId="0" applyFont="1" applyFill="1" applyBorder="1" applyAlignment="1">
      <alignment horizontal="center" vertical="center"/>
    </xf>
    <xf numFmtId="0" fontId="12" fillId="6" borderId="106" xfId="0" applyFont="1" applyFill="1" applyBorder="1" applyAlignment="1">
      <alignment horizontal="center" vertical="center"/>
    </xf>
    <xf numFmtId="0" fontId="12" fillId="6" borderId="100" xfId="0" applyFont="1" applyFill="1" applyBorder="1" applyAlignment="1">
      <alignment horizontal="center" vertical="center"/>
    </xf>
    <xf numFmtId="0" fontId="12" fillId="6" borderId="84" xfId="0" applyFont="1" applyFill="1" applyBorder="1" applyAlignment="1">
      <alignment horizontal="center" vertical="center"/>
    </xf>
    <xf numFmtId="170" fontId="12" fillId="10" borderId="26" xfId="0" applyNumberFormat="1" applyFont="1" applyFill="1" applyBorder="1" applyAlignment="1">
      <alignment horizontal="center" vertical="center"/>
    </xf>
    <xf numFmtId="170" fontId="12" fillId="10" borderId="36" xfId="0" applyNumberFormat="1" applyFont="1" applyFill="1" applyBorder="1" applyAlignment="1">
      <alignment horizontal="center" vertical="center"/>
    </xf>
    <xf numFmtId="170" fontId="12" fillId="11" borderId="62" xfId="0" applyNumberFormat="1" applyFont="1" applyFill="1" applyBorder="1" applyAlignment="1">
      <alignment horizontal="center" vertical="center"/>
    </xf>
    <xf numFmtId="170" fontId="12" fillId="11" borderId="26" xfId="0" applyNumberFormat="1" applyFont="1" applyFill="1" applyBorder="1" applyAlignment="1">
      <alignment horizontal="center" vertical="center"/>
    </xf>
    <xf numFmtId="170" fontId="12" fillId="11" borderId="36" xfId="0" applyNumberFormat="1" applyFont="1" applyFill="1" applyBorder="1" applyAlignment="1">
      <alignment horizontal="center" vertical="center"/>
    </xf>
    <xf numFmtId="170" fontId="12" fillId="6" borderId="62" xfId="0" applyNumberFormat="1" applyFont="1" applyFill="1" applyBorder="1" applyAlignment="1">
      <alignment horizontal="center" vertical="center"/>
    </xf>
    <xf numFmtId="170" fontId="12" fillId="6" borderId="26" xfId="0" applyNumberFormat="1" applyFont="1" applyFill="1" applyBorder="1" applyAlignment="1">
      <alignment horizontal="center" vertical="center"/>
    </xf>
    <xf numFmtId="170" fontId="12" fillId="6" borderId="85" xfId="0" applyNumberFormat="1" applyFont="1" applyFill="1" applyBorder="1" applyAlignment="1">
      <alignment horizontal="center" vertical="center"/>
    </xf>
    <xf numFmtId="0" fontId="25" fillId="11" borderId="73" xfId="0" applyFont="1" applyFill="1" applyBorder="1" applyAlignment="1">
      <alignment horizontal="center" vertical="center" wrapText="1"/>
    </xf>
    <xf numFmtId="0" fontId="25" fillId="6" borderId="73" xfId="0" applyFont="1" applyFill="1" applyBorder="1" applyAlignment="1">
      <alignment horizontal="center" vertical="center" wrapText="1"/>
    </xf>
    <xf numFmtId="0" fontId="14" fillId="16" borderId="78" xfId="0" applyFont="1" applyFill="1" applyBorder="1" applyAlignment="1">
      <alignment horizontal="center"/>
    </xf>
    <xf numFmtId="0" fontId="14" fillId="16" borderId="80" xfId="0" applyFont="1" applyFill="1" applyBorder="1" applyAlignment="1">
      <alignment horizontal="center"/>
    </xf>
    <xf numFmtId="0" fontId="14" fillId="16" borderId="78" xfId="0" applyFont="1" applyFill="1" applyBorder="1" applyAlignment="1">
      <alignment horizontal="left"/>
    </xf>
    <xf numFmtId="0" fontId="14" fillId="16" borderId="79" xfId="0" applyFont="1" applyFill="1" applyBorder="1" applyAlignment="1">
      <alignment horizontal="left"/>
    </xf>
    <xf numFmtId="0" fontId="14" fillId="16" borderId="80" xfId="0" applyFont="1" applyFill="1" applyBorder="1" applyAlignment="1">
      <alignment horizontal="left"/>
    </xf>
    <xf numFmtId="0" fontId="20" fillId="16" borderId="78" xfId="0" applyFont="1" applyFill="1" applyBorder="1" applyAlignment="1">
      <alignment horizontal="left" vertical="top" wrapText="1"/>
    </xf>
    <xf numFmtId="0" fontId="20" fillId="16" borderId="79" xfId="0" applyFont="1" applyFill="1" applyBorder="1" applyAlignment="1">
      <alignment horizontal="left" vertical="top" wrapText="1"/>
    </xf>
    <xf numFmtId="0" fontId="20" fillId="16" borderId="80" xfId="0" applyFont="1" applyFill="1" applyBorder="1" applyAlignment="1">
      <alignment horizontal="left" vertical="top" wrapText="1"/>
    </xf>
    <xf numFmtId="0" fontId="19" fillId="9" borderId="103" xfId="0" applyFont="1" applyFill="1" applyBorder="1" applyAlignment="1">
      <alignment horizontal="center" vertical="center" textRotation="90" wrapText="1"/>
    </xf>
    <xf numFmtId="0" fontId="19" fillId="9" borderId="104" xfId="0" applyFont="1" applyFill="1" applyBorder="1" applyAlignment="1">
      <alignment horizontal="center" vertical="center" textRotation="90" wrapText="1"/>
    </xf>
    <xf numFmtId="0" fontId="19" fillId="9" borderId="105" xfId="0" applyFont="1" applyFill="1" applyBorder="1" applyAlignment="1">
      <alignment horizontal="center" vertical="center" textRotation="90" wrapText="1"/>
    </xf>
    <xf numFmtId="0" fontId="7" fillId="2" borderId="78" xfId="0" applyFont="1" applyFill="1" applyBorder="1" applyAlignment="1">
      <alignment horizontal="left" vertical="top" wrapText="1"/>
    </xf>
    <xf numFmtId="0" fontId="7" fillId="2" borderId="79" xfId="0" applyFont="1" applyFill="1" applyBorder="1" applyAlignment="1">
      <alignment horizontal="left" vertical="top" wrapText="1"/>
    </xf>
    <xf numFmtId="0" fontId="7" fillId="2" borderId="80" xfId="0" applyFont="1" applyFill="1" applyBorder="1" applyAlignment="1">
      <alignment horizontal="left" vertical="top" wrapText="1"/>
    </xf>
    <xf numFmtId="0" fontId="14" fillId="16" borderId="81" xfId="0" applyFont="1" applyFill="1" applyBorder="1" applyAlignment="1">
      <alignment horizontal="left"/>
    </xf>
    <xf numFmtId="0" fontId="14" fillId="16" borderId="82" xfId="0" applyFont="1" applyFill="1" applyBorder="1" applyAlignment="1">
      <alignment horizontal="left"/>
    </xf>
    <xf numFmtId="0" fontId="14" fillId="16" borderId="83"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6" borderId="87" xfId="0" applyFont="1" applyFill="1" applyBorder="1" applyAlignment="1">
      <alignment horizontal="left"/>
    </xf>
    <xf numFmtId="0" fontId="14" fillId="16" borderId="88" xfId="0" applyFont="1" applyFill="1" applyBorder="1" applyAlignment="1">
      <alignment horizontal="left"/>
    </xf>
    <xf numFmtId="0" fontId="14" fillId="16" borderId="89" xfId="0" applyFont="1" applyFill="1" applyBorder="1" applyAlignment="1">
      <alignment horizontal="left"/>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7" fillId="2" borderId="89" xfId="0" applyFont="1" applyFill="1" applyBorder="1" applyAlignment="1">
      <alignment horizontal="left" vertical="top" wrapText="1"/>
    </xf>
    <xf numFmtId="0" fontId="14" fillId="16" borderId="101" xfId="0" applyFont="1" applyFill="1" applyBorder="1" applyAlignment="1">
      <alignment horizontal="left"/>
    </xf>
    <xf numFmtId="0" fontId="14" fillId="16" borderId="102" xfId="0" applyFont="1" applyFill="1" applyBorder="1" applyAlignment="1">
      <alignment horizontal="left"/>
    </xf>
    <xf numFmtId="0" fontId="25" fillId="15" borderId="73" xfId="0" applyFont="1" applyFill="1" applyBorder="1" applyAlignment="1">
      <alignment horizontal="center" vertical="center" wrapText="1"/>
    </xf>
    <xf numFmtId="9" fontId="11" fillId="16" borderId="47" xfId="0" applyNumberFormat="1" applyFont="1" applyFill="1" applyBorder="1" applyAlignment="1">
      <alignment horizontal="center" vertical="center"/>
    </xf>
    <xf numFmtId="9" fontId="11" fillId="16" borderId="25" xfId="0" applyNumberFormat="1" applyFont="1" applyFill="1" applyBorder="1" applyAlignment="1">
      <alignment horizontal="center" vertical="center"/>
    </xf>
    <xf numFmtId="9" fontId="11" fillId="16" borderId="48" xfId="0" applyNumberFormat="1" applyFont="1" applyFill="1" applyBorder="1" applyAlignment="1">
      <alignment horizontal="center" vertical="center"/>
    </xf>
    <xf numFmtId="0" fontId="12" fillId="16" borderId="29" xfId="0" applyFont="1" applyFill="1" applyBorder="1" applyAlignment="1">
      <alignment horizontal="left"/>
    </xf>
    <xf numFmtId="0" fontId="12" fillId="16" borderId="46" xfId="0" applyFont="1" applyFill="1" applyBorder="1" applyAlignment="1">
      <alignment horizontal="left"/>
    </xf>
    <xf numFmtId="0" fontId="11" fillId="9" borderId="39" xfId="0" applyFont="1" applyFill="1" applyBorder="1" applyAlignment="1">
      <alignment horizontal="center" vertical="center"/>
    </xf>
    <xf numFmtId="0" fontId="11" fillId="9" borderId="31" xfId="0" applyFont="1" applyFill="1" applyBorder="1" applyAlignment="1">
      <alignment horizontal="center" vertical="center"/>
    </xf>
    <xf numFmtId="164" fontId="22" fillId="9" borderId="32" xfId="2" applyFont="1" applyFill="1" applyBorder="1" applyAlignment="1">
      <alignment horizontal="center" vertical="center"/>
    </xf>
    <xf numFmtId="164" fontId="22" fillId="9" borderId="34" xfId="2" applyFont="1" applyFill="1" applyBorder="1" applyAlignment="1">
      <alignment horizontal="center" vertical="center"/>
    </xf>
    <xf numFmtId="164" fontId="22" fillId="9" borderId="42" xfId="2" applyFont="1" applyFill="1" applyBorder="1" applyAlignment="1">
      <alignment horizontal="center" vertical="center"/>
    </xf>
    <xf numFmtId="164" fontId="22" fillId="9" borderId="43" xfId="2" applyFont="1" applyFill="1" applyBorder="1" applyAlignment="1">
      <alignment horizontal="center" vertical="center"/>
    </xf>
    <xf numFmtId="0" fontId="20" fillId="16" borderId="16" xfId="0" applyFont="1" applyFill="1" applyBorder="1" applyAlignment="1">
      <alignment horizontal="left"/>
    </xf>
    <xf numFmtId="0" fontId="20" fillId="16" borderId="17" xfId="0" applyFont="1" applyFill="1" applyBorder="1" applyAlignment="1">
      <alignment horizontal="left"/>
    </xf>
    <xf numFmtId="0" fontId="20" fillId="16" borderId="7" xfId="0" applyFont="1" applyFill="1" applyBorder="1" applyAlignment="1">
      <alignment horizontal="left"/>
    </xf>
    <xf numFmtId="164" fontId="22" fillId="9" borderId="22" xfId="2" applyFont="1" applyFill="1" applyBorder="1" applyAlignment="1">
      <alignment horizontal="center" vertical="center"/>
    </xf>
    <xf numFmtId="164" fontId="22" fillId="9" borderId="60" xfId="2" applyFont="1" applyFill="1" applyBorder="1" applyAlignment="1">
      <alignment horizontal="center" vertical="center"/>
    </xf>
    <xf numFmtId="164" fontId="22" fillId="9" borderId="28" xfId="2" applyFont="1" applyFill="1" applyBorder="1" applyAlignment="1">
      <alignment horizontal="center" vertical="center"/>
    </xf>
    <xf numFmtId="164" fontId="22" fillId="9" borderId="39" xfId="2" applyFont="1" applyFill="1" applyBorder="1" applyAlignment="1">
      <alignment horizontal="center" vertical="center"/>
    </xf>
    <xf numFmtId="164" fontId="22" fillId="9" borderId="31" xfId="2" applyFont="1" applyFill="1" applyBorder="1" applyAlignment="1">
      <alignment horizontal="center" vertical="center"/>
    </xf>
    <xf numFmtId="0" fontId="11" fillId="9" borderId="18" xfId="0" applyFont="1" applyFill="1" applyBorder="1" applyAlignment="1">
      <alignment horizontal="center" vertical="center"/>
    </xf>
    <xf numFmtId="0" fontId="14" fillId="16" borderId="16" xfId="0" applyFont="1" applyFill="1" applyBorder="1" applyAlignment="1">
      <alignment horizontal="left"/>
    </xf>
    <xf numFmtId="0" fontId="14" fillId="16" borderId="17" xfId="0" applyFont="1" applyFill="1" applyBorder="1" applyAlignment="1">
      <alignment horizontal="left"/>
    </xf>
    <xf numFmtId="0" fontId="14" fillId="16" borderId="7" xfId="0" applyFont="1" applyFill="1" applyBorder="1" applyAlignment="1">
      <alignment horizontal="left"/>
    </xf>
    <xf numFmtId="0" fontId="14" fillId="16" borderId="8" xfId="0" applyFont="1" applyFill="1" applyBorder="1" applyAlignment="1">
      <alignment horizontal="left"/>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171" fontId="11" fillId="0" borderId="5" xfId="0" applyNumberFormat="1" applyFont="1" applyFill="1" applyBorder="1" applyAlignment="1">
      <alignment horizontal="center" vertical="center" wrapText="1"/>
    </xf>
    <xf numFmtId="171" fontId="11" fillId="0" borderId="6" xfId="0" applyNumberFormat="1" applyFont="1" applyFill="1" applyBorder="1" applyAlignment="1">
      <alignment horizontal="center" vertical="center" wrapText="1"/>
    </xf>
    <xf numFmtId="0" fontId="30" fillId="0" borderId="5" xfId="0" applyFont="1" applyFill="1" applyBorder="1" applyAlignment="1">
      <alignment horizontal="center" vertical="center"/>
    </xf>
    <xf numFmtId="0" fontId="30" fillId="0" borderId="6"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53" xfId="0" applyFont="1" applyFill="1" applyBorder="1" applyAlignment="1">
      <alignment horizontal="center" vertical="center"/>
    </xf>
    <xf numFmtId="0" fontId="21" fillId="5" borderId="54" xfId="0" applyFont="1" applyFill="1" applyBorder="1" applyAlignment="1">
      <alignment horizontal="center" vertical="center"/>
    </xf>
    <xf numFmtId="0" fontId="21" fillId="5" borderId="55" xfId="0" applyFont="1" applyFill="1" applyBorder="1" applyAlignment="1">
      <alignment horizontal="center" vertical="center"/>
    </xf>
    <xf numFmtId="0" fontId="21" fillId="5" borderId="54" xfId="0" applyFont="1" applyFill="1" applyBorder="1" applyAlignment="1">
      <alignment horizontal="center" vertical="center" wrapText="1"/>
    </xf>
    <xf numFmtId="0" fontId="21" fillId="5" borderId="55" xfId="0" applyFont="1" applyFill="1" applyBorder="1" applyAlignment="1">
      <alignment horizontal="center" vertical="center"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27" xfId="0" applyFont="1" applyFill="1" applyBorder="1" applyAlignment="1">
      <alignment horizontal="center"/>
    </xf>
    <xf numFmtId="0" fontId="11" fillId="5" borderId="63"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69" xfId="0" applyFont="1" applyFill="1" applyBorder="1" applyAlignment="1">
      <alignment horizontal="center"/>
    </xf>
    <xf numFmtId="0" fontId="11" fillId="5" borderId="39" xfId="0" applyFont="1" applyFill="1" applyBorder="1" applyAlignment="1">
      <alignment horizontal="center"/>
    </xf>
    <xf numFmtId="0" fontId="11" fillId="5" borderId="31"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39"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9" xfId="0" applyFont="1" applyFill="1" applyBorder="1" applyAlignment="1">
      <alignment horizontal="center" vertical="center" wrapText="1"/>
    </xf>
    <xf numFmtId="0" fontId="11" fillId="5" borderId="53" xfId="0" applyFont="1" applyFill="1" applyBorder="1" applyAlignment="1">
      <alignment horizontal="center" vertical="center" wrapText="1"/>
    </xf>
    <xf numFmtId="0" fontId="11" fillId="5" borderId="54"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57"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4"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9"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70"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0" borderId="61"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2"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1"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57" xfId="0" applyBorder="1" applyAlignment="1">
      <alignment horizontal="left" vertical="center"/>
    </xf>
    <xf numFmtId="0" fontId="0" fillId="0" borderId="58"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7" xfId="0" applyBorder="1" applyAlignment="1">
      <alignment horizontal="left"/>
    </xf>
    <xf numFmtId="0" fontId="0" fillId="0" borderId="58"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9" borderId="0" xfId="0" applyFont="1" applyFill="1" applyAlignment="1">
      <alignment horizontal="center" vertical="center"/>
    </xf>
    <xf numFmtId="0" fontId="16" fillId="19"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4" xfId="0" applyFill="1" applyBorder="1" applyAlignment="1">
      <alignment horizontal="left" vertical="center" wrapText="1"/>
    </xf>
    <xf numFmtId="0" fontId="0" fillId="2" borderId="65"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9"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5" borderId="24" xfId="0" applyNumberFormat="1" applyFont="1" applyFill="1" applyBorder="1" applyAlignment="1">
      <alignment horizontal="center"/>
    </xf>
    <xf numFmtId="171" fontId="11" fillId="15"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7" borderId="13" xfId="0" applyFont="1" applyFill="1" applyBorder="1" applyAlignment="1">
      <alignment horizontal="center"/>
    </xf>
    <xf numFmtId="0" fontId="11" fillId="17" borderId="8" xfId="0" applyFont="1" applyFill="1" applyBorder="1" applyAlignment="1">
      <alignment horizontal="center"/>
    </xf>
    <xf numFmtId="0" fontId="11" fillId="17" borderId="9" xfId="0" applyFont="1" applyFill="1" applyBorder="1" applyAlignment="1">
      <alignment horizontal="center"/>
    </xf>
    <xf numFmtId="0" fontId="11" fillId="17" borderId="15" xfId="0" applyFont="1" applyFill="1" applyBorder="1" applyAlignment="1">
      <alignment horizontal="center"/>
    </xf>
    <xf numFmtId="0" fontId="11" fillId="17" borderId="11" xfId="0" applyFont="1" applyFill="1" applyBorder="1" applyAlignment="1">
      <alignment horizontal="center"/>
    </xf>
    <xf numFmtId="0" fontId="11" fillId="17"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11" fillId="0" borderId="4" xfId="0" applyFont="1" applyFill="1" applyBorder="1" applyAlignment="1">
      <alignment horizontal="center" vertical="center"/>
    </xf>
    <xf numFmtId="0" fontId="20" fillId="2" borderId="0" xfId="0" applyFont="1" applyFill="1" applyBorder="1" applyAlignment="1"/>
    <xf numFmtId="0" fontId="20" fillId="2" borderId="0" xfId="0" applyFont="1" applyFill="1" applyBorder="1" applyAlignment="1">
      <alignment horizontal="left"/>
    </xf>
    <xf numFmtId="179" fontId="0" fillId="11" borderId="29" xfId="6" applyNumberFormat="1" applyFont="1" applyFill="1" applyBorder="1" applyAlignment="1">
      <alignment vertical="center"/>
    </xf>
    <xf numFmtId="169" fontId="0" fillId="11" borderId="30" xfId="0" applyNumberFormat="1" applyFill="1" applyBorder="1" applyAlignment="1">
      <alignment vertical="center"/>
    </xf>
    <xf numFmtId="179" fontId="0" fillId="6" borderId="29" xfId="6" applyNumberFormat="1" applyFont="1" applyFill="1" applyBorder="1" applyAlignment="1">
      <alignment vertical="center"/>
    </xf>
    <xf numFmtId="169" fontId="0" fillId="6" borderId="30" xfId="0" applyNumberFormat="1" applyFill="1" applyBorder="1" applyAlignment="1">
      <alignment vertical="center"/>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425104400.00000006</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425104400.00000006</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43166500</c:v>
                </c:pt>
                <c:pt idx="1">
                  <c:v>0</c:v>
                </c:pt>
                <c:pt idx="2">
                  <c:v>0</c:v>
                </c:pt>
                <c:pt idx="3">
                  <c:v>40275000</c:v>
                </c:pt>
                <c:pt idx="4">
                  <c:v>0</c:v>
                </c:pt>
                <c:pt idx="5">
                  <c:v>0</c:v>
                </c:pt>
                <c:pt idx="6">
                  <c:v>0</c:v>
                </c:pt>
                <c:pt idx="7">
                  <c:v>45660000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hyperlink" Target="#Indice!A1"/><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100</xdr:row>
      <xdr:rowOff>108454</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284</v>
      </c>
    </row>
    <row r="32" spans="3:3" ht="18" x14ac:dyDescent="0.25">
      <c r="C32" s="3" t="s">
        <v>285</v>
      </c>
    </row>
    <row r="33" spans="3:3" ht="18" x14ac:dyDescent="0.25">
      <c r="C33" s="3" t="s">
        <v>286</v>
      </c>
    </row>
    <row r="34" spans="3:3" ht="18" x14ac:dyDescent="0.25">
      <c r="C34" s="3" t="s">
        <v>287</v>
      </c>
    </row>
    <row r="35" spans="3:3" ht="18" x14ac:dyDescent="0.25">
      <c r="C35" s="3" t="s">
        <v>288</v>
      </c>
    </row>
    <row r="36" spans="3:3" ht="18" x14ac:dyDescent="0.25">
      <c r="C36" s="3" t="s">
        <v>289</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75" customFormat="1" ht="58.5" customHeight="1" x14ac:dyDescent="0.25">
      <c r="A1" s="477"/>
      <c r="B1" s="477"/>
      <c r="C1" s="477"/>
      <c r="D1" s="477"/>
      <c r="E1" s="477"/>
      <c r="F1" s="480" t="s">
        <v>8</v>
      </c>
      <c r="G1" s="481"/>
      <c r="H1" s="481"/>
      <c r="I1" s="477"/>
      <c r="J1" s="477"/>
      <c r="K1" s="477"/>
      <c r="L1" s="477"/>
    </row>
    <row r="2" spans="1:12" ht="15.75" thickBot="1" x14ac:dyDescent="0.3"/>
    <row r="3" spans="1:12" ht="27" thickBot="1" x14ac:dyDescent="0.45">
      <c r="B3" s="691" t="s">
        <v>35</v>
      </c>
      <c r="C3" s="692"/>
      <c r="D3" s="693"/>
      <c r="G3" s="745" t="s">
        <v>154</v>
      </c>
      <c r="H3" s="746"/>
      <c r="I3" s="746"/>
      <c r="J3" s="747"/>
    </row>
    <row r="4" spans="1:12" x14ac:dyDescent="0.25">
      <c r="B4" s="44">
        <v>2019</v>
      </c>
      <c r="C4" s="34">
        <v>2020</v>
      </c>
      <c r="D4" s="45">
        <v>2021</v>
      </c>
      <c r="G4" s="275" t="s">
        <v>155</v>
      </c>
      <c r="H4" s="276">
        <v>2019</v>
      </c>
      <c r="I4" s="276">
        <v>2020</v>
      </c>
      <c r="J4" s="277">
        <v>2021</v>
      </c>
    </row>
    <row r="5" spans="1:12" ht="15.75" thickBot="1" x14ac:dyDescent="0.3">
      <c r="B5" s="46">
        <f>Hipótesis!$C$24</f>
        <v>0.02</v>
      </c>
      <c r="C5" s="40">
        <f>Hipótesis!$C$25</f>
        <v>0.05</v>
      </c>
      <c r="D5" s="47">
        <f>Hipótesis!$C$26</f>
        <v>7.0000000000000007E-2</v>
      </c>
      <c r="G5" s="272">
        <f>$E$28</f>
        <v>2297572</v>
      </c>
      <c r="H5" s="273">
        <f>$E$45</f>
        <v>22999</v>
      </c>
      <c r="I5" s="273">
        <f>$E$63</f>
        <v>70262</v>
      </c>
      <c r="J5" s="274">
        <f>$E$81</f>
        <v>1306257</v>
      </c>
    </row>
    <row r="6" spans="1:12" ht="15.75" thickBot="1" x14ac:dyDescent="0.3">
      <c r="B6" s="48">
        <f>Hipótesis!$D$24</f>
        <v>121458400</v>
      </c>
      <c r="C6" s="49">
        <f>Hipótesis!$D$25</f>
        <v>303646000</v>
      </c>
      <c r="D6" s="50">
        <f>Hipótesis!$D$26</f>
        <v>425104400.00000006</v>
      </c>
    </row>
    <row r="8" spans="1:12" ht="15.75" thickBot="1" x14ac:dyDescent="0.3"/>
    <row r="9" spans="1:12" ht="27" thickBot="1" x14ac:dyDescent="0.45">
      <c r="B9" s="714" t="s">
        <v>156</v>
      </c>
      <c r="C9" s="715"/>
      <c r="D9" s="715"/>
      <c r="E9" s="715"/>
      <c r="F9" s="716"/>
    </row>
    <row r="10" spans="1:12" ht="15.75" x14ac:dyDescent="0.25">
      <c r="B10" s="298" t="s">
        <v>63</v>
      </c>
      <c r="C10" s="299" t="s">
        <v>60</v>
      </c>
      <c r="D10" s="299" t="s">
        <v>161</v>
      </c>
      <c r="E10" s="299" t="s">
        <v>97</v>
      </c>
      <c r="F10" s="300" t="s">
        <v>165</v>
      </c>
    </row>
    <row r="11" spans="1:12" x14ac:dyDescent="0.25">
      <c r="B11" s="279" t="s">
        <v>223</v>
      </c>
      <c r="C11" s="377">
        <v>20</v>
      </c>
      <c r="D11" s="271">
        <f>'Costos variables'!$E$20</f>
        <v>1360</v>
      </c>
      <c r="E11" s="271">
        <f>C11*D11</f>
        <v>27200</v>
      </c>
      <c r="F11" s="461"/>
    </row>
    <row r="12" spans="1:12" x14ac:dyDescent="0.25">
      <c r="B12" s="279" t="s">
        <v>224</v>
      </c>
      <c r="C12" s="377">
        <v>15</v>
      </c>
      <c r="D12" s="271">
        <f>'Costos variables'!$E$33</f>
        <v>5705</v>
      </c>
      <c r="E12" s="271">
        <f>C12*D12</f>
        <v>85575</v>
      </c>
      <c r="F12" s="461"/>
    </row>
    <row r="13" spans="1:12" x14ac:dyDescent="0.25">
      <c r="B13" s="279" t="s">
        <v>225</v>
      </c>
      <c r="C13" s="377">
        <v>10</v>
      </c>
      <c r="D13" s="271">
        <f>'Costos variables'!$E$46</f>
        <v>8105</v>
      </c>
      <c r="E13" s="271">
        <f>C13*D13</f>
        <v>81050</v>
      </c>
      <c r="F13" s="461"/>
    </row>
    <row r="14" spans="1:12" ht="15.75" x14ac:dyDescent="0.25">
      <c r="B14" s="279" t="s">
        <v>226</v>
      </c>
      <c r="C14" s="376" t="s">
        <v>191</v>
      </c>
      <c r="D14" s="376" t="s">
        <v>191</v>
      </c>
      <c r="E14" s="271">
        <f>10*D13+10*D12+10*D11</f>
        <v>151700</v>
      </c>
      <c r="F14" s="461"/>
    </row>
    <row r="15" spans="1:12" x14ac:dyDescent="0.25">
      <c r="B15" s="279" t="s">
        <v>157</v>
      </c>
      <c r="C15" s="163">
        <v>1</v>
      </c>
      <c r="D15" s="271">
        <v>20000</v>
      </c>
      <c r="E15" s="271">
        <f>C15*D15</f>
        <v>20000</v>
      </c>
      <c r="F15" s="291"/>
    </row>
    <row r="16" spans="1:12" x14ac:dyDescent="0.25">
      <c r="B16" s="279" t="s">
        <v>158</v>
      </c>
      <c r="C16" s="163">
        <v>1</v>
      </c>
      <c r="D16" s="271">
        <v>2850</v>
      </c>
      <c r="E16" s="271">
        <f t="shared" ref="E16:E27" si="0">C16*D16</f>
        <v>2850</v>
      </c>
      <c r="F16" s="292"/>
    </row>
    <row r="17" spans="2:6" x14ac:dyDescent="0.25">
      <c r="B17" s="279" t="s">
        <v>180</v>
      </c>
      <c r="C17" s="163">
        <v>1</v>
      </c>
      <c r="D17" s="271">
        <v>5000</v>
      </c>
      <c r="E17" s="271">
        <f t="shared" si="0"/>
        <v>5000</v>
      </c>
      <c r="F17" s="292"/>
    </row>
    <row r="18" spans="2:6" x14ac:dyDescent="0.25">
      <c r="B18" s="279" t="s">
        <v>160</v>
      </c>
      <c r="C18" s="163">
        <v>2</v>
      </c>
      <c r="D18" s="271">
        <v>2840</v>
      </c>
      <c r="E18" s="271">
        <f t="shared" si="0"/>
        <v>5680</v>
      </c>
      <c r="F18" s="292"/>
    </row>
    <row r="19" spans="2:6" x14ac:dyDescent="0.25">
      <c r="B19" s="279" t="s">
        <v>172</v>
      </c>
      <c r="C19" s="163">
        <v>5</v>
      </c>
      <c r="D19" s="271">
        <v>2600</v>
      </c>
      <c r="E19" s="271">
        <f t="shared" si="0"/>
        <v>13000</v>
      </c>
      <c r="F19" s="6"/>
    </row>
    <row r="20" spans="2:6" x14ac:dyDescent="0.25">
      <c r="B20" s="279" t="s">
        <v>205</v>
      </c>
      <c r="C20" s="163">
        <v>2</v>
      </c>
      <c r="D20" s="271">
        <v>736011</v>
      </c>
      <c r="E20" s="271">
        <f t="shared" si="0"/>
        <v>1472022</v>
      </c>
      <c r="F20" s="6"/>
    </row>
    <row r="21" spans="2:6" x14ac:dyDescent="0.25">
      <c r="B21" s="279" t="s">
        <v>171</v>
      </c>
      <c r="C21" s="163">
        <v>8</v>
      </c>
      <c r="D21" s="271">
        <v>17500</v>
      </c>
      <c r="E21" s="271">
        <f t="shared" si="0"/>
        <v>140000</v>
      </c>
      <c r="F21" s="292"/>
    </row>
    <row r="22" spans="2:6" x14ac:dyDescent="0.25">
      <c r="B22" s="279" t="s">
        <v>176</v>
      </c>
      <c r="C22" s="163">
        <v>2</v>
      </c>
      <c r="D22" s="271">
        <v>20170</v>
      </c>
      <c r="E22" s="271">
        <f t="shared" si="0"/>
        <v>40340</v>
      </c>
      <c r="F22" s="292"/>
    </row>
    <row r="23" spans="2:6" x14ac:dyDescent="0.25">
      <c r="B23" s="279" t="s">
        <v>169</v>
      </c>
      <c r="C23" s="163">
        <v>1</v>
      </c>
      <c r="D23" s="271">
        <v>4299</v>
      </c>
      <c r="E23" s="271">
        <f t="shared" si="0"/>
        <v>4299</v>
      </c>
      <c r="F23" s="291"/>
    </row>
    <row r="24" spans="2:6" x14ac:dyDescent="0.25">
      <c r="B24" s="279" t="s">
        <v>170</v>
      </c>
      <c r="C24" s="163">
        <v>6</v>
      </c>
      <c r="D24" s="271">
        <v>7480</v>
      </c>
      <c r="E24" s="271">
        <f t="shared" si="0"/>
        <v>44880</v>
      </c>
      <c r="F24" s="292"/>
    </row>
    <row r="25" spans="2:6" x14ac:dyDescent="0.25">
      <c r="B25" s="279" t="s">
        <v>168</v>
      </c>
      <c r="C25" s="163">
        <v>9</v>
      </c>
      <c r="D25" s="271">
        <v>3200</v>
      </c>
      <c r="E25" s="271">
        <f t="shared" si="0"/>
        <v>28800</v>
      </c>
      <c r="F25" s="292"/>
    </row>
    <row r="26" spans="2:6" x14ac:dyDescent="0.25">
      <c r="B26" s="279" t="s">
        <v>175</v>
      </c>
      <c r="C26" s="163">
        <v>24</v>
      </c>
      <c r="D26" s="271">
        <v>2299</v>
      </c>
      <c r="E26" s="271">
        <f t="shared" si="0"/>
        <v>55176</v>
      </c>
      <c r="F26" s="292"/>
    </row>
    <row r="27" spans="2:6" ht="15.75" thickBot="1" x14ac:dyDescent="0.3">
      <c r="B27" s="293" t="s">
        <v>166</v>
      </c>
      <c r="C27" s="294">
        <v>1</v>
      </c>
      <c r="D27" s="273">
        <v>120000</v>
      </c>
      <c r="E27" s="271">
        <f t="shared" si="0"/>
        <v>120000</v>
      </c>
      <c r="F27" s="295"/>
    </row>
    <row r="28" spans="2:6" ht="15.75" thickBot="1" x14ac:dyDescent="0.3">
      <c r="B28" s="742" t="s">
        <v>19</v>
      </c>
      <c r="C28" s="743"/>
      <c r="D28" s="744"/>
      <c r="E28" s="301">
        <f>SUM(E11:E27)</f>
        <v>2297572</v>
      </c>
    </row>
    <row r="29" spans="2:6" ht="15.75" thickBot="1" x14ac:dyDescent="0.3"/>
    <row r="30" spans="2:6" ht="27" thickBot="1" x14ac:dyDescent="0.45">
      <c r="B30" s="691" t="s">
        <v>162</v>
      </c>
      <c r="C30" s="692"/>
      <c r="D30" s="692"/>
      <c r="E30" s="693"/>
      <c r="F30" s="302"/>
    </row>
    <row r="31" spans="2:6" ht="15.75" x14ac:dyDescent="0.25">
      <c r="B31" s="298" t="s">
        <v>63</v>
      </c>
      <c r="C31" s="299" t="s">
        <v>60</v>
      </c>
      <c r="D31" s="299" t="s">
        <v>161</v>
      </c>
      <c r="E31" s="300" t="s">
        <v>97</v>
      </c>
    </row>
    <row r="32" spans="2:6" x14ac:dyDescent="0.25">
      <c r="B32" s="279" t="s">
        <v>157</v>
      </c>
      <c r="C32" s="163">
        <v>0</v>
      </c>
      <c r="D32" s="271">
        <v>20000</v>
      </c>
      <c r="E32" s="303">
        <f>C32*D32</f>
        <v>0</v>
      </c>
    </row>
    <row r="33" spans="2:8" x14ac:dyDescent="0.25">
      <c r="B33" s="279" t="s">
        <v>158</v>
      </c>
      <c r="C33" s="163">
        <v>0</v>
      </c>
      <c r="D33" s="271">
        <v>2850</v>
      </c>
      <c r="E33" s="303">
        <f t="shared" ref="E33:E44" si="1">C33*D33</f>
        <v>0</v>
      </c>
      <c r="G33" s="52"/>
      <c r="H33" s="52"/>
    </row>
    <row r="34" spans="2:8" x14ac:dyDescent="0.25">
      <c r="B34" s="279" t="s">
        <v>159</v>
      </c>
      <c r="C34" s="163">
        <v>0</v>
      </c>
      <c r="D34" s="271">
        <v>5000</v>
      </c>
      <c r="E34" s="303">
        <f t="shared" si="1"/>
        <v>0</v>
      </c>
      <c r="G34" s="52"/>
      <c r="H34" s="52"/>
    </row>
    <row r="35" spans="2:8" x14ac:dyDescent="0.25">
      <c r="B35" s="279" t="s">
        <v>160</v>
      </c>
      <c r="C35" s="163">
        <v>0</v>
      </c>
      <c r="D35" s="271">
        <v>2840</v>
      </c>
      <c r="E35" s="303">
        <f t="shared" si="1"/>
        <v>0</v>
      </c>
      <c r="G35" s="748"/>
      <c r="H35" s="748"/>
    </row>
    <row r="36" spans="2:8" x14ac:dyDescent="0.25">
      <c r="B36" s="279" t="s">
        <v>172</v>
      </c>
      <c r="C36" s="163">
        <v>0</v>
      </c>
      <c r="D36" s="271">
        <v>2600</v>
      </c>
      <c r="E36" s="303">
        <f t="shared" si="1"/>
        <v>0</v>
      </c>
      <c r="G36" s="749"/>
      <c r="H36" s="749"/>
    </row>
    <row r="37" spans="2:8" x14ac:dyDescent="0.25">
      <c r="B37" s="279" t="s">
        <v>205</v>
      </c>
      <c r="C37" s="163">
        <v>0</v>
      </c>
      <c r="D37" s="271">
        <v>736011</v>
      </c>
      <c r="E37" s="303">
        <f t="shared" si="1"/>
        <v>0</v>
      </c>
      <c r="G37" s="748"/>
      <c r="H37" s="748"/>
    </row>
    <row r="38" spans="2:8" x14ac:dyDescent="0.25">
      <c r="B38" s="279" t="s">
        <v>171</v>
      </c>
      <c r="C38" s="267">
        <v>1</v>
      </c>
      <c r="D38" s="271">
        <v>17500</v>
      </c>
      <c r="E38" s="303">
        <f t="shared" si="1"/>
        <v>17500</v>
      </c>
      <c r="G38" s="749"/>
      <c r="H38" s="749"/>
    </row>
    <row r="39" spans="2:8" x14ac:dyDescent="0.25">
      <c r="B39" s="279" t="s">
        <v>163</v>
      </c>
      <c r="C39" s="163">
        <v>0</v>
      </c>
      <c r="D39" s="271">
        <v>20170</v>
      </c>
      <c r="E39" s="303">
        <f t="shared" si="1"/>
        <v>0</v>
      </c>
      <c r="G39" s="749"/>
      <c r="H39" s="749"/>
    </row>
    <row r="40" spans="2:8" x14ac:dyDescent="0.25">
      <c r="B40" s="279" t="s">
        <v>169</v>
      </c>
      <c r="C40" s="163">
        <v>0</v>
      </c>
      <c r="D40" s="271">
        <v>4299</v>
      </c>
      <c r="E40" s="303">
        <f t="shared" si="1"/>
        <v>0</v>
      </c>
      <c r="G40" s="749"/>
      <c r="H40" s="749"/>
    </row>
    <row r="41" spans="2:8" x14ac:dyDescent="0.25">
      <c r="B41" s="279" t="s">
        <v>170</v>
      </c>
      <c r="C41" s="163">
        <v>0</v>
      </c>
      <c r="D41" s="271">
        <v>7480</v>
      </c>
      <c r="E41" s="303">
        <f t="shared" si="1"/>
        <v>0</v>
      </c>
      <c r="G41" s="748"/>
      <c r="H41" s="748"/>
    </row>
    <row r="42" spans="2:8" x14ac:dyDescent="0.25">
      <c r="B42" s="279" t="s">
        <v>168</v>
      </c>
      <c r="C42" s="267">
        <v>1</v>
      </c>
      <c r="D42" s="271">
        <v>3200</v>
      </c>
      <c r="E42" s="303">
        <f t="shared" si="1"/>
        <v>3200</v>
      </c>
      <c r="G42" s="748"/>
      <c r="H42" s="748"/>
    </row>
    <row r="43" spans="2:8" x14ac:dyDescent="0.25">
      <c r="B43" s="279" t="s">
        <v>164</v>
      </c>
      <c r="C43" s="267">
        <v>1</v>
      </c>
      <c r="D43" s="271">
        <v>2299</v>
      </c>
      <c r="E43" s="303">
        <f t="shared" si="1"/>
        <v>2299</v>
      </c>
      <c r="G43" s="52"/>
      <c r="H43" s="52"/>
    </row>
    <row r="44" spans="2:8" ht="15.75" thickBot="1" x14ac:dyDescent="0.3">
      <c r="B44" s="293" t="s">
        <v>166</v>
      </c>
      <c r="C44" s="294">
        <v>0</v>
      </c>
      <c r="D44" s="273">
        <v>120000</v>
      </c>
      <c r="E44" s="304">
        <f t="shared" si="1"/>
        <v>0</v>
      </c>
      <c r="G44" s="52"/>
      <c r="H44" s="52"/>
    </row>
    <row r="45" spans="2:8" ht="15.75" thickBot="1" x14ac:dyDescent="0.3">
      <c r="B45" s="742" t="s">
        <v>19</v>
      </c>
      <c r="C45" s="743"/>
      <c r="D45" s="744"/>
      <c r="E45" s="296">
        <f>SUM(E32:E44)</f>
        <v>22999</v>
      </c>
    </row>
    <row r="47" spans="2:8" ht="15.75" thickBot="1" x14ac:dyDescent="0.3"/>
    <row r="48" spans="2:8" ht="27" thickBot="1" x14ac:dyDescent="0.45">
      <c r="B48" s="691" t="s">
        <v>173</v>
      </c>
      <c r="C48" s="692"/>
      <c r="D48" s="692"/>
      <c r="E48" s="693"/>
    </row>
    <row r="49" spans="2:5" ht="15.75" x14ac:dyDescent="0.25">
      <c r="B49" s="298" t="s">
        <v>63</v>
      </c>
      <c r="C49" s="299" t="s">
        <v>60</v>
      </c>
      <c r="D49" s="299" t="s">
        <v>161</v>
      </c>
      <c r="E49" s="300" t="s">
        <v>97</v>
      </c>
    </row>
    <row r="50" spans="2:5" x14ac:dyDescent="0.25">
      <c r="B50" s="279" t="s">
        <v>157</v>
      </c>
      <c r="C50" s="163">
        <v>0</v>
      </c>
      <c r="D50" s="271">
        <v>20000</v>
      </c>
      <c r="E50" s="303">
        <f>C50*D50</f>
        <v>0</v>
      </c>
    </row>
    <row r="51" spans="2:5" x14ac:dyDescent="0.25">
      <c r="B51" s="279" t="s">
        <v>158</v>
      </c>
      <c r="C51" s="267">
        <v>1</v>
      </c>
      <c r="D51" s="271">
        <v>2850</v>
      </c>
      <c r="E51" s="303">
        <f t="shared" ref="E51:E62" si="2">C51*D51</f>
        <v>2850</v>
      </c>
    </row>
    <row r="52" spans="2:5" x14ac:dyDescent="0.25">
      <c r="B52" s="279" t="s">
        <v>159</v>
      </c>
      <c r="C52" s="267">
        <v>1</v>
      </c>
      <c r="D52" s="271">
        <v>5000</v>
      </c>
      <c r="E52" s="303">
        <f t="shared" si="2"/>
        <v>5000</v>
      </c>
    </row>
    <row r="53" spans="2:5" x14ac:dyDescent="0.25">
      <c r="B53" s="279" t="s">
        <v>160</v>
      </c>
      <c r="C53" s="267">
        <v>1</v>
      </c>
      <c r="D53" s="271">
        <v>2840</v>
      </c>
      <c r="E53" s="303">
        <f t="shared" si="2"/>
        <v>2840</v>
      </c>
    </row>
    <row r="54" spans="2:5" x14ac:dyDescent="0.25">
      <c r="B54" s="279" t="s">
        <v>172</v>
      </c>
      <c r="C54" s="267">
        <v>5</v>
      </c>
      <c r="D54" s="271">
        <v>2600</v>
      </c>
      <c r="E54" s="303">
        <f t="shared" si="2"/>
        <v>13000</v>
      </c>
    </row>
    <row r="55" spans="2:5" x14ac:dyDescent="0.25">
      <c r="B55" s="279" t="s">
        <v>205</v>
      </c>
      <c r="C55" s="163">
        <v>0</v>
      </c>
      <c r="D55" s="271">
        <v>736011</v>
      </c>
      <c r="E55" s="303">
        <f t="shared" si="2"/>
        <v>0</v>
      </c>
    </row>
    <row r="56" spans="2:5" x14ac:dyDescent="0.25">
      <c r="B56" s="279" t="s">
        <v>171</v>
      </c>
      <c r="C56" s="267">
        <v>1</v>
      </c>
      <c r="D56" s="271">
        <v>17500</v>
      </c>
      <c r="E56" s="303">
        <f t="shared" si="2"/>
        <v>17500</v>
      </c>
    </row>
    <row r="57" spans="2:5" x14ac:dyDescent="0.25">
      <c r="B57" s="279" t="s">
        <v>163</v>
      </c>
      <c r="C57" s="163">
        <v>0</v>
      </c>
      <c r="D57" s="271">
        <v>20170</v>
      </c>
      <c r="E57" s="303">
        <f t="shared" si="2"/>
        <v>0</v>
      </c>
    </row>
    <row r="58" spans="2:5" x14ac:dyDescent="0.25">
      <c r="B58" s="279" t="s">
        <v>169</v>
      </c>
      <c r="C58" s="163">
        <v>0</v>
      </c>
      <c r="D58" s="271">
        <v>4299</v>
      </c>
      <c r="E58" s="303">
        <f t="shared" si="2"/>
        <v>0</v>
      </c>
    </row>
    <row r="59" spans="2:5" x14ac:dyDescent="0.25">
      <c r="B59" s="279" t="s">
        <v>170</v>
      </c>
      <c r="C59" s="267">
        <v>1</v>
      </c>
      <c r="D59" s="271">
        <v>7480</v>
      </c>
      <c r="E59" s="303">
        <f t="shared" si="2"/>
        <v>7480</v>
      </c>
    </row>
    <row r="60" spans="2:5" x14ac:dyDescent="0.25">
      <c r="B60" s="279" t="s">
        <v>168</v>
      </c>
      <c r="C60" s="267">
        <v>1</v>
      </c>
      <c r="D60" s="271">
        <v>3200</v>
      </c>
      <c r="E60" s="303">
        <f t="shared" si="2"/>
        <v>3200</v>
      </c>
    </row>
    <row r="61" spans="2:5" x14ac:dyDescent="0.25">
      <c r="B61" s="279" t="s">
        <v>164</v>
      </c>
      <c r="C61" s="267">
        <v>8</v>
      </c>
      <c r="D61" s="271">
        <v>2299</v>
      </c>
      <c r="E61" s="303">
        <f t="shared" si="2"/>
        <v>18392</v>
      </c>
    </row>
    <row r="62" spans="2:5" ht="15.75" thickBot="1" x14ac:dyDescent="0.3">
      <c r="B62" s="293" t="s">
        <v>166</v>
      </c>
      <c r="C62" s="294">
        <v>0</v>
      </c>
      <c r="D62" s="273">
        <v>120000</v>
      </c>
      <c r="E62" s="304">
        <f t="shared" si="2"/>
        <v>0</v>
      </c>
    </row>
    <row r="63" spans="2:5" ht="15.75" thickBot="1" x14ac:dyDescent="0.3">
      <c r="B63" s="742" t="s">
        <v>19</v>
      </c>
      <c r="C63" s="743"/>
      <c r="D63" s="744"/>
      <c r="E63" s="296">
        <f>SUM(E50:E62)</f>
        <v>70262</v>
      </c>
    </row>
    <row r="65" spans="2:5" ht="15.75" thickBot="1" x14ac:dyDescent="0.3"/>
    <row r="66" spans="2:5" ht="27" thickBot="1" x14ac:dyDescent="0.45">
      <c r="B66" s="691" t="s">
        <v>174</v>
      </c>
      <c r="C66" s="692"/>
      <c r="D66" s="692"/>
      <c r="E66" s="693"/>
    </row>
    <row r="67" spans="2:5" ht="15.75" x14ac:dyDescent="0.25">
      <c r="B67" s="298" t="s">
        <v>63</v>
      </c>
      <c r="C67" s="299" t="s">
        <v>60</v>
      </c>
      <c r="D67" s="299" t="s">
        <v>161</v>
      </c>
      <c r="E67" s="300" t="s">
        <v>97</v>
      </c>
    </row>
    <row r="68" spans="2:5" x14ac:dyDescent="0.25">
      <c r="B68" s="279" t="s">
        <v>157</v>
      </c>
      <c r="C68" s="163">
        <v>0</v>
      </c>
      <c r="D68" s="271">
        <v>20000</v>
      </c>
      <c r="E68" s="303">
        <f>C68*D68</f>
        <v>0</v>
      </c>
    </row>
    <row r="69" spans="2:5" x14ac:dyDescent="0.25">
      <c r="B69" s="279" t="s">
        <v>158</v>
      </c>
      <c r="C69" s="163">
        <v>0</v>
      </c>
      <c r="D69" s="271">
        <v>2850</v>
      </c>
      <c r="E69" s="303">
        <f t="shared" ref="E69:E80" si="3">C69*D69</f>
        <v>0</v>
      </c>
    </row>
    <row r="70" spans="2:5" x14ac:dyDescent="0.25">
      <c r="B70" s="279" t="s">
        <v>159</v>
      </c>
      <c r="C70" s="163">
        <v>0</v>
      </c>
      <c r="D70" s="271">
        <v>5000</v>
      </c>
      <c r="E70" s="303">
        <f t="shared" si="3"/>
        <v>0</v>
      </c>
    </row>
    <row r="71" spans="2:5" x14ac:dyDescent="0.25">
      <c r="B71" s="279" t="s">
        <v>160</v>
      </c>
      <c r="C71" s="163">
        <v>0</v>
      </c>
      <c r="D71" s="271">
        <v>2840</v>
      </c>
      <c r="E71" s="303">
        <f t="shared" si="3"/>
        <v>0</v>
      </c>
    </row>
    <row r="72" spans="2:5" x14ac:dyDescent="0.25">
      <c r="B72" s="279" t="s">
        <v>172</v>
      </c>
      <c r="C72" s="163">
        <v>0</v>
      </c>
      <c r="D72" s="271">
        <v>2600</v>
      </c>
      <c r="E72" s="303">
        <f t="shared" si="3"/>
        <v>0</v>
      </c>
    </row>
    <row r="73" spans="2:5" x14ac:dyDescent="0.25">
      <c r="B73" s="279" t="s">
        <v>167</v>
      </c>
      <c r="C73" s="267">
        <v>1</v>
      </c>
      <c r="D73" s="271">
        <v>1234590</v>
      </c>
      <c r="E73" s="303">
        <f t="shared" si="3"/>
        <v>1234590</v>
      </c>
    </row>
    <row r="74" spans="2:5" x14ac:dyDescent="0.25">
      <c r="B74" s="279" t="s">
        <v>171</v>
      </c>
      <c r="C74" s="267">
        <v>2</v>
      </c>
      <c r="D74" s="271">
        <v>17500</v>
      </c>
      <c r="E74" s="303">
        <f t="shared" si="3"/>
        <v>35000</v>
      </c>
    </row>
    <row r="75" spans="2:5" x14ac:dyDescent="0.25">
      <c r="B75" s="279" t="s">
        <v>163</v>
      </c>
      <c r="C75" s="267">
        <v>1</v>
      </c>
      <c r="D75" s="271">
        <v>20170</v>
      </c>
      <c r="E75" s="303">
        <f t="shared" si="3"/>
        <v>20170</v>
      </c>
    </row>
    <row r="76" spans="2:5" x14ac:dyDescent="0.25">
      <c r="B76" s="279" t="s">
        <v>169</v>
      </c>
      <c r="C76" s="163">
        <v>0</v>
      </c>
      <c r="D76" s="271">
        <v>4299</v>
      </c>
      <c r="E76" s="303">
        <f t="shared" si="3"/>
        <v>0</v>
      </c>
    </row>
    <row r="77" spans="2:5" x14ac:dyDescent="0.25">
      <c r="B77" s="279" t="s">
        <v>170</v>
      </c>
      <c r="C77" s="163">
        <v>0</v>
      </c>
      <c r="D77" s="271">
        <v>7480</v>
      </c>
      <c r="E77" s="303">
        <f t="shared" si="3"/>
        <v>0</v>
      </c>
    </row>
    <row r="78" spans="2:5" x14ac:dyDescent="0.25">
      <c r="B78" s="279" t="s">
        <v>168</v>
      </c>
      <c r="C78" s="267">
        <v>3</v>
      </c>
      <c r="D78" s="271">
        <v>3200</v>
      </c>
      <c r="E78" s="303">
        <f t="shared" si="3"/>
        <v>9600</v>
      </c>
    </row>
    <row r="79" spans="2:5" x14ac:dyDescent="0.25">
      <c r="B79" s="279" t="s">
        <v>164</v>
      </c>
      <c r="C79" s="267">
        <v>3</v>
      </c>
      <c r="D79" s="271">
        <v>2299</v>
      </c>
      <c r="E79" s="303">
        <f t="shared" si="3"/>
        <v>6897</v>
      </c>
    </row>
    <row r="80" spans="2:5" ht="15.75" thickBot="1" x14ac:dyDescent="0.3">
      <c r="B80" s="293" t="s">
        <v>166</v>
      </c>
      <c r="C80" s="294">
        <v>0</v>
      </c>
      <c r="D80" s="273">
        <v>120000</v>
      </c>
      <c r="E80" s="274">
        <f t="shared" si="3"/>
        <v>0</v>
      </c>
    </row>
    <row r="81" spans="2:5" ht="15.75" thickBot="1" x14ac:dyDescent="0.3">
      <c r="B81" s="742" t="s">
        <v>19</v>
      </c>
      <c r="C81" s="743"/>
      <c r="D81" s="744"/>
      <c r="E81" s="296">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75" customFormat="1" ht="58.5" customHeight="1" x14ac:dyDescent="0.25">
      <c r="A1" s="477"/>
      <c r="B1" s="477"/>
      <c r="C1" s="477"/>
      <c r="D1" s="477"/>
      <c r="E1" s="477"/>
      <c r="F1" s="477"/>
      <c r="G1" s="480" t="s">
        <v>9</v>
      </c>
      <c r="H1" s="481"/>
      <c r="I1" s="477"/>
      <c r="J1" s="477"/>
      <c r="K1" s="477"/>
      <c r="L1" s="477"/>
      <c r="M1" s="477"/>
      <c r="N1" s="477"/>
      <c r="O1" s="477"/>
    </row>
    <row r="2" spans="1:15" ht="15.75" thickBot="1" x14ac:dyDescent="0.3"/>
    <row r="3" spans="1:15" ht="27" thickBot="1" x14ac:dyDescent="0.45">
      <c r="B3" s="691" t="s">
        <v>35</v>
      </c>
      <c r="C3" s="692"/>
      <c r="D3" s="693"/>
      <c r="E3" s="39"/>
      <c r="I3" s="691" t="s">
        <v>9</v>
      </c>
      <c r="J3" s="692"/>
      <c r="K3" s="693"/>
    </row>
    <row r="4" spans="1:15" x14ac:dyDescent="0.25">
      <c r="B4" s="34">
        <v>2019</v>
      </c>
      <c r="C4" s="34">
        <v>2020</v>
      </c>
      <c r="D4" s="34">
        <v>2021</v>
      </c>
      <c r="E4" s="106"/>
      <c r="I4" s="275">
        <v>2019</v>
      </c>
      <c r="J4" s="276">
        <v>2020</v>
      </c>
      <c r="K4" s="277">
        <v>2021</v>
      </c>
    </row>
    <row r="5" spans="1:15" ht="15.75" thickBot="1" x14ac:dyDescent="0.3">
      <c r="B5" s="40">
        <f>Hipótesis!$C$24</f>
        <v>0.02</v>
      </c>
      <c r="C5" s="40">
        <f>Hipótesis!$C$25</f>
        <v>0.05</v>
      </c>
      <c r="D5" s="40">
        <f>Hipótesis!$C$26</f>
        <v>7.0000000000000007E-2</v>
      </c>
      <c r="E5" s="165"/>
      <c r="I5" s="272">
        <f>$K$39</f>
        <v>141277.33333333334</v>
      </c>
      <c r="J5" s="273">
        <f>$L$39</f>
        <v>147660.56666666665</v>
      </c>
      <c r="K5" s="274">
        <f>$M$39</f>
        <v>162884.43333333335</v>
      </c>
    </row>
    <row r="6" spans="1:15" x14ac:dyDescent="0.25">
      <c r="B6" s="33">
        <f>Hipótesis!$D$24</f>
        <v>121458400</v>
      </c>
      <c r="C6" s="33">
        <f>Hipótesis!D25</f>
        <v>303646000</v>
      </c>
      <c r="D6" s="33">
        <f>Hipótesis!D26</f>
        <v>425104400.00000006</v>
      </c>
      <c r="E6" s="162"/>
    </row>
    <row r="7" spans="1:15" ht="15.75" thickBot="1" x14ac:dyDescent="0.3"/>
    <row r="8" spans="1:15" ht="27" thickBot="1" x14ac:dyDescent="0.45">
      <c r="B8" s="753" t="s">
        <v>9</v>
      </c>
      <c r="C8" s="754"/>
      <c r="D8" s="754"/>
      <c r="E8" s="754"/>
      <c r="F8" s="754"/>
      <c r="G8" s="754"/>
      <c r="H8" s="754"/>
      <c r="I8" s="754"/>
      <c r="J8" s="754"/>
      <c r="K8" s="754"/>
      <c r="L8" s="754"/>
      <c r="M8" s="755"/>
    </row>
    <row r="9" spans="1:15" x14ac:dyDescent="0.25">
      <c r="B9" s="750" t="s">
        <v>178</v>
      </c>
      <c r="C9" s="751" t="s">
        <v>63</v>
      </c>
      <c r="D9" s="751" t="s">
        <v>60</v>
      </c>
      <c r="E9" s="766" t="s">
        <v>161</v>
      </c>
      <c r="F9" s="764" t="s">
        <v>181</v>
      </c>
      <c r="G9" s="750" t="s">
        <v>182</v>
      </c>
      <c r="H9" s="751"/>
      <c r="I9" s="751"/>
      <c r="J9" s="752"/>
      <c r="K9" s="750" t="s">
        <v>177</v>
      </c>
      <c r="L9" s="751"/>
      <c r="M9" s="752"/>
    </row>
    <row r="10" spans="1:15" ht="15.75" thickBot="1" x14ac:dyDescent="0.3">
      <c r="B10" s="756"/>
      <c r="C10" s="757"/>
      <c r="D10" s="757"/>
      <c r="E10" s="767"/>
      <c r="F10" s="765"/>
      <c r="G10" s="346" t="s">
        <v>179</v>
      </c>
      <c r="H10" s="347" t="s">
        <v>64</v>
      </c>
      <c r="I10" s="347" t="s">
        <v>188</v>
      </c>
      <c r="J10" s="348" t="s">
        <v>189</v>
      </c>
      <c r="K10" s="346" t="s">
        <v>64</v>
      </c>
      <c r="L10" s="347" t="s">
        <v>188</v>
      </c>
      <c r="M10" s="348" t="s">
        <v>189</v>
      </c>
    </row>
    <row r="11" spans="1:15" x14ac:dyDescent="0.25">
      <c r="B11" s="768" t="s">
        <v>184</v>
      </c>
      <c r="C11" s="330" t="s">
        <v>157</v>
      </c>
      <c r="D11" s="331">
        <v>1</v>
      </c>
      <c r="E11" s="332">
        <v>20000</v>
      </c>
      <c r="F11" s="333">
        <v>10</v>
      </c>
      <c r="G11" s="334">
        <f>D11*E11</f>
        <v>20000</v>
      </c>
      <c r="H11" s="335">
        <v>0</v>
      </c>
      <c r="I11" s="335">
        <v>0</v>
      </c>
      <c r="J11" s="336">
        <v>0</v>
      </c>
      <c r="K11" s="337">
        <f>$G$11/$F$11</f>
        <v>2000</v>
      </c>
      <c r="L11" s="341">
        <f t="shared" ref="L11:M11" si="0">$G$11/$F$11</f>
        <v>2000</v>
      </c>
      <c r="M11" s="338">
        <f t="shared" si="0"/>
        <v>2000</v>
      </c>
    </row>
    <row r="12" spans="1:15" x14ac:dyDescent="0.25">
      <c r="B12" s="769"/>
      <c r="C12" s="307" t="s">
        <v>158</v>
      </c>
      <c r="D12" s="163">
        <v>1</v>
      </c>
      <c r="E12" s="271">
        <v>2850</v>
      </c>
      <c r="F12" s="312">
        <v>5</v>
      </c>
      <c r="G12" s="314">
        <f t="shared" ref="G12:G31" si="1">D12*E12</f>
        <v>2850</v>
      </c>
      <c r="H12" s="308">
        <v>0</v>
      </c>
      <c r="I12" s="308">
        <v>0</v>
      </c>
      <c r="J12" s="315">
        <v>0</v>
      </c>
      <c r="K12" s="321">
        <f>$G$12/$F$12</f>
        <v>570</v>
      </c>
      <c r="L12" s="310">
        <f t="shared" ref="L12:M12" si="2">$G$12/$F$12</f>
        <v>570</v>
      </c>
      <c r="M12" s="322">
        <f t="shared" si="2"/>
        <v>570</v>
      </c>
    </row>
    <row r="13" spans="1:15" x14ac:dyDescent="0.25">
      <c r="B13" s="769"/>
      <c r="C13" s="307" t="s">
        <v>158</v>
      </c>
      <c r="D13" s="163">
        <v>1</v>
      </c>
      <c r="E13" s="271">
        <f>E12</f>
        <v>2850</v>
      </c>
      <c r="F13" s="312">
        <v>5</v>
      </c>
      <c r="G13" s="316">
        <v>0</v>
      </c>
      <c r="H13" s="308">
        <v>0</v>
      </c>
      <c r="I13" s="309">
        <f>D13*E13</f>
        <v>2850</v>
      </c>
      <c r="J13" s="315">
        <v>0</v>
      </c>
      <c r="K13" s="323">
        <v>0</v>
      </c>
      <c r="L13" s="311">
        <v>0</v>
      </c>
      <c r="M13" s="322">
        <f>I13/F13</f>
        <v>570</v>
      </c>
    </row>
    <row r="14" spans="1:15" x14ac:dyDescent="0.25">
      <c r="B14" s="769"/>
      <c r="C14" s="307" t="s">
        <v>180</v>
      </c>
      <c r="D14" s="163">
        <v>1</v>
      </c>
      <c r="E14" s="271">
        <v>5000</v>
      </c>
      <c r="F14" s="312">
        <v>5</v>
      </c>
      <c r="G14" s="314">
        <f t="shared" si="1"/>
        <v>5000</v>
      </c>
      <c r="H14" s="308">
        <v>0</v>
      </c>
      <c r="I14" s="308">
        <v>0</v>
      </c>
      <c r="J14" s="315">
        <v>0</v>
      </c>
      <c r="K14" s="321">
        <f>$G$14/$F$14</f>
        <v>1000</v>
      </c>
      <c r="L14" s="310">
        <f t="shared" ref="L14:M14" si="3">$G$14/$F$14</f>
        <v>1000</v>
      </c>
      <c r="M14" s="322">
        <f t="shared" si="3"/>
        <v>1000</v>
      </c>
    </row>
    <row r="15" spans="1:15" x14ac:dyDescent="0.25">
      <c r="B15" s="769"/>
      <c r="C15" s="307" t="s">
        <v>180</v>
      </c>
      <c r="D15" s="163">
        <v>1</v>
      </c>
      <c r="E15" s="271">
        <f>E14</f>
        <v>5000</v>
      </c>
      <c r="F15" s="312">
        <v>5</v>
      </c>
      <c r="G15" s="316">
        <v>0</v>
      </c>
      <c r="H15" s="308">
        <v>0</v>
      </c>
      <c r="I15" s="309">
        <f>D15*E15</f>
        <v>5000</v>
      </c>
      <c r="J15" s="315">
        <v>0</v>
      </c>
      <c r="K15" s="323">
        <v>0</v>
      </c>
      <c r="L15" s="311">
        <v>0</v>
      </c>
      <c r="M15" s="322">
        <f>I15/F15</f>
        <v>1000</v>
      </c>
    </row>
    <row r="16" spans="1:15" x14ac:dyDescent="0.25">
      <c r="B16" s="769"/>
      <c r="C16" s="307" t="s">
        <v>160</v>
      </c>
      <c r="D16" s="163">
        <v>2</v>
      </c>
      <c r="E16" s="271">
        <v>2840</v>
      </c>
      <c r="F16" s="312">
        <v>5</v>
      </c>
      <c r="G16" s="314">
        <f t="shared" si="1"/>
        <v>5680</v>
      </c>
      <c r="H16" s="308">
        <v>0</v>
      </c>
      <c r="I16" s="308">
        <v>0</v>
      </c>
      <c r="J16" s="315">
        <v>0</v>
      </c>
      <c r="K16" s="321">
        <f>$G$16/$F$16</f>
        <v>1136</v>
      </c>
      <c r="L16" s="310">
        <f t="shared" ref="L16:M16" si="4">$G$16/$F$16</f>
        <v>1136</v>
      </c>
      <c r="M16" s="322">
        <f t="shared" si="4"/>
        <v>1136</v>
      </c>
    </row>
    <row r="17" spans="2:13" x14ac:dyDescent="0.25">
      <c r="B17" s="769"/>
      <c r="C17" s="307" t="s">
        <v>160</v>
      </c>
      <c r="D17" s="163">
        <v>1</v>
      </c>
      <c r="E17" s="271">
        <f>E16</f>
        <v>2840</v>
      </c>
      <c r="F17" s="313">
        <v>5</v>
      </c>
      <c r="G17" s="316">
        <v>0</v>
      </c>
      <c r="H17" s="308">
        <v>0</v>
      </c>
      <c r="I17" s="309">
        <f>D17*E17</f>
        <v>2840</v>
      </c>
      <c r="J17" s="315">
        <v>0</v>
      </c>
      <c r="K17" s="323">
        <v>0</v>
      </c>
      <c r="L17" s="311">
        <v>0</v>
      </c>
      <c r="M17" s="322">
        <f>I17/F17</f>
        <v>568</v>
      </c>
    </row>
    <row r="18" spans="2:13" x14ac:dyDescent="0.25">
      <c r="B18" s="769"/>
      <c r="C18" s="307" t="s">
        <v>183</v>
      </c>
      <c r="D18" s="163">
        <v>5</v>
      </c>
      <c r="E18" s="271">
        <v>2600</v>
      </c>
      <c r="F18" s="313">
        <v>5</v>
      </c>
      <c r="G18" s="314">
        <f t="shared" si="1"/>
        <v>13000</v>
      </c>
      <c r="H18" s="308">
        <v>0</v>
      </c>
      <c r="I18" s="308">
        <v>0</v>
      </c>
      <c r="J18" s="315">
        <v>0</v>
      </c>
      <c r="K18" s="321">
        <f>$G$18/$F$18</f>
        <v>2600</v>
      </c>
      <c r="L18" s="310">
        <f t="shared" ref="L18:M18" si="5">$G$18/$F$18</f>
        <v>2600</v>
      </c>
      <c r="M18" s="322">
        <f t="shared" si="5"/>
        <v>2600</v>
      </c>
    </row>
    <row r="19" spans="2:13" ht="15.75" thickBot="1" x14ac:dyDescent="0.3">
      <c r="B19" s="770"/>
      <c r="C19" s="339" t="s">
        <v>183</v>
      </c>
      <c r="D19" s="294">
        <v>5</v>
      </c>
      <c r="E19" s="273">
        <f>E18</f>
        <v>2600</v>
      </c>
      <c r="F19" s="345">
        <v>5</v>
      </c>
      <c r="G19" s="318">
        <v>0</v>
      </c>
      <c r="H19" s="319">
        <v>0</v>
      </c>
      <c r="I19" s="342">
        <f>E19*D19</f>
        <v>13000</v>
      </c>
      <c r="J19" s="343">
        <v>0</v>
      </c>
      <c r="K19" s="325">
        <v>0</v>
      </c>
      <c r="L19" s="326">
        <v>0</v>
      </c>
      <c r="M19" s="344">
        <f>I19/F19</f>
        <v>2600</v>
      </c>
    </row>
    <row r="20" spans="2:13" x14ac:dyDescent="0.25">
      <c r="B20" s="758" t="s">
        <v>185</v>
      </c>
      <c r="C20" s="279" t="s">
        <v>205</v>
      </c>
      <c r="D20" s="331">
        <v>2</v>
      </c>
      <c r="E20" s="271">
        <v>736011</v>
      </c>
      <c r="F20" s="333">
        <v>30</v>
      </c>
      <c r="G20" s="334">
        <f t="shared" si="1"/>
        <v>1472022</v>
      </c>
      <c r="H20" s="335">
        <v>0</v>
      </c>
      <c r="I20" s="335">
        <v>0</v>
      </c>
      <c r="J20" s="336">
        <v>0</v>
      </c>
      <c r="K20" s="337">
        <f>$G$20/$F$20</f>
        <v>49067.4</v>
      </c>
      <c r="L20" s="341">
        <f t="shared" ref="L20:M20" si="6">$G$20/$F$20</f>
        <v>49067.4</v>
      </c>
      <c r="M20" s="338">
        <f t="shared" si="6"/>
        <v>49067.4</v>
      </c>
    </row>
    <row r="21" spans="2:13" ht="15.75" thickBot="1" x14ac:dyDescent="0.3">
      <c r="B21" s="760"/>
      <c r="C21" s="279" t="s">
        <v>205</v>
      </c>
      <c r="D21" s="294">
        <v>1</v>
      </c>
      <c r="E21" s="273">
        <f>E20</f>
        <v>736011</v>
      </c>
      <c r="F21" s="340">
        <v>30</v>
      </c>
      <c r="G21" s="318">
        <v>0</v>
      </c>
      <c r="H21" s="319">
        <v>0</v>
      </c>
      <c r="I21" s="319">
        <v>0</v>
      </c>
      <c r="J21" s="320">
        <f>D21*E21</f>
        <v>736011</v>
      </c>
      <c r="K21" s="325">
        <v>0</v>
      </c>
      <c r="L21" s="326">
        <v>0</v>
      </c>
      <c r="M21" s="327">
        <v>0</v>
      </c>
    </row>
    <row r="22" spans="2:13" x14ac:dyDescent="0.25">
      <c r="B22" s="768" t="s">
        <v>186</v>
      </c>
      <c r="C22" s="330" t="s">
        <v>171</v>
      </c>
      <c r="D22" s="331">
        <v>8</v>
      </c>
      <c r="E22" s="332">
        <v>17500</v>
      </c>
      <c r="F22" s="333">
        <v>3</v>
      </c>
      <c r="G22" s="334">
        <f t="shared" si="1"/>
        <v>140000</v>
      </c>
      <c r="H22" s="335">
        <v>0</v>
      </c>
      <c r="I22" s="335">
        <v>0</v>
      </c>
      <c r="J22" s="336">
        <v>0</v>
      </c>
      <c r="K22" s="337">
        <f>$G$22/$F$22</f>
        <v>46666.666666666664</v>
      </c>
      <c r="L22" s="341">
        <f t="shared" ref="L22:M22" si="7">$G$22/$F$22</f>
        <v>46666.666666666664</v>
      </c>
      <c r="M22" s="338">
        <f t="shared" si="7"/>
        <v>46666.666666666664</v>
      </c>
    </row>
    <row r="23" spans="2:13" x14ac:dyDescent="0.25">
      <c r="B23" s="769"/>
      <c r="C23" s="307" t="s">
        <v>171</v>
      </c>
      <c r="D23" s="163">
        <v>1</v>
      </c>
      <c r="E23" s="271">
        <v>17500</v>
      </c>
      <c r="F23" s="312">
        <v>3</v>
      </c>
      <c r="G23" s="316">
        <v>0</v>
      </c>
      <c r="H23" s="309">
        <f>D23*E23</f>
        <v>17500</v>
      </c>
      <c r="I23" s="308">
        <v>0</v>
      </c>
      <c r="J23" s="315">
        <v>0</v>
      </c>
      <c r="K23" s="323">
        <v>0</v>
      </c>
      <c r="L23" s="310">
        <f>$H$23/$F$23</f>
        <v>5833.333333333333</v>
      </c>
      <c r="M23" s="322">
        <f>$H$23/$F$23</f>
        <v>5833.333333333333</v>
      </c>
    </row>
    <row r="24" spans="2:13" x14ac:dyDescent="0.25">
      <c r="B24" s="769"/>
      <c r="C24" s="307" t="s">
        <v>171</v>
      </c>
      <c r="D24" s="163">
        <v>1</v>
      </c>
      <c r="E24" s="271">
        <v>17500</v>
      </c>
      <c r="F24" s="312">
        <v>3</v>
      </c>
      <c r="G24" s="316">
        <v>0</v>
      </c>
      <c r="H24" s="308">
        <v>0</v>
      </c>
      <c r="I24" s="309">
        <f>D24*E24</f>
        <v>17500</v>
      </c>
      <c r="J24" s="315">
        <v>0</v>
      </c>
      <c r="K24" s="323">
        <v>0</v>
      </c>
      <c r="L24" s="311">
        <v>0</v>
      </c>
      <c r="M24" s="322">
        <f>I24/F24</f>
        <v>5833.333333333333</v>
      </c>
    </row>
    <row r="25" spans="2:13" x14ac:dyDescent="0.25">
      <c r="B25" s="769"/>
      <c r="C25" s="307" t="s">
        <v>171</v>
      </c>
      <c r="D25" s="163">
        <v>2</v>
      </c>
      <c r="E25" s="271">
        <v>17500</v>
      </c>
      <c r="F25" s="312">
        <v>3</v>
      </c>
      <c r="G25" s="316">
        <v>0</v>
      </c>
      <c r="H25" s="308">
        <v>0</v>
      </c>
      <c r="I25" s="308">
        <v>0</v>
      </c>
      <c r="J25" s="317">
        <f>D25*E25</f>
        <v>35000</v>
      </c>
      <c r="K25" s="323">
        <v>0</v>
      </c>
      <c r="L25" s="311">
        <v>0</v>
      </c>
      <c r="M25" s="324">
        <v>0</v>
      </c>
    </row>
    <row r="26" spans="2:13" x14ac:dyDescent="0.25">
      <c r="B26" s="769"/>
      <c r="C26" s="307" t="s">
        <v>176</v>
      </c>
      <c r="D26" s="163">
        <v>2</v>
      </c>
      <c r="E26" s="271">
        <v>20170</v>
      </c>
      <c r="F26" s="312">
        <v>3</v>
      </c>
      <c r="G26" s="314">
        <f t="shared" si="1"/>
        <v>40340</v>
      </c>
      <c r="H26" s="308">
        <v>0</v>
      </c>
      <c r="I26" s="308">
        <v>0</v>
      </c>
      <c r="J26" s="315">
        <v>0</v>
      </c>
      <c r="K26" s="321">
        <f>$G$26/$F$26</f>
        <v>13446.666666666666</v>
      </c>
      <c r="L26" s="310">
        <f t="shared" ref="L26:M26" si="8">$G$26/$F$26</f>
        <v>13446.666666666666</v>
      </c>
      <c r="M26" s="322">
        <f t="shared" si="8"/>
        <v>13446.666666666666</v>
      </c>
    </row>
    <row r="27" spans="2:13" x14ac:dyDescent="0.25">
      <c r="B27" s="769"/>
      <c r="C27" s="307" t="s">
        <v>176</v>
      </c>
      <c r="D27" s="163">
        <v>1</v>
      </c>
      <c r="E27" s="271">
        <v>20170</v>
      </c>
      <c r="F27" s="312">
        <v>3</v>
      </c>
      <c r="G27" s="316">
        <v>0</v>
      </c>
      <c r="H27" s="308">
        <v>0</v>
      </c>
      <c r="I27" s="308">
        <v>0</v>
      </c>
      <c r="J27" s="317">
        <f>D27*E27</f>
        <v>20170</v>
      </c>
      <c r="K27" s="323">
        <v>0</v>
      </c>
      <c r="L27" s="311">
        <v>0</v>
      </c>
      <c r="M27" s="324">
        <v>0</v>
      </c>
    </row>
    <row r="28" spans="2:13" x14ac:dyDescent="0.25">
      <c r="B28" s="769"/>
      <c r="C28" s="307" t="s">
        <v>169</v>
      </c>
      <c r="D28" s="163">
        <v>1</v>
      </c>
      <c r="E28" s="271">
        <v>4299</v>
      </c>
      <c r="F28" s="312">
        <v>3</v>
      </c>
      <c r="G28" s="314">
        <f t="shared" si="1"/>
        <v>4299</v>
      </c>
      <c r="H28" s="308">
        <v>0</v>
      </c>
      <c r="I28" s="308">
        <v>0</v>
      </c>
      <c r="J28" s="315">
        <v>0</v>
      </c>
      <c r="K28" s="321">
        <f>$G$28/$F$28</f>
        <v>1433</v>
      </c>
      <c r="L28" s="310">
        <f t="shared" ref="L28:M28" si="9">$G$28/$F$28</f>
        <v>1433</v>
      </c>
      <c r="M28" s="322">
        <f t="shared" si="9"/>
        <v>1433</v>
      </c>
    </row>
    <row r="29" spans="2:13" x14ac:dyDescent="0.25">
      <c r="B29" s="769"/>
      <c r="C29" s="307" t="s">
        <v>170</v>
      </c>
      <c r="D29" s="163">
        <v>6</v>
      </c>
      <c r="E29" s="271">
        <v>7480</v>
      </c>
      <c r="F29" s="312">
        <v>3</v>
      </c>
      <c r="G29" s="314">
        <f t="shared" si="1"/>
        <v>44880</v>
      </c>
      <c r="H29" s="308">
        <v>0</v>
      </c>
      <c r="I29" s="308">
        <v>0</v>
      </c>
      <c r="J29" s="315">
        <v>0</v>
      </c>
      <c r="K29" s="321">
        <f>$G$29/$F$29</f>
        <v>14960</v>
      </c>
      <c r="L29" s="310">
        <f t="shared" ref="L29:M29" si="10">$G$29/$F$29</f>
        <v>14960</v>
      </c>
      <c r="M29" s="322">
        <f t="shared" si="10"/>
        <v>14960</v>
      </c>
    </row>
    <row r="30" spans="2:13" ht="15.75" thickBot="1" x14ac:dyDescent="0.3">
      <c r="B30" s="770"/>
      <c r="C30" s="339" t="s">
        <v>170</v>
      </c>
      <c r="D30" s="294">
        <v>1</v>
      </c>
      <c r="E30" s="273">
        <v>7480</v>
      </c>
      <c r="F30" s="340">
        <v>3</v>
      </c>
      <c r="G30" s="318">
        <v>0</v>
      </c>
      <c r="H30" s="319">
        <v>0</v>
      </c>
      <c r="I30" s="342">
        <f>D30*E30</f>
        <v>7480</v>
      </c>
      <c r="J30" s="343">
        <v>0</v>
      </c>
      <c r="K30" s="325">
        <v>0</v>
      </c>
      <c r="L30" s="326">
        <v>0</v>
      </c>
      <c r="M30" s="344">
        <f>I30/F30</f>
        <v>2493.3333333333335</v>
      </c>
    </row>
    <row r="31" spans="2:13" x14ac:dyDescent="0.25">
      <c r="B31" s="758" t="s">
        <v>187</v>
      </c>
      <c r="C31" s="330" t="s">
        <v>168</v>
      </c>
      <c r="D31" s="331">
        <v>9</v>
      </c>
      <c r="E31" s="332">
        <v>3200</v>
      </c>
      <c r="F31" s="333">
        <v>10</v>
      </c>
      <c r="G31" s="334">
        <f t="shared" si="1"/>
        <v>28800</v>
      </c>
      <c r="H31" s="335">
        <v>0</v>
      </c>
      <c r="I31" s="335">
        <v>0</v>
      </c>
      <c r="J31" s="336">
        <v>0</v>
      </c>
      <c r="K31" s="337">
        <f>$G$31/$F$31</f>
        <v>2880</v>
      </c>
      <c r="L31" s="341">
        <f t="shared" ref="L31:M31" si="11">$G$31/$F$31</f>
        <v>2880</v>
      </c>
      <c r="M31" s="338">
        <f t="shared" si="11"/>
        <v>2880</v>
      </c>
    </row>
    <row r="32" spans="2:13" x14ac:dyDescent="0.25">
      <c r="B32" s="759"/>
      <c r="C32" s="307" t="s">
        <v>168</v>
      </c>
      <c r="D32" s="163">
        <v>1</v>
      </c>
      <c r="E32" s="271">
        <v>3200</v>
      </c>
      <c r="F32" s="312">
        <v>10</v>
      </c>
      <c r="G32" s="316">
        <v>0</v>
      </c>
      <c r="H32" s="309">
        <f>D32*E32</f>
        <v>3200</v>
      </c>
      <c r="I32" s="308">
        <v>0</v>
      </c>
      <c r="J32" s="315">
        <v>0</v>
      </c>
      <c r="K32" s="323">
        <v>0</v>
      </c>
      <c r="L32" s="310">
        <f>$H$32/$F$32</f>
        <v>320</v>
      </c>
      <c r="M32" s="322">
        <f>$H$32/$F$32</f>
        <v>320</v>
      </c>
    </row>
    <row r="33" spans="2:13" x14ac:dyDescent="0.25">
      <c r="B33" s="759"/>
      <c r="C33" s="307" t="s">
        <v>168</v>
      </c>
      <c r="D33" s="163">
        <v>1</v>
      </c>
      <c r="E33" s="271">
        <v>3200</v>
      </c>
      <c r="F33" s="312">
        <v>10</v>
      </c>
      <c r="G33" s="316">
        <v>0</v>
      </c>
      <c r="H33" s="308">
        <v>0</v>
      </c>
      <c r="I33" s="309">
        <f>D33*E33</f>
        <v>3200</v>
      </c>
      <c r="J33" s="315">
        <v>0</v>
      </c>
      <c r="K33" s="323">
        <v>0</v>
      </c>
      <c r="L33" s="311">
        <v>0</v>
      </c>
      <c r="M33" s="322">
        <f>I33/F33</f>
        <v>320</v>
      </c>
    </row>
    <row r="34" spans="2:13" x14ac:dyDescent="0.25">
      <c r="B34" s="759"/>
      <c r="C34" s="307" t="s">
        <v>168</v>
      </c>
      <c r="D34" s="163">
        <v>3</v>
      </c>
      <c r="E34" s="271">
        <v>3200</v>
      </c>
      <c r="F34" s="312">
        <v>10</v>
      </c>
      <c r="G34" s="316">
        <v>0</v>
      </c>
      <c r="H34" s="308">
        <v>0</v>
      </c>
      <c r="I34" s="308">
        <v>0</v>
      </c>
      <c r="J34" s="317">
        <f>D34*E34</f>
        <v>9600</v>
      </c>
      <c r="K34" s="323">
        <v>0</v>
      </c>
      <c r="L34" s="311">
        <v>0</v>
      </c>
      <c r="M34" s="324">
        <v>0</v>
      </c>
    </row>
    <row r="35" spans="2:13" x14ac:dyDescent="0.25">
      <c r="B35" s="759"/>
      <c r="C35" s="307" t="s">
        <v>175</v>
      </c>
      <c r="D35" s="163">
        <v>24</v>
      </c>
      <c r="E35" s="271">
        <v>2299</v>
      </c>
      <c r="F35" s="312">
        <v>10</v>
      </c>
      <c r="G35" s="314">
        <f>D35*E35</f>
        <v>55176</v>
      </c>
      <c r="H35" s="308">
        <v>0</v>
      </c>
      <c r="I35" s="308">
        <v>0</v>
      </c>
      <c r="J35" s="315">
        <v>0</v>
      </c>
      <c r="K35" s="321">
        <f>$G$35/$F$35</f>
        <v>5517.6</v>
      </c>
      <c r="L35" s="310">
        <f t="shared" ref="L35:M35" si="12">$G$35/$F$35</f>
        <v>5517.6</v>
      </c>
      <c r="M35" s="322">
        <f t="shared" si="12"/>
        <v>5517.6</v>
      </c>
    </row>
    <row r="36" spans="2:13" x14ac:dyDescent="0.25">
      <c r="B36" s="759"/>
      <c r="C36" s="307" t="s">
        <v>175</v>
      </c>
      <c r="D36" s="305">
        <v>1</v>
      </c>
      <c r="E36" s="271">
        <v>2299</v>
      </c>
      <c r="F36" s="312">
        <v>10</v>
      </c>
      <c r="G36" s="316">
        <v>0</v>
      </c>
      <c r="H36" s="309">
        <f>D36*E36</f>
        <v>2299</v>
      </c>
      <c r="I36" s="308">
        <v>0</v>
      </c>
      <c r="J36" s="315">
        <v>0</v>
      </c>
      <c r="K36" s="323">
        <v>0</v>
      </c>
      <c r="L36" s="310">
        <f>$H$36/$F$36</f>
        <v>229.9</v>
      </c>
      <c r="M36" s="322">
        <f>$H$36/$F$36</f>
        <v>229.9</v>
      </c>
    </row>
    <row r="37" spans="2:13" x14ac:dyDescent="0.25">
      <c r="B37" s="759"/>
      <c r="C37" s="307" t="s">
        <v>175</v>
      </c>
      <c r="D37" s="305">
        <v>8</v>
      </c>
      <c r="E37" s="271">
        <v>2299</v>
      </c>
      <c r="F37" s="312">
        <v>10</v>
      </c>
      <c r="G37" s="316">
        <v>0</v>
      </c>
      <c r="H37" s="308">
        <v>0</v>
      </c>
      <c r="I37" s="309">
        <f>D37*E37</f>
        <v>18392</v>
      </c>
      <c r="J37" s="315">
        <v>0</v>
      </c>
      <c r="K37" s="323">
        <v>0</v>
      </c>
      <c r="L37" s="311">
        <v>0</v>
      </c>
      <c r="M37" s="322">
        <f>I37/F37</f>
        <v>1839.2</v>
      </c>
    </row>
    <row r="38" spans="2:13" ht="15.75" thickBot="1" x14ac:dyDescent="0.3">
      <c r="B38" s="760"/>
      <c r="C38" s="339" t="s">
        <v>175</v>
      </c>
      <c r="D38" s="294">
        <v>3</v>
      </c>
      <c r="E38" s="273">
        <v>2299</v>
      </c>
      <c r="F38" s="340">
        <v>10</v>
      </c>
      <c r="G38" s="318">
        <v>0</v>
      </c>
      <c r="H38" s="319">
        <v>0</v>
      </c>
      <c r="I38" s="319">
        <v>0</v>
      </c>
      <c r="J38" s="320">
        <f>D38*E38</f>
        <v>6897</v>
      </c>
      <c r="K38" s="325">
        <v>0</v>
      </c>
      <c r="L38" s="326">
        <v>0</v>
      </c>
      <c r="M38" s="327">
        <v>0</v>
      </c>
    </row>
    <row r="39" spans="2:13" ht="16.5" thickBot="1" x14ac:dyDescent="0.3">
      <c r="B39" s="761" t="s">
        <v>146</v>
      </c>
      <c r="C39" s="762"/>
      <c r="D39" s="762"/>
      <c r="E39" s="762"/>
      <c r="F39" s="762"/>
      <c r="G39" s="762"/>
      <c r="H39" s="762"/>
      <c r="I39" s="762"/>
      <c r="J39" s="763"/>
      <c r="K39" s="349">
        <f t="shared" ref="K39:M39" si="13">SUM(K11:K38)</f>
        <v>141277.33333333334</v>
      </c>
      <c r="L39" s="328">
        <f t="shared" si="13"/>
        <v>147660.56666666665</v>
      </c>
      <c r="M39" s="329">
        <f t="shared" si="13"/>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475" customFormat="1" ht="58.5" customHeight="1" x14ac:dyDescent="0.25">
      <c r="A1" s="477"/>
      <c r="B1" s="477"/>
      <c r="C1" s="477"/>
      <c r="D1" s="477"/>
      <c r="E1" s="480" t="s">
        <v>13</v>
      </c>
      <c r="F1" s="481"/>
      <c r="G1" s="481"/>
      <c r="H1" s="477"/>
      <c r="I1" s="477"/>
      <c r="J1" s="477"/>
      <c r="K1" s="477"/>
      <c r="L1" s="477"/>
      <c r="M1" s="477"/>
      <c r="N1" s="477"/>
      <c r="O1" s="477"/>
    </row>
    <row r="2" spans="1:15" ht="15.75" thickBot="1" x14ac:dyDescent="0.3"/>
    <row r="3" spans="1:15" ht="27" thickBot="1" x14ac:dyDescent="0.45">
      <c r="H3" s="107"/>
      <c r="K3" s="691" t="s">
        <v>35</v>
      </c>
      <c r="L3" s="692"/>
      <c r="M3" s="693"/>
    </row>
    <row r="4" spans="1:15" x14ac:dyDescent="0.25">
      <c r="H4" s="106"/>
      <c r="K4" s="34">
        <v>2019</v>
      </c>
      <c r="L4" s="34">
        <v>2020</v>
      </c>
      <c r="M4" s="34">
        <v>2021</v>
      </c>
    </row>
    <row r="5" spans="1:15" x14ac:dyDescent="0.25">
      <c r="H5" s="162"/>
      <c r="K5" s="40">
        <f>Hipótesis!$C$24</f>
        <v>0.02</v>
      </c>
      <c r="L5" s="40">
        <f>Hipótesis!$C$25</f>
        <v>0.05</v>
      </c>
      <c r="M5" s="40">
        <f>Hipótesis!$C$26</f>
        <v>7.0000000000000007E-2</v>
      </c>
    </row>
    <row r="6" spans="1:15" x14ac:dyDescent="0.25">
      <c r="H6" s="52"/>
      <c r="K6" s="33">
        <f>Hipótesis!$D$24</f>
        <v>121458400</v>
      </c>
      <c r="L6" s="33">
        <f>Hipótesis!$D$25</f>
        <v>303646000</v>
      </c>
      <c r="M6" s="33">
        <f>Hipótesis!$D$26</f>
        <v>425104400.00000006</v>
      </c>
    </row>
    <row r="7" spans="1:15" ht="15.75" thickBot="1" x14ac:dyDescent="0.3">
      <c r="H7" s="52"/>
    </row>
    <row r="8" spans="1:15" ht="27" thickBot="1" x14ac:dyDescent="0.45">
      <c r="H8" s="107"/>
      <c r="K8" s="691" t="s">
        <v>222</v>
      </c>
      <c r="L8" s="692"/>
      <c r="M8" s="693"/>
    </row>
    <row r="9" spans="1:15" ht="15.75" thickBot="1" x14ac:dyDescent="0.3">
      <c r="H9" s="106"/>
      <c r="K9" s="44">
        <v>2019</v>
      </c>
      <c r="L9" s="34">
        <v>2020</v>
      </c>
      <c r="M9" s="45">
        <v>2021</v>
      </c>
    </row>
    <row r="10" spans="1:15" ht="27" thickBot="1" x14ac:dyDescent="0.45">
      <c r="B10" s="714" t="s">
        <v>13</v>
      </c>
      <c r="C10" s="715"/>
      <c r="D10" s="715"/>
      <c r="E10" s="715"/>
      <c r="F10" s="715"/>
      <c r="G10" s="716"/>
      <c r="H10" s="162"/>
      <c r="J10" s="401" t="s">
        <v>190</v>
      </c>
      <c r="K10" s="406">
        <f>'Costos fijos'!$G$5</f>
        <v>2343935.7000000002</v>
      </c>
      <c r="L10" s="33">
        <f>'Costos fijos'!$H$5</f>
        <v>2614351.9749999996</v>
      </c>
      <c r="M10" s="407">
        <f>'Costos fijos'!$I$5</f>
        <v>2971977.4835000001</v>
      </c>
    </row>
    <row r="11" spans="1:15" ht="15.75" thickBot="1" x14ac:dyDescent="0.3">
      <c r="B11" s="781" t="s">
        <v>203</v>
      </c>
      <c r="C11" s="782"/>
      <c r="D11" s="353" t="s">
        <v>204</v>
      </c>
      <c r="E11" s="354">
        <v>2019</v>
      </c>
      <c r="F11" s="354">
        <v>2020</v>
      </c>
      <c r="G11" s="355">
        <v>2021</v>
      </c>
      <c r="H11" s="52"/>
      <c r="J11" s="401" t="s">
        <v>150</v>
      </c>
      <c r="K11" s="406" t="e">
        <f>'Costos variables'!$H$6</f>
        <v>#REF!</v>
      </c>
      <c r="L11" s="33" t="e">
        <f>'Costos variables'!$I$6</f>
        <v>#REF!</v>
      </c>
      <c r="M11" s="407" t="e">
        <f>'Costos variables'!$J$6</f>
        <v>#REF!</v>
      </c>
    </row>
    <row r="12" spans="1:15" ht="15.75" thickBot="1" x14ac:dyDescent="0.3">
      <c r="B12" s="775" t="s">
        <v>39</v>
      </c>
      <c r="C12" s="776"/>
      <c r="D12" s="306" t="s">
        <v>191</v>
      </c>
      <c r="E12" s="278">
        <f>K6</f>
        <v>121458400</v>
      </c>
      <c r="F12" s="278">
        <f>L6</f>
        <v>303646000</v>
      </c>
      <c r="G12" s="352">
        <f>M6</f>
        <v>425104400.00000006</v>
      </c>
      <c r="J12" s="401" t="s">
        <v>151</v>
      </c>
      <c r="K12" s="48">
        <f>'Costos RRHH'!$H$6</f>
        <v>7341662.4450000012</v>
      </c>
      <c r="L12" s="49">
        <f>'Costos RRHH'!$I$6</f>
        <v>8446303.9266666677</v>
      </c>
      <c r="M12" s="50">
        <f>'Costos RRHH'!$J$6</f>
        <v>10262133.115833335</v>
      </c>
    </row>
    <row r="13" spans="1:15" ht="15.75" thickBot="1" x14ac:dyDescent="0.3">
      <c r="B13" s="777" t="s">
        <v>192</v>
      </c>
      <c r="C13" s="351" t="s">
        <v>190</v>
      </c>
      <c r="D13" s="350" t="s">
        <v>191</v>
      </c>
      <c r="E13" s="271">
        <f t="shared" ref="E13:G15" si="0">K10</f>
        <v>2343935.7000000002</v>
      </c>
      <c r="F13" s="271">
        <f t="shared" si="0"/>
        <v>2614351.9749999996</v>
      </c>
      <c r="G13" s="303">
        <f t="shared" si="0"/>
        <v>2971977.4835000001</v>
      </c>
    </row>
    <row r="14" spans="1:15" ht="27" thickBot="1" x14ac:dyDescent="0.45">
      <c r="B14" s="777"/>
      <c r="C14" s="351" t="s">
        <v>150</v>
      </c>
      <c r="D14" s="350" t="s">
        <v>191</v>
      </c>
      <c r="E14" s="271" t="e">
        <f t="shared" si="0"/>
        <v>#REF!</v>
      </c>
      <c r="F14" s="271" t="e">
        <f t="shared" si="0"/>
        <v>#REF!</v>
      </c>
      <c r="G14" s="271" t="e">
        <f t="shared" si="0"/>
        <v>#REF!</v>
      </c>
      <c r="K14" s="691" t="s">
        <v>9</v>
      </c>
      <c r="L14" s="692"/>
      <c r="M14" s="693"/>
    </row>
    <row r="15" spans="1:15" ht="15.75" thickBot="1" x14ac:dyDescent="0.3">
      <c r="B15" s="778"/>
      <c r="C15" s="356" t="s">
        <v>151</v>
      </c>
      <c r="D15" s="357" t="s">
        <v>191</v>
      </c>
      <c r="E15" s="297">
        <f t="shared" si="0"/>
        <v>7341662.4450000012</v>
      </c>
      <c r="F15" s="297">
        <f t="shared" si="0"/>
        <v>8446303.9266666677</v>
      </c>
      <c r="G15" s="297">
        <f t="shared" si="0"/>
        <v>10262133.115833335</v>
      </c>
      <c r="K15" s="275">
        <v>2019</v>
      </c>
      <c r="L15" s="276">
        <v>2020</v>
      </c>
      <c r="M15" s="277">
        <v>2021</v>
      </c>
    </row>
    <row r="16" spans="1:15" ht="15.75" thickBot="1" x14ac:dyDescent="0.3">
      <c r="B16" s="771" t="s">
        <v>193</v>
      </c>
      <c r="C16" s="772"/>
      <c r="D16" s="358" t="s">
        <v>191</v>
      </c>
      <c r="E16" s="359" t="e">
        <f>E12-E13-E14-E15</f>
        <v>#REF!</v>
      </c>
      <c r="F16" s="359" t="e">
        <f t="shared" ref="F16:G16" si="1">F12-F13-F14-F15</f>
        <v>#REF!</v>
      </c>
      <c r="G16" s="360" t="e">
        <f t="shared" si="1"/>
        <v>#REF!</v>
      </c>
      <c r="K16" s="272">
        <f>Amortizaciones!$I$5</f>
        <v>141277.33333333334</v>
      </c>
      <c r="L16" s="273">
        <f>Amortizaciones!$J$5</f>
        <v>147660.56666666665</v>
      </c>
      <c r="M16" s="274">
        <f>Amortizaciones!$K$5</f>
        <v>162884.43333333335</v>
      </c>
    </row>
    <row r="17" spans="2:13" ht="15.75" thickBot="1" x14ac:dyDescent="0.3">
      <c r="B17" s="785" t="s">
        <v>194</v>
      </c>
      <c r="C17" s="786"/>
      <c r="D17" s="306" t="s">
        <v>191</v>
      </c>
      <c r="E17" s="278">
        <f>E12*0.03</f>
        <v>3643752</v>
      </c>
      <c r="F17" s="278">
        <f t="shared" ref="F17:G17" si="2">F12*0.03</f>
        <v>9109380</v>
      </c>
      <c r="G17" s="352">
        <f t="shared" si="2"/>
        <v>12753132.000000002</v>
      </c>
    </row>
    <row r="18" spans="2:13" ht="27" thickBot="1" x14ac:dyDescent="0.45">
      <c r="B18" s="779" t="s">
        <v>195</v>
      </c>
      <c r="C18" s="780"/>
      <c r="D18" s="350"/>
      <c r="E18" s="271" t="e">
        <f>E16-E17-K16</f>
        <v>#REF!</v>
      </c>
      <c r="F18" s="271" t="e">
        <f>F16-F17-L16</f>
        <v>#REF!</v>
      </c>
      <c r="G18" s="303" t="e">
        <f>G16-G17-M16</f>
        <v>#REF!</v>
      </c>
      <c r="J18" s="691" t="s">
        <v>154</v>
      </c>
      <c r="K18" s="692"/>
      <c r="L18" s="692"/>
      <c r="M18" s="693"/>
    </row>
    <row r="19" spans="2:13" ht="15.75" thickBot="1" x14ac:dyDescent="0.3">
      <c r="B19" s="787" t="s">
        <v>196</v>
      </c>
      <c r="C19" s="788"/>
      <c r="D19" s="357" t="s">
        <v>191</v>
      </c>
      <c r="E19" s="297">
        <v>0</v>
      </c>
      <c r="F19" s="297">
        <v>0</v>
      </c>
      <c r="G19" s="304" t="e">
        <f>F18*0.35</f>
        <v>#REF!</v>
      </c>
      <c r="J19" s="275" t="s">
        <v>155</v>
      </c>
      <c r="K19" s="276">
        <v>2019</v>
      </c>
      <c r="L19" s="276">
        <v>2020</v>
      </c>
      <c r="M19" s="277">
        <v>2021</v>
      </c>
    </row>
    <row r="20" spans="2:13" ht="15.75" thickBot="1" x14ac:dyDescent="0.3">
      <c r="B20" s="771" t="s">
        <v>197</v>
      </c>
      <c r="C20" s="772"/>
      <c r="D20" s="358" t="s">
        <v>191</v>
      </c>
      <c r="E20" s="359" t="e">
        <f>E16-E17-E19</f>
        <v>#REF!</v>
      </c>
      <c r="F20" s="359" t="e">
        <f>F16-F17-F19</f>
        <v>#REF!</v>
      </c>
      <c r="G20" s="360" t="e">
        <f>G16-G17-G19</f>
        <v>#REF!</v>
      </c>
      <c r="J20" s="272">
        <f>'Mod. inversión'!$G$5</f>
        <v>2297572</v>
      </c>
      <c r="K20" s="273">
        <f>'Mod. inversión'!$H$5</f>
        <v>22999</v>
      </c>
      <c r="L20" s="273">
        <f>'Mod. inversión'!$I$5</f>
        <v>70262</v>
      </c>
      <c r="M20" s="274">
        <f>'Mod. inversión'!$J$5</f>
        <v>1306257</v>
      </c>
    </row>
    <row r="21" spans="2:13" ht="15.75" thickBot="1" x14ac:dyDescent="0.3">
      <c r="B21" s="783" t="s">
        <v>198</v>
      </c>
      <c r="C21" s="784"/>
      <c r="D21" s="361">
        <f>-J20</f>
        <v>-2297572</v>
      </c>
      <c r="E21" s="362">
        <f>-K20</f>
        <v>-22999</v>
      </c>
      <c r="F21" s="362">
        <f>-L20</f>
        <v>-70262</v>
      </c>
      <c r="G21" s="363">
        <f>-M20</f>
        <v>-1306257</v>
      </c>
    </row>
    <row r="22" spans="2:13" ht="15.75" thickBot="1" x14ac:dyDescent="0.3">
      <c r="B22" s="773" t="s">
        <v>199</v>
      </c>
      <c r="C22" s="774"/>
      <c r="D22" s="371">
        <f>D21</f>
        <v>-2297572</v>
      </c>
      <c r="E22" s="359" t="e">
        <f>E20+E21</f>
        <v>#REF!</v>
      </c>
      <c r="F22" s="359" t="e">
        <f t="shared" ref="F22:G22" si="3">F20+F21</f>
        <v>#REF!</v>
      </c>
      <c r="G22" s="360" t="e">
        <f t="shared" si="3"/>
        <v>#REF!</v>
      </c>
    </row>
    <row r="25" spans="2:13" ht="15.75" thickBot="1" x14ac:dyDescent="0.3"/>
    <row r="26" spans="2:13" x14ac:dyDescent="0.25">
      <c r="F26" s="365" t="s">
        <v>200</v>
      </c>
      <c r="G26" s="366">
        <v>0.5</v>
      </c>
    </row>
    <row r="27" spans="2:13" x14ac:dyDescent="0.25">
      <c r="F27" s="367" t="s">
        <v>201</v>
      </c>
      <c r="G27" s="368"/>
    </row>
    <row r="28" spans="2:13" ht="15.75" thickBot="1" x14ac:dyDescent="0.3">
      <c r="F28" s="369" t="s">
        <v>202</v>
      </c>
      <c r="G28" s="370"/>
    </row>
    <row r="31" spans="2:13" ht="0.6" customHeight="1" x14ac:dyDescent="0.25">
      <c r="I31" s="372"/>
    </row>
    <row r="32" spans="2:13" x14ac:dyDescent="0.25">
      <c r="I32" s="372"/>
    </row>
    <row r="36" spans="4:9" x14ac:dyDescent="0.25">
      <c r="D36" s="42"/>
      <c r="E36" s="42"/>
      <c r="F36" s="42"/>
      <c r="G36" s="42"/>
      <c r="I36" s="43"/>
    </row>
    <row r="37" spans="4:9" x14ac:dyDescent="0.25">
      <c r="I37" s="43"/>
    </row>
    <row r="38" spans="4:9" x14ac:dyDescent="0.25">
      <c r="H38" s="364"/>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75" customFormat="1" ht="58.5" customHeight="1" x14ac:dyDescent="0.25">
      <c r="A1" s="477"/>
      <c r="B1" s="477"/>
      <c r="C1" s="477"/>
      <c r="D1" s="480" t="s">
        <v>11</v>
      </c>
      <c r="E1" s="477"/>
      <c r="F1" s="477"/>
      <c r="G1" s="481"/>
      <c r="H1" s="481"/>
      <c r="I1" s="477"/>
      <c r="J1" s="477"/>
      <c r="K1" s="477"/>
      <c r="L1" s="477"/>
      <c r="M1" s="477"/>
      <c r="N1" s="477"/>
    </row>
    <row r="3" spans="1:14" ht="15.75" thickBot="1" x14ac:dyDescent="0.3"/>
    <row r="4" spans="1:14" ht="27" thickBot="1" x14ac:dyDescent="0.45">
      <c r="B4" s="745" t="s">
        <v>11</v>
      </c>
      <c r="C4" s="746"/>
      <c r="D4" s="746"/>
      <c r="E4" s="746"/>
      <c r="F4" s="746"/>
      <c r="G4" s="747"/>
    </row>
    <row r="5" spans="1:14" ht="15.75" thickBot="1" x14ac:dyDescent="0.3">
      <c r="B5" s="434" t="s">
        <v>220</v>
      </c>
      <c r="C5" s="435" t="s">
        <v>206</v>
      </c>
      <c r="D5" s="435" t="s">
        <v>207</v>
      </c>
      <c r="E5" s="435" t="s">
        <v>208</v>
      </c>
      <c r="F5" s="436" t="s">
        <v>209</v>
      </c>
      <c r="G5" s="437" t="s">
        <v>210</v>
      </c>
      <c r="H5"/>
    </row>
    <row r="6" spans="1:14" ht="60" customHeight="1" thickBot="1" x14ac:dyDescent="0.3">
      <c r="B6" s="441">
        <v>1</v>
      </c>
      <c r="C6" s="458" t="s">
        <v>261</v>
      </c>
      <c r="D6" s="452" t="s">
        <v>262</v>
      </c>
      <c r="E6" s="452" t="s">
        <v>263</v>
      </c>
      <c r="F6" s="453" t="s">
        <v>212</v>
      </c>
      <c r="G6" s="454" t="s">
        <v>211</v>
      </c>
      <c r="H6" s="430"/>
    </row>
    <row r="7" spans="1:14" ht="61.5" customHeight="1" thickBot="1" x14ac:dyDescent="0.3">
      <c r="B7" s="444">
        <v>2</v>
      </c>
      <c r="C7" s="455" t="s">
        <v>228</v>
      </c>
      <c r="D7" s="398" t="s">
        <v>221</v>
      </c>
      <c r="E7" s="398" t="s">
        <v>227</v>
      </c>
      <c r="F7" s="456" t="s">
        <v>215</v>
      </c>
      <c r="G7" s="457" t="s">
        <v>211</v>
      </c>
      <c r="H7" s="430"/>
    </row>
    <row r="8" spans="1:14" ht="57.75" customHeight="1" thickBot="1" x14ac:dyDescent="0.3">
      <c r="B8" s="450">
        <v>3</v>
      </c>
      <c r="C8" s="451" t="s">
        <v>253</v>
      </c>
      <c r="D8" s="452" t="s">
        <v>252</v>
      </c>
      <c r="E8" s="452" t="s">
        <v>256</v>
      </c>
      <c r="F8" s="453" t="s">
        <v>215</v>
      </c>
      <c r="G8" s="454" t="s">
        <v>211</v>
      </c>
      <c r="H8" s="430"/>
    </row>
    <row r="9" spans="1:14" ht="33" customHeight="1" x14ac:dyDescent="0.25">
      <c r="B9" s="449">
        <v>4</v>
      </c>
      <c r="C9" s="438" t="s">
        <v>229</v>
      </c>
      <c r="D9" s="375" t="s">
        <v>231</v>
      </c>
      <c r="E9" s="375" t="s">
        <v>230</v>
      </c>
      <c r="F9" s="432" t="s">
        <v>212</v>
      </c>
      <c r="G9" s="433" t="s">
        <v>216</v>
      </c>
      <c r="H9" s="52"/>
    </row>
    <row r="10" spans="1:14" ht="30" x14ac:dyDescent="0.25">
      <c r="B10" s="442">
        <v>5</v>
      </c>
      <c r="C10" s="439" t="s">
        <v>217</v>
      </c>
      <c r="D10" s="373" t="s">
        <v>259</v>
      </c>
      <c r="E10" s="373" t="s">
        <v>218</v>
      </c>
      <c r="F10" s="109" t="s">
        <v>212</v>
      </c>
      <c r="G10" s="111" t="s">
        <v>216</v>
      </c>
      <c r="H10" s="52"/>
    </row>
    <row r="11" spans="1:14" ht="30" x14ac:dyDescent="0.25">
      <c r="B11" s="442">
        <v>6</v>
      </c>
      <c r="C11" s="439" t="s">
        <v>232</v>
      </c>
      <c r="D11" s="374" t="s">
        <v>260</v>
      </c>
      <c r="E11" s="374" t="s">
        <v>233</v>
      </c>
      <c r="F11" s="109" t="s">
        <v>212</v>
      </c>
      <c r="G11" s="111" t="s">
        <v>214</v>
      </c>
      <c r="H11" s="52"/>
    </row>
    <row r="12" spans="1:14" x14ac:dyDescent="0.25">
      <c r="B12" s="442">
        <v>7</v>
      </c>
      <c r="C12" s="439" t="s">
        <v>234</v>
      </c>
      <c r="D12" s="374"/>
      <c r="E12" s="374"/>
      <c r="F12" s="109" t="s">
        <v>215</v>
      </c>
      <c r="G12" s="111" t="s">
        <v>214</v>
      </c>
      <c r="H12" s="52"/>
    </row>
    <row r="13" spans="1:14" x14ac:dyDescent="0.25">
      <c r="B13" s="442">
        <v>8</v>
      </c>
      <c r="C13" s="439" t="s">
        <v>235</v>
      </c>
      <c r="D13" s="373"/>
      <c r="E13" s="373"/>
      <c r="F13" s="109" t="s">
        <v>215</v>
      </c>
      <c r="G13" s="111" t="s">
        <v>216</v>
      </c>
      <c r="H13" s="52"/>
    </row>
    <row r="14" spans="1:14" ht="15.75" thickBot="1" x14ac:dyDescent="0.3">
      <c r="B14" s="444">
        <v>9</v>
      </c>
      <c r="C14" s="445" t="s">
        <v>236</v>
      </c>
      <c r="D14" s="446"/>
      <c r="E14" s="446"/>
      <c r="F14" s="447" t="s">
        <v>215</v>
      </c>
      <c r="G14" s="448" t="s">
        <v>214</v>
      </c>
      <c r="H14" s="52"/>
    </row>
    <row r="15" spans="1:14" ht="68.25" customHeight="1" thickBot="1" x14ac:dyDescent="0.3">
      <c r="B15" s="450">
        <v>10</v>
      </c>
      <c r="C15" s="451" t="s">
        <v>249</v>
      </c>
      <c r="D15" s="452"/>
      <c r="E15" s="452"/>
      <c r="F15" s="453" t="s">
        <v>212</v>
      </c>
      <c r="G15" s="454" t="s">
        <v>211</v>
      </c>
      <c r="H15" s="430"/>
    </row>
    <row r="16" spans="1:14" x14ac:dyDescent="0.25">
      <c r="B16" s="449">
        <v>11</v>
      </c>
      <c r="C16" s="438" t="s">
        <v>237</v>
      </c>
      <c r="D16" s="375"/>
      <c r="E16" s="375"/>
      <c r="F16" s="432" t="s">
        <v>212</v>
      </c>
      <c r="G16" s="433" t="s">
        <v>216</v>
      </c>
      <c r="H16" s="52"/>
    </row>
    <row r="17" spans="2:8" x14ac:dyDescent="0.25">
      <c r="B17" s="442">
        <v>12</v>
      </c>
      <c r="C17" s="439" t="s">
        <v>238</v>
      </c>
      <c r="D17" s="373"/>
      <c r="E17" s="373"/>
      <c r="F17" s="109" t="s">
        <v>215</v>
      </c>
      <c r="G17" s="111" t="s">
        <v>216</v>
      </c>
      <c r="H17" s="52"/>
    </row>
    <row r="18" spans="2:8" ht="54.75" customHeight="1" x14ac:dyDescent="0.25">
      <c r="B18" s="442">
        <v>13</v>
      </c>
      <c r="C18" s="439" t="s">
        <v>239</v>
      </c>
      <c r="D18" s="373"/>
      <c r="E18" s="373"/>
      <c r="F18" s="109" t="s">
        <v>215</v>
      </c>
      <c r="G18" s="111" t="s">
        <v>211</v>
      </c>
      <c r="H18" s="52"/>
    </row>
    <row r="19" spans="2:8" x14ac:dyDescent="0.25">
      <c r="B19" s="442">
        <v>14</v>
      </c>
      <c r="C19" s="439" t="s">
        <v>241</v>
      </c>
      <c r="D19" s="373"/>
      <c r="E19" s="373"/>
      <c r="F19" s="109" t="s">
        <v>212</v>
      </c>
      <c r="G19" s="111" t="s">
        <v>211</v>
      </c>
      <c r="H19" s="430"/>
    </row>
    <row r="20" spans="2:8" ht="15.75" thickBot="1" x14ac:dyDescent="0.3">
      <c r="B20" s="443">
        <v>15</v>
      </c>
      <c r="C20" s="440" t="s">
        <v>240</v>
      </c>
      <c r="D20" s="431"/>
      <c r="E20" s="431"/>
      <c r="F20" s="110" t="s">
        <v>212</v>
      </c>
      <c r="G20" s="112" t="s">
        <v>212</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75" customFormat="1" ht="58.5" customHeight="1" x14ac:dyDescent="0.25">
      <c r="A1" s="477"/>
      <c r="B1" s="477"/>
      <c r="C1" s="477"/>
      <c r="D1" s="477"/>
      <c r="E1" s="477"/>
      <c r="F1" s="477"/>
      <c r="G1" s="789" t="s">
        <v>243</v>
      </c>
      <c r="H1" s="790"/>
      <c r="I1" s="790"/>
      <c r="J1" s="477"/>
      <c r="K1" s="477"/>
      <c r="L1" s="477"/>
      <c r="M1" s="477"/>
      <c r="N1" s="477"/>
    </row>
    <row r="2" spans="1:38" ht="20.25" customHeight="1" thickBot="1" x14ac:dyDescent="0.3">
      <c r="G2" s="409"/>
      <c r="H2" s="410"/>
      <c r="I2" s="410"/>
    </row>
    <row r="3" spans="1:38" ht="15.75" thickBot="1" x14ac:dyDescent="0.3">
      <c r="B3" s="411"/>
      <c r="C3" s="412"/>
      <c r="D3" s="412"/>
      <c r="E3" s="412"/>
      <c r="F3" s="412"/>
      <c r="G3" s="412"/>
      <c r="H3" s="412"/>
      <c r="I3" s="412"/>
      <c r="J3" s="412"/>
      <c r="K3" s="412"/>
      <c r="L3" s="413"/>
    </row>
    <row r="4" spans="1:38" ht="15.75" thickBot="1" x14ac:dyDescent="0.3">
      <c r="B4" s="414"/>
      <c r="C4" s="801" t="s">
        <v>242</v>
      </c>
      <c r="D4" s="802"/>
      <c r="E4" s="802"/>
      <c r="F4" s="802"/>
      <c r="G4" s="802"/>
      <c r="H4" s="802"/>
      <c r="I4" s="802"/>
      <c r="J4" s="802"/>
      <c r="K4" s="803"/>
      <c r="L4" s="415"/>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row>
    <row r="5" spans="1:38" ht="15.75" thickBot="1" x14ac:dyDescent="0.3">
      <c r="B5" s="414"/>
      <c r="C5" s="416"/>
      <c r="D5" s="416"/>
      <c r="E5" s="416"/>
      <c r="F5" s="416"/>
      <c r="G5" s="416"/>
      <c r="H5" s="416"/>
      <c r="I5" s="416"/>
      <c r="J5" s="416"/>
      <c r="K5" s="416"/>
      <c r="L5" s="415"/>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row>
    <row r="6" spans="1:38" ht="15.75" thickBot="1" x14ac:dyDescent="0.3">
      <c r="B6" s="414"/>
      <c r="C6" s="52"/>
      <c r="D6" s="52"/>
      <c r="E6" s="52"/>
      <c r="F6" s="388" t="s">
        <v>35</v>
      </c>
      <c r="G6" s="380"/>
      <c r="H6" s="381"/>
      <c r="I6" s="416"/>
      <c r="J6" s="416"/>
      <c r="K6" s="131" t="s">
        <v>254</v>
      </c>
      <c r="L6" s="415"/>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row>
    <row r="7" spans="1:38" x14ac:dyDescent="0.25">
      <c r="B7" s="414"/>
      <c r="E7" s="52"/>
      <c r="F7" s="387">
        <v>2019</v>
      </c>
      <c r="G7" s="387">
        <v>2020</v>
      </c>
      <c r="H7" s="387">
        <v>2021</v>
      </c>
      <c r="I7" s="416"/>
      <c r="J7" s="416"/>
      <c r="K7" s="797" t="s">
        <v>249</v>
      </c>
      <c r="L7" s="415"/>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row>
    <row r="8" spans="1:38" x14ac:dyDescent="0.25">
      <c r="B8" s="414"/>
      <c r="E8" s="52"/>
      <c r="F8" s="382">
        <f>'Presupuesto financiero'!K5</f>
        <v>0.02</v>
      </c>
      <c r="G8" s="382">
        <f>'Presupuesto financiero'!L5</f>
        <v>0.05</v>
      </c>
      <c r="H8" s="382">
        <f>'Presupuesto financiero'!M5</f>
        <v>7.0000000000000007E-2</v>
      </c>
      <c r="I8" s="416"/>
      <c r="J8" s="416"/>
      <c r="K8" s="798"/>
      <c r="L8" s="415"/>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row>
    <row r="9" spans="1:38" ht="15.75" thickBot="1" x14ac:dyDescent="0.3">
      <c r="B9" s="414"/>
      <c r="E9" s="393" t="s">
        <v>250</v>
      </c>
      <c r="F9" s="404">
        <f>Hipótesis!$D$24</f>
        <v>121458400</v>
      </c>
      <c r="G9" s="404">
        <f>Hipótesis!$D$25</f>
        <v>303646000</v>
      </c>
      <c r="H9" s="404">
        <f>Hipótesis!$D$26</f>
        <v>425104400.00000006</v>
      </c>
      <c r="I9" s="416"/>
      <c r="J9" s="416"/>
      <c r="K9" s="799"/>
      <c r="L9" s="415"/>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row>
    <row r="10" spans="1:38" ht="15.75" thickBot="1" x14ac:dyDescent="0.3">
      <c r="B10" s="414"/>
      <c r="C10" s="52"/>
      <c r="D10" s="52"/>
      <c r="E10" s="393" t="s">
        <v>190</v>
      </c>
      <c r="F10" s="383">
        <f>'Presupuesto financiero'!K10</f>
        <v>2343935.7000000002</v>
      </c>
      <c r="G10" s="383">
        <f>'Presupuesto financiero'!L10</f>
        <v>2614351.9749999996</v>
      </c>
      <c r="H10" s="383">
        <f>'Presupuesto financiero'!M10</f>
        <v>2971977.4835000001</v>
      </c>
      <c r="I10" s="416"/>
      <c r="J10" s="416"/>
      <c r="K10" s="131" t="s">
        <v>207</v>
      </c>
      <c r="L10" s="415"/>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row>
    <row r="11" spans="1:38" x14ac:dyDescent="0.25">
      <c r="B11" s="414"/>
      <c r="C11" s="52"/>
      <c r="D11" s="52"/>
      <c r="E11" s="393" t="s">
        <v>150</v>
      </c>
      <c r="F11" s="383" t="e">
        <f>'Presupuesto financiero'!K11</f>
        <v>#REF!</v>
      </c>
      <c r="G11" s="383" t="e">
        <f>'Presupuesto financiero'!L11</f>
        <v>#REF!</v>
      </c>
      <c r="H11" s="383" t="e">
        <f>'Presupuesto financiero'!M11</f>
        <v>#REF!</v>
      </c>
      <c r="I11" s="416"/>
      <c r="J11" s="416"/>
      <c r="K11" s="800"/>
      <c r="L11" s="415"/>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row>
    <row r="12" spans="1:38" x14ac:dyDescent="0.25">
      <c r="B12" s="414"/>
      <c r="C12" s="52"/>
      <c r="D12" s="52"/>
      <c r="E12" s="393" t="s">
        <v>248</v>
      </c>
      <c r="F12" s="383">
        <f>'Presupuesto financiero'!K12</f>
        <v>7341662.4450000012</v>
      </c>
      <c r="G12" s="383">
        <f>'Presupuesto financiero'!L12</f>
        <v>8446303.9266666677</v>
      </c>
      <c r="H12" s="383">
        <f>'Presupuesto financiero'!M12</f>
        <v>10262133.115833335</v>
      </c>
      <c r="I12" s="416"/>
      <c r="J12" s="416"/>
      <c r="K12" s="798"/>
      <c r="L12" s="415"/>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row>
    <row r="13" spans="1:38" ht="15.75" thickBot="1" x14ac:dyDescent="0.3">
      <c r="B13" s="414"/>
      <c r="C13" s="52"/>
      <c r="D13" s="52"/>
      <c r="E13" s="52"/>
      <c r="F13" s="52"/>
      <c r="G13" s="52"/>
      <c r="H13" s="52"/>
      <c r="I13" s="416"/>
      <c r="J13" s="416"/>
      <c r="K13" s="799"/>
      <c r="L13" s="415"/>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row>
    <row r="14" spans="1:38" ht="16.5" customHeight="1" thickBot="1" x14ac:dyDescent="0.3">
      <c r="B14" s="414"/>
      <c r="C14" s="804" t="s">
        <v>265</v>
      </c>
      <c r="D14" s="805"/>
      <c r="E14" s="52"/>
      <c r="F14" s="403" t="s">
        <v>177</v>
      </c>
      <c r="G14" s="380"/>
      <c r="H14" s="381"/>
      <c r="I14" s="416"/>
      <c r="J14" s="416"/>
      <c r="K14" s="131" t="s">
        <v>208</v>
      </c>
      <c r="L14" s="415"/>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row>
    <row r="15" spans="1:38" ht="15.75" customHeight="1" x14ac:dyDescent="0.25">
      <c r="B15" s="414"/>
      <c r="C15" s="791">
        <v>2021</v>
      </c>
      <c r="D15" s="792"/>
      <c r="E15" s="52"/>
      <c r="F15" s="166">
        <v>2019</v>
      </c>
      <c r="G15" s="166">
        <v>2020</v>
      </c>
      <c r="H15" s="166">
        <v>2021</v>
      </c>
      <c r="I15" s="416"/>
      <c r="J15" s="416"/>
      <c r="K15" s="806" t="s">
        <v>264</v>
      </c>
      <c r="L15" s="415"/>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row>
    <row r="16" spans="1:38" ht="15.75" thickBot="1" x14ac:dyDescent="0.3">
      <c r="B16" s="414"/>
      <c r="C16" s="793">
        <v>0.8</v>
      </c>
      <c r="D16" s="794"/>
      <c r="E16" s="405"/>
      <c r="F16" s="383">
        <f>'Presupuesto financiero'!K16</f>
        <v>141277.33333333334</v>
      </c>
      <c r="G16" s="383">
        <f>'Presupuesto financiero'!L16</f>
        <v>147660.56666666665</v>
      </c>
      <c r="H16" s="383">
        <f>'Presupuesto financiero'!M16</f>
        <v>162884.43333333335</v>
      </c>
      <c r="I16" s="416"/>
      <c r="J16" s="416"/>
      <c r="K16" s="807"/>
      <c r="L16" s="415"/>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row>
    <row r="17" spans="2:38" x14ac:dyDescent="0.25">
      <c r="B17" s="414"/>
      <c r="C17" s="52"/>
      <c r="D17" s="52"/>
      <c r="E17" s="405"/>
      <c r="F17" s="42"/>
      <c r="G17" s="42"/>
      <c r="H17" s="42"/>
      <c r="I17" s="416"/>
      <c r="J17" s="416"/>
      <c r="K17" s="416"/>
      <c r="L17" s="415"/>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row>
    <row r="18" spans="2:38" x14ac:dyDescent="0.25">
      <c r="B18" s="414"/>
      <c r="C18" s="52"/>
      <c r="D18" s="52"/>
      <c r="E18" s="403" t="s">
        <v>154</v>
      </c>
      <c r="F18" s="380"/>
      <c r="G18" s="380"/>
      <c r="H18" s="381"/>
      <c r="I18" s="416"/>
      <c r="J18" s="416"/>
      <c r="K18" s="416"/>
      <c r="L18" s="415"/>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row>
    <row r="19" spans="2:38" x14ac:dyDescent="0.25">
      <c r="B19" s="414"/>
      <c r="C19" s="52"/>
      <c r="D19" s="52"/>
      <c r="E19" s="387" t="s">
        <v>155</v>
      </c>
      <c r="F19" s="387">
        <v>2019</v>
      </c>
      <c r="G19" s="387">
        <v>2020</v>
      </c>
      <c r="H19" s="387">
        <v>2021</v>
      </c>
      <c r="I19" s="416"/>
      <c r="J19" s="416"/>
      <c r="K19" s="416"/>
      <c r="L19" s="415"/>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row>
    <row r="20" spans="2:38" x14ac:dyDescent="0.25">
      <c r="B20" s="414"/>
      <c r="C20" s="52"/>
      <c r="D20" s="52"/>
      <c r="E20" s="383">
        <f>'Presupuesto financiero'!J20</f>
        <v>2297572</v>
      </c>
      <c r="F20" s="383">
        <f>'Presupuesto financiero'!K20</f>
        <v>22999</v>
      </c>
      <c r="G20" s="383">
        <f>'Presupuesto financiero'!L20</f>
        <v>70262</v>
      </c>
      <c r="H20" s="383">
        <f>'Presupuesto financiero'!M20</f>
        <v>1306257</v>
      </c>
      <c r="I20" s="416"/>
      <c r="J20" s="416"/>
      <c r="K20" s="416"/>
      <c r="L20" s="415"/>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row>
    <row r="21" spans="2:38" x14ac:dyDescent="0.25">
      <c r="B21" s="414"/>
      <c r="C21" s="52"/>
      <c r="D21" s="52"/>
      <c r="E21" s="52"/>
      <c r="F21" s="52"/>
      <c r="G21" s="52"/>
      <c r="H21" s="52"/>
      <c r="I21" s="416"/>
      <c r="J21" s="416"/>
      <c r="K21" s="416"/>
      <c r="L21" s="415"/>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row>
    <row r="22" spans="2:38" x14ac:dyDescent="0.25">
      <c r="B22" s="414"/>
      <c r="C22" s="52"/>
      <c r="D22" s="52"/>
      <c r="E22" s="390" t="s">
        <v>204</v>
      </c>
      <c r="F22" s="390">
        <v>2019</v>
      </c>
      <c r="G22" s="390">
        <v>2020</v>
      </c>
      <c r="H22" s="390">
        <v>2021</v>
      </c>
      <c r="I22" s="416"/>
      <c r="J22" s="416"/>
      <c r="K22" s="416"/>
      <c r="L22" s="415"/>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row>
    <row r="23" spans="2:38" x14ac:dyDescent="0.25">
      <c r="B23" s="414"/>
      <c r="C23" s="391" t="s">
        <v>39</v>
      </c>
      <c r="D23" s="392"/>
      <c r="E23" s="396" t="s">
        <v>191</v>
      </c>
      <c r="F23" s="397">
        <f>F9</f>
        <v>121458400</v>
      </c>
      <c r="G23" s="397">
        <f>G9</f>
        <v>303646000</v>
      </c>
      <c r="H23" s="459">
        <f>H9*$C$16</f>
        <v>340083520.00000006</v>
      </c>
      <c r="I23" s="416"/>
      <c r="J23" s="416"/>
      <c r="K23" s="416"/>
      <c r="L23" s="415"/>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row>
    <row r="24" spans="2:38" x14ac:dyDescent="0.25">
      <c r="B24" s="414"/>
      <c r="C24" s="808" t="s">
        <v>192</v>
      </c>
      <c r="D24" s="393" t="s">
        <v>245</v>
      </c>
      <c r="E24" s="396" t="s">
        <v>191</v>
      </c>
      <c r="F24" s="397">
        <f>F10</f>
        <v>2343935.7000000002</v>
      </c>
      <c r="G24" s="397">
        <f t="shared" ref="G24:H24" si="0">G10</f>
        <v>2614351.9749999996</v>
      </c>
      <c r="H24" s="397">
        <f t="shared" si="0"/>
        <v>2971977.4835000001</v>
      </c>
      <c r="I24" s="416"/>
      <c r="J24" s="416"/>
      <c r="K24" s="416"/>
      <c r="L24" s="415"/>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row>
    <row r="25" spans="2:38" x14ac:dyDescent="0.25">
      <c r="B25" s="414"/>
      <c r="C25" s="809"/>
      <c r="D25" s="393" t="s">
        <v>246</v>
      </c>
      <c r="E25" s="396" t="s">
        <v>191</v>
      </c>
      <c r="F25" s="397" t="e">
        <f>F11</f>
        <v>#REF!</v>
      </c>
      <c r="G25" s="397" t="e">
        <f t="shared" ref="G25" si="1">G11</f>
        <v>#REF!</v>
      </c>
      <c r="H25" s="459" t="e">
        <f>H11*C16</f>
        <v>#REF!</v>
      </c>
      <c r="I25" s="416"/>
      <c r="J25" s="416"/>
      <c r="K25" s="416"/>
      <c r="L25" s="415"/>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row>
    <row r="26" spans="2:38" x14ac:dyDescent="0.25">
      <c r="B26" s="414"/>
      <c r="C26" s="810"/>
      <c r="D26" s="393" t="s">
        <v>247</v>
      </c>
      <c r="E26" s="396" t="s">
        <v>191</v>
      </c>
      <c r="F26" s="397">
        <f>F12</f>
        <v>7341662.4450000012</v>
      </c>
      <c r="G26" s="397">
        <f t="shared" ref="G26:H26" si="2">G12</f>
        <v>8446303.9266666677</v>
      </c>
      <c r="H26" s="397">
        <f t="shared" si="2"/>
        <v>10262133.115833335</v>
      </c>
      <c r="I26" s="416"/>
      <c r="J26" s="416"/>
      <c r="K26" s="416"/>
      <c r="L26" s="415"/>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row>
    <row r="27" spans="2:38" x14ac:dyDescent="0.25">
      <c r="B27" s="414"/>
      <c r="C27" s="378" t="s">
        <v>193</v>
      </c>
      <c r="D27" s="379"/>
      <c r="E27" s="399" t="s">
        <v>191</v>
      </c>
      <c r="F27" s="400" t="e">
        <f>F23-F24-F25-F26</f>
        <v>#REF!</v>
      </c>
      <c r="G27" s="400" t="e">
        <f t="shared" ref="G27:H27" si="3">G23-G24-G25-G26</f>
        <v>#REF!</v>
      </c>
      <c r="H27" s="400" t="e">
        <f t="shared" si="3"/>
        <v>#REF!</v>
      </c>
      <c r="I27" s="416"/>
      <c r="J27" s="416"/>
      <c r="K27" s="416"/>
      <c r="L27" s="415"/>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row>
    <row r="28" spans="2:38" x14ac:dyDescent="0.25">
      <c r="B28" s="414"/>
      <c r="C28" s="394" t="s">
        <v>194</v>
      </c>
      <c r="D28" s="395"/>
      <c r="E28" s="109" t="s">
        <v>191</v>
      </c>
      <c r="F28" s="397">
        <f>F23*0.03</f>
        <v>3643752</v>
      </c>
      <c r="G28" s="397">
        <f t="shared" ref="G28:H28" si="4">G23*0.03</f>
        <v>9109380</v>
      </c>
      <c r="H28" s="397">
        <f t="shared" si="4"/>
        <v>10202505.600000001</v>
      </c>
      <c r="I28" s="416"/>
      <c r="J28" s="416"/>
      <c r="K28" s="416"/>
      <c r="L28" s="415"/>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row>
    <row r="29" spans="2:38" x14ac:dyDescent="0.25">
      <c r="B29" s="414"/>
      <c r="C29" s="795" t="s">
        <v>195</v>
      </c>
      <c r="D29" s="796"/>
      <c r="E29" s="109"/>
      <c r="F29" s="397" t="e">
        <f>F27-F28</f>
        <v>#REF!</v>
      </c>
      <c r="G29" s="397" t="e">
        <f>G27-G28-G16</f>
        <v>#REF!</v>
      </c>
      <c r="H29" s="397" t="e">
        <f>H27-H28-H16</f>
        <v>#REF!</v>
      </c>
      <c r="I29" s="416"/>
      <c r="J29" s="416"/>
      <c r="K29" s="416"/>
      <c r="L29" s="415"/>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row>
    <row r="30" spans="2:38" x14ac:dyDescent="0.25">
      <c r="B30" s="414"/>
      <c r="C30" s="394" t="s">
        <v>196</v>
      </c>
      <c r="D30" s="395"/>
      <c r="E30" s="109" t="s">
        <v>191</v>
      </c>
      <c r="F30" s="397">
        <v>0</v>
      </c>
      <c r="G30" s="397">
        <v>0</v>
      </c>
      <c r="H30" s="397" t="e">
        <f>0.35*G29</f>
        <v>#REF!</v>
      </c>
      <c r="I30" s="416"/>
      <c r="J30" s="416"/>
      <c r="K30" s="416"/>
      <c r="L30" s="415"/>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row>
    <row r="31" spans="2:38" x14ac:dyDescent="0.25">
      <c r="B31" s="414"/>
      <c r="C31" s="378" t="s">
        <v>197</v>
      </c>
      <c r="D31" s="379"/>
      <c r="E31" s="399" t="s">
        <v>191</v>
      </c>
      <c r="F31" s="400" t="e">
        <f>F27-F28-F30</f>
        <v>#REF!</v>
      </c>
      <c r="G31" s="400" t="e">
        <f t="shared" ref="G31:H31" si="5">G27-G28-G30</f>
        <v>#REF!</v>
      </c>
      <c r="H31" s="400" t="e">
        <f t="shared" si="5"/>
        <v>#REF!</v>
      </c>
      <c r="I31" s="416"/>
      <c r="J31" s="416"/>
      <c r="K31" s="416"/>
      <c r="L31" s="415"/>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row>
    <row r="32" spans="2:38" x14ac:dyDescent="0.25">
      <c r="B32" s="414"/>
      <c r="C32" s="394" t="s">
        <v>198</v>
      </c>
      <c r="D32" s="395"/>
      <c r="E32" s="397">
        <f>-E20</f>
        <v>-2297572</v>
      </c>
      <c r="F32" s="397">
        <f t="shared" ref="F32:H32" si="6">-F20</f>
        <v>-22999</v>
      </c>
      <c r="G32" s="397">
        <f t="shared" si="6"/>
        <v>-70262</v>
      </c>
      <c r="H32" s="397">
        <f t="shared" si="6"/>
        <v>-1306257</v>
      </c>
      <c r="I32" s="416"/>
      <c r="J32" s="416"/>
      <c r="K32" s="416"/>
      <c r="L32" s="415"/>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row>
    <row r="33" spans="2:38" x14ac:dyDescent="0.25">
      <c r="B33" s="414"/>
      <c r="C33" s="378" t="s">
        <v>199</v>
      </c>
      <c r="D33" s="379"/>
      <c r="E33" s="400">
        <f>E32</f>
        <v>-2297572</v>
      </c>
      <c r="F33" s="400" t="e">
        <f>F31+F32</f>
        <v>#REF!</v>
      </c>
      <c r="G33" s="400" t="e">
        <f t="shared" ref="G33:H33" si="7">G31+G32</f>
        <v>#REF!</v>
      </c>
      <c r="H33" s="400" t="e">
        <f t="shared" si="7"/>
        <v>#REF!</v>
      </c>
      <c r="I33" s="416"/>
      <c r="J33" s="416"/>
      <c r="K33" s="416"/>
      <c r="L33" s="415"/>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row>
    <row r="34" spans="2:38" x14ac:dyDescent="0.25">
      <c r="B34" s="414"/>
      <c r="C34" s="52"/>
      <c r="D34" s="52"/>
      <c r="E34" s="52"/>
      <c r="F34" s="52"/>
      <c r="G34" s="52"/>
      <c r="H34" s="52"/>
      <c r="I34" s="416"/>
      <c r="J34" s="416"/>
      <c r="K34" s="416"/>
      <c r="L34" s="415"/>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row>
    <row r="35" spans="2:38" x14ac:dyDescent="0.25">
      <c r="B35" s="414"/>
      <c r="C35" s="52"/>
      <c r="D35" s="52"/>
      <c r="E35" s="52"/>
      <c r="F35" s="52"/>
      <c r="G35" s="426" t="s">
        <v>200</v>
      </c>
      <c r="H35" s="427">
        <v>0.62</v>
      </c>
      <c r="I35" s="416"/>
      <c r="J35" s="416"/>
      <c r="K35" s="416"/>
      <c r="L35" s="415"/>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row>
    <row r="36" spans="2:38" x14ac:dyDescent="0.25">
      <c r="B36" s="414"/>
      <c r="C36" s="52"/>
      <c r="D36" s="52"/>
      <c r="E36" s="52"/>
      <c r="F36" s="52"/>
      <c r="G36" s="426" t="s">
        <v>201</v>
      </c>
      <c r="H36" s="428"/>
      <c r="I36" s="416"/>
      <c r="J36" s="416"/>
      <c r="K36" s="416"/>
      <c r="L36" s="415"/>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row>
    <row r="37" spans="2:38" x14ac:dyDescent="0.25">
      <c r="B37" s="414"/>
      <c r="C37" s="52"/>
      <c r="D37" s="52"/>
      <c r="E37" s="52"/>
      <c r="F37" s="52"/>
      <c r="G37" s="426" t="s">
        <v>202</v>
      </c>
      <c r="H37" s="429"/>
      <c r="I37" s="416"/>
      <c r="J37" s="416"/>
      <c r="K37" s="416"/>
      <c r="L37" s="415"/>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row>
    <row r="38" spans="2:38" ht="15.75" thickBot="1" x14ac:dyDescent="0.3">
      <c r="B38" s="417"/>
      <c r="C38" s="289"/>
      <c r="D38" s="289"/>
      <c r="E38" s="289"/>
      <c r="F38" s="289"/>
      <c r="G38" s="289"/>
      <c r="H38" s="289"/>
      <c r="I38" s="418"/>
      <c r="J38" s="418"/>
      <c r="K38" s="418"/>
      <c r="L38" s="419"/>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row>
    <row r="39" spans="2:38" x14ac:dyDescent="0.25">
      <c r="B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row>
    <row r="40" spans="2:38" x14ac:dyDescent="0.25">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row>
    <row r="41" spans="2:38" x14ac:dyDescent="0.25">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row>
    <row r="42" spans="2:38" x14ac:dyDescent="0.25">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75" customFormat="1" ht="58.5" customHeight="1" x14ac:dyDescent="0.25">
      <c r="A1" s="477"/>
      <c r="B1" s="477"/>
      <c r="C1" s="477"/>
      <c r="D1" s="477"/>
      <c r="E1" s="477"/>
      <c r="F1" s="789" t="s">
        <v>213</v>
      </c>
      <c r="G1" s="790"/>
      <c r="H1" s="790"/>
      <c r="I1" s="477"/>
      <c r="J1" s="477"/>
      <c r="K1" s="477"/>
      <c r="L1" s="477"/>
      <c r="M1" s="477"/>
      <c r="N1" s="477"/>
    </row>
    <row r="3" spans="1:14" ht="15.75" thickBot="1" x14ac:dyDescent="0.3"/>
    <row r="4" spans="1:14" ht="15.75" thickBot="1" x14ac:dyDescent="0.3">
      <c r="B4" s="420"/>
      <c r="C4" s="412"/>
      <c r="D4" s="412"/>
      <c r="E4" s="412"/>
      <c r="F4" s="412"/>
      <c r="G4" s="412"/>
      <c r="H4" s="412"/>
      <c r="I4" s="421"/>
      <c r="J4" s="421"/>
      <c r="K4" s="421"/>
      <c r="L4" s="422"/>
    </row>
    <row r="5" spans="1:14" ht="15.75" thickBot="1" x14ac:dyDescent="0.3">
      <c r="B5" s="414"/>
      <c r="C5" s="801" t="s">
        <v>251</v>
      </c>
      <c r="D5" s="802"/>
      <c r="E5" s="802"/>
      <c r="F5" s="802"/>
      <c r="G5" s="802"/>
      <c r="H5" s="802"/>
      <c r="I5" s="802"/>
      <c r="J5" s="802"/>
      <c r="K5" s="803"/>
      <c r="L5" s="415"/>
    </row>
    <row r="6" spans="1:14" ht="15.75" thickBot="1" x14ac:dyDescent="0.3">
      <c r="B6" s="414"/>
      <c r="C6" s="416"/>
      <c r="D6" s="416"/>
      <c r="E6" s="416"/>
      <c r="F6" s="416"/>
      <c r="G6" s="416"/>
      <c r="H6" s="416"/>
      <c r="I6" s="416"/>
      <c r="J6" s="416"/>
      <c r="K6" s="416"/>
      <c r="L6" s="415"/>
    </row>
    <row r="7" spans="1:14" ht="17.25" customHeight="1" thickBot="1" x14ac:dyDescent="0.3">
      <c r="B7" s="423"/>
      <c r="C7" s="52"/>
      <c r="D7" s="52"/>
      <c r="E7" s="52"/>
      <c r="F7" s="815" t="s">
        <v>35</v>
      </c>
      <c r="G7" s="816"/>
      <c r="H7" s="817"/>
      <c r="I7" s="416"/>
      <c r="J7" s="416"/>
      <c r="K7" s="131" t="s">
        <v>258</v>
      </c>
      <c r="L7" s="424"/>
    </row>
    <row r="8" spans="1:14" x14ac:dyDescent="0.25">
      <c r="B8" s="423"/>
      <c r="E8" s="52"/>
      <c r="F8" s="387">
        <v>2019</v>
      </c>
      <c r="G8" s="387">
        <v>2020</v>
      </c>
      <c r="H8" s="387">
        <v>2021</v>
      </c>
      <c r="I8" s="416"/>
      <c r="J8" s="416"/>
      <c r="K8" s="800" t="s">
        <v>253</v>
      </c>
      <c r="L8" s="424"/>
    </row>
    <row r="9" spans="1:14" x14ac:dyDescent="0.25">
      <c r="B9" s="423"/>
      <c r="E9" s="52"/>
      <c r="F9" s="382">
        <f>'Presupuesto financiero'!K5</f>
        <v>0.02</v>
      </c>
      <c r="G9" s="382">
        <f>'Presupuesto financiero'!L5</f>
        <v>0.05</v>
      </c>
      <c r="H9" s="382">
        <f>'Presupuesto financiero'!M5</f>
        <v>7.0000000000000007E-2</v>
      </c>
      <c r="I9" s="416"/>
      <c r="J9" s="416"/>
      <c r="K9" s="798"/>
      <c r="L9" s="424"/>
    </row>
    <row r="10" spans="1:14" ht="15.75" thickBot="1" x14ac:dyDescent="0.3">
      <c r="B10" s="423"/>
      <c r="E10" s="393" t="s">
        <v>250</v>
      </c>
      <c r="F10" s="404">
        <f>'Presupuesto financiero'!K6</f>
        <v>121458400</v>
      </c>
      <c r="G10" s="404">
        <f>'Presupuesto financiero'!L6</f>
        <v>303646000</v>
      </c>
      <c r="H10" s="404">
        <f>'Presupuesto financiero'!M6</f>
        <v>425104400.00000006</v>
      </c>
      <c r="I10" s="416"/>
      <c r="J10" s="416"/>
      <c r="K10" s="799"/>
      <c r="L10" s="424"/>
    </row>
    <row r="11" spans="1:14" ht="15.75" thickBot="1" x14ac:dyDescent="0.3">
      <c r="B11" s="423"/>
      <c r="C11" s="52"/>
      <c r="D11" s="52"/>
      <c r="E11" s="393" t="s">
        <v>190</v>
      </c>
      <c r="F11" s="383">
        <f>'Presupuesto financiero'!K10</f>
        <v>2343935.7000000002</v>
      </c>
      <c r="G11" s="383">
        <f>'Presupuesto financiero'!L10</f>
        <v>2614351.9749999996</v>
      </c>
      <c r="H11" s="383">
        <f>'Presupuesto financiero'!M10</f>
        <v>2971977.4835000001</v>
      </c>
      <c r="I11" s="416"/>
      <c r="J11" s="416"/>
      <c r="K11" s="131" t="s">
        <v>207</v>
      </c>
      <c r="L11" s="424"/>
    </row>
    <row r="12" spans="1:14" x14ac:dyDescent="0.25">
      <c r="B12" s="423"/>
      <c r="C12" s="52"/>
      <c r="D12" s="52"/>
      <c r="E12" s="393" t="s">
        <v>150</v>
      </c>
      <c r="F12" s="383" t="e">
        <f>'Presupuesto financiero'!K11</f>
        <v>#REF!</v>
      </c>
      <c r="G12" s="383" t="e">
        <f>'Presupuesto financiero'!L11</f>
        <v>#REF!</v>
      </c>
      <c r="H12" s="383" t="e">
        <f>'Presupuesto financiero'!M11</f>
        <v>#REF!</v>
      </c>
      <c r="I12" s="416"/>
      <c r="J12" s="416"/>
      <c r="K12" s="800" t="s">
        <v>252</v>
      </c>
      <c r="L12" s="424"/>
    </row>
    <row r="13" spans="1:14" x14ac:dyDescent="0.25">
      <c r="B13" s="423"/>
      <c r="C13" s="52"/>
      <c r="D13" s="52"/>
      <c r="E13" s="393" t="s">
        <v>248</v>
      </c>
      <c r="F13" s="383">
        <f>'Presupuesto financiero'!K12</f>
        <v>7341662.4450000012</v>
      </c>
      <c r="G13" s="383">
        <f>'Presupuesto financiero'!L12</f>
        <v>8446303.9266666677</v>
      </c>
      <c r="H13" s="383">
        <f>'Presupuesto financiero'!M12</f>
        <v>10262133.115833335</v>
      </c>
      <c r="I13" s="416"/>
      <c r="J13" s="416"/>
      <c r="K13" s="798"/>
      <c r="L13" s="424"/>
    </row>
    <row r="14" spans="1:14" ht="15.75" thickBot="1" x14ac:dyDescent="0.3">
      <c r="B14" s="423"/>
      <c r="C14" s="52"/>
      <c r="D14" s="52"/>
      <c r="E14" s="52"/>
      <c r="F14" s="52"/>
      <c r="G14" s="52"/>
      <c r="H14" s="52"/>
      <c r="I14" s="416"/>
      <c r="J14" s="416"/>
      <c r="K14" s="799"/>
      <c r="L14" s="424"/>
    </row>
    <row r="15" spans="1:14" ht="15.75" thickBot="1" x14ac:dyDescent="0.3">
      <c r="B15" s="423"/>
      <c r="C15" s="401" t="s">
        <v>244</v>
      </c>
      <c r="D15" s="402"/>
      <c r="E15" s="52"/>
      <c r="F15" s="403" t="s">
        <v>177</v>
      </c>
      <c r="G15" s="380"/>
      <c r="H15" s="381"/>
      <c r="I15" s="416"/>
      <c r="J15" s="416"/>
      <c r="K15" s="131" t="s">
        <v>208</v>
      </c>
      <c r="L15" s="424"/>
    </row>
    <row r="16" spans="1:14" ht="30.75" customHeight="1" thickBot="1" x14ac:dyDescent="0.3">
      <c r="B16" s="423"/>
      <c r="C16" s="811" t="s">
        <v>257</v>
      </c>
      <c r="D16" s="812"/>
      <c r="E16" s="52"/>
      <c r="F16" s="166">
        <v>2019</v>
      </c>
      <c r="G16" s="166">
        <v>2020</v>
      </c>
      <c r="H16" s="166">
        <v>2021</v>
      </c>
      <c r="I16" s="416"/>
      <c r="J16" s="416"/>
      <c r="K16" s="408" t="s">
        <v>256</v>
      </c>
      <c r="L16" s="424"/>
    </row>
    <row r="17" spans="2:12" x14ac:dyDescent="0.25">
      <c r="B17" s="423"/>
      <c r="C17" s="813">
        <v>3800000</v>
      </c>
      <c r="D17" s="814"/>
      <c r="E17" s="405"/>
      <c r="F17" s="383">
        <f>'Presupuesto financiero'!K16</f>
        <v>141277.33333333334</v>
      </c>
      <c r="G17" s="383">
        <f>'Presupuesto financiero'!L16</f>
        <v>147660.56666666665</v>
      </c>
      <c r="H17" s="383">
        <f>'Presupuesto financiero'!M16</f>
        <v>162884.43333333335</v>
      </c>
      <c r="I17" s="416"/>
      <c r="J17" s="416"/>
      <c r="K17" s="416"/>
      <c r="L17" s="424"/>
    </row>
    <row r="18" spans="2:12" x14ac:dyDescent="0.25">
      <c r="B18" s="423"/>
      <c r="C18" s="52"/>
      <c r="D18" s="52"/>
      <c r="E18" s="405"/>
      <c r="F18" s="42"/>
      <c r="G18" s="42"/>
      <c r="H18" s="42"/>
      <c r="I18" s="416"/>
      <c r="J18" s="416"/>
      <c r="K18" s="416"/>
      <c r="L18" s="424"/>
    </row>
    <row r="19" spans="2:12" x14ac:dyDescent="0.25">
      <c r="B19" s="423"/>
      <c r="C19" s="52"/>
      <c r="D19" s="52"/>
      <c r="E19" s="403" t="s">
        <v>154</v>
      </c>
      <c r="F19" s="380"/>
      <c r="G19" s="380"/>
      <c r="H19" s="381"/>
      <c r="I19" s="416"/>
      <c r="J19" s="416"/>
      <c r="K19" s="416"/>
      <c r="L19" s="424"/>
    </row>
    <row r="20" spans="2:12" x14ac:dyDescent="0.25">
      <c r="B20" s="423"/>
      <c r="C20" s="52"/>
      <c r="D20" s="52"/>
      <c r="E20" s="387" t="s">
        <v>155</v>
      </c>
      <c r="F20" s="387">
        <v>2019</v>
      </c>
      <c r="G20" s="387">
        <v>2020</v>
      </c>
      <c r="H20" s="387">
        <v>2021</v>
      </c>
      <c r="I20" s="416"/>
      <c r="J20" s="416"/>
      <c r="K20" s="416"/>
      <c r="L20" s="424"/>
    </row>
    <row r="21" spans="2:12" x14ac:dyDescent="0.25">
      <c r="B21" s="423"/>
      <c r="C21" s="52"/>
      <c r="D21" s="52"/>
      <c r="E21" s="383">
        <f>'Presupuesto financiero'!J20</f>
        <v>2297572</v>
      </c>
      <c r="F21" s="383">
        <f>'Presupuesto financiero'!K20</f>
        <v>22999</v>
      </c>
      <c r="G21" s="383">
        <f>'Presupuesto financiero'!L20</f>
        <v>70262</v>
      </c>
      <c r="H21" s="383">
        <f>'Presupuesto financiero'!M20</f>
        <v>1306257</v>
      </c>
      <c r="I21" s="416"/>
      <c r="J21" s="416"/>
      <c r="K21" s="416"/>
      <c r="L21" s="424"/>
    </row>
    <row r="22" spans="2:12" x14ac:dyDescent="0.25">
      <c r="B22" s="423"/>
      <c r="C22" s="52"/>
      <c r="D22" s="52"/>
      <c r="E22" s="52"/>
      <c r="F22" s="52"/>
      <c r="G22" s="52"/>
      <c r="H22" s="52"/>
      <c r="I22" s="416"/>
      <c r="J22" s="416"/>
      <c r="K22" s="416"/>
      <c r="L22" s="424"/>
    </row>
    <row r="23" spans="2:12" x14ac:dyDescent="0.25">
      <c r="B23" s="423"/>
      <c r="C23" s="52"/>
      <c r="D23" s="52"/>
      <c r="E23" s="390" t="s">
        <v>204</v>
      </c>
      <c r="F23" s="390">
        <v>2019</v>
      </c>
      <c r="G23" s="390">
        <v>2020</v>
      </c>
      <c r="H23" s="390">
        <v>2021</v>
      </c>
      <c r="I23" s="416"/>
      <c r="J23" s="416"/>
      <c r="K23" s="416"/>
      <c r="L23" s="424"/>
    </row>
    <row r="24" spans="2:12" x14ac:dyDescent="0.25">
      <c r="B24" s="423"/>
      <c r="C24" s="391" t="s">
        <v>39</v>
      </c>
      <c r="D24" s="392"/>
      <c r="E24" s="396" t="s">
        <v>191</v>
      </c>
      <c r="F24" s="397">
        <f t="shared" ref="F24:H25" si="0">F10</f>
        <v>121458400</v>
      </c>
      <c r="G24" s="397">
        <f t="shared" si="0"/>
        <v>303646000</v>
      </c>
      <c r="H24" s="397">
        <f t="shared" si="0"/>
        <v>425104400.00000006</v>
      </c>
      <c r="I24" s="416"/>
      <c r="J24" s="416"/>
      <c r="K24" s="416"/>
      <c r="L24" s="424"/>
    </row>
    <row r="25" spans="2:12" x14ac:dyDescent="0.25">
      <c r="B25" s="423"/>
      <c r="C25" s="808" t="s">
        <v>192</v>
      </c>
      <c r="D25" s="393" t="s">
        <v>245</v>
      </c>
      <c r="E25" s="396" t="s">
        <v>191</v>
      </c>
      <c r="F25" s="397">
        <f t="shared" si="0"/>
        <v>2343935.7000000002</v>
      </c>
      <c r="G25" s="397">
        <f t="shared" si="0"/>
        <v>2614351.9749999996</v>
      </c>
      <c r="H25" s="397">
        <f t="shared" si="0"/>
        <v>2971977.4835000001</v>
      </c>
      <c r="I25" s="416"/>
      <c r="J25" s="416"/>
      <c r="K25" s="416"/>
      <c r="L25" s="424"/>
    </row>
    <row r="26" spans="2:12" x14ac:dyDescent="0.25">
      <c r="B26" s="423"/>
      <c r="C26" s="809"/>
      <c r="D26" s="393" t="s">
        <v>246</v>
      </c>
      <c r="E26" s="396" t="s">
        <v>191</v>
      </c>
      <c r="F26" s="397" t="e">
        <f>F12</f>
        <v>#REF!</v>
      </c>
      <c r="G26" s="425" t="e">
        <f>G12+C17</f>
        <v>#REF!</v>
      </c>
      <c r="H26" s="397" t="e">
        <f>H12</f>
        <v>#REF!</v>
      </c>
      <c r="I26" s="416"/>
      <c r="J26" s="416"/>
      <c r="K26" s="416"/>
      <c r="L26" s="424"/>
    </row>
    <row r="27" spans="2:12" x14ac:dyDescent="0.25">
      <c r="B27" s="423"/>
      <c r="C27" s="810"/>
      <c r="D27" s="393" t="s">
        <v>247</v>
      </c>
      <c r="E27" s="396" t="s">
        <v>191</v>
      </c>
      <c r="F27" s="397">
        <f>F13</f>
        <v>7341662.4450000012</v>
      </c>
      <c r="G27" s="397">
        <f>G13</f>
        <v>8446303.9266666677</v>
      </c>
      <c r="H27" s="397">
        <f>H13</f>
        <v>10262133.115833335</v>
      </c>
      <c r="I27" s="416"/>
      <c r="J27" s="416"/>
      <c r="K27" s="416"/>
      <c r="L27" s="424"/>
    </row>
    <row r="28" spans="2:12" x14ac:dyDescent="0.25">
      <c r="B28" s="423"/>
      <c r="C28" s="378" t="s">
        <v>193</v>
      </c>
      <c r="D28" s="379"/>
      <c r="E28" s="399" t="s">
        <v>191</v>
      </c>
      <c r="F28" s="400" t="e">
        <f>F24-F25-F26-F27</f>
        <v>#REF!</v>
      </c>
      <c r="G28" s="400" t="e">
        <f>G24-G25-G26-G27</f>
        <v>#REF!</v>
      </c>
      <c r="H28" s="400" t="e">
        <f>H24-H25-H26-H27</f>
        <v>#REF!</v>
      </c>
      <c r="I28" s="416"/>
      <c r="J28" s="416"/>
      <c r="K28" s="416"/>
      <c r="L28" s="424"/>
    </row>
    <row r="29" spans="2:12" x14ac:dyDescent="0.25">
      <c r="B29" s="423"/>
      <c r="C29" s="394" t="s">
        <v>194</v>
      </c>
      <c r="D29" s="395"/>
      <c r="E29" s="109" t="s">
        <v>191</v>
      </c>
      <c r="F29" s="397">
        <f>F24*0.03</f>
        <v>3643752</v>
      </c>
      <c r="G29" s="397">
        <f>G24*0.03</f>
        <v>9109380</v>
      </c>
      <c r="H29" s="397">
        <f>H24*0.03</f>
        <v>12753132.000000002</v>
      </c>
      <c r="I29" s="416"/>
      <c r="J29" s="416"/>
      <c r="K29" s="416"/>
      <c r="L29" s="424"/>
    </row>
    <row r="30" spans="2:12" x14ac:dyDescent="0.25">
      <c r="B30" s="423"/>
      <c r="C30" s="795" t="s">
        <v>195</v>
      </c>
      <c r="D30" s="796"/>
      <c r="E30" s="109"/>
      <c r="F30" s="397" t="e">
        <f>F28-F29</f>
        <v>#REF!</v>
      </c>
      <c r="G30" s="397" t="e">
        <f>G28-G29-G17</f>
        <v>#REF!</v>
      </c>
      <c r="H30" s="397" t="e">
        <f>H28-H29</f>
        <v>#REF!</v>
      </c>
      <c r="I30" s="416"/>
      <c r="J30" s="416"/>
      <c r="K30" s="416"/>
      <c r="L30" s="424"/>
    </row>
    <row r="31" spans="2:12" x14ac:dyDescent="0.25">
      <c r="B31" s="423"/>
      <c r="C31" s="394" t="s">
        <v>196</v>
      </c>
      <c r="D31" s="395"/>
      <c r="E31" s="109" t="s">
        <v>191</v>
      </c>
      <c r="F31" s="397">
        <v>0</v>
      </c>
      <c r="G31" s="397">
        <v>0</v>
      </c>
      <c r="H31" s="397">
        <v>0</v>
      </c>
      <c r="I31" s="416"/>
      <c r="J31" s="416"/>
      <c r="K31" s="416"/>
      <c r="L31" s="424"/>
    </row>
    <row r="32" spans="2:12" x14ac:dyDescent="0.25">
      <c r="B32" s="423"/>
      <c r="C32" s="378" t="s">
        <v>197</v>
      </c>
      <c r="D32" s="379"/>
      <c r="E32" s="399" t="s">
        <v>191</v>
      </c>
      <c r="F32" s="400" t="e">
        <f>F28-F29-F31</f>
        <v>#REF!</v>
      </c>
      <c r="G32" s="400" t="e">
        <f>G28-G29-G31</f>
        <v>#REF!</v>
      </c>
      <c r="H32" s="400" t="e">
        <f>H28-H29-H31</f>
        <v>#REF!</v>
      </c>
      <c r="I32" s="416"/>
      <c r="J32" s="416"/>
      <c r="K32" s="416"/>
      <c r="L32" s="424"/>
    </row>
    <row r="33" spans="2:12" x14ac:dyDescent="0.25">
      <c r="B33" s="423"/>
      <c r="C33" s="394" t="s">
        <v>198</v>
      </c>
      <c r="D33" s="395"/>
      <c r="E33" s="397">
        <f>-E21</f>
        <v>-2297572</v>
      </c>
      <c r="F33" s="397">
        <f>-F21</f>
        <v>-22999</v>
      </c>
      <c r="G33" s="397">
        <f>-G21</f>
        <v>-70262</v>
      </c>
      <c r="H33" s="397">
        <f>-H21</f>
        <v>-1306257</v>
      </c>
      <c r="I33" s="416"/>
      <c r="J33" s="416"/>
      <c r="K33" s="416"/>
      <c r="L33" s="424"/>
    </row>
    <row r="34" spans="2:12" x14ac:dyDescent="0.25">
      <c r="B34" s="423"/>
      <c r="C34" s="378" t="s">
        <v>199</v>
      </c>
      <c r="D34" s="379"/>
      <c r="E34" s="400">
        <f>E33</f>
        <v>-2297572</v>
      </c>
      <c r="F34" s="400" t="e">
        <f>F32+F33</f>
        <v>#REF!</v>
      </c>
      <c r="G34" s="400" t="e">
        <f>G32+G33</f>
        <v>#REF!</v>
      </c>
      <c r="H34" s="400" t="e">
        <f>H32+H33</f>
        <v>#REF!</v>
      </c>
      <c r="I34" s="416"/>
      <c r="J34" s="416"/>
      <c r="K34" s="416"/>
      <c r="L34" s="424"/>
    </row>
    <row r="35" spans="2:12" x14ac:dyDescent="0.25">
      <c r="B35" s="423"/>
      <c r="C35" s="52"/>
      <c r="D35" s="52"/>
      <c r="E35" s="52"/>
      <c r="F35" s="52"/>
      <c r="G35" s="52"/>
      <c r="H35" s="52"/>
      <c r="I35" s="416"/>
      <c r="J35" s="416"/>
      <c r="K35" s="416"/>
      <c r="L35" s="424"/>
    </row>
    <row r="36" spans="2:12" x14ac:dyDescent="0.25">
      <c r="B36" s="423"/>
      <c r="C36" s="52"/>
      <c r="D36" s="52"/>
      <c r="E36" s="52"/>
      <c r="F36" s="52"/>
      <c r="G36" s="426" t="s">
        <v>200</v>
      </c>
      <c r="H36" s="427">
        <v>0.62</v>
      </c>
      <c r="I36" s="416"/>
      <c r="J36" s="416"/>
      <c r="K36" s="416"/>
      <c r="L36" s="424"/>
    </row>
    <row r="37" spans="2:12" x14ac:dyDescent="0.25">
      <c r="B37" s="423"/>
      <c r="C37" s="52"/>
      <c r="D37" s="52"/>
      <c r="E37" s="52"/>
      <c r="F37" s="52"/>
      <c r="G37" s="426" t="s">
        <v>201</v>
      </c>
      <c r="H37" s="428"/>
      <c r="I37" s="416"/>
      <c r="J37" s="416"/>
      <c r="K37" s="416"/>
      <c r="L37" s="424"/>
    </row>
    <row r="38" spans="2:12" x14ac:dyDescent="0.25">
      <c r="B38" s="423"/>
      <c r="C38" s="52"/>
      <c r="D38" s="52"/>
      <c r="E38" s="52"/>
      <c r="F38" s="52"/>
      <c r="G38" s="426" t="s">
        <v>202</v>
      </c>
      <c r="H38" s="429"/>
      <c r="I38" s="416"/>
      <c r="J38" s="416"/>
      <c r="K38" s="416"/>
      <c r="L38" s="424"/>
    </row>
    <row r="39" spans="2:12" x14ac:dyDescent="0.25">
      <c r="B39" s="423"/>
      <c r="C39" s="52"/>
      <c r="D39" s="52"/>
      <c r="E39" s="52"/>
      <c r="F39" s="52"/>
      <c r="G39" s="52"/>
      <c r="H39" s="52"/>
      <c r="I39" s="52"/>
      <c r="J39" s="52"/>
      <c r="K39" s="52"/>
      <c r="L39" s="424"/>
    </row>
    <row r="40" spans="2:12" ht="15.75" thickBot="1" x14ac:dyDescent="0.3">
      <c r="B40" s="288"/>
      <c r="C40" s="289"/>
      <c r="D40" s="289"/>
      <c r="E40" s="289"/>
      <c r="F40" s="289"/>
      <c r="G40" s="289"/>
      <c r="H40" s="289"/>
      <c r="I40" s="289"/>
      <c r="J40" s="289"/>
      <c r="K40" s="289"/>
      <c r="L40" s="29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75" customFormat="1" ht="58.5" customHeight="1" x14ac:dyDescent="0.25">
      <c r="A1" s="477"/>
      <c r="B1" s="477"/>
      <c r="C1" s="477"/>
      <c r="D1" s="477"/>
      <c r="E1" s="477"/>
      <c r="F1" s="789" t="s">
        <v>219</v>
      </c>
      <c r="G1" s="790"/>
      <c r="H1" s="790"/>
      <c r="I1" s="477"/>
      <c r="J1" s="477"/>
      <c r="K1" s="477"/>
      <c r="L1" s="477"/>
      <c r="M1" s="477"/>
      <c r="N1" s="477"/>
    </row>
    <row r="2" spans="1:14" ht="15.75" thickBot="1" x14ac:dyDescent="0.3"/>
    <row r="3" spans="1:14" ht="15.75" thickBot="1" x14ac:dyDescent="0.3">
      <c r="B3" s="411"/>
      <c r="C3" s="412"/>
      <c r="D3" s="412"/>
      <c r="E3" s="412"/>
      <c r="F3" s="412"/>
      <c r="G3" s="412"/>
      <c r="H3" s="412"/>
      <c r="I3" s="412"/>
      <c r="J3" s="412"/>
      <c r="K3" s="412"/>
      <c r="L3" s="413"/>
    </row>
    <row r="4" spans="1:14" ht="15.75" thickBot="1" x14ac:dyDescent="0.3">
      <c r="B4" s="423"/>
      <c r="C4" s="818" t="s">
        <v>255</v>
      </c>
      <c r="D4" s="819"/>
      <c r="E4" s="819"/>
      <c r="F4" s="819"/>
      <c r="G4" s="819"/>
      <c r="H4" s="819"/>
      <c r="I4" s="819"/>
      <c r="J4" s="819"/>
      <c r="K4" s="820"/>
      <c r="L4" s="424"/>
    </row>
    <row r="5" spans="1:14" ht="15.75" thickBot="1" x14ac:dyDescent="0.3">
      <c r="B5" s="423"/>
      <c r="C5" s="416"/>
      <c r="D5" s="416"/>
      <c r="E5" s="416"/>
      <c r="F5" s="416"/>
      <c r="G5" s="416"/>
      <c r="H5" s="416"/>
      <c r="I5" s="416"/>
      <c r="J5" s="416"/>
      <c r="K5" s="416"/>
      <c r="L5" s="424"/>
    </row>
    <row r="6" spans="1:14" ht="15.75" thickBot="1" x14ac:dyDescent="0.3">
      <c r="B6" s="423"/>
      <c r="C6" s="52"/>
      <c r="D6" s="52"/>
      <c r="E6" s="52"/>
      <c r="F6" s="815" t="s">
        <v>35</v>
      </c>
      <c r="G6" s="816"/>
      <c r="H6" s="817"/>
      <c r="I6" s="416"/>
      <c r="J6" s="416"/>
      <c r="K6" s="131" t="s">
        <v>266</v>
      </c>
      <c r="L6" s="424"/>
    </row>
    <row r="7" spans="1:14" x14ac:dyDescent="0.25">
      <c r="B7" s="423"/>
      <c r="E7" s="52"/>
      <c r="F7" s="387">
        <v>2019</v>
      </c>
      <c r="G7" s="387">
        <v>2020</v>
      </c>
      <c r="H7" s="387">
        <v>2021</v>
      </c>
      <c r="I7" s="416"/>
      <c r="J7" s="416"/>
      <c r="K7" s="800" t="s">
        <v>261</v>
      </c>
      <c r="L7" s="424"/>
    </row>
    <row r="8" spans="1:14" x14ac:dyDescent="0.25">
      <c r="B8" s="423"/>
      <c r="E8" s="52"/>
      <c r="F8" s="382">
        <f>'Presupuesto financiero'!K5</f>
        <v>0.02</v>
      </c>
      <c r="G8" s="382">
        <f>'Presupuesto financiero'!L5</f>
        <v>0.05</v>
      </c>
      <c r="H8" s="382">
        <f>'Presupuesto financiero'!M5</f>
        <v>7.0000000000000007E-2</v>
      </c>
      <c r="I8" s="416"/>
      <c r="J8" s="416"/>
      <c r="K8" s="798"/>
      <c r="L8" s="424"/>
    </row>
    <row r="9" spans="1:14" ht="15.75" thickBot="1" x14ac:dyDescent="0.3">
      <c r="B9" s="423"/>
      <c r="E9" s="393" t="s">
        <v>250</v>
      </c>
      <c r="F9" s="404">
        <f>'Presupuesto financiero'!K6</f>
        <v>121458400</v>
      </c>
      <c r="G9" s="404">
        <f>'Presupuesto financiero'!L6</f>
        <v>303646000</v>
      </c>
      <c r="H9" s="404">
        <f>'Presupuesto financiero'!M6</f>
        <v>425104400.00000006</v>
      </c>
      <c r="I9" s="416"/>
      <c r="J9" s="416"/>
      <c r="K9" s="799"/>
      <c r="L9" s="424"/>
    </row>
    <row r="10" spans="1:14" ht="15.75" thickBot="1" x14ac:dyDescent="0.3">
      <c r="B10" s="423"/>
      <c r="C10" s="52"/>
      <c r="D10" s="52"/>
      <c r="E10" s="393" t="s">
        <v>190</v>
      </c>
      <c r="F10" s="383">
        <f>'Presupuesto financiero'!K10</f>
        <v>2343935.7000000002</v>
      </c>
      <c r="G10" s="383">
        <f>'Presupuesto financiero'!L10</f>
        <v>2614351.9749999996</v>
      </c>
      <c r="H10" s="383">
        <f>'Presupuesto financiero'!M10</f>
        <v>2971977.4835000001</v>
      </c>
      <c r="I10" s="416"/>
      <c r="J10" s="416"/>
      <c r="K10" s="131" t="s">
        <v>207</v>
      </c>
      <c r="L10" s="424"/>
    </row>
    <row r="11" spans="1:14" x14ac:dyDescent="0.25">
      <c r="B11" s="423"/>
      <c r="C11" s="52"/>
      <c r="D11" s="52"/>
      <c r="E11" s="393" t="s">
        <v>150</v>
      </c>
      <c r="F11" s="383" t="e">
        <f>'Presupuesto financiero'!K11</f>
        <v>#REF!</v>
      </c>
      <c r="G11" s="383" t="e">
        <f>'Presupuesto financiero'!L11</f>
        <v>#REF!</v>
      </c>
      <c r="H11" s="383" t="e">
        <f>'Presupuesto financiero'!M11</f>
        <v>#REF!</v>
      </c>
      <c r="I11" s="416"/>
      <c r="J11" s="416"/>
      <c r="K11" s="800"/>
      <c r="L11" s="424"/>
    </row>
    <row r="12" spans="1:14" x14ac:dyDescent="0.25">
      <c r="B12" s="423"/>
      <c r="C12" s="52"/>
      <c r="D12" s="52"/>
      <c r="E12" s="393" t="s">
        <v>248</v>
      </c>
      <c r="F12" s="383">
        <f>'Presupuesto financiero'!K12</f>
        <v>7341662.4450000012</v>
      </c>
      <c r="G12" s="383">
        <f>'Presupuesto financiero'!L12</f>
        <v>8446303.9266666677</v>
      </c>
      <c r="H12" s="383">
        <f>'Presupuesto financiero'!M12</f>
        <v>10262133.115833335</v>
      </c>
      <c r="I12" s="416"/>
      <c r="J12" s="416"/>
      <c r="K12" s="798"/>
      <c r="L12" s="424"/>
    </row>
    <row r="13" spans="1:14" ht="15.75" thickBot="1" x14ac:dyDescent="0.3">
      <c r="B13" s="423"/>
      <c r="C13" s="52"/>
      <c r="D13" s="52"/>
      <c r="E13" s="52"/>
      <c r="F13" s="52"/>
      <c r="G13" s="52"/>
      <c r="H13" s="52"/>
      <c r="I13" s="416"/>
      <c r="J13" s="416"/>
      <c r="K13" s="799"/>
      <c r="L13" s="424"/>
    </row>
    <row r="14" spans="1:14" ht="15.75" thickBot="1" x14ac:dyDescent="0.3">
      <c r="B14" s="423"/>
      <c r="C14" s="804" t="s">
        <v>265</v>
      </c>
      <c r="D14" s="805"/>
      <c r="E14" s="52"/>
      <c r="F14" s="403" t="s">
        <v>177</v>
      </c>
      <c r="G14" s="380"/>
      <c r="H14" s="381"/>
      <c r="I14" s="416"/>
      <c r="J14" s="416"/>
      <c r="K14" s="131" t="s">
        <v>208</v>
      </c>
      <c r="L14" s="424"/>
    </row>
    <row r="15" spans="1:14" ht="20.25" customHeight="1" thickBot="1" x14ac:dyDescent="0.3">
      <c r="B15" s="423"/>
      <c r="C15" s="387">
        <v>2020</v>
      </c>
      <c r="D15" s="387">
        <v>2021</v>
      </c>
      <c r="E15" s="52"/>
      <c r="F15" s="166">
        <v>2019</v>
      </c>
      <c r="G15" s="166">
        <v>2020</v>
      </c>
      <c r="H15" s="166">
        <v>2021</v>
      </c>
      <c r="I15" s="416"/>
      <c r="J15" s="416"/>
      <c r="K15" s="408" t="s">
        <v>263</v>
      </c>
      <c r="L15" s="424"/>
    </row>
    <row r="16" spans="1:14" x14ac:dyDescent="0.25">
      <c r="B16" s="423"/>
      <c r="C16" s="460">
        <v>0.9</v>
      </c>
      <c r="D16" s="460">
        <v>0.9</v>
      </c>
      <c r="E16" s="405"/>
      <c r="F16" s="383">
        <f>'Presupuesto financiero'!K16</f>
        <v>141277.33333333334</v>
      </c>
      <c r="G16" s="383">
        <f>'Presupuesto financiero'!L16</f>
        <v>147660.56666666665</v>
      </c>
      <c r="H16" s="383">
        <f>'Presupuesto financiero'!M16</f>
        <v>162884.43333333335</v>
      </c>
      <c r="I16" s="416"/>
      <c r="J16" s="416"/>
      <c r="K16" s="416"/>
      <c r="L16" s="424"/>
    </row>
    <row r="17" spans="2:12" x14ac:dyDescent="0.25">
      <c r="B17" s="423"/>
      <c r="C17" s="52"/>
      <c r="D17" s="52"/>
      <c r="E17" s="405"/>
      <c r="F17" s="42"/>
      <c r="G17" s="42"/>
      <c r="H17" s="42"/>
      <c r="I17" s="416"/>
      <c r="J17" s="416"/>
      <c r="K17" s="416"/>
      <c r="L17" s="424"/>
    </row>
    <row r="18" spans="2:12" x14ac:dyDescent="0.25">
      <c r="B18" s="423"/>
      <c r="C18" s="52"/>
      <c r="D18" s="52"/>
      <c r="E18" s="403" t="s">
        <v>154</v>
      </c>
      <c r="F18" s="380"/>
      <c r="G18" s="380"/>
      <c r="H18" s="381"/>
      <c r="I18" s="416"/>
      <c r="J18" s="416"/>
      <c r="K18" s="416"/>
      <c r="L18" s="424"/>
    </row>
    <row r="19" spans="2:12" x14ac:dyDescent="0.25">
      <c r="B19" s="423"/>
      <c r="C19" s="52"/>
      <c r="D19" s="52"/>
      <c r="E19" s="387" t="s">
        <v>155</v>
      </c>
      <c r="F19" s="387">
        <v>2019</v>
      </c>
      <c r="G19" s="387">
        <v>2020</v>
      </c>
      <c r="H19" s="387">
        <v>2021</v>
      </c>
      <c r="I19" s="416"/>
      <c r="J19" s="416"/>
      <c r="K19" s="416"/>
      <c r="L19" s="424"/>
    </row>
    <row r="20" spans="2:12" x14ac:dyDescent="0.25">
      <c r="B20" s="423"/>
      <c r="C20" s="52"/>
      <c r="D20" s="52"/>
      <c r="E20" s="383">
        <f>'Presupuesto financiero'!J20</f>
        <v>2297572</v>
      </c>
      <c r="F20" s="383">
        <f>'Presupuesto financiero'!K20</f>
        <v>22999</v>
      </c>
      <c r="G20" s="383">
        <f>'Presupuesto financiero'!L20</f>
        <v>70262</v>
      </c>
      <c r="H20" s="383">
        <f>'Presupuesto financiero'!M20</f>
        <v>1306257</v>
      </c>
      <c r="I20" s="416"/>
      <c r="J20" s="416"/>
      <c r="K20" s="416"/>
      <c r="L20" s="424"/>
    </row>
    <row r="21" spans="2:12" x14ac:dyDescent="0.25">
      <c r="B21" s="423"/>
      <c r="C21" s="52"/>
      <c r="D21" s="52"/>
      <c r="E21" s="52"/>
      <c r="F21" s="52"/>
      <c r="G21" s="52"/>
      <c r="H21" s="52"/>
      <c r="I21" s="416"/>
      <c r="J21" s="416"/>
      <c r="K21" s="416"/>
      <c r="L21" s="424"/>
    </row>
    <row r="22" spans="2:12" x14ac:dyDescent="0.25">
      <c r="B22" s="423"/>
      <c r="C22" s="52"/>
      <c r="D22" s="52"/>
      <c r="E22" s="390" t="s">
        <v>204</v>
      </c>
      <c r="F22" s="390">
        <v>2019</v>
      </c>
      <c r="G22" s="390">
        <v>2020</v>
      </c>
      <c r="H22" s="390">
        <v>2021</v>
      </c>
      <c r="I22" s="416"/>
      <c r="J22" s="416"/>
      <c r="K22" s="416"/>
      <c r="L22" s="424"/>
    </row>
    <row r="23" spans="2:12" x14ac:dyDescent="0.25">
      <c r="B23" s="423"/>
      <c r="C23" s="391" t="s">
        <v>39</v>
      </c>
      <c r="D23" s="392"/>
      <c r="E23" s="396" t="s">
        <v>191</v>
      </c>
      <c r="F23" s="397">
        <f>F9</f>
        <v>121458400</v>
      </c>
      <c r="G23" s="459">
        <f>G9*C16</f>
        <v>273281400</v>
      </c>
      <c r="H23" s="459">
        <f>H9*D16</f>
        <v>382593960.00000006</v>
      </c>
      <c r="I23" s="416"/>
      <c r="J23" s="416"/>
      <c r="K23" s="416"/>
      <c r="L23" s="424"/>
    </row>
    <row r="24" spans="2:12" x14ac:dyDescent="0.25">
      <c r="B24" s="423"/>
      <c r="C24" s="808" t="s">
        <v>192</v>
      </c>
      <c r="D24" s="393" t="s">
        <v>245</v>
      </c>
      <c r="E24" s="396" t="s">
        <v>191</v>
      </c>
      <c r="F24" s="397">
        <f>F10</f>
        <v>2343935.7000000002</v>
      </c>
      <c r="G24" s="397">
        <f>G10</f>
        <v>2614351.9749999996</v>
      </c>
      <c r="H24" s="397">
        <f>H10</f>
        <v>2971977.4835000001</v>
      </c>
      <c r="I24" s="416"/>
      <c r="J24" s="416"/>
      <c r="K24" s="416"/>
      <c r="L24" s="424"/>
    </row>
    <row r="25" spans="2:12" x14ac:dyDescent="0.25">
      <c r="B25" s="423"/>
      <c r="C25" s="809"/>
      <c r="D25" s="393" t="s">
        <v>246</v>
      </c>
      <c r="E25" s="396" t="s">
        <v>191</v>
      </c>
      <c r="F25" s="397" t="e">
        <f>F11</f>
        <v>#REF!</v>
      </c>
      <c r="G25" s="459" t="e">
        <f>G11*C16</f>
        <v>#REF!</v>
      </c>
      <c r="H25" s="459" t="e">
        <f>H11*D16</f>
        <v>#REF!</v>
      </c>
      <c r="I25" s="416"/>
      <c r="J25" s="416"/>
      <c r="K25" s="416"/>
      <c r="L25" s="424"/>
    </row>
    <row r="26" spans="2:12" x14ac:dyDescent="0.25">
      <c r="B26" s="423"/>
      <c r="C26" s="810"/>
      <c r="D26" s="393" t="s">
        <v>247</v>
      </c>
      <c r="E26" s="396" t="s">
        <v>191</v>
      </c>
      <c r="F26" s="397">
        <f>F12</f>
        <v>7341662.4450000012</v>
      </c>
      <c r="G26" s="397">
        <f>G12</f>
        <v>8446303.9266666677</v>
      </c>
      <c r="H26" s="397">
        <f>H12</f>
        <v>10262133.115833335</v>
      </c>
      <c r="I26" s="416"/>
      <c r="J26" s="416"/>
      <c r="K26" s="416"/>
      <c r="L26" s="424"/>
    </row>
    <row r="27" spans="2:12" x14ac:dyDescent="0.25">
      <c r="B27" s="423"/>
      <c r="C27" s="394" t="s">
        <v>193</v>
      </c>
      <c r="D27" s="395"/>
      <c r="E27" s="399" t="s">
        <v>191</v>
      </c>
      <c r="F27" s="400" t="e">
        <f>F23-F24-F25-F26</f>
        <v>#REF!</v>
      </c>
      <c r="G27" s="400" t="e">
        <f>G23-G24-G25-G26</f>
        <v>#REF!</v>
      </c>
      <c r="H27" s="400" t="e">
        <f>H23-H24-H25-H26</f>
        <v>#REF!</v>
      </c>
      <c r="I27" s="416"/>
      <c r="J27" s="416"/>
      <c r="K27" s="416"/>
      <c r="L27" s="424"/>
    </row>
    <row r="28" spans="2:12" x14ac:dyDescent="0.25">
      <c r="B28" s="423"/>
      <c r="C28" s="394" t="s">
        <v>194</v>
      </c>
      <c r="D28" s="395"/>
      <c r="E28" s="109" t="s">
        <v>191</v>
      </c>
      <c r="F28" s="397">
        <f>F23*0.03</f>
        <v>3643752</v>
      </c>
      <c r="G28" s="397">
        <f>G23*0.03</f>
        <v>8198442</v>
      </c>
      <c r="H28" s="397">
        <f>H23*0.03</f>
        <v>11477818.800000001</v>
      </c>
      <c r="I28" s="416"/>
      <c r="J28" s="416"/>
      <c r="K28" s="416"/>
      <c r="L28" s="424"/>
    </row>
    <row r="29" spans="2:12" x14ac:dyDescent="0.25">
      <c r="B29" s="423"/>
      <c r="C29" s="795" t="s">
        <v>195</v>
      </c>
      <c r="D29" s="796"/>
      <c r="E29" s="109"/>
      <c r="F29" s="397" t="e">
        <f>F27-F28</f>
        <v>#REF!</v>
      </c>
      <c r="G29" s="397" t="e">
        <f>G27-G28-G16</f>
        <v>#REF!</v>
      </c>
      <c r="H29" s="397" t="e">
        <f>H27-H28-H16</f>
        <v>#REF!</v>
      </c>
      <c r="I29" s="416"/>
      <c r="J29" s="416"/>
      <c r="K29" s="416"/>
      <c r="L29" s="424"/>
    </row>
    <row r="30" spans="2:12" x14ac:dyDescent="0.25">
      <c r="B30" s="423"/>
      <c r="C30" s="394" t="s">
        <v>196</v>
      </c>
      <c r="D30" s="395"/>
      <c r="E30" s="109" t="s">
        <v>191</v>
      </c>
      <c r="F30" s="397">
        <v>0</v>
      </c>
      <c r="G30" s="397">
        <v>0</v>
      </c>
      <c r="H30" s="397" t="e">
        <f>0.35*G29</f>
        <v>#REF!</v>
      </c>
      <c r="I30" s="416"/>
      <c r="J30" s="416"/>
      <c r="K30" s="416"/>
      <c r="L30" s="424"/>
    </row>
    <row r="31" spans="2:12" x14ac:dyDescent="0.25">
      <c r="B31" s="423"/>
      <c r="C31" s="394" t="s">
        <v>197</v>
      </c>
      <c r="D31" s="395"/>
      <c r="E31" s="399" t="s">
        <v>191</v>
      </c>
      <c r="F31" s="400" t="e">
        <f>F27-F28-F30</f>
        <v>#REF!</v>
      </c>
      <c r="G31" s="400" t="e">
        <f>G27-G28-G30</f>
        <v>#REF!</v>
      </c>
      <c r="H31" s="400" t="e">
        <f>H27-H28-H30</f>
        <v>#REF!</v>
      </c>
      <c r="I31" s="416"/>
      <c r="J31" s="416"/>
      <c r="K31" s="416"/>
      <c r="L31" s="424"/>
    </row>
    <row r="32" spans="2:12" x14ac:dyDescent="0.25">
      <c r="B32" s="423"/>
      <c r="C32" s="394" t="s">
        <v>198</v>
      </c>
      <c r="D32" s="395"/>
      <c r="E32" s="397">
        <f>-E20</f>
        <v>-2297572</v>
      </c>
      <c r="F32" s="397">
        <f>-F20</f>
        <v>-22999</v>
      </c>
      <c r="G32" s="397">
        <f>-G20</f>
        <v>-70262</v>
      </c>
      <c r="H32" s="397">
        <f>-H20</f>
        <v>-1306257</v>
      </c>
      <c r="I32" s="416"/>
      <c r="J32" s="416"/>
      <c r="K32" s="416"/>
      <c r="L32" s="424"/>
    </row>
    <row r="33" spans="2:12" x14ac:dyDescent="0.25">
      <c r="B33" s="423"/>
      <c r="C33" s="394" t="s">
        <v>199</v>
      </c>
      <c r="D33" s="395"/>
      <c r="E33" s="400">
        <f>E32</f>
        <v>-2297572</v>
      </c>
      <c r="F33" s="400" t="e">
        <f>F31+F32</f>
        <v>#REF!</v>
      </c>
      <c r="G33" s="400" t="e">
        <f>G31+G32</f>
        <v>#REF!</v>
      </c>
      <c r="H33" s="400" t="e">
        <f>H31+H32</f>
        <v>#REF!</v>
      </c>
      <c r="I33" s="416"/>
      <c r="J33" s="416"/>
      <c r="K33" s="416"/>
      <c r="L33" s="424"/>
    </row>
    <row r="34" spans="2:12" x14ac:dyDescent="0.25">
      <c r="B34" s="423"/>
      <c r="C34" s="52"/>
      <c r="D34" s="52"/>
      <c r="E34" s="52"/>
      <c r="F34" s="52"/>
      <c r="G34" s="52"/>
      <c r="H34" s="52"/>
      <c r="I34" s="416"/>
      <c r="J34" s="416"/>
      <c r="K34" s="416"/>
      <c r="L34" s="424"/>
    </row>
    <row r="35" spans="2:12" x14ac:dyDescent="0.25">
      <c r="B35" s="423"/>
      <c r="C35" s="52"/>
      <c r="D35" s="52"/>
      <c r="E35" s="52"/>
      <c r="F35" s="52"/>
      <c r="G35" s="389" t="s">
        <v>200</v>
      </c>
      <c r="H35" s="384">
        <v>0.62</v>
      </c>
      <c r="I35" s="416"/>
      <c r="J35" s="416"/>
      <c r="K35" s="416"/>
      <c r="L35" s="424"/>
    </row>
    <row r="36" spans="2:12" x14ac:dyDescent="0.25">
      <c r="B36" s="423"/>
      <c r="C36" s="52"/>
      <c r="D36" s="52"/>
      <c r="E36" s="52"/>
      <c r="F36" s="52"/>
      <c r="G36" s="389" t="s">
        <v>201</v>
      </c>
      <c r="H36" s="385"/>
      <c r="I36" s="416"/>
      <c r="J36" s="416"/>
      <c r="K36" s="416"/>
      <c r="L36" s="424"/>
    </row>
    <row r="37" spans="2:12" x14ac:dyDescent="0.25">
      <c r="B37" s="423"/>
      <c r="C37" s="52"/>
      <c r="D37" s="52"/>
      <c r="E37" s="52"/>
      <c r="F37" s="52"/>
      <c r="G37" s="389" t="s">
        <v>202</v>
      </c>
      <c r="H37" s="386"/>
      <c r="I37" s="416"/>
      <c r="J37" s="416"/>
      <c r="K37" s="416"/>
      <c r="L37" s="424"/>
    </row>
    <row r="38" spans="2:12" ht="15.75" thickBot="1" x14ac:dyDescent="0.3">
      <c r="B38" s="288"/>
      <c r="C38" s="289"/>
      <c r="D38" s="289"/>
      <c r="E38" s="289"/>
      <c r="F38" s="289"/>
      <c r="G38" s="289"/>
      <c r="H38" s="289"/>
      <c r="I38" s="289"/>
      <c r="J38" s="289"/>
      <c r="K38" s="289"/>
      <c r="L38" s="29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75" customFormat="1" ht="58.5" customHeight="1" x14ac:dyDescent="0.25">
      <c r="A1" s="476"/>
      <c r="B1" s="476"/>
      <c r="C1" s="476"/>
      <c r="D1" s="476"/>
      <c r="E1" s="476"/>
      <c r="F1" s="478" t="s">
        <v>12</v>
      </c>
      <c r="G1" s="479"/>
      <c r="H1" s="479"/>
      <c r="I1" s="476"/>
      <c r="J1" s="476"/>
      <c r="K1" s="476"/>
      <c r="L1" s="476"/>
      <c r="M1" s="476"/>
      <c r="N1" s="476"/>
      <c r="O1" s="476"/>
    </row>
    <row r="2" spans="1:15" ht="15.75" thickBot="1" x14ac:dyDescent="0.3"/>
    <row r="3" spans="1:15" ht="21.75" thickBot="1" x14ac:dyDescent="0.4">
      <c r="C3" s="824" t="s">
        <v>268</v>
      </c>
      <c r="D3" s="825"/>
      <c r="E3" s="825"/>
      <c r="F3" s="825"/>
      <c r="G3" s="825"/>
      <c r="H3" s="825"/>
      <c r="I3" s="825"/>
      <c r="J3" s="825"/>
      <c r="K3" s="825"/>
      <c r="L3" s="825"/>
      <c r="M3" s="825"/>
      <c r="N3" s="826"/>
    </row>
    <row r="4" spans="1:15" ht="15.75" thickBot="1" x14ac:dyDescent="0.3"/>
    <row r="5" spans="1:15" ht="15.75" customHeight="1" thickBot="1" x14ac:dyDescent="0.3">
      <c r="C5" s="131" t="s">
        <v>266</v>
      </c>
      <c r="F5" s="52"/>
      <c r="G5" s="52"/>
      <c r="H5" s="52"/>
      <c r="I5" s="815" t="s">
        <v>35</v>
      </c>
      <c r="J5" s="816"/>
      <c r="K5" s="817"/>
    </row>
    <row r="6" spans="1:15" x14ac:dyDescent="0.25">
      <c r="C6" s="800" t="s">
        <v>261</v>
      </c>
      <c r="H6" s="52"/>
      <c r="I6" s="387">
        <v>2019</v>
      </c>
      <c r="J6" s="387">
        <v>2020</v>
      </c>
      <c r="K6" s="387">
        <v>2021</v>
      </c>
    </row>
    <row r="7" spans="1:15" x14ac:dyDescent="0.25">
      <c r="C7" s="798"/>
      <c r="H7" s="52"/>
      <c r="I7" s="382">
        <f>'Escenario 3'!F8</f>
        <v>0.02</v>
      </c>
      <c r="J7" s="382">
        <f>'Escenario 3'!G8</f>
        <v>0.05</v>
      </c>
      <c r="K7" s="382">
        <f>'Escenario 3'!H8</f>
        <v>7.0000000000000007E-2</v>
      </c>
    </row>
    <row r="8" spans="1:15" ht="15.75" thickBot="1" x14ac:dyDescent="0.3">
      <c r="C8" s="799"/>
      <c r="H8" s="393" t="s">
        <v>250</v>
      </c>
      <c r="I8" s="404">
        <f>'Escenario 3'!F9</f>
        <v>121458400</v>
      </c>
      <c r="J8" s="404">
        <f>'Escenario 3'!G9</f>
        <v>303646000</v>
      </c>
      <c r="K8" s="404">
        <f>'Escenario 3'!H9</f>
        <v>425104400.00000006</v>
      </c>
    </row>
    <row r="9" spans="1:15" ht="15.75" thickBot="1" x14ac:dyDescent="0.3">
      <c r="C9" s="131" t="s">
        <v>207</v>
      </c>
      <c r="F9" s="52"/>
      <c r="G9" s="52"/>
      <c r="H9" s="393" t="s">
        <v>190</v>
      </c>
      <c r="I9" s="383">
        <f>'Escenario 3'!F10</f>
        <v>2343935.7000000002</v>
      </c>
      <c r="J9" s="383">
        <f>'Escenario 3'!G10</f>
        <v>2614351.9749999996</v>
      </c>
      <c r="K9" s="383">
        <f>'Escenario 3'!H10</f>
        <v>2971977.4835000001</v>
      </c>
    </row>
    <row r="10" spans="1:15" x14ac:dyDescent="0.25">
      <c r="C10" s="800" t="s">
        <v>262</v>
      </c>
      <c r="F10" s="52"/>
      <c r="G10" s="52"/>
      <c r="H10" s="393" t="s">
        <v>150</v>
      </c>
      <c r="I10" s="383" t="e">
        <f>'Escenario 3'!F11</f>
        <v>#REF!</v>
      </c>
      <c r="J10" s="383" t="e">
        <f>'Escenario 3'!G11</f>
        <v>#REF!</v>
      </c>
      <c r="K10" s="383" t="e">
        <f>'Escenario 3'!H11</f>
        <v>#REF!</v>
      </c>
    </row>
    <row r="11" spans="1:15" x14ac:dyDescent="0.25">
      <c r="C11" s="798"/>
      <c r="F11" s="52"/>
      <c r="G11" s="52"/>
      <c r="H11" s="393" t="s">
        <v>248</v>
      </c>
      <c r="I11" s="383">
        <f>'Escenario 3'!F12</f>
        <v>7341662.4450000012</v>
      </c>
      <c r="J11" s="383">
        <f>'Escenario 3'!G12</f>
        <v>8446303.9266666677</v>
      </c>
      <c r="K11" s="383">
        <f>'Escenario 3'!H12</f>
        <v>10262133.115833335</v>
      </c>
    </row>
    <row r="12" spans="1:15" ht="15.75" thickBot="1" x14ac:dyDescent="0.3">
      <c r="C12" s="799"/>
      <c r="F12" s="52"/>
      <c r="G12" s="52"/>
      <c r="H12" s="52"/>
      <c r="I12" s="52"/>
      <c r="J12" s="52"/>
      <c r="K12" s="52"/>
    </row>
    <row r="13" spans="1:15" ht="15.75" thickBot="1" x14ac:dyDescent="0.3">
      <c r="C13" s="131" t="s">
        <v>208</v>
      </c>
      <c r="H13" s="52"/>
      <c r="I13" s="403" t="s">
        <v>177</v>
      </c>
      <c r="J13" s="380"/>
      <c r="K13" s="381"/>
    </row>
    <row r="14" spans="1:15" ht="19.5" customHeight="1" thickBot="1" x14ac:dyDescent="0.3">
      <c r="C14" s="408" t="s">
        <v>263</v>
      </c>
      <c r="H14" s="52"/>
      <c r="I14" s="166">
        <v>2019</v>
      </c>
      <c r="J14" s="166">
        <v>2020</v>
      </c>
      <c r="K14" s="166">
        <v>2021</v>
      </c>
    </row>
    <row r="15" spans="1:15" x14ac:dyDescent="0.25">
      <c r="H15" s="405"/>
      <c r="I15" s="383">
        <f>'Escenario 3'!F16</f>
        <v>141277.33333333334</v>
      </c>
      <c r="J15" s="383">
        <f>'Escenario 3'!G16</f>
        <v>147660.56666666665</v>
      </c>
      <c r="K15" s="383">
        <f>'Escenario 3'!H16</f>
        <v>162884.43333333335</v>
      </c>
    </row>
    <row r="16" spans="1:15" ht="15.75" thickBot="1" x14ac:dyDescent="0.3">
      <c r="C16" s="52"/>
      <c r="F16" s="52"/>
      <c r="G16" s="52"/>
      <c r="H16" s="405"/>
      <c r="I16" s="42"/>
      <c r="J16" s="42"/>
      <c r="K16" s="42"/>
    </row>
    <row r="17" spans="3:14" ht="15.75" thickBot="1" x14ac:dyDescent="0.3">
      <c r="C17" s="471" t="s">
        <v>267</v>
      </c>
      <c r="F17" s="52"/>
      <c r="G17" s="52"/>
      <c r="H17" s="403" t="s">
        <v>154</v>
      </c>
      <c r="I17" s="380"/>
      <c r="J17" s="380"/>
      <c r="K17" s="381"/>
    </row>
    <row r="18" spans="3:14" ht="15" customHeight="1" x14ac:dyDescent="0.25">
      <c r="C18" s="829" t="s">
        <v>275</v>
      </c>
      <c r="F18" s="52"/>
      <c r="G18" s="52"/>
      <c r="H18" s="387" t="s">
        <v>155</v>
      </c>
      <c r="I18" s="387">
        <v>2019</v>
      </c>
      <c r="J18" s="387">
        <v>2020</v>
      </c>
      <c r="K18" s="387">
        <v>2021</v>
      </c>
    </row>
    <row r="19" spans="3:14" ht="30" customHeight="1" x14ac:dyDescent="0.25">
      <c r="C19" s="830"/>
      <c r="F19" s="52"/>
      <c r="G19" s="52"/>
      <c r="H19" s="383">
        <f>'Escenario 3'!E20</f>
        <v>2297572</v>
      </c>
      <c r="I19" s="383">
        <f>'Escenario 3'!F20</f>
        <v>22999</v>
      </c>
      <c r="J19" s="383">
        <f>'Escenario 3'!G20</f>
        <v>70262</v>
      </c>
      <c r="K19" s="383">
        <f>'Escenario 3'!H20</f>
        <v>1306257</v>
      </c>
    </row>
    <row r="20" spans="3:14" x14ac:dyDescent="0.25">
      <c r="C20" s="830"/>
      <c r="F20" s="52"/>
      <c r="G20" s="52"/>
      <c r="H20" s="52"/>
      <c r="I20" s="52"/>
      <c r="J20" s="52"/>
      <c r="K20" s="52"/>
    </row>
    <row r="21" spans="3:14" x14ac:dyDescent="0.25">
      <c r="C21" s="830"/>
      <c r="F21" s="52"/>
      <c r="G21" s="52"/>
      <c r="H21" s="390" t="s">
        <v>204</v>
      </c>
      <c r="I21" s="390">
        <v>2019</v>
      </c>
      <c r="J21" s="390">
        <v>2020</v>
      </c>
      <c r="K21" s="390">
        <v>2021</v>
      </c>
      <c r="M21" s="804" t="s">
        <v>270</v>
      </c>
      <c r="N21" s="805"/>
    </row>
    <row r="22" spans="3:14" x14ac:dyDescent="0.25">
      <c r="C22" s="830"/>
      <c r="F22" s="391" t="s">
        <v>39</v>
      </c>
      <c r="G22" s="392"/>
      <c r="H22" s="396" t="s">
        <v>191</v>
      </c>
      <c r="I22" s="397">
        <f>I8</f>
        <v>121458400</v>
      </c>
      <c r="J22" s="459">
        <f>J8*M23</f>
        <v>273281400</v>
      </c>
      <c r="K22" s="459">
        <f>K8*N23</f>
        <v>391096048.00000006</v>
      </c>
      <c r="M22" s="387">
        <v>2020</v>
      </c>
      <c r="N22" s="387">
        <v>2021</v>
      </c>
    </row>
    <row r="23" spans="3:14" x14ac:dyDescent="0.25">
      <c r="C23" s="830"/>
      <c r="F23" s="808" t="s">
        <v>192</v>
      </c>
      <c r="G23" s="393" t="s">
        <v>245</v>
      </c>
      <c r="H23" s="396" t="s">
        <v>191</v>
      </c>
      <c r="I23" s="397">
        <f>I9</f>
        <v>2343935.7000000002</v>
      </c>
      <c r="J23" s="397">
        <f>J9</f>
        <v>2614351.9749999996</v>
      </c>
      <c r="K23" s="397">
        <f>K9</f>
        <v>2971977.4835000001</v>
      </c>
      <c r="M23" s="460">
        <v>0.9</v>
      </c>
      <c r="N23" s="460">
        <v>0.92</v>
      </c>
    </row>
    <row r="24" spans="3:14" x14ac:dyDescent="0.25">
      <c r="C24" s="830"/>
      <c r="F24" s="809"/>
      <c r="G24" s="393" t="s">
        <v>246</v>
      </c>
      <c r="H24" s="396" t="s">
        <v>191</v>
      </c>
      <c r="I24" s="397" t="e">
        <f>I10</f>
        <v>#REF!</v>
      </c>
      <c r="J24" s="459" t="e">
        <f>J10*M23</f>
        <v>#REF!</v>
      </c>
      <c r="K24" s="459" t="e">
        <f>K10*N23</f>
        <v>#REF!</v>
      </c>
    </row>
    <row r="25" spans="3:14" x14ac:dyDescent="0.25">
      <c r="C25" s="830"/>
      <c r="F25" s="810"/>
      <c r="G25" s="393" t="s">
        <v>247</v>
      </c>
      <c r="H25" s="396" t="s">
        <v>191</v>
      </c>
      <c r="I25" s="397">
        <f>I11</f>
        <v>7341662.4450000012</v>
      </c>
      <c r="J25" s="473">
        <f>J11-N30</f>
        <v>7896645.1166666672</v>
      </c>
      <c r="K25" s="474">
        <f>K11-N31</f>
        <v>8465054.0258333348</v>
      </c>
    </row>
    <row r="26" spans="3:14" x14ac:dyDescent="0.25">
      <c r="C26" s="830"/>
      <c r="F26" s="394" t="s">
        <v>193</v>
      </c>
      <c r="G26" s="395"/>
      <c r="H26" s="399" t="s">
        <v>191</v>
      </c>
      <c r="I26" s="400" t="e">
        <f>I22-I23-I24-I25</f>
        <v>#REF!</v>
      </c>
      <c r="J26" s="400" t="e">
        <f>J22-J23-J24-J25</f>
        <v>#REF!</v>
      </c>
      <c r="K26" s="400" t="e">
        <f>K22-K23-K24-K25</f>
        <v>#REF!</v>
      </c>
    </row>
    <row r="27" spans="3:14" x14ac:dyDescent="0.25">
      <c r="C27" s="830"/>
      <c r="F27" s="394" t="s">
        <v>194</v>
      </c>
      <c r="G27" s="395"/>
      <c r="H27" s="109" t="s">
        <v>191</v>
      </c>
      <c r="I27" s="397">
        <f>I22*0.03</f>
        <v>3643752</v>
      </c>
      <c r="J27" s="397">
        <f>J22*0.03</f>
        <v>8198442</v>
      </c>
      <c r="K27" s="397">
        <f>K22*0.03</f>
        <v>11732881.440000001</v>
      </c>
    </row>
    <row r="28" spans="3:14" x14ac:dyDescent="0.25">
      <c r="C28" s="830"/>
      <c r="F28" s="795" t="s">
        <v>195</v>
      </c>
      <c r="G28" s="796"/>
      <c r="H28" s="109"/>
      <c r="I28" s="397" t="e">
        <f>I26-I27</f>
        <v>#REF!</v>
      </c>
      <c r="J28" s="397" t="e">
        <f>J26-J27-J15</f>
        <v>#REF!</v>
      </c>
      <c r="K28" s="397" t="e">
        <f>K26-K27-K15</f>
        <v>#REF!</v>
      </c>
      <c r="M28" s="804" t="s">
        <v>271</v>
      </c>
      <c r="N28" s="805"/>
    </row>
    <row r="29" spans="3:14" x14ac:dyDescent="0.25">
      <c r="C29" s="830"/>
      <c r="F29" s="394" t="s">
        <v>196</v>
      </c>
      <c r="G29" s="395"/>
      <c r="H29" s="109" t="s">
        <v>191</v>
      </c>
      <c r="I29" s="397">
        <v>0</v>
      </c>
      <c r="J29" s="397">
        <v>0</v>
      </c>
      <c r="K29" s="397" t="e">
        <f>0.35*J28</f>
        <v>#REF!</v>
      </c>
      <c r="M29" s="468" t="s">
        <v>272</v>
      </c>
      <c r="N29" s="472">
        <v>1234590</v>
      </c>
    </row>
    <row r="30" spans="3:14" x14ac:dyDescent="0.25">
      <c r="C30" s="830"/>
      <c r="F30" s="394" t="s">
        <v>197</v>
      </c>
      <c r="G30" s="395"/>
      <c r="H30" s="399" t="s">
        <v>191</v>
      </c>
      <c r="I30" s="400" t="e">
        <f>I26-I27-I29</f>
        <v>#REF!</v>
      </c>
      <c r="J30" s="400" t="e">
        <f>J26-J27-J29</f>
        <v>#REF!</v>
      </c>
      <c r="K30" s="400" t="e">
        <f>K26-K27-K29</f>
        <v>#REF!</v>
      </c>
      <c r="M30" s="469" t="s">
        <v>274</v>
      </c>
      <c r="N30" s="473">
        <f>549658.81</f>
        <v>549658.81000000006</v>
      </c>
    </row>
    <row r="31" spans="3:14" x14ac:dyDescent="0.25">
      <c r="C31" s="830"/>
      <c r="F31" s="394" t="s">
        <v>198</v>
      </c>
      <c r="G31" s="395"/>
      <c r="H31" s="397">
        <f>-H19</f>
        <v>-2297572</v>
      </c>
      <c r="I31" s="397">
        <f>-I19</f>
        <v>-22999</v>
      </c>
      <c r="J31" s="397">
        <f>-J19</f>
        <v>-70262</v>
      </c>
      <c r="K31" s="472">
        <f>-K19+N29</f>
        <v>-71667</v>
      </c>
      <c r="M31" s="469" t="s">
        <v>273</v>
      </c>
      <c r="N31" s="474">
        <f>634277.41+824488.21+338313.47</f>
        <v>1797079.09</v>
      </c>
    </row>
    <row r="32" spans="3:14" x14ac:dyDescent="0.25">
      <c r="C32" s="830"/>
      <c r="F32" s="394" t="s">
        <v>199</v>
      </c>
      <c r="G32" s="395"/>
      <c r="H32" s="400">
        <f>H31</f>
        <v>-2297572</v>
      </c>
      <c r="I32" s="400" t="e">
        <f>I30+I31</f>
        <v>#REF!</v>
      </c>
      <c r="J32" s="400" t="e">
        <f>J30+J31</f>
        <v>#REF!</v>
      </c>
      <c r="K32" s="400" t="e">
        <f>K30+K31</f>
        <v>#REF!</v>
      </c>
    </row>
    <row r="33" spans="3:14" ht="15.75" thickBot="1" x14ac:dyDescent="0.3">
      <c r="C33" s="830"/>
      <c r="F33" s="52"/>
      <c r="G33" s="52"/>
      <c r="H33" s="52"/>
      <c r="I33" s="52"/>
      <c r="J33" s="52"/>
      <c r="K33" s="52"/>
      <c r="N33" s="470"/>
    </row>
    <row r="34" spans="3:14" ht="15.75" thickBot="1" x14ac:dyDescent="0.3">
      <c r="C34" s="830"/>
      <c r="F34" s="52"/>
      <c r="G34" s="827" t="s">
        <v>219</v>
      </c>
      <c r="H34" s="828"/>
      <c r="I34" s="52"/>
      <c r="J34" s="827" t="s">
        <v>269</v>
      </c>
      <c r="K34" s="828"/>
    </row>
    <row r="35" spans="3:14" x14ac:dyDescent="0.25">
      <c r="C35" s="830"/>
      <c r="F35" s="52"/>
      <c r="G35" s="462" t="s">
        <v>200</v>
      </c>
      <c r="H35" s="463">
        <v>0.62</v>
      </c>
      <c r="I35" s="52"/>
      <c r="J35" s="462" t="s">
        <v>200</v>
      </c>
      <c r="K35" s="463">
        <v>0.62</v>
      </c>
    </row>
    <row r="36" spans="3:14" x14ac:dyDescent="0.25">
      <c r="C36" s="830"/>
      <c r="F36" s="52"/>
      <c r="G36" s="464" t="s">
        <v>201</v>
      </c>
      <c r="H36" s="465"/>
      <c r="I36" s="52"/>
      <c r="J36" s="464" t="s">
        <v>201</v>
      </c>
      <c r="K36" s="465"/>
    </row>
    <row r="37" spans="3:14" ht="15.75" thickBot="1" x14ac:dyDescent="0.3">
      <c r="C37" s="830"/>
      <c r="G37" s="466" t="s">
        <v>202</v>
      </c>
      <c r="H37" s="467"/>
      <c r="J37" s="466" t="s">
        <v>202</v>
      </c>
      <c r="K37" s="467"/>
    </row>
    <row r="38" spans="3:14" x14ac:dyDescent="0.25">
      <c r="C38" s="830"/>
    </row>
    <row r="39" spans="3:14" ht="15.75" thickBot="1" x14ac:dyDescent="0.3">
      <c r="C39" s="831"/>
    </row>
    <row r="40" spans="3:14" ht="15" customHeight="1" x14ac:dyDescent="0.25">
      <c r="G40" s="832" t="s">
        <v>73</v>
      </c>
      <c r="H40" s="833"/>
      <c r="I40" s="833"/>
      <c r="J40" s="833"/>
      <c r="K40" s="834"/>
    </row>
    <row r="41" spans="3:14" ht="3" customHeight="1" thickBot="1" x14ac:dyDescent="0.3">
      <c r="G41" s="835"/>
      <c r="H41" s="836"/>
      <c r="I41" s="836"/>
      <c r="J41" s="836"/>
      <c r="K41" s="837"/>
    </row>
    <row r="42" spans="3:14" ht="69.75" customHeight="1" thickBot="1" x14ac:dyDescent="0.3">
      <c r="G42" s="821" t="s">
        <v>276</v>
      </c>
      <c r="H42" s="822"/>
      <c r="I42" s="822"/>
      <c r="J42" s="822"/>
      <c r="K42" s="823"/>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91" t="s">
        <v>15</v>
      </c>
      <c r="C12" s="692"/>
      <c r="D12" s="692"/>
      <c r="E12" s="692"/>
      <c r="F12" s="692"/>
      <c r="G12" s="692"/>
      <c r="H12" s="692"/>
      <c r="I12" s="692"/>
      <c r="J12" s="693"/>
    </row>
    <row r="13" spans="1:10" ht="18.75" x14ac:dyDescent="0.25">
      <c r="B13" s="838" t="s">
        <v>34</v>
      </c>
      <c r="C13" s="839"/>
      <c r="D13" s="839"/>
      <c r="E13" s="839"/>
      <c r="F13" s="839"/>
      <c r="G13" s="839"/>
      <c r="H13" s="839"/>
      <c r="I13" s="839"/>
      <c r="J13" s="840"/>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100-000000000000}"/>
    <hyperlink ref="B8" r:id="rId2"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election activeCell="C9" sqref="C9"/>
    </sheetView>
  </sheetViews>
  <sheetFormatPr baseColWidth="10" defaultColWidth="11.42578125" defaultRowHeight="15" x14ac:dyDescent="0.25"/>
  <cols>
    <col min="1" max="1" width="11.42578125" style="475"/>
    <col min="2" max="2" width="13" style="475" bestFit="1" customWidth="1"/>
    <col min="3" max="3" width="11.42578125" style="475"/>
    <col min="4" max="4" width="35.5703125" style="475" customWidth="1"/>
    <col min="5" max="16384" width="11.42578125" style="475"/>
  </cols>
  <sheetData>
    <row r="1" spans="3:6" ht="15.75" thickBot="1" x14ac:dyDescent="0.3">
      <c r="D1" s="487"/>
    </row>
    <row r="2" spans="3:6" ht="21.75" thickBot="1" x14ac:dyDescent="0.4">
      <c r="C2" s="486"/>
      <c r="D2" s="488" t="s">
        <v>14</v>
      </c>
    </row>
    <row r="3" spans="3:6" ht="15.75" thickBot="1" x14ac:dyDescent="0.3">
      <c r="D3" s="486"/>
    </row>
    <row r="4" spans="3:6" ht="18.75" x14ac:dyDescent="0.25">
      <c r="C4" s="486"/>
      <c r="D4" s="483" t="s">
        <v>1</v>
      </c>
    </row>
    <row r="5" spans="3:6" ht="18.75" x14ac:dyDescent="0.25">
      <c r="C5" s="486"/>
      <c r="D5" s="484" t="s">
        <v>2</v>
      </c>
    </row>
    <row r="6" spans="3:6" ht="18.75" x14ac:dyDescent="0.25">
      <c r="C6" s="486"/>
      <c r="D6" s="484" t="s">
        <v>3</v>
      </c>
    </row>
    <row r="7" spans="3:6" ht="18.75" x14ac:dyDescent="0.25">
      <c r="C7" s="486"/>
      <c r="D7" s="484" t="s">
        <v>4</v>
      </c>
    </row>
    <row r="8" spans="3:6" ht="18.75" x14ac:dyDescent="0.25">
      <c r="C8" s="486"/>
      <c r="D8" s="484" t="s">
        <v>5</v>
      </c>
      <c r="F8" s="511"/>
    </row>
    <row r="9" spans="3:6" ht="18.75" x14ac:dyDescent="0.25">
      <c r="C9" s="486"/>
      <c r="D9" s="484" t="s">
        <v>6</v>
      </c>
    </row>
    <row r="10" spans="3:6" ht="18.75" x14ac:dyDescent="0.25">
      <c r="C10" s="486"/>
      <c r="D10" s="484" t="s">
        <v>7</v>
      </c>
    </row>
    <row r="11" spans="3:6" ht="18.75" x14ac:dyDescent="0.25">
      <c r="C11" s="486"/>
      <c r="D11" s="484" t="s">
        <v>8</v>
      </c>
    </row>
    <row r="12" spans="3:6" ht="18.75" x14ac:dyDescent="0.25">
      <c r="C12" s="486"/>
      <c r="D12" s="484" t="s">
        <v>9</v>
      </c>
    </row>
    <row r="13" spans="3:6" ht="18.75" x14ac:dyDescent="0.25">
      <c r="C13" s="486"/>
      <c r="D13" s="484" t="s">
        <v>10</v>
      </c>
    </row>
    <row r="14" spans="3:6" ht="18.75" x14ac:dyDescent="0.25">
      <c r="C14" s="486"/>
      <c r="D14" s="484" t="s">
        <v>11</v>
      </c>
    </row>
    <row r="15" spans="3:6" ht="18.75" x14ac:dyDescent="0.25">
      <c r="C15" s="486"/>
      <c r="D15" s="484" t="s">
        <v>243</v>
      </c>
    </row>
    <row r="16" spans="3:6" ht="18.75" x14ac:dyDescent="0.25">
      <c r="C16" s="486"/>
      <c r="D16" s="484" t="s">
        <v>213</v>
      </c>
    </row>
    <row r="17" spans="3:4" ht="18.75" x14ac:dyDescent="0.25">
      <c r="C17" s="486"/>
      <c r="D17" s="484" t="s">
        <v>219</v>
      </c>
    </row>
    <row r="18" spans="3:4" ht="19.5" thickBot="1" x14ac:dyDescent="0.3">
      <c r="C18" s="486"/>
      <c r="D18" s="485"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8" activePane="bottomLeft" state="frozen"/>
      <selection pane="bottomLeft" activeCell="D27" sqref="D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1" customFormat="1" ht="58.5" customHeight="1" thickBot="1" x14ac:dyDescent="0.3">
      <c r="A1" s="490"/>
      <c r="E1" s="492" t="s">
        <v>1</v>
      </c>
      <c r="F1" s="493"/>
      <c r="G1" s="493"/>
    </row>
    <row r="2" spans="1:11" ht="15.75" thickBot="1" x14ac:dyDescent="0.3">
      <c r="C2" s="5"/>
    </row>
    <row r="3" spans="1:11" ht="24.75" customHeight="1" thickBot="1" x14ac:dyDescent="0.45">
      <c r="B3" s="628" t="s">
        <v>66</v>
      </c>
      <c r="C3" s="629"/>
      <c r="D3" s="629"/>
      <c r="E3" s="629"/>
      <c r="F3" s="629"/>
      <c r="G3" s="629"/>
      <c r="H3" s="629"/>
      <c r="I3" s="629"/>
      <c r="J3" s="630"/>
    </row>
    <row r="4" spans="1:11" ht="165" customHeight="1" thickBot="1" x14ac:dyDescent="0.3">
      <c r="B4" s="637" t="s">
        <v>282</v>
      </c>
      <c r="C4" s="638"/>
      <c r="D4" s="638"/>
      <c r="E4" s="638"/>
      <c r="F4" s="638"/>
      <c r="G4" s="638"/>
      <c r="H4" s="638"/>
      <c r="I4" s="638"/>
      <c r="J4" s="639"/>
      <c r="K4" s="4"/>
    </row>
    <row r="6" spans="1:11" ht="15.75" thickBot="1" x14ac:dyDescent="0.3"/>
    <row r="7" spans="1:11" ht="27" thickBot="1" x14ac:dyDescent="0.45">
      <c r="B7" s="640" t="s">
        <v>67</v>
      </c>
      <c r="C7" s="641"/>
      <c r="D7" s="641"/>
      <c r="E7" s="641"/>
      <c r="F7" s="641"/>
      <c r="G7" s="641"/>
      <c r="H7" s="641"/>
      <c r="I7" s="641"/>
      <c r="J7" s="642"/>
    </row>
    <row r="8" spans="1:11" ht="73.5" customHeight="1" thickBot="1" x14ac:dyDescent="0.3">
      <c r="B8" s="643" t="s">
        <v>283</v>
      </c>
      <c r="C8" s="644"/>
      <c r="D8" s="644"/>
      <c r="E8" s="644"/>
      <c r="F8" s="644"/>
      <c r="G8" s="644"/>
      <c r="H8" s="644"/>
      <c r="I8" s="644"/>
      <c r="J8" s="645"/>
    </row>
    <row r="9" spans="1:11" ht="18.75" x14ac:dyDescent="0.25">
      <c r="B9" s="104"/>
      <c r="C9" s="104"/>
      <c r="D9" s="104"/>
      <c r="E9" s="104"/>
      <c r="F9" s="104"/>
      <c r="G9" s="104"/>
      <c r="H9" s="104"/>
      <c r="I9" s="104"/>
      <c r="J9" s="104"/>
    </row>
    <row r="10" spans="1:11" ht="19.5" thickBot="1" x14ac:dyDescent="0.3">
      <c r="B10" s="104"/>
      <c r="C10" s="104"/>
      <c r="D10" s="104"/>
      <c r="E10" s="104"/>
      <c r="F10" s="104"/>
      <c r="G10" s="104"/>
      <c r="H10" s="104"/>
      <c r="I10" s="104"/>
      <c r="J10" s="104"/>
    </row>
    <row r="11" spans="1:11" ht="18.75" x14ac:dyDescent="0.25">
      <c r="B11" s="505" t="s">
        <v>277</v>
      </c>
      <c r="C11" s="506" t="s">
        <v>278</v>
      </c>
      <c r="D11" s="507" t="s">
        <v>38</v>
      </c>
      <c r="E11" s="104"/>
      <c r="F11" s="104"/>
      <c r="G11" s="104"/>
      <c r="H11" s="104"/>
      <c r="I11" s="104"/>
      <c r="J11" s="104"/>
    </row>
    <row r="12" spans="1:11" ht="21" customHeight="1" thickBot="1" x14ac:dyDescent="0.3">
      <c r="B12" s="508">
        <v>1214584</v>
      </c>
      <c r="C12" s="509">
        <v>5000</v>
      </c>
      <c r="D12" s="510">
        <f>B12*C12</f>
        <v>6072920000</v>
      </c>
      <c r="E12" s="104"/>
      <c r="F12" s="104"/>
      <c r="G12" s="104"/>
      <c r="H12" s="104"/>
      <c r="I12" s="104"/>
      <c r="J12" s="104"/>
    </row>
    <row r="13" spans="1:11" ht="20.25" customHeight="1" x14ac:dyDescent="0.25">
      <c r="B13" s="104"/>
      <c r="C13" s="104"/>
      <c r="D13" s="104"/>
      <c r="E13" s="104"/>
      <c r="F13" s="104"/>
      <c r="G13" s="104"/>
      <c r="H13" s="104"/>
      <c r="I13" s="104"/>
      <c r="J13" s="104"/>
    </row>
    <row r="14" spans="1:11" ht="12.75" customHeight="1" thickBot="1" x14ac:dyDescent="0.3"/>
    <row r="15" spans="1:11" ht="27" thickBot="1" x14ac:dyDescent="0.45">
      <c r="B15" s="646" t="s">
        <v>68</v>
      </c>
      <c r="C15" s="647"/>
      <c r="D15" s="647"/>
      <c r="E15" s="647"/>
      <c r="F15" s="647"/>
      <c r="G15" s="647"/>
      <c r="H15" s="647"/>
      <c r="I15" s="647"/>
      <c r="J15" s="648"/>
    </row>
    <row r="16" spans="1:11" ht="43.5" customHeight="1" thickBot="1" x14ac:dyDescent="0.3">
      <c r="B16" s="649" t="s">
        <v>323</v>
      </c>
      <c r="C16" s="650"/>
      <c r="D16" s="650"/>
      <c r="E16" s="650"/>
      <c r="F16" s="650"/>
      <c r="G16" s="650"/>
      <c r="H16" s="650"/>
      <c r="I16" s="650"/>
      <c r="J16" s="651"/>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631" t="s">
        <v>65</v>
      </c>
      <c r="C22" s="632"/>
      <c r="D22" s="633"/>
      <c r="E22" s="23"/>
      <c r="F22" s="23"/>
      <c r="G22" s="23"/>
      <c r="H22" s="23"/>
      <c r="I22" s="23"/>
      <c r="J22" s="23"/>
      <c r="K22" s="23"/>
      <c r="L22" s="23"/>
      <c r="M22" s="23"/>
      <c r="N22" s="23"/>
    </row>
    <row r="23" spans="2:14" ht="19.5" thickBot="1" x14ac:dyDescent="0.3">
      <c r="B23" s="502" t="s">
        <v>36</v>
      </c>
      <c r="C23" s="503" t="s">
        <v>37</v>
      </c>
      <c r="D23" s="504" t="s">
        <v>19</v>
      </c>
      <c r="E23" s="23"/>
      <c r="F23" s="23"/>
      <c r="G23" s="23"/>
      <c r="H23" s="23"/>
      <c r="I23" s="23"/>
      <c r="J23" s="23"/>
      <c r="K23" s="23"/>
      <c r="L23" s="23"/>
      <c r="M23" s="23"/>
      <c r="N23" s="23"/>
    </row>
    <row r="24" spans="2:14" ht="15.75" x14ac:dyDescent="0.25">
      <c r="B24" s="495">
        <v>2020</v>
      </c>
      <c r="C24" s="494">
        <v>0.02</v>
      </c>
      <c r="D24" s="496">
        <f>C24*$D$12</f>
        <v>121458400</v>
      </c>
      <c r="E24" s="23"/>
      <c r="F24" s="23"/>
      <c r="G24" s="23"/>
      <c r="H24" s="23"/>
      <c r="I24" s="23"/>
      <c r="J24" s="23"/>
      <c r="K24" s="23"/>
      <c r="L24" s="23"/>
      <c r="M24" s="23"/>
      <c r="N24" s="23"/>
    </row>
    <row r="25" spans="2:14" ht="15.75" x14ac:dyDescent="0.25">
      <c r="B25" s="497">
        <v>2021</v>
      </c>
      <c r="C25" s="28">
        <v>0.05</v>
      </c>
      <c r="D25" s="498">
        <f t="shared" ref="D25:D26" si="0">C25*$D$12</f>
        <v>303646000</v>
      </c>
      <c r="E25" s="23"/>
      <c r="F25" s="23"/>
      <c r="G25" s="23"/>
      <c r="H25" s="23"/>
      <c r="I25" s="23"/>
      <c r="J25" s="23"/>
      <c r="K25" s="23"/>
      <c r="L25" s="23"/>
      <c r="M25" s="23"/>
      <c r="N25" s="23"/>
    </row>
    <row r="26" spans="2:14" ht="16.5" thickBot="1" x14ac:dyDescent="0.3">
      <c r="B26" s="499">
        <v>2022</v>
      </c>
      <c r="C26" s="500">
        <v>7.0000000000000007E-2</v>
      </c>
      <c r="D26" s="501">
        <f t="shared" si="0"/>
        <v>425104400.00000006</v>
      </c>
      <c r="E26" s="23"/>
      <c r="F26" s="23"/>
      <c r="G26" s="23"/>
      <c r="H26" s="23"/>
      <c r="I26" s="23"/>
      <c r="J26" s="23"/>
      <c r="K26" s="23"/>
      <c r="L26" s="23"/>
      <c r="M26" s="23"/>
      <c r="N26" s="23"/>
    </row>
    <row r="27" spans="2:14" ht="15.75" x14ac:dyDescent="0.25">
      <c r="B27" s="23"/>
      <c r="C27" s="59"/>
      <c r="D27" s="60"/>
      <c r="E27" s="23"/>
      <c r="F27" s="23"/>
      <c r="G27" s="23"/>
      <c r="H27" s="23"/>
      <c r="I27" s="23"/>
      <c r="J27" s="23"/>
      <c r="K27" s="23"/>
      <c r="L27" s="23"/>
      <c r="M27" s="23"/>
      <c r="N27" s="23"/>
    </row>
    <row r="28" spans="2:14" ht="15.75" x14ac:dyDescent="0.25">
      <c r="B28" s="23"/>
      <c r="C28" s="59"/>
      <c r="D28" s="60"/>
      <c r="E28" s="23"/>
      <c r="F28" s="23"/>
      <c r="G28" s="23"/>
      <c r="H28" s="23"/>
      <c r="I28" s="23"/>
      <c r="J28" s="23"/>
      <c r="K28" s="23"/>
      <c r="L28" s="23"/>
      <c r="M28" s="23"/>
      <c r="N28" s="23"/>
    </row>
    <row r="29" spans="2:14" ht="15.75" x14ac:dyDescent="0.25">
      <c r="B29" s="23"/>
      <c r="C29" s="59"/>
      <c r="D29" s="60"/>
      <c r="E29" s="23"/>
      <c r="F29" s="23"/>
      <c r="G29" s="23"/>
      <c r="H29" s="23"/>
      <c r="I29" s="23"/>
      <c r="J29" s="23"/>
      <c r="K29" s="23"/>
      <c r="L29" s="23"/>
      <c r="M29" s="23"/>
      <c r="N29" s="23"/>
    </row>
    <row r="30" spans="2:14" ht="15.75" x14ac:dyDescent="0.25">
      <c r="B30" s="23"/>
      <c r="C30" s="59"/>
      <c r="D30" s="60"/>
      <c r="E30" s="23"/>
      <c r="F30" s="23"/>
      <c r="G30" s="23"/>
      <c r="H30" s="23"/>
      <c r="I30" s="23"/>
      <c r="J30" s="23"/>
      <c r="K30" s="23"/>
      <c r="L30" s="23"/>
      <c r="M30" s="23"/>
      <c r="N30" s="23"/>
    </row>
    <row r="31" spans="2:14" ht="15.75" x14ac:dyDescent="0.25">
      <c r="B31" s="23"/>
      <c r="C31" s="59"/>
      <c r="D31" s="60"/>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628" t="s">
        <v>69</v>
      </c>
      <c r="C33" s="629"/>
      <c r="D33" s="629"/>
      <c r="E33" s="629"/>
      <c r="F33" s="630"/>
      <c r="H33" s="63"/>
      <c r="I33" s="63"/>
      <c r="J33" s="63"/>
      <c r="K33" s="63"/>
      <c r="L33" s="63"/>
      <c r="M33" s="63"/>
      <c r="N33" s="63"/>
    </row>
    <row r="34" spans="1:14" ht="27" thickBot="1" x14ac:dyDescent="0.45">
      <c r="A34" s="52"/>
      <c r="B34" s="39"/>
      <c r="C34" s="39"/>
      <c r="D34" s="39"/>
      <c r="E34" s="39"/>
      <c r="F34" s="39"/>
      <c r="G34" s="52"/>
      <c r="H34" s="63"/>
      <c r="I34" s="63"/>
      <c r="J34" s="63"/>
      <c r="K34" s="63"/>
      <c r="L34" s="63"/>
      <c r="M34" s="63"/>
      <c r="N34" s="63"/>
    </row>
    <row r="35" spans="1:14" ht="27" thickBot="1" x14ac:dyDescent="0.45">
      <c r="B35" s="628" t="s">
        <v>30</v>
      </c>
      <c r="C35" s="652"/>
      <c r="D35" s="652"/>
      <c r="E35" s="652"/>
      <c r="F35" s="653"/>
    </row>
    <row r="36" spans="1:14" ht="15" customHeight="1" x14ac:dyDescent="0.25">
      <c r="B36" s="634" t="s">
        <v>29</v>
      </c>
      <c r="C36" s="654" t="s">
        <v>292</v>
      </c>
      <c r="D36" s="654"/>
      <c r="E36" s="654"/>
      <c r="F36" s="654"/>
    </row>
    <row r="37" spans="1:14" ht="15" customHeight="1" x14ac:dyDescent="0.25">
      <c r="B37" s="635"/>
      <c r="C37" s="654"/>
      <c r="D37" s="654"/>
      <c r="E37" s="654"/>
      <c r="F37" s="654"/>
    </row>
    <row r="38" spans="1:14" ht="15.75" customHeight="1" x14ac:dyDescent="0.25">
      <c r="B38" s="635"/>
      <c r="C38" s="654"/>
      <c r="D38" s="654"/>
      <c r="E38" s="654"/>
      <c r="F38" s="654"/>
    </row>
    <row r="39" spans="1:14" ht="15" customHeight="1" x14ac:dyDescent="0.25">
      <c r="B39" s="635"/>
      <c r="C39" s="624" t="s">
        <v>290</v>
      </c>
      <c r="D39" s="624"/>
      <c r="E39" s="624"/>
      <c r="F39" s="624"/>
    </row>
    <row r="40" spans="1:14" ht="15" customHeight="1" x14ac:dyDescent="0.25">
      <c r="B40" s="635"/>
      <c r="C40" s="624"/>
      <c r="D40" s="624"/>
      <c r="E40" s="624"/>
      <c r="F40" s="624"/>
    </row>
    <row r="41" spans="1:14" ht="15.75" customHeight="1" x14ac:dyDescent="0.25">
      <c r="B41" s="635"/>
      <c r="C41" s="624"/>
      <c r="D41" s="624"/>
      <c r="E41" s="624"/>
      <c r="F41" s="624"/>
    </row>
    <row r="42" spans="1:14" ht="15" customHeight="1" x14ac:dyDescent="0.25">
      <c r="B42" s="635"/>
      <c r="C42" s="625" t="s">
        <v>291</v>
      </c>
      <c r="D42" s="625"/>
      <c r="E42" s="625"/>
      <c r="F42" s="625"/>
    </row>
    <row r="43" spans="1:14" ht="15" customHeight="1" x14ac:dyDescent="0.25">
      <c r="B43" s="635"/>
      <c r="C43" s="625"/>
      <c r="D43" s="625"/>
      <c r="E43" s="625"/>
      <c r="F43" s="625"/>
    </row>
    <row r="44" spans="1:14" ht="15.75" customHeight="1" thickBot="1" x14ac:dyDescent="0.3">
      <c r="B44" s="636"/>
      <c r="C44" s="625"/>
      <c r="D44" s="625"/>
      <c r="E44" s="625"/>
      <c r="F44" s="625"/>
    </row>
    <row r="46" spans="1:14" ht="15.75" thickBot="1" x14ac:dyDescent="0.3"/>
    <row r="47" spans="1:14" ht="27" thickBot="1" x14ac:dyDescent="0.45">
      <c r="B47" s="626" t="s">
        <v>28</v>
      </c>
      <c r="C47" s="627"/>
    </row>
    <row r="48" spans="1:14" ht="16.5" thickBot="1" x14ac:dyDescent="0.3">
      <c r="B48" s="512" t="s">
        <v>31</v>
      </c>
      <c r="C48" s="513" t="s">
        <v>32</v>
      </c>
    </row>
    <row r="49" spans="2:3" ht="15.75" customHeight="1" x14ac:dyDescent="0.25">
      <c r="B49" s="607" t="s">
        <v>292</v>
      </c>
      <c r="C49" s="616">
        <v>1300</v>
      </c>
    </row>
    <row r="50" spans="2:3" x14ac:dyDescent="0.25">
      <c r="B50" s="608"/>
      <c r="C50" s="616"/>
    </row>
    <row r="51" spans="2:3" ht="15.75" thickBot="1" x14ac:dyDescent="0.3">
      <c r="B51" s="609"/>
      <c r="C51" s="617"/>
    </row>
    <row r="52" spans="2:3" ht="15.75" customHeight="1" x14ac:dyDescent="0.25">
      <c r="B52" s="610" t="s">
        <v>290</v>
      </c>
      <c r="C52" s="618">
        <v>2500</v>
      </c>
    </row>
    <row r="53" spans="2:3" ht="15.75" customHeight="1" x14ac:dyDescent="0.25">
      <c r="B53" s="611"/>
      <c r="C53" s="619"/>
    </row>
    <row r="54" spans="2:3" ht="16.5" customHeight="1" thickBot="1" x14ac:dyDescent="0.3">
      <c r="B54" s="612"/>
      <c r="C54" s="620"/>
    </row>
    <row r="55" spans="2:3" ht="15.75" customHeight="1" x14ac:dyDescent="0.25">
      <c r="B55" s="613" t="s">
        <v>291</v>
      </c>
      <c r="C55" s="621">
        <v>4000</v>
      </c>
    </row>
    <row r="56" spans="2:3" x14ac:dyDescent="0.25">
      <c r="B56" s="614"/>
      <c r="C56" s="622"/>
    </row>
    <row r="57" spans="2:3" ht="15.75" thickBot="1" x14ac:dyDescent="0.3">
      <c r="B57" s="615"/>
      <c r="C57" s="623"/>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71"/>
  <sheetViews>
    <sheetView tabSelected="1" zoomScale="70" zoomScaleNormal="70" workbookViewId="0">
      <pane xSplit="2" ySplit="1" topLeftCell="C65" activePane="bottomRight" state="frozen"/>
      <selection pane="topRight" activeCell="C1" sqref="C1"/>
      <selection pane="bottomLeft" activeCell="A2" sqref="A2"/>
      <selection pane="bottomRight" activeCell="F69" sqref="F69"/>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4" width="26.85546875" style="1" customWidth="1"/>
    <col min="15" max="15" width="26" style="1" customWidth="1"/>
    <col min="16" max="17" width="28.42578125" style="1" customWidth="1"/>
    <col min="18" max="18" width="27.5703125" style="1" customWidth="1"/>
    <col min="19" max="20" width="27" style="1" customWidth="1"/>
    <col min="21" max="21" width="27.85546875" style="1" customWidth="1"/>
    <col min="22" max="23" width="24.85546875" style="1" customWidth="1"/>
    <col min="24" max="24" width="35.140625" style="1" customWidth="1"/>
    <col min="25" max="26" width="24.5703125" style="1" customWidth="1"/>
    <col min="27" max="27" width="26.85546875" style="1" customWidth="1"/>
    <col min="28" max="29" width="24.28515625" style="1" customWidth="1"/>
    <col min="30" max="30" width="39.42578125" style="1" customWidth="1"/>
    <col min="31" max="32" width="35.5703125" style="1" customWidth="1"/>
    <col min="33" max="33" width="42.140625" style="1" customWidth="1"/>
    <col min="34" max="35" width="26.28515625" style="1" customWidth="1"/>
    <col min="36" max="36" width="16.5703125" style="1" customWidth="1"/>
    <col min="37" max="37" width="26.140625" style="1" customWidth="1"/>
    <col min="38" max="38" width="21.28515625" style="1" customWidth="1"/>
    <col min="39" max="39" width="19" style="1" customWidth="1"/>
    <col min="40" max="40" width="24" style="1" customWidth="1"/>
    <col min="41" max="41" width="18.7109375" style="1" bestFit="1" customWidth="1"/>
    <col min="42" max="16384" width="11.42578125" style="1"/>
  </cols>
  <sheetData>
    <row r="1" spans="1:61" s="489" customFormat="1" ht="58.5" customHeight="1" x14ac:dyDescent="0.25">
      <c r="B1" s="514" t="s">
        <v>2</v>
      </c>
      <c r="I1" s="515"/>
      <c r="J1" s="515"/>
      <c r="K1" s="515"/>
      <c r="L1" s="515"/>
      <c r="M1" s="515"/>
      <c r="N1" s="515"/>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675" t="s">
        <v>35</v>
      </c>
      <c r="C5" s="676"/>
      <c r="D5" s="677"/>
      <c r="E5" s="571"/>
      <c r="F5" s="1"/>
      <c r="G5" s="1"/>
      <c r="H5" s="1"/>
      <c r="I5" s="675" t="s">
        <v>62</v>
      </c>
      <c r="J5" s="676"/>
      <c r="K5" s="676"/>
      <c r="L5" s="676"/>
      <c r="M5" s="676"/>
      <c r="N5" s="676"/>
      <c r="O5" s="676"/>
      <c r="P5" s="677"/>
      <c r="Q5" s="571"/>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516">
        <v>2020</v>
      </c>
      <c r="C6" s="517">
        <v>2021</v>
      </c>
      <c r="D6" s="518">
        <v>2022</v>
      </c>
      <c r="E6" s="572"/>
      <c r="F6" s="1"/>
      <c r="G6" s="1"/>
      <c r="H6" s="1"/>
      <c r="I6" s="679" t="s">
        <v>293</v>
      </c>
      <c r="J6" s="680"/>
      <c r="K6" s="680"/>
      <c r="L6" s="680"/>
      <c r="M6" s="680"/>
      <c r="N6" s="680"/>
      <c r="O6" s="680"/>
      <c r="P6" s="681"/>
      <c r="Q6" s="575"/>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0.05</v>
      </c>
      <c r="D7" s="47">
        <f>Hipótesis!C26</f>
        <v>7.0000000000000007E-2</v>
      </c>
      <c r="E7" s="165"/>
      <c r="F7" s="1"/>
      <c r="G7" s="1"/>
      <c r="H7" s="1"/>
      <c r="I7" s="682"/>
      <c r="J7" s="683"/>
      <c r="K7" s="683"/>
      <c r="L7" s="683"/>
      <c r="M7" s="683"/>
      <c r="N7" s="683"/>
      <c r="O7" s="683"/>
      <c r="P7" s="684"/>
      <c r="Q7" s="575"/>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303646000</v>
      </c>
      <c r="D8" s="50">
        <f>Hipótesis!D26</f>
        <v>425104400.00000006</v>
      </c>
      <c r="E8" s="162"/>
      <c r="F8" s="1"/>
      <c r="G8" s="1"/>
      <c r="H8" s="1"/>
      <c r="I8" s="521"/>
      <c r="J8" s="521"/>
      <c r="K8" s="521"/>
      <c r="L8" s="521"/>
      <c r="M8" s="521"/>
      <c r="N8" s="521"/>
      <c r="O8" s="521"/>
      <c r="P8" s="521"/>
      <c r="Q8" s="521"/>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521"/>
      <c r="J9" s="521"/>
      <c r="K9" s="521"/>
      <c r="L9" s="521"/>
      <c r="M9" s="521"/>
      <c r="N9" s="521"/>
      <c r="O9" s="521"/>
      <c r="P9" s="521"/>
      <c r="Q9" s="521"/>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54</v>
      </c>
      <c r="B10" s="29"/>
      <c r="C10" s="29"/>
      <c r="D10" s="29"/>
      <c r="E10" s="29"/>
      <c r="F10" s="1"/>
      <c r="G10" s="1"/>
      <c r="H10" s="1"/>
      <c r="I10" s="521"/>
      <c r="J10" s="521"/>
      <c r="K10" s="521"/>
      <c r="L10" s="521"/>
      <c r="M10" s="521"/>
      <c r="N10" s="521"/>
      <c r="O10" s="521"/>
      <c r="P10" s="521"/>
      <c r="Q10" s="521"/>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521"/>
      <c r="E11" s="521"/>
      <c r="F11" s="1"/>
      <c r="G11" s="1"/>
      <c r="H11" s="1"/>
      <c r="I11" s="521"/>
      <c r="J11" s="521"/>
      <c r="K11" s="521"/>
      <c r="M11" s="521"/>
      <c r="N11" s="521"/>
      <c r="O11" s="521"/>
      <c r="P11" s="521"/>
      <c r="Q11" s="521"/>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521"/>
      <c r="J12" s="521"/>
      <c r="K12" s="521"/>
      <c r="L12" s="521"/>
      <c r="M12" s="521"/>
      <c r="N12" s="521"/>
      <c r="O12" s="521"/>
      <c r="P12" s="521"/>
      <c r="Q12" s="521"/>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675" t="s">
        <v>52</v>
      </c>
      <c r="B15" s="676"/>
      <c r="C15" s="676"/>
      <c r="D15" s="676"/>
      <c r="E15" s="676"/>
      <c r="F15" s="676"/>
      <c r="G15" s="676"/>
      <c r="H15" s="678"/>
      <c r="I15" s="678"/>
      <c r="J15" s="678"/>
      <c r="K15" s="678"/>
      <c r="L15" s="676"/>
      <c r="M15" s="676"/>
      <c r="N15" s="676"/>
      <c r="O15" s="676"/>
      <c r="P15" s="676"/>
      <c r="Q15" s="676"/>
      <c r="R15" s="676"/>
      <c r="S15" s="676"/>
      <c r="T15" s="676"/>
      <c r="U15" s="676"/>
      <c r="V15" s="676"/>
      <c r="W15" s="676"/>
      <c r="X15" s="676"/>
      <c r="Y15" s="676"/>
      <c r="Z15" s="676"/>
      <c r="AA15" s="676"/>
      <c r="AB15" s="676"/>
      <c r="AC15" s="676"/>
      <c r="AD15" s="676"/>
      <c r="AE15" s="676"/>
      <c r="AF15" s="676"/>
      <c r="AG15" s="676"/>
      <c r="AH15" s="676"/>
      <c r="AI15" s="676"/>
      <c r="AJ15" s="676"/>
      <c r="AK15" s="676"/>
      <c r="AL15" s="676"/>
      <c r="AM15" s="676"/>
      <c r="AN15" s="677"/>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669" t="s">
        <v>31</v>
      </c>
      <c r="B16" s="669" t="s">
        <v>32</v>
      </c>
      <c r="C16" s="672" t="s">
        <v>61</v>
      </c>
      <c r="D16" s="673"/>
      <c r="E16" s="660" t="s">
        <v>40</v>
      </c>
      <c r="F16" s="674"/>
      <c r="G16" s="661"/>
      <c r="H16" s="660" t="s">
        <v>41</v>
      </c>
      <c r="I16" s="674"/>
      <c r="J16" s="661"/>
      <c r="K16" s="660" t="s">
        <v>42</v>
      </c>
      <c r="L16" s="674"/>
      <c r="M16" s="661"/>
      <c r="N16" s="660" t="s">
        <v>43</v>
      </c>
      <c r="O16" s="674"/>
      <c r="P16" s="661"/>
      <c r="Q16" s="660" t="s">
        <v>44</v>
      </c>
      <c r="R16" s="674"/>
      <c r="S16" s="661"/>
      <c r="T16" s="660" t="s">
        <v>45</v>
      </c>
      <c r="U16" s="674"/>
      <c r="V16" s="661"/>
      <c r="W16" s="660" t="s">
        <v>46</v>
      </c>
      <c r="X16" s="674"/>
      <c r="Y16" s="661"/>
      <c r="Z16" s="660" t="s">
        <v>47</v>
      </c>
      <c r="AA16" s="674"/>
      <c r="AB16" s="661"/>
      <c r="AC16" s="660" t="s">
        <v>48</v>
      </c>
      <c r="AD16" s="674"/>
      <c r="AE16" s="661"/>
      <c r="AF16" s="660" t="s">
        <v>49</v>
      </c>
      <c r="AG16" s="674"/>
      <c r="AH16" s="661"/>
      <c r="AI16" s="660" t="s">
        <v>50</v>
      </c>
      <c r="AJ16" s="674"/>
      <c r="AK16" s="661"/>
      <c r="AL16" s="660" t="s">
        <v>51</v>
      </c>
      <c r="AM16" s="674"/>
      <c r="AN16" s="661"/>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670"/>
      <c r="B17" s="670"/>
      <c r="C17" s="662" t="s">
        <v>60</v>
      </c>
      <c r="D17" s="664" t="s">
        <v>39</v>
      </c>
      <c r="E17" s="655">
        <v>0.02</v>
      </c>
      <c r="F17" s="656"/>
      <c r="G17" s="657"/>
      <c r="H17" s="655">
        <v>0.04</v>
      </c>
      <c r="I17" s="656"/>
      <c r="J17" s="657"/>
      <c r="K17" s="655">
        <v>0.04</v>
      </c>
      <c r="L17" s="656"/>
      <c r="M17" s="657"/>
      <c r="N17" s="655">
        <v>0.05</v>
      </c>
      <c r="O17" s="656"/>
      <c r="P17" s="657"/>
      <c r="Q17" s="655">
        <v>0.06</v>
      </c>
      <c r="R17" s="656"/>
      <c r="S17" s="657"/>
      <c r="T17" s="655">
        <v>0.08</v>
      </c>
      <c r="U17" s="656"/>
      <c r="V17" s="657"/>
      <c r="W17" s="655">
        <v>0.1</v>
      </c>
      <c r="X17" s="656"/>
      <c r="Y17" s="657"/>
      <c r="Z17" s="655">
        <v>0.11</v>
      </c>
      <c r="AA17" s="656"/>
      <c r="AB17" s="657"/>
      <c r="AC17" s="655">
        <v>0.11</v>
      </c>
      <c r="AD17" s="656"/>
      <c r="AE17" s="657"/>
      <c r="AF17" s="655">
        <v>0.12</v>
      </c>
      <c r="AG17" s="656"/>
      <c r="AH17" s="657"/>
      <c r="AI17" s="655">
        <v>0.13</v>
      </c>
      <c r="AJ17" s="656"/>
      <c r="AK17" s="657"/>
      <c r="AL17" s="655">
        <v>0.14000000000000001</v>
      </c>
      <c r="AM17" s="656"/>
      <c r="AN17" s="657"/>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671"/>
      <c r="B18" s="671"/>
      <c r="C18" s="663"/>
      <c r="D18" s="665"/>
      <c r="E18" s="573"/>
      <c r="F18" s="522" t="s">
        <v>60</v>
      </c>
      <c r="G18" s="569" t="s">
        <v>39</v>
      </c>
      <c r="H18" s="524"/>
      <c r="I18" s="593" t="s">
        <v>60</v>
      </c>
      <c r="J18" s="523" t="s">
        <v>39</v>
      </c>
      <c r="K18" s="568"/>
      <c r="L18" s="522" t="s">
        <v>60</v>
      </c>
      <c r="M18" s="523" t="s">
        <v>39</v>
      </c>
      <c r="N18" s="568"/>
      <c r="O18" s="524" t="s">
        <v>60</v>
      </c>
      <c r="P18" s="523" t="s">
        <v>39</v>
      </c>
      <c r="Q18" s="568"/>
      <c r="R18" s="524" t="s">
        <v>60</v>
      </c>
      <c r="S18" s="523" t="s">
        <v>39</v>
      </c>
      <c r="T18" s="568"/>
      <c r="U18" s="524" t="s">
        <v>60</v>
      </c>
      <c r="V18" s="523" t="s">
        <v>39</v>
      </c>
      <c r="W18" s="568"/>
      <c r="X18" s="524" t="s">
        <v>60</v>
      </c>
      <c r="Y18" s="523" t="s">
        <v>39</v>
      </c>
      <c r="Z18" s="568"/>
      <c r="AA18" s="524" t="s">
        <v>60</v>
      </c>
      <c r="AB18" s="523" t="s">
        <v>39</v>
      </c>
      <c r="AC18" s="568"/>
      <c r="AD18" s="524" t="s">
        <v>60</v>
      </c>
      <c r="AE18" s="523" t="s">
        <v>39</v>
      </c>
      <c r="AF18" s="568"/>
      <c r="AG18" s="524" t="s">
        <v>60</v>
      </c>
      <c r="AH18" s="523" t="s">
        <v>39</v>
      </c>
      <c r="AI18" s="568"/>
      <c r="AJ18" s="524" t="s">
        <v>60</v>
      </c>
      <c r="AK18" s="523" t="s">
        <v>39</v>
      </c>
      <c r="AL18" s="568"/>
      <c r="AM18" s="524" t="s">
        <v>60</v>
      </c>
      <c r="AN18" s="523" t="s">
        <v>39</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544" t="s">
        <v>292</v>
      </c>
      <c r="B19" s="541">
        <f>Hipótesis!C49</f>
        <v>1300</v>
      </c>
      <c r="C19" s="540">
        <v>33205</v>
      </c>
      <c r="D19" s="592">
        <f>B19*C19</f>
        <v>43166500</v>
      </c>
      <c r="E19" s="587">
        <f>C19*E17</f>
        <v>664.1</v>
      </c>
      <c r="F19" s="579">
        <f>E19</f>
        <v>664.1</v>
      </c>
      <c r="G19" s="588">
        <f>F19*B19</f>
        <v>863330</v>
      </c>
      <c r="H19" s="591">
        <f>(C19*H17)</f>
        <v>1328.2</v>
      </c>
      <c r="I19" s="579">
        <f>H19 + F19</f>
        <v>1992.3000000000002</v>
      </c>
      <c r="J19" s="588">
        <f>B19*I19</f>
        <v>2589990.0000000005</v>
      </c>
      <c r="K19" s="591">
        <f>C19*K17</f>
        <v>1328.2</v>
      </c>
      <c r="L19" s="579">
        <f>K19+ I19</f>
        <v>3320.5</v>
      </c>
      <c r="M19" s="588">
        <f>B19*L19</f>
        <v>4316650</v>
      </c>
      <c r="N19" s="591">
        <f>C19*N17</f>
        <v>1660.25</v>
      </c>
      <c r="O19" s="579">
        <f>N19+L19</f>
        <v>4980.75</v>
      </c>
      <c r="P19" s="588">
        <f>B19*O19</f>
        <v>6474975</v>
      </c>
      <c r="Q19" s="591">
        <f>C19*Q17</f>
        <v>1992.3</v>
      </c>
      <c r="R19" s="579">
        <f>Q19+O19</f>
        <v>6973.05</v>
      </c>
      <c r="S19" s="588">
        <f>B19*R19</f>
        <v>9064965</v>
      </c>
      <c r="T19" s="591">
        <f>C19*T17</f>
        <v>2656.4</v>
      </c>
      <c r="U19" s="579">
        <f>T19+R19</f>
        <v>9629.4500000000007</v>
      </c>
      <c r="V19" s="588">
        <f>B19*U19</f>
        <v>12518285.000000002</v>
      </c>
      <c r="W19" s="591">
        <f>C19*W17</f>
        <v>3320.5</v>
      </c>
      <c r="X19" s="579">
        <f>W19+U19</f>
        <v>12949.95</v>
      </c>
      <c r="Y19" s="588">
        <f>B19*X19</f>
        <v>16834935</v>
      </c>
      <c r="Z19" s="591">
        <f>C19*Z17</f>
        <v>3652.55</v>
      </c>
      <c r="AA19" s="579">
        <f>Z19+X19</f>
        <v>16602.5</v>
      </c>
      <c r="AB19" s="588">
        <f>B19*AA19</f>
        <v>21583250</v>
      </c>
      <c r="AC19" s="591">
        <f>C19*AC17</f>
        <v>3652.55</v>
      </c>
      <c r="AD19" s="579">
        <f>AC19+AA19</f>
        <v>20255.05</v>
      </c>
      <c r="AE19" s="588">
        <f>B19*AD19</f>
        <v>26331565</v>
      </c>
      <c r="AF19" s="591">
        <f>C19*AF17</f>
        <v>3984.6</v>
      </c>
      <c r="AG19" s="579">
        <f>AF19+AD19</f>
        <v>24239.649999999998</v>
      </c>
      <c r="AH19" s="588">
        <f>B19*AG19</f>
        <v>31511544.999999996</v>
      </c>
      <c r="AI19" s="586">
        <f>C19*AI17</f>
        <v>4316.6500000000005</v>
      </c>
      <c r="AJ19" s="579">
        <f>AI19+AG19</f>
        <v>28556.3</v>
      </c>
      <c r="AK19" s="583">
        <f>B19*AJ19</f>
        <v>37123190</v>
      </c>
      <c r="AL19" s="581">
        <f>C19*AL17</f>
        <v>4648.7000000000007</v>
      </c>
      <c r="AM19" s="579">
        <f>AL19+AJ19</f>
        <v>33205</v>
      </c>
      <c r="AN19" s="541">
        <f>B19*AM19</f>
        <v>43166500</v>
      </c>
    </row>
    <row r="20" spans="1:61" ht="33" customHeight="1" thickBot="1" x14ac:dyDescent="0.3">
      <c r="A20" s="545" t="s">
        <v>290</v>
      </c>
      <c r="B20" s="542">
        <f>Hipótesis!C52</f>
        <v>2500</v>
      </c>
      <c r="C20" s="519">
        <v>16110</v>
      </c>
      <c r="D20" s="594">
        <f t="shared" ref="D20:D21" si="0">B20*C20</f>
        <v>40275000</v>
      </c>
      <c r="E20" s="596">
        <f>C20*E17</f>
        <v>322.2</v>
      </c>
      <c r="F20" s="582">
        <f t="shared" ref="F20:F21" si="1">E20</f>
        <v>322.2</v>
      </c>
      <c r="G20" s="589">
        <f t="shared" ref="G20" si="2">F20*B20</f>
        <v>805500</v>
      </c>
      <c r="H20" s="597">
        <f>(C20*H17)</f>
        <v>644.4</v>
      </c>
      <c r="I20" s="582">
        <f t="shared" ref="I20:I21" si="3">H20 + F20</f>
        <v>966.59999999999991</v>
      </c>
      <c r="J20" s="589">
        <f t="shared" ref="J20" si="4">B20*I20</f>
        <v>2416500</v>
      </c>
      <c r="K20" s="597">
        <f>C20*K17</f>
        <v>644.4</v>
      </c>
      <c r="L20" s="582">
        <f t="shared" ref="L20:L21" si="5">K20+ I20</f>
        <v>1611</v>
      </c>
      <c r="M20" s="589">
        <f t="shared" ref="M20" si="6">B20*L20</f>
        <v>4027500</v>
      </c>
      <c r="N20" s="597">
        <f>C20*N17</f>
        <v>805.5</v>
      </c>
      <c r="O20" s="582">
        <f t="shared" ref="O20:O21" si="7">N20+L20</f>
        <v>2416.5</v>
      </c>
      <c r="P20" s="589">
        <f t="shared" ref="P20" si="8">B20*O20</f>
        <v>6041250</v>
      </c>
      <c r="Q20" s="597">
        <f>C20*Q17</f>
        <v>966.59999999999991</v>
      </c>
      <c r="R20" s="582">
        <f t="shared" ref="R20:R21" si="9">Q20+O20</f>
        <v>3383.1</v>
      </c>
      <c r="S20" s="589">
        <f t="shared" ref="S20" si="10">B20*R20</f>
        <v>8457750</v>
      </c>
      <c r="T20" s="597">
        <f>C20*T17</f>
        <v>1288.8</v>
      </c>
      <c r="U20" s="582">
        <f t="shared" ref="U20:U21" si="11">T20+R20</f>
        <v>4671.8999999999996</v>
      </c>
      <c r="V20" s="589">
        <f t="shared" ref="V20" si="12">B20*U20</f>
        <v>11679750</v>
      </c>
      <c r="W20" s="597">
        <f>C20*W17</f>
        <v>1611</v>
      </c>
      <c r="X20" s="582">
        <f t="shared" ref="X20:X21" si="13">W20+U20</f>
        <v>6282.9</v>
      </c>
      <c r="Y20" s="589">
        <f t="shared" ref="Y20" si="14">B20*X20</f>
        <v>15707250</v>
      </c>
      <c r="Z20" s="597">
        <f>C20*Z17</f>
        <v>1772.1</v>
      </c>
      <c r="AA20" s="582">
        <f t="shared" ref="AA20:AA21" si="15">Z20+X20</f>
        <v>8055</v>
      </c>
      <c r="AB20" s="589">
        <f t="shared" ref="AB20" si="16">B20*AA20</f>
        <v>20137500</v>
      </c>
      <c r="AC20" s="597">
        <f>C20*AC17</f>
        <v>1772.1</v>
      </c>
      <c r="AD20" s="582">
        <f t="shared" ref="AD20:AD21" si="17">AC20+AA20</f>
        <v>9827.1</v>
      </c>
      <c r="AE20" s="589">
        <f t="shared" ref="AE20" si="18">B20*AD20</f>
        <v>24567750</v>
      </c>
      <c r="AF20" s="597">
        <f>C20*AF17</f>
        <v>1933.1999999999998</v>
      </c>
      <c r="AG20" s="582">
        <f t="shared" ref="AG20:AG21" si="19">AF20+AD20</f>
        <v>11760.3</v>
      </c>
      <c r="AH20" s="589">
        <f t="shared" ref="AH20" si="20">B20*AG20</f>
        <v>29400750</v>
      </c>
      <c r="AI20" s="598">
        <f>C20*AI17</f>
        <v>2094.3000000000002</v>
      </c>
      <c r="AJ20" s="582">
        <f t="shared" ref="AJ20:AJ21" si="21">AI20+AG20</f>
        <v>13854.599999999999</v>
      </c>
      <c r="AK20" s="584">
        <f t="shared" ref="AK20" si="22">B20*AJ20</f>
        <v>34636500</v>
      </c>
      <c r="AL20" s="599">
        <f>C20*AL17</f>
        <v>2255.4</v>
      </c>
      <c r="AM20" s="582">
        <f t="shared" ref="AM20:AM21" si="23">AL20+AJ20</f>
        <v>16109.999999999998</v>
      </c>
      <c r="AN20" s="542">
        <f t="shared" ref="AN20" si="24">B20*AM20</f>
        <v>40274999.999999993</v>
      </c>
    </row>
    <row r="21" spans="1:61" ht="33" customHeight="1" thickBot="1" x14ac:dyDescent="0.3">
      <c r="A21" s="546" t="s">
        <v>291</v>
      </c>
      <c r="B21" s="543">
        <f>Hipótesis!C55</f>
        <v>4000</v>
      </c>
      <c r="C21" s="520">
        <v>11415</v>
      </c>
      <c r="D21" s="595">
        <f t="shared" si="0"/>
        <v>45660000</v>
      </c>
      <c r="E21" s="600">
        <f>C21*E17</f>
        <v>228.3</v>
      </c>
      <c r="F21" s="601">
        <f t="shared" si="1"/>
        <v>228.3</v>
      </c>
      <c r="G21" s="590">
        <f t="shared" ref="G21" si="25">F21*B21</f>
        <v>913200</v>
      </c>
      <c r="H21" s="602">
        <f>(C21*H17)</f>
        <v>456.6</v>
      </c>
      <c r="I21" s="601">
        <f t="shared" si="3"/>
        <v>684.90000000000009</v>
      </c>
      <c r="J21" s="590">
        <f t="shared" ref="J21" si="26">B21*I21</f>
        <v>2739600.0000000005</v>
      </c>
      <c r="K21" s="602">
        <f>C21*K17</f>
        <v>456.6</v>
      </c>
      <c r="L21" s="601">
        <f t="shared" si="5"/>
        <v>1141.5</v>
      </c>
      <c r="M21" s="590">
        <f t="shared" ref="M21" si="27">B21*L21</f>
        <v>4566000</v>
      </c>
      <c r="N21" s="602">
        <f>C21*N17</f>
        <v>570.75</v>
      </c>
      <c r="O21" s="601">
        <f t="shared" si="7"/>
        <v>1712.25</v>
      </c>
      <c r="P21" s="590">
        <f t="shared" ref="P21" si="28">B21*O21</f>
        <v>6849000</v>
      </c>
      <c r="Q21" s="602">
        <f>C21*Q17</f>
        <v>684.9</v>
      </c>
      <c r="R21" s="601">
        <f t="shared" si="9"/>
        <v>2397.15</v>
      </c>
      <c r="S21" s="590">
        <f t="shared" ref="S21" si="29">B21*R21</f>
        <v>9588600</v>
      </c>
      <c r="T21" s="602">
        <f>C21*T17</f>
        <v>913.2</v>
      </c>
      <c r="U21" s="601">
        <f t="shared" si="11"/>
        <v>3310.3500000000004</v>
      </c>
      <c r="V21" s="590">
        <f t="shared" ref="V21" si="30">B21*U21</f>
        <v>13241400.000000002</v>
      </c>
      <c r="W21" s="602">
        <f>C21*W17</f>
        <v>1141.5</v>
      </c>
      <c r="X21" s="601">
        <f t="shared" si="13"/>
        <v>4451.8500000000004</v>
      </c>
      <c r="Y21" s="590">
        <f t="shared" ref="Y21" si="31">B21*X21</f>
        <v>17807400</v>
      </c>
      <c r="Z21" s="602">
        <f>C21*Z17</f>
        <v>1255.6500000000001</v>
      </c>
      <c r="AA21" s="601">
        <f t="shared" si="15"/>
        <v>5707.5</v>
      </c>
      <c r="AB21" s="590">
        <f t="shared" ref="AB21" si="32">B21*AA21</f>
        <v>22830000</v>
      </c>
      <c r="AC21" s="602">
        <f>C21*AC17</f>
        <v>1255.6500000000001</v>
      </c>
      <c r="AD21" s="601">
        <f t="shared" si="17"/>
        <v>6963.15</v>
      </c>
      <c r="AE21" s="590">
        <f t="shared" ref="AE21" si="33">B21*AD21</f>
        <v>27852600</v>
      </c>
      <c r="AF21" s="602">
        <f>C21*AF17</f>
        <v>1369.8</v>
      </c>
      <c r="AG21" s="601">
        <f t="shared" si="19"/>
        <v>8332.9499999999989</v>
      </c>
      <c r="AH21" s="590">
        <f t="shared" ref="AH21" si="34">B21*AG21</f>
        <v>33331799.999999996</v>
      </c>
      <c r="AI21" s="603">
        <f>C21*AI17</f>
        <v>1483.95</v>
      </c>
      <c r="AJ21" s="601">
        <f t="shared" si="21"/>
        <v>9816.9</v>
      </c>
      <c r="AK21" s="585">
        <f t="shared" ref="AK21" si="35">B21*AJ21</f>
        <v>39267600</v>
      </c>
      <c r="AL21" s="604">
        <f>C21*AL17</f>
        <v>1598.1000000000001</v>
      </c>
      <c r="AM21" s="601">
        <f t="shared" si="23"/>
        <v>11415</v>
      </c>
      <c r="AN21" s="580">
        <f t="shared" ref="AN21" si="36">B21*AM21</f>
        <v>45660000</v>
      </c>
    </row>
    <row r="22" spans="1:61" ht="16.5" thickBot="1" x14ac:dyDescent="0.3">
      <c r="A22" s="658" t="s">
        <v>70</v>
      </c>
      <c r="B22" s="659"/>
      <c r="C22" s="526">
        <f>SUM(C19:C21)</f>
        <v>60730</v>
      </c>
      <c r="D22" s="525">
        <f>SUM(D19:D21)</f>
        <v>129101500</v>
      </c>
      <c r="E22" s="605"/>
      <c r="F22" s="577"/>
      <c r="G22" s="578">
        <f>SUM(G19:G21)</f>
        <v>2582030</v>
      </c>
      <c r="H22" s="606"/>
      <c r="I22" s="577"/>
      <c r="J22" s="578">
        <f>SUM(J19:J21)</f>
        <v>7746090</v>
      </c>
      <c r="K22" s="606"/>
      <c r="L22" s="577"/>
      <c r="M22" s="578">
        <f>SUM(M19:M21)</f>
        <v>12910150</v>
      </c>
      <c r="N22" s="606"/>
      <c r="O22" s="577"/>
      <c r="P22" s="578">
        <f>SUM(P19:P21)</f>
        <v>19365225</v>
      </c>
      <c r="Q22" s="606"/>
      <c r="R22" s="577"/>
      <c r="S22" s="578">
        <f>SUM(S19:S21)</f>
        <v>27111315</v>
      </c>
      <c r="T22" s="606"/>
      <c r="U22" s="577"/>
      <c r="V22" s="578">
        <f>SUM(V19:V21)</f>
        <v>37439435</v>
      </c>
      <c r="W22" s="606"/>
      <c r="X22" s="577"/>
      <c r="Y22" s="578">
        <f>SUM(Y19:Y21)</f>
        <v>50349585</v>
      </c>
      <c r="Z22" s="606"/>
      <c r="AA22" s="577"/>
      <c r="AB22" s="578">
        <f>SUM(AB19:AB21)</f>
        <v>64550750</v>
      </c>
      <c r="AC22" s="606"/>
      <c r="AD22" s="577"/>
      <c r="AE22" s="578">
        <f>SUM(AE19:AE21)</f>
        <v>78751915</v>
      </c>
      <c r="AF22" s="606"/>
      <c r="AG22" s="577"/>
      <c r="AH22" s="578">
        <f>SUM(AH19:AH21)</f>
        <v>94244095</v>
      </c>
      <c r="AI22" s="606"/>
      <c r="AJ22" s="577"/>
      <c r="AK22" s="578">
        <f>SUM(AK19:AK21)</f>
        <v>111027290</v>
      </c>
      <c r="AL22" s="606"/>
      <c r="AM22" s="577"/>
      <c r="AN22" s="578">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527"/>
      <c r="B25" s="528"/>
      <c r="C25" s="529"/>
      <c r="D25" s="529"/>
      <c r="E25" s="529"/>
      <c r="F25" s="529"/>
      <c r="G25" s="529"/>
      <c r="H25" s="529"/>
      <c r="I25" s="529"/>
      <c r="J25" s="529"/>
      <c r="K25" s="529"/>
      <c r="L25" s="529"/>
      <c r="M25" s="529"/>
      <c r="N25" s="529"/>
      <c r="O25" s="529"/>
      <c r="P25" s="529"/>
      <c r="Q25" s="529"/>
      <c r="R25" s="529"/>
      <c r="S25" s="529"/>
      <c r="T25" s="529"/>
      <c r="U25" s="529"/>
      <c r="V25" s="529"/>
      <c r="W25" s="529"/>
      <c r="X25" s="529"/>
      <c r="Y25" s="529"/>
      <c r="Z25" s="529"/>
      <c r="AA25" s="529"/>
      <c r="AB25" s="529"/>
      <c r="AC25" s="529"/>
      <c r="AD25" s="529"/>
      <c r="AE25" s="529"/>
      <c r="AF25" s="529"/>
      <c r="AG25" s="529"/>
      <c r="AH25" s="529"/>
      <c r="AI25" s="529"/>
      <c r="AJ25" s="529"/>
      <c r="AK25" s="529"/>
      <c r="AL25" s="529"/>
      <c r="AM25" s="529"/>
      <c r="AN25" s="529"/>
    </row>
    <row r="26" spans="1:61" ht="16.5" customHeight="1" x14ac:dyDescent="0.35">
      <c r="A26" s="530"/>
      <c r="B26" s="530"/>
      <c r="C26" s="530"/>
      <c r="D26" s="530"/>
      <c r="E26" s="530"/>
      <c r="F26" s="531"/>
      <c r="G26" s="531"/>
      <c r="H26" s="531"/>
      <c r="I26" s="531"/>
      <c r="J26" s="531"/>
      <c r="K26" s="531"/>
      <c r="L26" s="531"/>
      <c r="M26" s="531"/>
      <c r="N26" s="531"/>
      <c r="O26" s="531"/>
      <c r="P26" s="531"/>
      <c r="Q26" s="531"/>
      <c r="R26" s="531"/>
      <c r="S26" s="531"/>
      <c r="T26" s="531"/>
      <c r="U26" s="531"/>
      <c r="V26" s="531"/>
      <c r="W26" s="531"/>
      <c r="X26" s="531"/>
      <c r="Y26" s="531"/>
      <c r="Z26" s="531"/>
      <c r="AA26" s="531"/>
      <c r="AB26" s="531"/>
      <c r="AC26" s="531"/>
      <c r="AD26" s="531"/>
      <c r="AE26" s="531"/>
      <c r="AF26" s="531"/>
      <c r="AG26" s="531"/>
      <c r="AH26" s="531"/>
      <c r="AI26" s="531"/>
      <c r="AJ26" s="531"/>
      <c r="AK26" s="531"/>
      <c r="AL26" s="531"/>
      <c r="AM26" s="531"/>
      <c r="AN26" s="531"/>
    </row>
    <row r="27" spans="1:61" ht="15.75" customHeight="1" x14ac:dyDescent="0.25">
      <c r="A27" s="530"/>
      <c r="B27" s="530"/>
      <c r="C27" s="532"/>
      <c r="D27" s="532"/>
      <c r="E27" s="532"/>
      <c r="F27" s="533"/>
      <c r="G27" s="533"/>
      <c r="H27" s="533"/>
      <c r="I27" s="533"/>
      <c r="J27" s="533"/>
      <c r="K27" s="533"/>
      <c r="L27" s="533"/>
      <c r="M27" s="533"/>
      <c r="N27" s="533"/>
      <c r="O27" s="533"/>
      <c r="P27" s="533"/>
      <c r="Q27" s="533"/>
      <c r="R27" s="533"/>
      <c r="S27" s="533"/>
      <c r="T27" s="533"/>
      <c r="U27" s="533"/>
      <c r="V27" s="533"/>
      <c r="W27" s="533"/>
      <c r="X27" s="533"/>
      <c r="Y27" s="533"/>
      <c r="Z27" s="533"/>
      <c r="AA27" s="533"/>
      <c r="AB27" s="533"/>
      <c r="AC27" s="533"/>
      <c r="AD27" s="533"/>
      <c r="AE27" s="533"/>
      <c r="AF27" s="533"/>
      <c r="AG27" s="533"/>
      <c r="AH27" s="533"/>
      <c r="AI27" s="533"/>
      <c r="AJ27" s="533"/>
      <c r="AK27" s="533"/>
      <c r="AL27" s="533"/>
      <c r="AM27" s="533"/>
      <c r="AN27" s="533"/>
    </row>
    <row r="28" spans="1:61" ht="15" customHeight="1" x14ac:dyDescent="0.25">
      <c r="A28" s="534"/>
      <c r="B28" s="534"/>
      <c r="C28" s="535"/>
      <c r="D28" s="536"/>
      <c r="E28" s="536"/>
      <c r="F28" s="537"/>
      <c r="G28" s="537"/>
      <c r="H28" s="537"/>
      <c r="I28" s="537"/>
      <c r="J28" s="537"/>
      <c r="K28" s="537"/>
      <c r="L28" s="537"/>
      <c r="M28" s="537"/>
      <c r="N28" s="537"/>
      <c r="O28" s="537"/>
      <c r="P28" s="537"/>
      <c r="Q28" s="537"/>
      <c r="R28" s="537"/>
      <c r="S28" s="537"/>
      <c r="T28" s="537"/>
      <c r="U28" s="537"/>
      <c r="V28" s="537"/>
      <c r="W28" s="537"/>
      <c r="X28" s="537"/>
      <c r="Y28" s="537"/>
      <c r="Z28" s="537"/>
      <c r="AA28" s="537"/>
      <c r="AB28" s="537"/>
      <c r="AC28" s="537"/>
      <c r="AD28" s="537"/>
      <c r="AE28" s="537"/>
      <c r="AF28" s="537"/>
      <c r="AG28" s="537"/>
      <c r="AH28" s="537"/>
      <c r="AI28" s="537"/>
      <c r="AJ28" s="537"/>
      <c r="AK28" s="537"/>
      <c r="AL28" s="537"/>
      <c r="AM28" s="537"/>
      <c r="AN28" s="537"/>
    </row>
    <row r="29" spans="1:61" ht="15" customHeight="1" x14ac:dyDescent="0.25">
      <c r="A29" s="534"/>
      <c r="B29" s="534"/>
      <c r="C29" s="535"/>
      <c r="D29" s="538"/>
      <c r="E29" s="538"/>
      <c r="F29" s="537"/>
      <c r="G29" s="537"/>
      <c r="H29" s="537"/>
      <c r="I29" s="537"/>
      <c r="J29" s="537"/>
      <c r="K29" s="537"/>
      <c r="L29" s="537"/>
      <c r="M29" s="537"/>
      <c r="N29" s="537"/>
      <c r="O29" s="537"/>
      <c r="P29" s="537"/>
      <c r="Q29" s="537"/>
      <c r="R29" s="537"/>
      <c r="S29" s="537"/>
      <c r="T29" s="537"/>
      <c r="U29" s="537"/>
      <c r="V29" s="537"/>
      <c r="W29" s="537"/>
      <c r="X29" s="537"/>
      <c r="Y29" s="537"/>
      <c r="Z29" s="537"/>
      <c r="AA29" s="537"/>
      <c r="AB29" s="537"/>
      <c r="AC29" s="537"/>
      <c r="AD29" s="537"/>
      <c r="AE29" s="537"/>
      <c r="AF29" s="537"/>
      <c r="AG29" s="537"/>
      <c r="AH29" s="537"/>
      <c r="AI29" s="537"/>
      <c r="AJ29" s="537"/>
      <c r="AK29" s="537"/>
      <c r="AL29" s="537"/>
      <c r="AM29" s="537"/>
      <c r="AN29" s="537"/>
    </row>
    <row r="30" spans="1:61" ht="15" customHeight="1" x14ac:dyDescent="0.25">
      <c r="A30" s="534"/>
      <c r="B30" s="534"/>
      <c r="C30" s="535"/>
      <c r="D30" s="538"/>
      <c r="E30" s="538"/>
      <c r="F30" s="537"/>
      <c r="G30" s="537"/>
      <c r="H30" s="537"/>
      <c r="I30" s="537"/>
      <c r="J30" s="537"/>
      <c r="K30" s="537"/>
      <c r="L30" s="537"/>
      <c r="M30" s="537"/>
      <c r="N30" s="537"/>
      <c r="O30" s="537"/>
      <c r="P30" s="537"/>
      <c r="Q30" s="537"/>
      <c r="R30" s="537"/>
      <c r="S30" s="537"/>
      <c r="T30" s="537"/>
      <c r="U30" s="537"/>
      <c r="V30" s="537"/>
      <c r="W30" s="537"/>
      <c r="X30" s="537"/>
      <c r="Y30" s="537"/>
      <c r="Z30" s="537"/>
      <c r="AA30" s="537"/>
      <c r="AB30" s="537"/>
      <c r="AC30" s="537"/>
      <c r="AD30" s="537"/>
      <c r="AE30" s="537"/>
      <c r="AF30" s="537"/>
      <c r="AG30" s="537"/>
      <c r="AH30" s="537"/>
      <c r="AI30" s="537"/>
      <c r="AJ30" s="537"/>
      <c r="AK30" s="537"/>
      <c r="AL30" s="537"/>
      <c r="AM30" s="537"/>
      <c r="AN30" s="537"/>
    </row>
    <row r="31" spans="1:61" ht="15" customHeight="1" x14ac:dyDescent="0.25">
      <c r="A31" s="534"/>
      <c r="B31" s="534"/>
      <c r="C31" s="535"/>
      <c r="D31" s="538"/>
      <c r="E31" s="538"/>
      <c r="F31" s="537"/>
      <c r="G31" s="537"/>
      <c r="H31" s="537"/>
      <c r="I31" s="537"/>
      <c r="J31" s="537"/>
      <c r="K31" s="537"/>
      <c r="L31" s="537"/>
      <c r="M31" s="537"/>
      <c r="N31" s="537"/>
      <c r="O31" s="537"/>
      <c r="P31" s="537"/>
      <c r="Q31" s="537"/>
      <c r="R31" s="537"/>
      <c r="S31" s="537"/>
      <c r="T31" s="537"/>
      <c r="U31" s="537"/>
      <c r="V31" s="537"/>
      <c r="W31" s="537"/>
      <c r="X31" s="537"/>
      <c r="Y31" s="537"/>
      <c r="Z31" s="537"/>
      <c r="AA31" s="537"/>
      <c r="AB31" s="537"/>
      <c r="AC31" s="537"/>
      <c r="AD31" s="537"/>
      <c r="AE31" s="537"/>
      <c r="AF31" s="537"/>
      <c r="AG31" s="537"/>
      <c r="AH31" s="537"/>
      <c r="AI31" s="537"/>
      <c r="AJ31" s="537"/>
      <c r="AK31" s="537"/>
      <c r="AL31" s="537"/>
      <c r="AM31" s="537"/>
      <c r="AN31" s="537"/>
    </row>
    <row r="32" spans="1:61" ht="15" customHeight="1" x14ac:dyDescent="0.25">
      <c r="A32" s="534"/>
      <c r="B32" s="534"/>
      <c r="C32" s="535"/>
      <c r="D32" s="538"/>
      <c r="E32" s="538"/>
      <c r="F32" s="537"/>
      <c r="G32" s="537"/>
      <c r="H32" s="537"/>
      <c r="I32" s="537"/>
      <c r="J32" s="537"/>
      <c r="K32" s="537"/>
      <c r="L32" s="537"/>
      <c r="M32" s="537"/>
      <c r="N32" s="537"/>
      <c r="O32" s="537"/>
      <c r="P32" s="537"/>
      <c r="Q32" s="537"/>
      <c r="R32" s="537"/>
      <c r="S32" s="537"/>
      <c r="T32" s="537"/>
      <c r="U32" s="537"/>
      <c r="V32" s="537"/>
      <c r="W32" s="537"/>
      <c r="X32" s="537"/>
      <c r="Y32" s="537"/>
      <c r="Z32" s="537"/>
      <c r="AA32" s="537"/>
      <c r="AB32" s="537"/>
      <c r="AC32" s="537"/>
      <c r="AD32" s="537"/>
      <c r="AE32" s="537"/>
      <c r="AF32" s="537"/>
      <c r="AG32" s="537"/>
      <c r="AH32" s="537"/>
      <c r="AI32" s="537"/>
      <c r="AJ32" s="537"/>
      <c r="AK32" s="537"/>
      <c r="AL32" s="537"/>
      <c r="AM32" s="537"/>
      <c r="AN32" s="537"/>
    </row>
    <row r="33" spans="1:40" ht="15" customHeight="1" x14ac:dyDescent="0.25">
      <c r="A33" s="534"/>
      <c r="B33" s="534"/>
      <c r="C33" s="535"/>
      <c r="D33" s="538"/>
      <c r="E33" s="538"/>
      <c r="F33" s="537"/>
      <c r="G33" s="537"/>
      <c r="H33" s="537"/>
      <c r="I33" s="537"/>
      <c r="J33" s="537"/>
      <c r="K33" s="537"/>
      <c r="L33" s="537"/>
      <c r="M33" s="537"/>
      <c r="N33" s="537"/>
      <c r="O33" s="537"/>
      <c r="P33" s="537"/>
      <c r="Q33" s="537"/>
      <c r="R33" s="537"/>
      <c r="S33" s="537"/>
      <c r="T33" s="537"/>
      <c r="U33" s="537"/>
      <c r="V33" s="537"/>
      <c r="W33" s="537"/>
      <c r="X33" s="537"/>
      <c r="Y33" s="537"/>
      <c r="Z33" s="537"/>
      <c r="AA33" s="537"/>
      <c r="AB33" s="537"/>
      <c r="AC33" s="537"/>
      <c r="AD33" s="537"/>
      <c r="AE33" s="537"/>
      <c r="AF33" s="537"/>
      <c r="AG33" s="537"/>
      <c r="AH33" s="537"/>
      <c r="AI33" s="537"/>
      <c r="AJ33" s="537"/>
      <c r="AK33" s="537"/>
      <c r="AL33" s="537"/>
      <c r="AM33" s="537"/>
      <c r="AN33" s="537"/>
    </row>
    <row r="34" spans="1:40" ht="15" customHeight="1" x14ac:dyDescent="0.25">
      <c r="A34" s="534"/>
      <c r="B34" s="534"/>
      <c r="C34" s="535"/>
      <c r="D34" s="538"/>
      <c r="E34" s="538"/>
      <c r="F34" s="537"/>
      <c r="G34" s="537"/>
      <c r="H34" s="537"/>
      <c r="I34" s="537"/>
      <c r="J34" s="537"/>
      <c r="K34" s="537"/>
      <c r="L34" s="537"/>
      <c r="M34" s="537"/>
      <c r="N34" s="537"/>
      <c r="O34" s="537"/>
      <c r="P34" s="537"/>
      <c r="Q34" s="537"/>
      <c r="R34" s="537"/>
      <c r="S34" s="537"/>
      <c r="T34" s="537"/>
      <c r="U34" s="537"/>
      <c r="V34" s="537"/>
      <c r="W34" s="537"/>
      <c r="X34" s="537"/>
      <c r="Y34" s="537"/>
      <c r="Z34" s="537"/>
      <c r="AA34" s="537"/>
      <c r="AB34" s="537"/>
      <c r="AC34" s="537"/>
      <c r="AD34" s="537"/>
      <c r="AE34" s="537"/>
      <c r="AF34" s="537"/>
      <c r="AG34" s="537"/>
      <c r="AH34" s="537"/>
      <c r="AI34" s="537"/>
      <c r="AJ34" s="537"/>
      <c r="AK34" s="537"/>
      <c r="AL34" s="537"/>
      <c r="AM34" s="537"/>
      <c r="AN34" s="537"/>
    </row>
    <row r="35" spans="1:40" ht="15" customHeight="1" x14ac:dyDescent="0.25">
      <c r="A35" s="534"/>
      <c r="B35" s="534"/>
      <c r="C35" s="535"/>
      <c r="D35" s="538"/>
      <c r="E35" s="538"/>
      <c r="F35" s="537"/>
      <c r="G35" s="537"/>
      <c r="H35" s="537"/>
      <c r="I35" s="537"/>
      <c r="J35" s="537"/>
      <c r="K35" s="537"/>
      <c r="L35" s="537"/>
      <c r="M35" s="537"/>
      <c r="N35" s="537"/>
      <c r="O35" s="537"/>
      <c r="P35" s="537"/>
      <c r="Q35" s="537"/>
      <c r="R35" s="537"/>
      <c r="S35" s="537"/>
      <c r="T35" s="537"/>
      <c r="U35" s="537"/>
      <c r="V35" s="537"/>
      <c r="W35" s="537"/>
      <c r="X35" s="537"/>
      <c r="Y35" s="537"/>
      <c r="Z35" s="537"/>
      <c r="AA35" s="537"/>
      <c r="AB35" s="537"/>
      <c r="AC35" s="537"/>
      <c r="AD35" s="537"/>
      <c r="AE35" s="537"/>
      <c r="AF35" s="537"/>
      <c r="AG35" s="537"/>
      <c r="AH35" s="537"/>
      <c r="AI35" s="537"/>
      <c r="AJ35" s="537"/>
      <c r="AK35" s="537"/>
      <c r="AL35" s="537"/>
      <c r="AM35" s="537"/>
      <c r="AN35" s="537"/>
    </row>
    <row r="36" spans="1:40" ht="15" customHeight="1" x14ac:dyDescent="0.25">
      <c r="A36" s="534"/>
      <c r="B36" s="534"/>
      <c r="C36" s="535"/>
      <c r="D36" s="538"/>
      <c r="E36" s="538"/>
      <c r="F36" s="537"/>
      <c r="G36" s="537"/>
      <c r="H36" s="537"/>
      <c r="I36" s="537"/>
      <c r="J36" s="537"/>
      <c r="K36" s="537"/>
      <c r="L36" s="537"/>
      <c r="M36" s="537"/>
      <c r="N36" s="537"/>
      <c r="O36" s="537"/>
      <c r="P36" s="537"/>
      <c r="Q36" s="537"/>
      <c r="R36" s="537"/>
      <c r="S36" s="537"/>
      <c r="T36" s="537"/>
      <c r="U36" s="537"/>
      <c r="V36" s="537"/>
      <c r="W36" s="537"/>
      <c r="X36" s="537"/>
      <c r="Y36" s="537"/>
      <c r="Z36" s="537"/>
      <c r="AA36" s="537"/>
      <c r="AB36" s="537"/>
      <c r="AC36" s="537"/>
      <c r="AD36" s="537"/>
      <c r="AE36" s="537"/>
      <c r="AF36" s="537"/>
      <c r="AG36" s="537"/>
      <c r="AH36" s="537"/>
      <c r="AI36" s="537"/>
      <c r="AJ36" s="537"/>
      <c r="AK36" s="537"/>
      <c r="AL36" s="537"/>
      <c r="AM36" s="537"/>
      <c r="AN36" s="537"/>
    </row>
    <row r="37" spans="1:40" ht="15" customHeight="1" x14ac:dyDescent="0.25">
      <c r="A37" s="534"/>
      <c r="B37" s="534"/>
      <c r="C37" s="535"/>
      <c r="D37" s="538"/>
      <c r="E37" s="538"/>
      <c r="F37" s="537"/>
      <c r="G37" s="537"/>
      <c r="H37" s="537"/>
      <c r="I37" s="537"/>
      <c r="J37" s="537"/>
      <c r="K37" s="537"/>
      <c r="L37" s="537"/>
      <c r="M37" s="537"/>
      <c r="N37" s="537"/>
      <c r="O37" s="537"/>
      <c r="P37" s="537"/>
      <c r="Q37" s="537"/>
      <c r="R37" s="537"/>
      <c r="S37" s="537"/>
      <c r="T37" s="537"/>
      <c r="U37" s="537"/>
      <c r="V37" s="537"/>
      <c r="W37" s="537"/>
      <c r="X37" s="537"/>
      <c r="Y37" s="537"/>
      <c r="Z37" s="537"/>
      <c r="AA37" s="537"/>
      <c r="AB37" s="537"/>
      <c r="AC37" s="537"/>
      <c r="AD37" s="537"/>
      <c r="AE37" s="537"/>
      <c r="AF37" s="537"/>
      <c r="AG37" s="537"/>
      <c r="AH37" s="537"/>
      <c r="AI37" s="537"/>
      <c r="AJ37" s="537"/>
      <c r="AK37" s="537"/>
      <c r="AL37" s="537"/>
      <c r="AM37" s="537"/>
      <c r="AN37" s="537"/>
    </row>
    <row r="38" spans="1:40" ht="15" customHeight="1" x14ac:dyDescent="0.25">
      <c r="A38" s="534"/>
      <c r="B38" s="534"/>
      <c r="C38" s="535"/>
      <c r="D38" s="538"/>
      <c r="E38" s="538"/>
      <c r="F38" s="537"/>
      <c r="G38" s="537"/>
      <c r="H38" s="537"/>
      <c r="I38" s="537"/>
      <c r="J38" s="537"/>
      <c r="K38" s="537"/>
      <c r="L38" s="537"/>
      <c r="M38" s="537"/>
      <c r="N38" s="537"/>
      <c r="O38" s="537"/>
      <c r="P38" s="537"/>
      <c r="Q38" s="537"/>
      <c r="R38" s="537"/>
      <c r="S38" s="537"/>
      <c r="T38" s="537"/>
      <c r="U38" s="537"/>
      <c r="V38" s="537"/>
      <c r="W38" s="537"/>
      <c r="X38" s="537"/>
      <c r="Y38" s="537"/>
      <c r="Z38" s="537"/>
      <c r="AA38" s="537"/>
      <c r="AB38" s="537"/>
      <c r="AC38" s="537"/>
      <c r="AD38" s="537"/>
      <c r="AE38" s="537"/>
      <c r="AF38" s="537"/>
      <c r="AG38" s="537"/>
      <c r="AH38" s="537"/>
      <c r="AI38" s="537"/>
      <c r="AJ38" s="537"/>
      <c r="AK38" s="537"/>
      <c r="AL38" s="537"/>
      <c r="AM38" s="537"/>
      <c r="AN38" s="537"/>
    </row>
    <row r="39" spans="1:40" ht="15" customHeight="1" x14ac:dyDescent="0.25">
      <c r="A39" s="534"/>
      <c r="B39" s="534"/>
      <c r="C39" s="535"/>
      <c r="D39" s="538"/>
      <c r="E39" s="538"/>
      <c r="F39" s="537"/>
      <c r="G39" s="537"/>
      <c r="H39" s="537"/>
      <c r="I39" s="537"/>
      <c r="J39" s="537"/>
      <c r="K39" s="537"/>
      <c r="L39" s="537"/>
      <c r="M39" s="537"/>
      <c r="N39" s="537"/>
      <c r="O39" s="537"/>
      <c r="P39" s="537"/>
      <c r="Q39" s="537"/>
      <c r="R39" s="537"/>
      <c r="S39" s="537"/>
      <c r="T39" s="537"/>
      <c r="U39" s="537"/>
      <c r="V39" s="537"/>
      <c r="W39" s="537"/>
      <c r="X39" s="537"/>
      <c r="Y39" s="537"/>
      <c r="Z39" s="537"/>
      <c r="AA39" s="537"/>
      <c r="AB39" s="537"/>
      <c r="AC39" s="537"/>
      <c r="AD39" s="537"/>
      <c r="AE39" s="537"/>
      <c r="AF39" s="537"/>
      <c r="AG39" s="537"/>
      <c r="AH39" s="537"/>
      <c r="AI39" s="537"/>
      <c r="AJ39" s="533"/>
      <c r="AK39" s="533"/>
      <c r="AL39" s="533"/>
      <c r="AM39" s="537"/>
      <c r="AN39" s="537"/>
    </row>
    <row r="40" spans="1:40" ht="15" customHeight="1" x14ac:dyDescent="0.25">
      <c r="A40" s="534"/>
      <c r="B40" s="534"/>
      <c r="C40" s="535"/>
      <c r="D40" s="538"/>
      <c r="E40" s="538"/>
      <c r="F40" s="537"/>
      <c r="G40" s="537"/>
      <c r="H40" s="537"/>
      <c r="I40" s="537"/>
      <c r="J40" s="537"/>
      <c r="K40" s="537"/>
      <c r="L40" s="537"/>
      <c r="M40" s="537"/>
      <c r="N40" s="537"/>
      <c r="O40" s="537"/>
      <c r="P40" s="537"/>
      <c r="Q40" s="537"/>
      <c r="R40" s="537"/>
      <c r="S40" s="537"/>
      <c r="T40" s="537"/>
      <c r="U40" s="537"/>
      <c r="V40" s="537"/>
      <c r="W40" s="537"/>
      <c r="X40" s="537"/>
      <c r="Y40" s="537"/>
      <c r="Z40" s="537"/>
      <c r="AA40" s="537"/>
      <c r="AB40" s="537"/>
      <c r="AC40" s="537"/>
      <c r="AD40" s="537"/>
      <c r="AE40" s="537"/>
      <c r="AF40" s="537"/>
      <c r="AG40" s="537"/>
      <c r="AH40" s="537"/>
      <c r="AI40" s="537"/>
      <c r="AJ40" s="537"/>
      <c r="AK40" s="537"/>
      <c r="AL40" s="537"/>
      <c r="AM40" s="537"/>
      <c r="AN40" s="537"/>
    </row>
    <row r="41" spans="1:40" ht="15" customHeight="1" x14ac:dyDescent="0.25"/>
    <row r="42" spans="1:40" ht="15" customHeight="1" x14ac:dyDescent="0.25">
      <c r="A42" s="534"/>
      <c r="B42" s="534"/>
      <c r="C42" s="535"/>
      <c r="D42" s="538"/>
      <c r="E42" s="538"/>
      <c r="F42" s="537"/>
      <c r="G42" s="537"/>
      <c r="H42" s="537"/>
      <c r="I42" s="537"/>
      <c r="J42" s="537"/>
      <c r="K42" s="537"/>
      <c r="L42" s="537"/>
      <c r="M42" s="537"/>
      <c r="N42" s="537"/>
      <c r="O42" s="537"/>
      <c r="P42" s="537"/>
      <c r="Q42" s="537"/>
      <c r="R42" s="537"/>
      <c r="S42" s="537"/>
      <c r="T42" s="537"/>
      <c r="U42" s="537"/>
      <c r="V42" s="537"/>
      <c r="W42" s="537"/>
      <c r="X42" s="537"/>
      <c r="Y42" s="537"/>
      <c r="Z42" s="537"/>
      <c r="AA42" s="537"/>
      <c r="AB42" s="537"/>
      <c r="AC42" s="537"/>
      <c r="AD42" s="537"/>
      <c r="AE42" s="537"/>
      <c r="AF42" s="537"/>
      <c r="AG42" s="537"/>
      <c r="AH42" s="537"/>
      <c r="AI42" s="537"/>
      <c r="AJ42" s="537"/>
      <c r="AK42" s="537"/>
      <c r="AL42" s="537"/>
      <c r="AM42" s="537"/>
      <c r="AN42" s="537"/>
    </row>
    <row r="43" spans="1:40" ht="30" customHeight="1" x14ac:dyDescent="0.25"/>
    <row r="44" spans="1:40" ht="15" customHeight="1" x14ac:dyDescent="0.25">
      <c r="A44" s="534"/>
      <c r="B44" s="534"/>
      <c r="C44" s="535"/>
      <c r="D44" s="538"/>
      <c r="E44" s="538"/>
      <c r="F44" s="537"/>
      <c r="G44" s="537"/>
      <c r="H44" s="537"/>
      <c r="I44" s="537"/>
      <c r="J44" s="537"/>
      <c r="K44" s="537"/>
      <c r="L44" s="537"/>
      <c r="M44" s="537"/>
      <c r="N44" s="537"/>
      <c r="O44" s="537"/>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row>
    <row r="45" spans="1:40" ht="29.25" customHeight="1" x14ac:dyDescent="0.25">
      <c r="A45" s="534"/>
      <c r="B45" s="534"/>
      <c r="C45" s="535"/>
      <c r="D45" s="538"/>
      <c r="E45" s="538"/>
      <c r="F45" s="537"/>
      <c r="G45" s="537"/>
      <c r="H45" s="537"/>
      <c r="I45" s="537"/>
      <c r="J45" s="537"/>
      <c r="K45" s="537"/>
      <c r="L45" s="537"/>
      <c r="M45" s="537"/>
      <c r="N45" s="537"/>
      <c r="O45" s="537"/>
      <c r="P45" s="537"/>
      <c r="Q45" s="537"/>
      <c r="R45" s="537"/>
      <c r="S45" s="537"/>
      <c r="T45" s="537"/>
      <c r="U45" s="537"/>
      <c r="V45" s="537"/>
      <c r="W45" s="537"/>
      <c r="X45" s="537"/>
      <c r="Y45" s="537"/>
      <c r="Z45" s="537"/>
      <c r="AA45" s="537"/>
      <c r="AB45" s="537"/>
      <c r="AC45" s="537"/>
      <c r="AD45" s="537"/>
      <c r="AE45" s="537"/>
      <c r="AF45" s="537"/>
      <c r="AG45" s="537"/>
      <c r="AH45" s="537"/>
      <c r="AI45" s="537"/>
      <c r="AJ45" s="537"/>
      <c r="AK45" s="537"/>
      <c r="AL45" s="537"/>
      <c r="AM45" s="537"/>
      <c r="AN45" s="537"/>
    </row>
    <row r="46" spans="1:40" ht="15" customHeight="1" x14ac:dyDescent="0.25">
      <c r="A46" s="534"/>
      <c r="B46" s="534"/>
      <c r="C46" s="535"/>
      <c r="D46" s="538"/>
      <c r="E46" s="538"/>
      <c r="F46" s="537"/>
      <c r="G46" s="537"/>
      <c r="H46" s="537"/>
      <c r="I46" s="537"/>
      <c r="J46" s="537"/>
      <c r="K46" s="537"/>
      <c r="L46" s="537"/>
      <c r="M46" s="537"/>
      <c r="N46" s="537"/>
      <c r="O46" s="537"/>
      <c r="P46" s="537"/>
      <c r="Q46" s="537"/>
      <c r="R46" s="537"/>
      <c r="S46" s="537"/>
      <c r="T46" s="537"/>
      <c r="U46" s="537"/>
      <c r="V46" s="537"/>
      <c r="W46" s="537"/>
      <c r="X46" s="537"/>
      <c r="Y46" s="537"/>
      <c r="Z46" s="537"/>
      <c r="AA46" s="537"/>
      <c r="AB46" s="537"/>
      <c r="AC46" s="537"/>
      <c r="AD46" s="537"/>
      <c r="AE46" s="537"/>
      <c r="AF46" s="537"/>
      <c r="AG46" s="537"/>
      <c r="AH46" s="537"/>
      <c r="AI46" s="537"/>
      <c r="AJ46" s="533"/>
      <c r="AK46" s="533"/>
      <c r="AL46" s="533"/>
      <c r="AM46" s="537"/>
      <c r="AN46" s="537"/>
    </row>
    <row r="47" spans="1:40" ht="15" customHeight="1" x14ac:dyDescent="0.25">
      <c r="A47" s="534"/>
      <c r="B47" s="534"/>
      <c r="C47" s="535"/>
      <c r="D47" s="538"/>
      <c r="E47" s="538"/>
      <c r="F47" s="537"/>
      <c r="G47" s="537"/>
      <c r="H47" s="537"/>
      <c r="I47" s="537"/>
      <c r="J47" s="537"/>
      <c r="K47" s="537"/>
      <c r="L47" s="537"/>
      <c r="M47" s="537"/>
      <c r="N47" s="537"/>
      <c r="O47" s="537"/>
      <c r="P47" s="537"/>
      <c r="Q47" s="537"/>
      <c r="R47" s="537"/>
      <c r="S47" s="537"/>
      <c r="T47" s="537"/>
      <c r="U47" s="537"/>
      <c r="V47" s="537"/>
      <c r="W47" s="537"/>
      <c r="X47" s="537"/>
      <c r="Y47" s="537"/>
      <c r="Z47" s="537"/>
      <c r="AA47" s="537"/>
      <c r="AB47" s="537"/>
      <c r="AC47" s="537"/>
      <c r="AD47" s="537"/>
      <c r="AE47" s="537"/>
      <c r="AF47" s="537"/>
      <c r="AG47" s="537"/>
      <c r="AH47" s="537"/>
      <c r="AI47" s="537"/>
      <c r="AJ47" s="537"/>
      <c r="AK47" s="537"/>
      <c r="AL47" s="537"/>
      <c r="AM47" s="537"/>
      <c r="AN47" s="537"/>
    </row>
    <row r="48" spans="1:40" ht="15" customHeight="1" x14ac:dyDescent="0.25"/>
    <row r="49" spans="1:61" ht="15" customHeight="1" x14ac:dyDescent="0.25">
      <c r="A49" s="534"/>
      <c r="B49" s="534"/>
      <c r="C49" s="535"/>
      <c r="D49" s="538"/>
      <c r="E49" s="538"/>
      <c r="F49" s="537"/>
      <c r="G49" s="537"/>
      <c r="H49" s="537"/>
      <c r="I49" s="537"/>
      <c r="J49" s="537"/>
      <c r="K49" s="537"/>
      <c r="L49" s="537"/>
      <c r="M49" s="537"/>
      <c r="N49" s="537"/>
      <c r="O49" s="537"/>
      <c r="P49" s="537"/>
      <c r="Q49" s="537"/>
      <c r="R49" s="537"/>
      <c r="S49" s="537"/>
      <c r="T49" s="537"/>
      <c r="U49" s="537"/>
      <c r="V49" s="537"/>
      <c r="W49" s="537"/>
      <c r="X49" s="537"/>
      <c r="Y49" s="537"/>
      <c r="Z49" s="537"/>
      <c r="AA49" s="537"/>
      <c r="AB49" s="537"/>
      <c r="AC49" s="537"/>
      <c r="AD49" s="537"/>
      <c r="AE49" s="537"/>
      <c r="AF49" s="537"/>
      <c r="AG49" s="537"/>
      <c r="AH49" s="537"/>
      <c r="AI49" s="537"/>
      <c r="AJ49" s="537"/>
      <c r="AK49" s="537"/>
      <c r="AL49" s="537"/>
      <c r="AM49" s="537"/>
      <c r="AN49" s="537"/>
    </row>
    <row r="50" spans="1:61" ht="15" customHeight="1" x14ac:dyDescent="0.25">
      <c r="A50" s="534"/>
      <c r="B50" s="534"/>
      <c r="C50" s="535"/>
      <c r="D50" s="538"/>
      <c r="E50" s="538"/>
      <c r="F50" s="537"/>
      <c r="G50" s="537"/>
      <c r="H50" s="537"/>
      <c r="I50" s="537"/>
      <c r="J50" s="537"/>
      <c r="K50" s="537"/>
      <c r="L50" s="537"/>
      <c r="M50" s="537"/>
      <c r="N50" s="537"/>
      <c r="O50" s="537"/>
      <c r="P50" s="537"/>
      <c r="Q50" s="537"/>
      <c r="R50" s="537"/>
      <c r="S50" s="537"/>
      <c r="T50" s="537"/>
      <c r="U50" s="537"/>
      <c r="V50" s="537"/>
      <c r="W50" s="537"/>
      <c r="X50" s="537"/>
      <c r="Y50" s="537"/>
      <c r="Z50" s="537"/>
      <c r="AA50" s="537"/>
      <c r="AB50" s="537"/>
      <c r="AC50" s="537"/>
      <c r="AD50" s="537"/>
      <c r="AE50" s="537"/>
      <c r="AF50" s="537"/>
      <c r="AG50" s="537"/>
      <c r="AH50" s="537"/>
      <c r="AI50" s="537"/>
      <c r="AJ50" s="537"/>
      <c r="AK50" s="537"/>
      <c r="AL50" s="537"/>
      <c r="AM50" s="537"/>
      <c r="AN50" s="537"/>
    </row>
    <row r="51" spans="1:61" ht="15" customHeight="1" thickBot="1" x14ac:dyDescent="0.3"/>
    <row r="52" spans="1:61" ht="36.75" customHeight="1" thickBot="1" x14ac:dyDescent="0.45">
      <c r="A52" s="666" t="s">
        <v>294</v>
      </c>
      <c r="B52" s="667"/>
      <c r="C52" s="667"/>
      <c r="D52" s="667"/>
      <c r="E52" s="667"/>
      <c r="F52" s="667"/>
      <c r="G52" s="667"/>
      <c r="H52" s="667"/>
      <c r="I52" s="667"/>
      <c r="J52" s="667"/>
      <c r="K52" s="667"/>
      <c r="L52" s="667"/>
      <c r="M52" s="667"/>
      <c r="N52" s="667"/>
      <c r="O52" s="667"/>
      <c r="P52" s="667"/>
      <c r="Q52" s="667"/>
      <c r="R52" s="667"/>
      <c r="S52" s="667"/>
      <c r="T52" s="667"/>
      <c r="U52" s="667"/>
      <c r="V52" s="667"/>
      <c r="W52" s="667"/>
      <c r="X52" s="668"/>
      <c r="Y52" s="842"/>
      <c r="Z52" s="842"/>
      <c r="AA52" s="842"/>
      <c r="AB52" s="842"/>
      <c r="AC52" s="842"/>
      <c r="AD52" s="842"/>
      <c r="AE52" s="842"/>
      <c r="AF52" s="842"/>
      <c r="AG52" s="842"/>
      <c r="AH52" s="842"/>
      <c r="AI52" s="843"/>
      <c r="AJ52" s="554"/>
      <c r="AK52" s="554"/>
      <c r="AL52" s="554"/>
      <c r="AM52" s="554"/>
      <c r="AN52" s="554"/>
    </row>
    <row r="53" spans="1:61" ht="15" customHeight="1" x14ac:dyDescent="0.25">
      <c r="B53" s="689" t="s">
        <v>298</v>
      </c>
      <c r="C53" s="685" t="s">
        <v>299</v>
      </c>
      <c r="D53" s="687" t="s">
        <v>300</v>
      </c>
      <c r="E53" s="841" t="s">
        <v>301</v>
      </c>
      <c r="F53" s="685" t="s">
        <v>302</v>
      </c>
      <c r="G53" s="685" t="s">
        <v>303</v>
      </c>
      <c r="H53" s="685" t="s">
        <v>304</v>
      </c>
      <c r="I53" s="685" t="s">
        <v>305</v>
      </c>
      <c r="J53" s="685" t="s">
        <v>306</v>
      </c>
      <c r="K53" s="685" t="s">
        <v>307</v>
      </c>
      <c r="L53" s="685" t="s">
        <v>308</v>
      </c>
      <c r="M53" s="841" t="s">
        <v>309</v>
      </c>
      <c r="N53" s="841" t="s">
        <v>310</v>
      </c>
      <c r="O53" s="841" t="s">
        <v>311</v>
      </c>
      <c r="P53" s="841" t="s">
        <v>312</v>
      </c>
      <c r="Q53" s="841" t="s">
        <v>313</v>
      </c>
      <c r="R53" s="841" t="s">
        <v>314</v>
      </c>
      <c r="S53" s="685" t="s">
        <v>315</v>
      </c>
      <c r="T53" s="685" t="s">
        <v>316</v>
      </c>
      <c r="U53" s="841" t="s">
        <v>317</v>
      </c>
      <c r="V53" s="841" t="s">
        <v>318</v>
      </c>
      <c r="W53" s="685" t="s">
        <v>319</v>
      </c>
      <c r="X53" s="841" t="s">
        <v>320</v>
      </c>
      <c r="Y53" s="52"/>
      <c r="Z53" s="52"/>
      <c r="AA53" s="52"/>
      <c r="AB53" s="52"/>
      <c r="AC53" s="548"/>
      <c r="AD53" s="52"/>
      <c r="AE53" s="52"/>
      <c r="AF53" s="548"/>
      <c r="AG53" s="52"/>
      <c r="AH53" s="52"/>
      <c r="AI53" s="548"/>
      <c r="AJ53" s="533"/>
      <c r="AK53" s="533"/>
      <c r="AL53" s="533"/>
      <c r="AM53" s="537"/>
      <c r="AN53" s="537"/>
    </row>
    <row r="54" spans="1:61" ht="35.25" customHeight="1" thickBot="1" x14ac:dyDescent="0.3">
      <c r="B54" s="690"/>
      <c r="C54" s="686"/>
      <c r="D54" s="688"/>
      <c r="E54" s="686"/>
      <c r="F54" s="686"/>
      <c r="G54" s="686"/>
      <c r="H54" s="686"/>
      <c r="I54" s="686"/>
      <c r="J54" s="686"/>
      <c r="K54" s="686"/>
      <c r="L54" s="686"/>
      <c r="M54" s="686"/>
      <c r="N54" s="686"/>
      <c r="O54" s="686"/>
      <c r="P54" s="686"/>
      <c r="Q54" s="686"/>
      <c r="R54" s="686"/>
      <c r="S54" s="686"/>
      <c r="T54" s="686"/>
      <c r="U54" s="686"/>
      <c r="V54" s="686"/>
      <c r="W54" s="686"/>
      <c r="X54" s="686"/>
      <c r="AA54" s="52"/>
      <c r="AB54" s="52"/>
      <c r="AC54" s="549"/>
      <c r="AD54" s="52"/>
      <c r="AE54" s="52"/>
      <c r="AF54" s="549"/>
      <c r="AG54" s="52"/>
      <c r="AH54" s="52"/>
      <c r="AI54" s="535"/>
      <c r="AJ54" s="533"/>
      <c r="AK54" s="533"/>
      <c r="AL54" s="533"/>
      <c r="AM54" s="537"/>
      <c r="AN54" s="537"/>
    </row>
    <row r="55" spans="1:61" ht="15" customHeight="1" x14ac:dyDescent="0.25">
      <c r="A55" s="555" t="s">
        <v>295</v>
      </c>
      <c r="B55" s="552">
        <v>80</v>
      </c>
      <c r="C55" s="552">
        <v>160</v>
      </c>
      <c r="D55" s="560">
        <v>160</v>
      </c>
      <c r="E55" s="552">
        <v>160</v>
      </c>
      <c r="F55" s="552">
        <v>160</v>
      </c>
      <c r="G55" s="552">
        <v>160</v>
      </c>
      <c r="H55" s="552">
        <v>160</v>
      </c>
      <c r="I55" s="552">
        <v>160</v>
      </c>
      <c r="J55" s="552">
        <v>160</v>
      </c>
      <c r="K55" s="550">
        <v>160</v>
      </c>
      <c r="L55" s="552">
        <v>160</v>
      </c>
      <c r="M55" s="552">
        <v>160</v>
      </c>
      <c r="N55" s="552">
        <v>160</v>
      </c>
      <c r="O55" s="552">
        <v>160</v>
      </c>
      <c r="P55" s="552">
        <v>160</v>
      </c>
      <c r="Q55" s="552">
        <v>160</v>
      </c>
      <c r="R55" s="552">
        <v>160</v>
      </c>
      <c r="S55" s="552">
        <v>160</v>
      </c>
      <c r="T55" s="552">
        <v>160</v>
      </c>
      <c r="U55" s="552">
        <v>160</v>
      </c>
      <c r="V55" s="552">
        <v>160</v>
      </c>
      <c r="W55" s="552">
        <v>160</v>
      </c>
      <c r="X55" s="550">
        <v>160</v>
      </c>
      <c r="AA55" s="52"/>
      <c r="AB55" s="52"/>
      <c r="AC55" s="576"/>
      <c r="AD55" s="52"/>
      <c r="AE55" s="52"/>
      <c r="AF55" s="576"/>
      <c r="AG55" s="52"/>
      <c r="AH55" s="52"/>
      <c r="AI55" s="549"/>
      <c r="AJ55" s="537"/>
      <c r="AK55" s="537"/>
      <c r="AL55" s="537"/>
      <c r="AM55" s="537"/>
      <c r="AN55" s="537"/>
    </row>
    <row r="56" spans="1:61" ht="15" customHeight="1" x14ac:dyDescent="0.25">
      <c r="A56" s="555" t="s">
        <v>296</v>
      </c>
      <c r="B56" s="562">
        <v>180000</v>
      </c>
      <c r="C56" s="562">
        <v>130000</v>
      </c>
      <c r="D56" s="563">
        <v>60000</v>
      </c>
      <c r="E56" s="562">
        <v>45000</v>
      </c>
      <c r="F56" s="562">
        <v>60000</v>
      </c>
      <c r="G56" s="562">
        <v>60000</v>
      </c>
      <c r="H56" s="562">
        <v>80000</v>
      </c>
      <c r="I56" s="562">
        <v>45000</v>
      </c>
      <c r="J56" s="562">
        <v>100000</v>
      </c>
      <c r="K56" s="564">
        <v>60000</v>
      </c>
      <c r="L56" s="562">
        <v>120000</v>
      </c>
      <c r="M56" s="562">
        <v>65000</v>
      </c>
      <c r="N56" s="562">
        <v>45000</v>
      </c>
      <c r="O56" s="562">
        <v>150000</v>
      </c>
      <c r="P56" s="562">
        <v>80000</v>
      </c>
      <c r="Q56" s="562">
        <v>75000</v>
      </c>
      <c r="R56" s="562">
        <v>45000</v>
      </c>
      <c r="S56" s="562">
        <v>55000</v>
      </c>
      <c r="T56" s="562">
        <v>55000</v>
      </c>
      <c r="U56" s="562">
        <v>150000</v>
      </c>
      <c r="V56" s="562">
        <v>80000</v>
      </c>
      <c r="W56" s="562">
        <v>80000</v>
      </c>
      <c r="X56" s="564">
        <v>70000</v>
      </c>
      <c r="AA56" s="52"/>
      <c r="AB56" s="52"/>
      <c r="AC56" s="549"/>
      <c r="AD56" s="52"/>
      <c r="AE56" s="52"/>
      <c r="AF56" s="549"/>
      <c r="AG56" s="52"/>
      <c r="AH56" s="52"/>
      <c r="AI56" s="576"/>
      <c r="AJ56" s="537"/>
      <c r="AK56" s="537"/>
      <c r="AL56" s="537"/>
      <c r="AM56" s="537"/>
      <c r="AN56" s="537"/>
    </row>
    <row r="57" spans="1:61" ht="15.75" customHeight="1" thickBot="1" x14ac:dyDescent="0.3">
      <c r="A57" s="556" t="s">
        <v>297</v>
      </c>
      <c r="B57" s="553">
        <v>1</v>
      </c>
      <c r="C57" s="553">
        <v>1</v>
      </c>
      <c r="D57" s="561">
        <v>1</v>
      </c>
      <c r="E57" s="553">
        <v>1</v>
      </c>
      <c r="F57" s="553">
        <v>1</v>
      </c>
      <c r="G57" s="553">
        <v>1</v>
      </c>
      <c r="H57" s="553">
        <v>1</v>
      </c>
      <c r="I57" s="553">
        <v>1</v>
      </c>
      <c r="J57" s="553">
        <v>1</v>
      </c>
      <c r="K57" s="551">
        <v>1</v>
      </c>
      <c r="L57" s="553">
        <v>1</v>
      </c>
      <c r="M57" s="553">
        <v>1</v>
      </c>
      <c r="N57" s="553">
        <v>1</v>
      </c>
      <c r="O57" s="553">
        <v>1</v>
      </c>
      <c r="P57" s="553">
        <v>1</v>
      </c>
      <c r="Q57" s="553">
        <v>1</v>
      </c>
      <c r="R57" s="553">
        <v>1</v>
      </c>
      <c r="S57" s="553">
        <v>1</v>
      </c>
      <c r="T57" s="553">
        <v>1</v>
      </c>
      <c r="U57" s="553">
        <v>1</v>
      </c>
      <c r="V57" s="553">
        <v>1</v>
      </c>
      <c r="W57" s="553">
        <v>1</v>
      </c>
      <c r="X57" s="551">
        <v>1</v>
      </c>
      <c r="AA57" s="537"/>
      <c r="AB57" s="537"/>
      <c r="AC57" s="537"/>
      <c r="AD57" s="537"/>
      <c r="AE57" s="537"/>
      <c r="AF57" s="537"/>
      <c r="AG57" s="537"/>
      <c r="AH57" s="537"/>
      <c r="AI57" s="549"/>
      <c r="AJ57" s="537"/>
      <c r="AK57" s="537"/>
      <c r="AL57" s="537"/>
      <c r="AM57" s="537"/>
      <c r="AN57" s="537"/>
    </row>
    <row r="58" spans="1:61" ht="37.5" customHeight="1" thickBot="1" x14ac:dyDescent="0.35">
      <c r="A58" s="557" t="s">
        <v>322</v>
      </c>
      <c r="B58" s="559">
        <f>SUM(B56:AF56)</f>
        <v>1890000</v>
      </c>
      <c r="C58" s="535"/>
      <c r="D58" s="539"/>
      <c r="E58" s="539"/>
      <c r="F58" s="537"/>
      <c r="G58" s="537"/>
      <c r="H58" s="537"/>
      <c r="I58" s="537"/>
      <c r="J58" s="537"/>
      <c r="K58" s="537"/>
      <c r="L58" s="537"/>
      <c r="M58" s="537"/>
      <c r="N58" s="537"/>
      <c r="O58" s="537"/>
      <c r="P58" s="537"/>
      <c r="Q58" s="537"/>
      <c r="R58" s="537"/>
      <c r="S58" s="537"/>
      <c r="T58" s="537"/>
      <c r="U58" s="537"/>
      <c r="V58" s="537"/>
      <c r="W58" s="537"/>
      <c r="X58" s="537"/>
      <c r="Y58" s="537"/>
      <c r="Z58" s="537"/>
      <c r="AA58" s="52"/>
      <c r="AB58" s="52"/>
      <c r="AC58" s="52"/>
      <c r="AD58" s="52"/>
      <c r="AE58" s="52"/>
      <c r="AF58" s="52"/>
      <c r="AG58" s="52"/>
      <c r="AH58" s="52"/>
      <c r="AI58" s="537"/>
      <c r="AJ58" s="537"/>
      <c r="AK58" s="537"/>
      <c r="AL58" s="537"/>
      <c r="AM58" s="537"/>
      <c r="AN58" s="537"/>
    </row>
    <row r="59" spans="1:61" ht="30" customHeight="1" thickBot="1" x14ac:dyDescent="0.3">
      <c r="A59" s="558" t="s">
        <v>321</v>
      </c>
      <c r="B59" s="559">
        <f>B58*12</f>
        <v>22680000</v>
      </c>
      <c r="C59" s="535"/>
      <c r="D59" s="539"/>
      <c r="E59" s="539"/>
      <c r="F59" s="537"/>
      <c r="G59" s="537"/>
      <c r="H59" s="537"/>
      <c r="I59" s="537"/>
      <c r="J59" s="537"/>
      <c r="K59" s="537"/>
      <c r="L59" s="537"/>
      <c r="M59" s="537"/>
      <c r="N59" s="537"/>
      <c r="O59" s="537"/>
      <c r="P59" s="537"/>
      <c r="Q59" s="537"/>
      <c r="R59" s="537"/>
      <c r="S59" s="537"/>
      <c r="T59" s="537"/>
      <c r="U59" s="537"/>
      <c r="V59" s="537"/>
      <c r="W59" s="537"/>
      <c r="X59" s="537"/>
      <c r="Y59" s="537"/>
      <c r="Z59" s="537"/>
      <c r="AA59" s="537"/>
      <c r="AB59" s="537"/>
      <c r="AC59" s="537"/>
      <c r="AD59" s="537"/>
      <c r="AE59" s="537"/>
      <c r="AF59" s="537"/>
      <c r="AG59" s="537"/>
      <c r="AH59" s="537"/>
      <c r="AI59" s="537"/>
      <c r="AJ59" s="537"/>
      <c r="AK59" s="537"/>
      <c r="AL59" s="537"/>
      <c r="AM59" s="537"/>
      <c r="AN59" s="537"/>
    </row>
    <row r="60" spans="1:61" ht="18.75" customHeight="1" x14ac:dyDescent="0.25">
      <c r="A60" s="61"/>
      <c r="B60" s="61"/>
      <c r="C60" s="52"/>
      <c r="D60" s="42"/>
      <c r="E60" s="42"/>
      <c r="F60" s="62"/>
      <c r="G60" s="62"/>
      <c r="H60" s="547"/>
      <c r="I60" s="62"/>
      <c r="J60" s="62"/>
      <c r="K60" s="547"/>
      <c r="L60" s="62"/>
      <c r="M60" s="62"/>
      <c r="N60" s="547"/>
      <c r="O60" s="62"/>
      <c r="P60" s="62"/>
      <c r="Q60" s="547"/>
      <c r="R60" s="62"/>
      <c r="S60" s="62"/>
      <c r="T60" s="547"/>
      <c r="U60" s="62"/>
      <c r="V60" s="62"/>
      <c r="W60" s="547"/>
      <c r="X60" s="62"/>
      <c r="Y60" s="62"/>
      <c r="Z60" s="547"/>
      <c r="AA60" s="62"/>
      <c r="AB60" s="62"/>
      <c r="AC60" s="547"/>
      <c r="AD60" s="62"/>
      <c r="AE60" s="62"/>
      <c r="AF60" s="547"/>
      <c r="AG60" s="62"/>
      <c r="AH60" s="62"/>
      <c r="AI60" s="547"/>
      <c r="AJ60" s="62"/>
      <c r="AK60" s="62"/>
      <c r="AL60" s="547"/>
      <c r="AM60" s="62"/>
      <c r="AN60" s="62"/>
    </row>
    <row r="61" spans="1:61" ht="18" customHeight="1" x14ac:dyDescent="0.25">
      <c r="A61" s="100"/>
      <c r="B61" s="100"/>
      <c r="C61" s="101"/>
      <c r="D61" s="102"/>
      <c r="E61" s="102"/>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row>
    <row r="63" spans="1:61" ht="15.75" thickBot="1" x14ac:dyDescent="0.3">
      <c r="D63" s="35"/>
      <c r="E63" s="35"/>
      <c r="L63" s="41"/>
      <c r="M63" s="41"/>
      <c r="N63" s="41"/>
      <c r="O63" s="41"/>
      <c r="P63" s="41"/>
      <c r="Q63" s="41"/>
      <c r="S63" s="41"/>
      <c r="T63" s="41"/>
      <c r="U63" s="41"/>
      <c r="V63" s="41"/>
      <c r="W63" s="41"/>
      <c r="X63" s="41"/>
      <c r="Y63" s="41"/>
      <c r="Z63" s="41"/>
      <c r="AA63" s="41"/>
      <c r="AB63" s="41"/>
      <c r="AC63" s="41"/>
      <c r="AD63" s="41"/>
      <c r="AE63" s="41"/>
      <c r="AF63" s="41"/>
      <c r="AG63" s="41"/>
      <c r="AH63" s="41"/>
      <c r="AI63" s="41"/>
      <c r="AJ63" s="41"/>
      <c r="AK63" s="41"/>
      <c r="AL63" s="41"/>
      <c r="AN63" s="41"/>
    </row>
    <row r="64" spans="1:61" ht="27" thickBot="1" x14ac:dyDescent="0.45">
      <c r="A64" s="675" t="s">
        <v>53</v>
      </c>
      <c r="B64" s="676"/>
      <c r="C64" s="676"/>
      <c r="D64" s="676"/>
      <c r="E64" s="676"/>
      <c r="F64" s="676"/>
      <c r="G64" s="676"/>
      <c r="H64" s="678"/>
      <c r="I64" s="678"/>
      <c r="J64" s="678"/>
      <c r="K64" s="678"/>
      <c r="L64" s="676"/>
      <c r="M64" s="676"/>
      <c r="N64" s="676"/>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7"/>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669" t="s">
        <v>31</v>
      </c>
      <c r="B65" s="669" t="s">
        <v>32</v>
      </c>
      <c r="C65" s="672" t="s">
        <v>61</v>
      </c>
      <c r="D65" s="673"/>
      <c r="E65" s="660" t="s">
        <v>40</v>
      </c>
      <c r="F65" s="674"/>
      <c r="G65" s="661"/>
      <c r="H65" s="660" t="s">
        <v>41</v>
      </c>
      <c r="I65" s="674"/>
      <c r="J65" s="661"/>
      <c r="K65" s="660" t="s">
        <v>42</v>
      </c>
      <c r="L65" s="674"/>
      <c r="M65" s="661"/>
      <c r="N65" s="660" t="s">
        <v>43</v>
      </c>
      <c r="O65" s="674"/>
      <c r="P65" s="661"/>
      <c r="Q65" s="660" t="s">
        <v>44</v>
      </c>
      <c r="R65" s="674"/>
      <c r="S65" s="661"/>
      <c r="T65" s="660" t="s">
        <v>45</v>
      </c>
      <c r="U65" s="674"/>
      <c r="V65" s="661"/>
      <c r="W65" s="660" t="s">
        <v>46</v>
      </c>
      <c r="X65" s="674"/>
      <c r="Y65" s="661"/>
      <c r="Z65" s="660" t="s">
        <v>47</v>
      </c>
      <c r="AA65" s="674"/>
      <c r="AB65" s="661"/>
      <c r="AC65" s="660" t="s">
        <v>48</v>
      </c>
      <c r="AD65" s="674"/>
      <c r="AE65" s="661"/>
      <c r="AF65" s="660" t="s">
        <v>49</v>
      </c>
      <c r="AG65" s="674"/>
      <c r="AH65" s="661"/>
      <c r="AI65" s="660" t="s">
        <v>50</v>
      </c>
      <c r="AJ65" s="674"/>
      <c r="AK65" s="661"/>
      <c r="AL65" s="660" t="s">
        <v>51</v>
      </c>
      <c r="AM65" s="674"/>
      <c r="AN65" s="661"/>
      <c r="AO65" s="29"/>
      <c r="AP65" s="29"/>
      <c r="AQ65" s="29"/>
      <c r="AR65" s="29"/>
      <c r="AS65" s="29"/>
      <c r="AT65" s="29"/>
      <c r="AU65" s="29"/>
      <c r="AV65" s="29"/>
      <c r="AW65" s="29"/>
      <c r="AX65" s="29"/>
      <c r="AY65" s="29"/>
      <c r="AZ65" s="29"/>
      <c r="BA65" s="29"/>
      <c r="BB65" s="29"/>
      <c r="BC65" s="29"/>
      <c r="BD65" s="29"/>
      <c r="BE65" s="29"/>
      <c r="BF65" s="29"/>
      <c r="BG65" s="29"/>
      <c r="BH65" s="29"/>
      <c r="BI65" s="29"/>
    </row>
    <row r="66" spans="1:61" x14ac:dyDescent="0.25">
      <c r="A66" s="670"/>
      <c r="B66" s="670"/>
      <c r="C66" s="662" t="s">
        <v>60</v>
      </c>
      <c r="D66" s="664" t="s">
        <v>39</v>
      </c>
      <c r="E66" s="655">
        <v>0.02</v>
      </c>
      <c r="F66" s="656"/>
      <c r="G66" s="657"/>
      <c r="H66" s="655">
        <v>0.04</v>
      </c>
      <c r="I66" s="656"/>
      <c r="J66" s="657"/>
      <c r="K66" s="655">
        <v>0.04</v>
      </c>
      <c r="L66" s="656"/>
      <c r="M66" s="657"/>
      <c r="N66" s="655">
        <v>0.05</v>
      </c>
      <c r="O66" s="656"/>
      <c r="P66" s="657"/>
      <c r="Q66" s="655">
        <v>0.06</v>
      </c>
      <c r="R66" s="656"/>
      <c r="S66" s="657"/>
      <c r="T66" s="655">
        <v>0.08</v>
      </c>
      <c r="U66" s="656"/>
      <c r="V66" s="657"/>
      <c r="W66" s="655">
        <v>0.1</v>
      </c>
      <c r="X66" s="656"/>
      <c r="Y66" s="657"/>
      <c r="Z66" s="655">
        <v>0.11</v>
      </c>
      <c r="AA66" s="656"/>
      <c r="AB66" s="657"/>
      <c r="AC66" s="655">
        <v>0.11</v>
      </c>
      <c r="AD66" s="656"/>
      <c r="AE66" s="657"/>
      <c r="AF66" s="655">
        <v>0.12</v>
      </c>
      <c r="AG66" s="656"/>
      <c r="AH66" s="657"/>
      <c r="AI66" s="655">
        <v>0.13</v>
      </c>
      <c r="AJ66" s="656"/>
      <c r="AK66" s="657"/>
      <c r="AL66" s="655">
        <v>0.14000000000000001</v>
      </c>
      <c r="AM66" s="656"/>
      <c r="AN66" s="657"/>
      <c r="AO66" s="29"/>
      <c r="AP66" s="29"/>
      <c r="AQ66" s="29"/>
      <c r="AR66" s="29"/>
      <c r="AS66" s="29"/>
      <c r="AT66" s="29"/>
      <c r="AU66" s="29"/>
      <c r="AV66" s="29"/>
      <c r="AW66" s="29"/>
      <c r="AX66" s="29"/>
      <c r="AY66" s="29"/>
      <c r="AZ66" s="29"/>
      <c r="BA66" s="29"/>
      <c r="BB66" s="29"/>
      <c r="BC66" s="29"/>
      <c r="BD66" s="29"/>
      <c r="BE66" s="29"/>
      <c r="BF66" s="29"/>
      <c r="BG66" s="29"/>
      <c r="BH66" s="29"/>
      <c r="BI66" s="29"/>
    </row>
    <row r="67" spans="1:61" ht="15.75" customHeight="1" thickBot="1" x14ac:dyDescent="0.3">
      <c r="A67" s="671"/>
      <c r="B67" s="671"/>
      <c r="C67" s="663"/>
      <c r="D67" s="665"/>
      <c r="E67" s="573"/>
      <c r="F67" s="522" t="s">
        <v>60</v>
      </c>
      <c r="G67" s="569" t="s">
        <v>39</v>
      </c>
      <c r="H67" s="524"/>
      <c r="I67" s="593" t="s">
        <v>60</v>
      </c>
      <c r="J67" s="523" t="s">
        <v>39</v>
      </c>
      <c r="K67" s="568"/>
      <c r="L67" s="522" t="s">
        <v>60</v>
      </c>
      <c r="M67" s="523" t="s">
        <v>39</v>
      </c>
      <c r="N67" s="568"/>
      <c r="O67" s="524" t="s">
        <v>60</v>
      </c>
      <c r="P67" s="523" t="s">
        <v>39</v>
      </c>
      <c r="Q67" s="568"/>
      <c r="R67" s="524" t="s">
        <v>60</v>
      </c>
      <c r="S67" s="523" t="s">
        <v>39</v>
      </c>
      <c r="T67" s="568"/>
      <c r="U67" s="524" t="s">
        <v>60</v>
      </c>
      <c r="V67" s="523" t="s">
        <v>39</v>
      </c>
      <c r="W67" s="568"/>
      <c r="X67" s="524" t="s">
        <v>60</v>
      </c>
      <c r="Y67" s="523" t="s">
        <v>39</v>
      </c>
      <c r="Z67" s="568"/>
      <c r="AA67" s="524" t="s">
        <v>60</v>
      </c>
      <c r="AB67" s="523" t="s">
        <v>39</v>
      </c>
      <c r="AC67" s="568"/>
      <c r="AD67" s="524" t="s">
        <v>60</v>
      </c>
      <c r="AE67" s="523" t="s">
        <v>39</v>
      </c>
      <c r="AF67" s="568"/>
      <c r="AG67" s="524" t="s">
        <v>60</v>
      </c>
      <c r="AH67" s="523" t="s">
        <v>39</v>
      </c>
      <c r="AI67" s="568"/>
      <c r="AJ67" s="524" t="s">
        <v>60</v>
      </c>
      <c r="AK67" s="523" t="s">
        <v>39</v>
      </c>
      <c r="AL67" s="568"/>
      <c r="AM67" s="524" t="s">
        <v>60</v>
      </c>
      <c r="AN67" s="523" t="s">
        <v>39</v>
      </c>
      <c r="AO67" s="29"/>
      <c r="AP67" s="29"/>
      <c r="AQ67" s="29"/>
      <c r="AR67" s="29"/>
      <c r="AS67" s="29"/>
      <c r="AT67" s="29"/>
      <c r="AU67" s="29"/>
      <c r="AV67" s="29"/>
      <c r="AW67" s="29"/>
      <c r="AX67" s="29"/>
      <c r="AY67" s="29"/>
      <c r="AZ67" s="29"/>
      <c r="BA67" s="29"/>
      <c r="BB67" s="29"/>
      <c r="BC67" s="29"/>
      <c r="BD67" s="29"/>
      <c r="BE67" s="29"/>
      <c r="BF67" s="29"/>
      <c r="BG67" s="29"/>
      <c r="BH67" s="29"/>
      <c r="BI67" s="29"/>
    </row>
    <row r="68" spans="1:61" ht="33" customHeight="1" thickBot="1" x14ac:dyDescent="0.3">
      <c r="A68" s="544" t="s">
        <v>292</v>
      </c>
      <c r="B68" s="541">
        <f>Hipótesis!C49</f>
        <v>1300</v>
      </c>
      <c r="C68" s="567">
        <f>(C19*1.4)+C19</f>
        <v>79692</v>
      </c>
      <c r="D68" s="570">
        <f>B68*C68</f>
        <v>103599600</v>
      </c>
      <c r="E68" s="587">
        <f>(C19*1.4)*E66</f>
        <v>929.74</v>
      </c>
      <c r="F68" s="579">
        <f>E68+AM19</f>
        <v>34134.74</v>
      </c>
      <c r="G68" s="588">
        <f>F68*B68</f>
        <v>44375162</v>
      </c>
      <c r="H68" s="591">
        <f>((C19*1.4)*H66)</f>
        <v>1859.48</v>
      </c>
      <c r="I68" s="579">
        <f>H68 + F68</f>
        <v>35994.22</v>
      </c>
      <c r="J68" s="588">
        <f>B68*I68</f>
        <v>46792486</v>
      </c>
      <c r="K68" s="591">
        <f>(C19*1.4)*K66</f>
        <v>1859.48</v>
      </c>
      <c r="L68" s="579">
        <f>K68+ I68</f>
        <v>37853.700000000004</v>
      </c>
      <c r="M68" s="588">
        <f>B68*L68</f>
        <v>49209810.000000007</v>
      </c>
      <c r="N68" s="591">
        <f>(C19*1.4)*N66</f>
        <v>2324.35</v>
      </c>
      <c r="O68" s="579">
        <f>N68+L68</f>
        <v>40178.050000000003</v>
      </c>
      <c r="P68" s="588">
        <f>B68*O68</f>
        <v>52231465.000000007</v>
      </c>
      <c r="Q68" s="591">
        <f>(C19*1.4)*Q66</f>
        <v>2789.22</v>
      </c>
      <c r="R68" s="579">
        <f>Q68+O68</f>
        <v>42967.270000000004</v>
      </c>
      <c r="S68" s="588">
        <f>B68*R68</f>
        <v>55857451.000000007</v>
      </c>
      <c r="T68" s="591">
        <f>(C19*1.4)*T66</f>
        <v>3718.96</v>
      </c>
      <c r="U68" s="579">
        <f>T68+R68</f>
        <v>46686.23</v>
      </c>
      <c r="V68" s="588">
        <f>B68*U68</f>
        <v>60692099.000000007</v>
      </c>
      <c r="W68" s="591">
        <f>(C19*1.4)*W66</f>
        <v>4648.7</v>
      </c>
      <c r="X68" s="579">
        <f>W68+U68</f>
        <v>51334.93</v>
      </c>
      <c r="Y68" s="588">
        <f>B68*X68</f>
        <v>66735409</v>
      </c>
      <c r="Z68" s="591">
        <f>(C19*1.4)*Z66</f>
        <v>5113.57</v>
      </c>
      <c r="AA68" s="579">
        <f>Z68+X68</f>
        <v>56448.5</v>
      </c>
      <c r="AB68" s="588">
        <f>B68*AA68</f>
        <v>73383050</v>
      </c>
      <c r="AC68" s="591">
        <f>(C19*1.4)*AC66</f>
        <v>5113.57</v>
      </c>
      <c r="AD68" s="579">
        <f>AC68+AA68</f>
        <v>61562.07</v>
      </c>
      <c r="AE68" s="588">
        <f>B68*AD68</f>
        <v>80030691</v>
      </c>
      <c r="AF68" s="591">
        <f>(C19*1.4)*AF66</f>
        <v>5578.44</v>
      </c>
      <c r="AG68" s="579">
        <f>AF68+AD68</f>
        <v>67140.509999999995</v>
      </c>
      <c r="AH68" s="588">
        <f>B68*AG68</f>
        <v>87282663</v>
      </c>
      <c r="AI68" s="586">
        <f>(C19*1.4)*AI66</f>
        <v>6043.31</v>
      </c>
      <c r="AJ68" s="579">
        <f>AI68+AG68</f>
        <v>73183.819999999992</v>
      </c>
      <c r="AK68" s="583">
        <f>B68*AJ68</f>
        <v>95138965.999999985</v>
      </c>
      <c r="AL68" s="581">
        <f>(C19*1.4)*AL66</f>
        <v>6508.18</v>
      </c>
      <c r="AM68" s="579">
        <f>AL68+AJ68</f>
        <v>79692</v>
      </c>
      <c r="AN68" s="541">
        <f>B68*AM68</f>
        <v>103599600</v>
      </c>
    </row>
    <row r="69" spans="1:61" ht="33" customHeight="1" thickBot="1" x14ac:dyDescent="0.3">
      <c r="A69" s="545" t="s">
        <v>290</v>
      </c>
      <c r="B69" s="542">
        <f>Hipótesis!C52</f>
        <v>2500</v>
      </c>
      <c r="C69" s="565">
        <f t="shared" ref="C69:C70" si="37">(C20*1.4)+C20</f>
        <v>38664</v>
      </c>
      <c r="D69" s="574">
        <f t="shared" ref="D69:D70" si="38">B69*C69</f>
        <v>96660000</v>
      </c>
      <c r="E69" s="844">
        <f>(C20*1.4)*E66</f>
        <v>451.08</v>
      </c>
      <c r="F69" s="845">
        <f t="shared" ref="F69:F70" si="39">E69+AM20</f>
        <v>16561.079999999998</v>
      </c>
      <c r="G69" s="589">
        <f t="shared" ref="G69:G70" si="40">F69*B69</f>
        <v>41402699.999999993</v>
      </c>
      <c r="H69" s="597">
        <f>((C20*1.4)*H66)</f>
        <v>902.16</v>
      </c>
      <c r="I69" s="582">
        <f t="shared" ref="I69:I70" si="41">H69 + F69</f>
        <v>17463.239999999998</v>
      </c>
      <c r="J69" s="589">
        <f t="shared" ref="J69:J70" si="42">B69*I69</f>
        <v>43658099.999999993</v>
      </c>
      <c r="K69" s="597">
        <f>(C20*1.4)*K66</f>
        <v>902.16</v>
      </c>
      <c r="L69" s="582">
        <f t="shared" ref="L69:L70" si="43">K69+ I69</f>
        <v>18365.399999999998</v>
      </c>
      <c r="M69" s="589">
        <f t="shared" ref="M69:M70" si="44">B69*L69</f>
        <v>45913499.999999993</v>
      </c>
      <c r="N69" s="597">
        <f>(C20*1.4)*N66</f>
        <v>1127.7</v>
      </c>
      <c r="O69" s="582">
        <f t="shared" ref="O69:O70" si="45">N69+L69</f>
        <v>19493.099999999999</v>
      </c>
      <c r="P69" s="589">
        <f t="shared" ref="P69:P70" si="46">B69*O69</f>
        <v>48732750</v>
      </c>
      <c r="Q69" s="597">
        <f>(C20*1.4)*Q66</f>
        <v>1353.24</v>
      </c>
      <c r="R69" s="582">
        <f t="shared" ref="R69:R70" si="47">Q69+O69</f>
        <v>20846.34</v>
      </c>
      <c r="S69" s="589">
        <f t="shared" ref="S69:S70" si="48">B69*R69</f>
        <v>52115850</v>
      </c>
      <c r="T69" s="597">
        <f>(C20*1.4)*T66</f>
        <v>1804.32</v>
      </c>
      <c r="U69" s="582">
        <f t="shared" ref="U69:U70" si="49">T69+R69</f>
        <v>22650.66</v>
      </c>
      <c r="V69" s="589">
        <f t="shared" ref="V69:V70" si="50">B69*U69</f>
        <v>56626650</v>
      </c>
      <c r="W69" s="597">
        <f>(C20*1.4)*W66</f>
        <v>2255.4</v>
      </c>
      <c r="X69" s="582">
        <f t="shared" ref="X69:X70" si="51">W69+U69</f>
        <v>24906.06</v>
      </c>
      <c r="Y69" s="589">
        <f t="shared" ref="Y69:Y70" si="52">B69*X69</f>
        <v>62265150</v>
      </c>
      <c r="Z69" s="597">
        <f>(C20*1.4)*Z66</f>
        <v>2480.94</v>
      </c>
      <c r="AA69" s="582">
        <f t="shared" ref="AA69:AA70" si="53">Z69+X69</f>
        <v>27387</v>
      </c>
      <c r="AB69" s="589">
        <f t="shared" ref="AB69:AB70" si="54">B69*AA69</f>
        <v>68467500</v>
      </c>
      <c r="AC69" s="597">
        <f>(C20*1.4)*AC66</f>
        <v>2480.94</v>
      </c>
      <c r="AD69" s="582">
        <f t="shared" ref="AD69:AD70" si="55">AC69+AA69</f>
        <v>29867.94</v>
      </c>
      <c r="AE69" s="589">
        <f t="shared" ref="AE69:AE70" si="56">B69*AD69</f>
        <v>74669850</v>
      </c>
      <c r="AF69" s="597">
        <f>(C20*1.4)*AF66</f>
        <v>2706.48</v>
      </c>
      <c r="AG69" s="582">
        <f t="shared" ref="AG69:AG70" si="57">AF69+AD69</f>
        <v>32574.42</v>
      </c>
      <c r="AH69" s="589">
        <f t="shared" ref="AH69:AH70" si="58">B69*AG69</f>
        <v>81436050</v>
      </c>
      <c r="AI69" s="598">
        <f>(C20*1.4)*AI66</f>
        <v>2932.02</v>
      </c>
      <c r="AJ69" s="582">
        <f t="shared" ref="AJ69:AJ70" si="59">AI69+AG69</f>
        <v>35506.439999999995</v>
      </c>
      <c r="AK69" s="584">
        <f t="shared" ref="AK69:AK70" si="60">B69*AJ69</f>
        <v>88766099.999999985</v>
      </c>
      <c r="AL69" s="599">
        <f>(C20*1.4)*AL66</f>
        <v>3157.5600000000004</v>
      </c>
      <c r="AM69" s="582">
        <f t="shared" ref="AM69:AM70" si="61">AL69+AJ69</f>
        <v>38663.999999999993</v>
      </c>
      <c r="AN69" s="542">
        <f t="shared" ref="AN69:AN70" si="62">B69*AM69</f>
        <v>96659999.999999985</v>
      </c>
    </row>
    <row r="70" spans="1:61" ht="33" customHeight="1" thickBot="1" x14ac:dyDescent="0.3">
      <c r="A70" s="546" t="s">
        <v>291</v>
      </c>
      <c r="B70" s="543">
        <f>Hipótesis!C55</f>
        <v>4000</v>
      </c>
      <c r="C70" s="566">
        <f t="shared" si="37"/>
        <v>27396</v>
      </c>
      <c r="D70" s="595">
        <f t="shared" si="38"/>
        <v>109584000</v>
      </c>
      <c r="E70" s="846">
        <f>(C21*1.4)*E66</f>
        <v>319.61999999999995</v>
      </c>
      <c r="F70" s="847">
        <f t="shared" si="39"/>
        <v>11734.62</v>
      </c>
      <c r="G70" s="590">
        <f t="shared" si="40"/>
        <v>46938480</v>
      </c>
      <c r="H70" s="602">
        <f>((C21*1.4)*H66)</f>
        <v>639.2399999999999</v>
      </c>
      <c r="I70" s="601">
        <f t="shared" si="41"/>
        <v>12373.86</v>
      </c>
      <c r="J70" s="590">
        <f t="shared" si="42"/>
        <v>49495440</v>
      </c>
      <c r="K70" s="602">
        <f>(C21*1.4)*K66</f>
        <v>639.2399999999999</v>
      </c>
      <c r="L70" s="601">
        <f t="shared" si="43"/>
        <v>13013.1</v>
      </c>
      <c r="M70" s="590">
        <f t="shared" si="44"/>
        <v>52052400</v>
      </c>
      <c r="N70" s="602">
        <f>(C21*1.4)*N66</f>
        <v>799.05</v>
      </c>
      <c r="O70" s="601">
        <f t="shared" si="45"/>
        <v>13812.15</v>
      </c>
      <c r="P70" s="590">
        <f t="shared" si="46"/>
        <v>55248600</v>
      </c>
      <c r="Q70" s="602">
        <f>(C21*1.4)*Q66</f>
        <v>958.8599999999999</v>
      </c>
      <c r="R70" s="601">
        <f t="shared" si="47"/>
        <v>14771.01</v>
      </c>
      <c r="S70" s="590">
        <f t="shared" si="48"/>
        <v>59084040</v>
      </c>
      <c r="T70" s="602">
        <f>(C21*1.4)*T66</f>
        <v>1278.4799999999998</v>
      </c>
      <c r="U70" s="601">
        <f t="shared" si="49"/>
        <v>16049.49</v>
      </c>
      <c r="V70" s="590">
        <f t="shared" si="50"/>
        <v>64197960</v>
      </c>
      <c r="W70" s="602">
        <f>(C21*1.4)*W66</f>
        <v>1598.1</v>
      </c>
      <c r="X70" s="601">
        <f t="shared" si="51"/>
        <v>17647.59</v>
      </c>
      <c r="Y70" s="590">
        <f t="shared" si="52"/>
        <v>70590360</v>
      </c>
      <c r="Z70" s="602">
        <f>(C21*1.4)*Z66</f>
        <v>1757.9099999999999</v>
      </c>
      <c r="AA70" s="601">
        <f t="shared" si="53"/>
        <v>19405.5</v>
      </c>
      <c r="AB70" s="590">
        <f t="shared" si="54"/>
        <v>77622000</v>
      </c>
      <c r="AC70" s="602">
        <f>(C21*1.4)*AC66</f>
        <v>1757.9099999999999</v>
      </c>
      <c r="AD70" s="601">
        <f t="shared" si="55"/>
        <v>21163.41</v>
      </c>
      <c r="AE70" s="590">
        <f t="shared" si="56"/>
        <v>84653640</v>
      </c>
      <c r="AF70" s="602">
        <f>(C21*1.4)*AF66</f>
        <v>1917.7199999999998</v>
      </c>
      <c r="AG70" s="601">
        <f t="shared" si="57"/>
        <v>23081.13</v>
      </c>
      <c r="AH70" s="590">
        <f t="shared" si="58"/>
        <v>92324520</v>
      </c>
      <c r="AI70" s="603">
        <f>(C21*1.4)*AI66</f>
        <v>2077.5299999999997</v>
      </c>
      <c r="AJ70" s="601">
        <f t="shared" si="59"/>
        <v>25158.66</v>
      </c>
      <c r="AK70" s="585">
        <f t="shared" si="60"/>
        <v>100634640</v>
      </c>
      <c r="AL70" s="604">
        <f>(C21*1.4)*AL66</f>
        <v>2237.34</v>
      </c>
      <c r="AM70" s="601">
        <f t="shared" si="61"/>
        <v>27396</v>
      </c>
      <c r="AN70" s="580">
        <f t="shared" si="62"/>
        <v>109584000</v>
      </c>
    </row>
    <row r="71" spans="1:61" ht="16.5" thickBot="1" x14ac:dyDescent="0.3">
      <c r="A71" s="658" t="s">
        <v>70</v>
      </c>
      <c r="B71" s="659"/>
      <c r="C71" s="526">
        <f>SUM(C68:C70)</f>
        <v>145752</v>
      </c>
      <c r="D71" s="525">
        <f>SUM(D68:D70)</f>
        <v>309843600</v>
      </c>
      <c r="E71" s="605"/>
      <c r="F71" s="577"/>
      <c r="G71" s="578">
        <f>SUM(G68:G70)</f>
        <v>132716342</v>
      </c>
      <c r="H71" s="606"/>
      <c r="I71" s="577"/>
      <c r="J71" s="578">
        <f>SUM(J68:J70)</f>
        <v>139946026</v>
      </c>
      <c r="K71" s="606"/>
      <c r="L71" s="577"/>
      <c r="M71" s="578">
        <f>SUM(M68:M70)</f>
        <v>147175710</v>
      </c>
      <c r="N71" s="606"/>
      <c r="O71" s="577"/>
      <c r="P71" s="578">
        <f>SUM(P68:P70)</f>
        <v>156212815</v>
      </c>
      <c r="Q71" s="606"/>
      <c r="R71" s="577"/>
      <c r="S71" s="578">
        <f>SUM(S68:S70)</f>
        <v>167057341</v>
      </c>
      <c r="T71" s="606"/>
      <c r="U71" s="577"/>
      <c r="V71" s="578">
        <f>SUM(V68:V70)</f>
        <v>181516709</v>
      </c>
      <c r="W71" s="606"/>
      <c r="X71" s="577"/>
      <c r="Y71" s="578">
        <f>SUM(Y68:Y70)</f>
        <v>199590919</v>
      </c>
      <c r="Z71" s="606"/>
      <c r="AA71" s="577"/>
      <c r="AB71" s="578">
        <f>SUM(AB68:AB70)</f>
        <v>219472550</v>
      </c>
      <c r="AC71" s="606"/>
      <c r="AD71" s="577"/>
      <c r="AE71" s="578">
        <f>SUM(AE68:AE70)</f>
        <v>239354181</v>
      </c>
      <c r="AF71" s="606"/>
      <c r="AG71" s="577"/>
      <c r="AH71" s="578">
        <f>SUM(AH68:AH70)</f>
        <v>261043233</v>
      </c>
      <c r="AI71" s="606"/>
      <c r="AJ71" s="577"/>
      <c r="AK71" s="578">
        <f>SUM(AK68:AK70)</f>
        <v>284539706</v>
      </c>
      <c r="AL71" s="606"/>
      <c r="AM71" s="577"/>
      <c r="AN71" s="578">
        <f>SUM(AN68:AN70)</f>
        <v>309843600</v>
      </c>
      <c r="AO71" s="43"/>
    </row>
  </sheetData>
  <mergeCells count="89">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M53:M54"/>
    <mergeCell ref="A64:AN64"/>
    <mergeCell ref="A65:A67"/>
    <mergeCell ref="B65:B67"/>
    <mergeCell ref="C65:D65"/>
    <mergeCell ref="E65:G65"/>
    <mergeCell ref="H65:J65"/>
    <mergeCell ref="K65:M65"/>
    <mergeCell ref="N65:P65"/>
    <mergeCell ref="Q65:S65"/>
    <mergeCell ref="T65:V65"/>
    <mergeCell ref="W65:Y65"/>
    <mergeCell ref="Z65:AB65"/>
    <mergeCell ref="AC65:AE65"/>
    <mergeCell ref="AF65:AH65"/>
    <mergeCell ref="AI65:AK65"/>
    <mergeCell ref="W53:W54"/>
    <mergeCell ref="X53:X54"/>
    <mergeCell ref="B53:B54"/>
    <mergeCell ref="R53:R54"/>
    <mergeCell ref="S53:S54"/>
    <mergeCell ref="L53:L54"/>
    <mergeCell ref="K53:K54"/>
    <mergeCell ref="J53:J54"/>
    <mergeCell ref="I53:I54"/>
    <mergeCell ref="H53:H54"/>
    <mergeCell ref="G53:G54"/>
    <mergeCell ref="E53:E54"/>
    <mergeCell ref="Q53:Q54"/>
    <mergeCell ref="P53:P54"/>
    <mergeCell ref="O53:O54"/>
    <mergeCell ref="N53:N54"/>
    <mergeCell ref="F53:F54"/>
    <mergeCell ref="D53:D54"/>
    <mergeCell ref="C53:C54"/>
    <mergeCell ref="AC16:AE16"/>
    <mergeCell ref="Z16:AB16"/>
    <mergeCell ref="I5:P5"/>
    <mergeCell ref="W16:Y16"/>
    <mergeCell ref="T16:V16"/>
    <mergeCell ref="Q16:S16"/>
    <mergeCell ref="N16:P16"/>
    <mergeCell ref="T53:T54"/>
    <mergeCell ref="A52:X52"/>
    <mergeCell ref="V53:V54"/>
    <mergeCell ref="U53:U54"/>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H17:J17"/>
    <mergeCell ref="AI17:AK17"/>
    <mergeCell ref="AF17:AH17"/>
    <mergeCell ref="AC17:AE17"/>
    <mergeCell ref="Z17:AB17"/>
    <mergeCell ref="W17:Y17"/>
    <mergeCell ref="T17:V17"/>
    <mergeCell ref="Q17:S17"/>
    <mergeCell ref="N17:P17"/>
    <mergeCell ref="A22:B22"/>
    <mergeCell ref="C17:C18"/>
    <mergeCell ref="D17:D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0"/>
  <sheetViews>
    <sheetView zoomScale="70" zoomScaleNormal="70" workbookViewId="0">
      <pane ySplit="1" topLeftCell="A2" activePane="bottomLeft" state="frozen"/>
      <selection pane="bottomLeft" activeCell="C23" sqref="C23"/>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75" customFormat="1" ht="58.5" customHeight="1" x14ac:dyDescent="0.25">
      <c r="A1" s="477"/>
      <c r="B1" s="477"/>
      <c r="C1" s="477"/>
      <c r="D1" s="477"/>
      <c r="E1" s="480" t="s">
        <v>3</v>
      </c>
      <c r="F1" s="477"/>
      <c r="G1" s="481"/>
      <c r="H1" s="481"/>
      <c r="I1" s="477"/>
      <c r="J1" s="477"/>
      <c r="K1" s="477"/>
      <c r="L1" s="477"/>
      <c r="M1" s="477"/>
      <c r="N1" s="477"/>
      <c r="O1" s="477"/>
      <c r="P1" s="477"/>
      <c r="Q1" s="477"/>
      <c r="R1" s="477"/>
      <c r="S1" s="477"/>
      <c r="T1" s="477"/>
      <c r="U1" s="477"/>
      <c r="V1" s="477"/>
      <c r="W1" s="477"/>
      <c r="X1" s="477"/>
    </row>
    <row r="6" spans="1:24" ht="15.75" thickBot="1" x14ac:dyDescent="0.3"/>
    <row r="7" spans="1:24" ht="27" thickBot="1" x14ac:dyDescent="0.45">
      <c r="B7" s="691" t="s">
        <v>35</v>
      </c>
      <c r="C7" s="692"/>
      <c r="D7" s="693"/>
    </row>
    <row r="8" spans="1:24" x14ac:dyDescent="0.25">
      <c r="B8" s="34">
        <v>2019</v>
      </c>
      <c r="C8" s="34">
        <v>2020</v>
      </c>
      <c r="D8" s="34">
        <v>2021</v>
      </c>
    </row>
    <row r="9" spans="1:24" x14ac:dyDescent="0.25">
      <c r="B9" s="40">
        <f>Hipótesis!C24</f>
        <v>0.02</v>
      </c>
      <c r="C9" s="40">
        <f>Hipótesis!C25</f>
        <v>0.05</v>
      </c>
      <c r="D9" s="40">
        <f>Hipótesis!C26</f>
        <v>7.0000000000000007E-2</v>
      </c>
    </row>
    <row r="10" spans="1:24" x14ac:dyDescent="0.25">
      <c r="B10" s="33">
        <f>Hipótesis!D24</f>
        <v>121458400</v>
      </c>
      <c r="C10" s="33">
        <f>Hipótesis!D25</f>
        <v>303646000</v>
      </c>
      <c r="D10" s="33">
        <f>Hipótesis!D26</f>
        <v>425104400.00000006</v>
      </c>
    </row>
    <row r="14" spans="1:24" ht="15.75" thickBot="1" x14ac:dyDescent="0.3"/>
    <row r="15" spans="1:24" ht="27" thickBot="1" x14ac:dyDescent="0.45">
      <c r="B15" s="694" t="s">
        <v>59</v>
      </c>
      <c r="C15" s="695"/>
      <c r="D15" s="695"/>
      <c r="E15" s="696"/>
    </row>
    <row r="16" spans="1:24" ht="16.5" thickBot="1" x14ac:dyDescent="0.3">
      <c r="B16" s="65" t="s">
        <v>31</v>
      </c>
      <c r="C16" s="64" t="s">
        <v>55</v>
      </c>
      <c r="D16" s="64" t="s">
        <v>56</v>
      </c>
      <c r="E16" s="66" t="s">
        <v>57</v>
      </c>
    </row>
    <row r="17" spans="2:5" ht="15.75" x14ac:dyDescent="0.25">
      <c r="B17" s="70"/>
      <c r="C17" s="71">
        <f>'Proy. ventas'!D19</f>
        <v>43166500</v>
      </c>
      <c r="D17" s="71" t="e">
        <f>'Proy. ventas'!#REF!</f>
        <v>#REF!</v>
      </c>
      <c r="E17" s="72" t="e">
        <f>'Proy. ventas'!#REF!</f>
        <v>#REF!</v>
      </c>
    </row>
    <row r="18" spans="2:5" ht="15.75" x14ac:dyDescent="0.25">
      <c r="B18" s="73"/>
      <c r="C18" s="74" t="e">
        <f>'Proy. ventas'!#REF!</f>
        <v>#REF!</v>
      </c>
      <c r="D18" s="74" t="e">
        <f>'Proy. ventas'!#REF!</f>
        <v>#REF!</v>
      </c>
      <c r="E18" s="75" t="e">
        <f>'Proy. ventas'!#REF!</f>
        <v>#REF!</v>
      </c>
    </row>
    <row r="19" spans="2:5" ht="16.5" thickBot="1" x14ac:dyDescent="0.3">
      <c r="B19" s="76"/>
      <c r="C19" s="77" t="e">
        <f>'Proy. ventas'!#REF!</f>
        <v>#REF!</v>
      </c>
      <c r="D19" s="77" t="e">
        <f>'Proy. ventas'!#REF!</f>
        <v>#REF!</v>
      </c>
      <c r="E19" s="78" t="e">
        <f>'Proy. ventas'!#REF!</f>
        <v>#REF!</v>
      </c>
    </row>
    <row r="20" spans="2:5" ht="15.75" x14ac:dyDescent="0.25">
      <c r="B20" s="79"/>
      <c r="C20" s="80">
        <f>'Proy. ventas'!D20</f>
        <v>40275000</v>
      </c>
      <c r="D20" s="80" t="e">
        <f>'Proy. ventas'!#REF!</f>
        <v>#REF!</v>
      </c>
      <c r="E20" s="81" t="e">
        <f>'Proy. ventas'!#REF!</f>
        <v>#REF!</v>
      </c>
    </row>
    <row r="21" spans="2:5" ht="15.75" x14ac:dyDescent="0.25">
      <c r="B21" s="82"/>
      <c r="C21" s="83" t="e">
        <f>'Proy. ventas'!#REF!</f>
        <v>#REF!</v>
      </c>
      <c r="D21" s="83" t="e">
        <f>'Proy. ventas'!#REF!</f>
        <v>#REF!</v>
      </c>
      <c r="E21" s="84" t="e">
        <f>'Proy. ventas'!#REF!</f>
        <v>#REF!</v>
      </c>
    </row>
    <row r="22" spans="2:5" ht="15.75" x14ac:dyDescent="0.25">
      <c r="B22" s="82"/>
      <c r="C22" s="83" t="e">
        <f>'Proy. ventas'!#REF!</f>
        <v>#REF!</v>
      </c>
      <c r="D22" s="83" t="e">
        <f>'Proy. ventas'!#REF!</f>
        <v>#REF!</v>
      </c>
      <c r="E22" s="84" t="e">
        <f>'Proy. ventas'!#REF!</f>
        <v>#REF!</v>
      </c>
    </row>
    <row r="23" spans="2:5" ht="16.5" thickBot="1" x14ac:dyDescent="0.3">
      <c r="B23" s="85"/>
      <c r="C23" s="86" t="e">
        <f>'Proy. ventas'!#REF!</f>
        <v>#REF!</v>
      </c>
      <c r="D23" s="86" t="e">
        <f>'Proy. ventas'!#REF!</f>
        <v>#REF!</v>
      </c>
      <c r="E23" s="87" t="e">
        <f>'Proy. ventas'!#REF!</f>
        <v>#REF!</v>
      </c>
    </row>
    <row r="24" spans="2:5" ht="15.75" x14ac:dyDescent="0.25">
      <c r="B24" s="88"/>
      <c r="C24" s="89">
        <f>'Proy. ventas'!D21</f>
        <v>45660000</v>
      </c>
      <c r="D24" s="89" t="e">
        <f>'Proy. ventas'!#REF!</f>
        <v>#REF!</v>
      </c>
      <c r="E24" s="90" t="e">
        <f>'Proy. ventas'!#REF!</f>
        <v>#REF!</v>
      </c>
    </row>
    <row r="25" spans="2:5" ht="15.75" x14ac:dyDescent="0.25">
      <c r="B25" s="91"/>
      <c r="C25" s="92" t="e">
        <f>'Proy. ventas'!#REF!</f>
        <v>#REF!</v>
      </c>
      <c r="D25" s="92" t="e">
        <f>'Proy. ventas'!#REF!</f>
        <v>#REF!</v>
      </c>
      <c r="E25" s="93" t="e">
        <f>'Proy. ventas'!#REF!</f>
        <v>#REF!</v>
      </c>
    </row>
    <row r="26" spans="2:5" ht="15.75" x14ac:dyDescent="0.25">
      <c r="B26" s="91"/>
      <c r="C26" s="92" t="e">
        <f>'Proy. ventas'!#REF!</f>
        <v>#REF!</v>
      </c>
      <c r="D26" s="92" t="e">
        <f>'Proy. ventas'!#REF!</f>
        <v>#REF!</v>
      </c>
      <c r="E26" s="93" t="e">
        <f>'Proy. ventas'!#REF!</f>
        <v>#REF!</v>
      </c>
    </row>
    <row r="27" spans="2:5" ht="15.75" x14ac:dyDescent="0.25">
      <c r="B27" s="91"/>
      <c r="C27" s="92" t="e">
        <f>'Proy. ventas'!#REF!</f>
        <v>#REF!</v>
      </c>
      <c r="D27" s="92" t="e">
        <f>'Proy. ventas'!#REF!</f>
        <v>#REF!</v>
      </c>
      <c r="E27" s="93" t="e">
        <f>'Proy. ventas'!#REF!</f>
        <v>#REF!</v>
      </c>
    </row>
    <row r="28" spans="2:5" ht="16.5" thickBot="1" x14ac:dyDescent="0.3">
      <c r="B28" s="94"/>
      <c r="C28" s="95" t="e">
        <f>'Proy. ventas'!#REF!</f>
        <v>#REF!</v>
      </c>
      <c r="D28" s="95" t="e">
        <f>'Proy. ventas'!#REF!</f>
        <v>#REF!</v>
      </c>
      <c r="E28" s="96" t="e">
        <f>'Proy. ventas'!#REF!</f>
        <v>#REF!</v>
      </c>
    </row>
    <row r="29" spans="2:5" ht="15.75" x14ac:dyDescent="0.25">
      <c r="B29" s="97"/>
      <c r="C29" s="98" t="e">
        <f>'Proy. ventas'!#REF!</f>
        <v>#REF!</v>
      </c>
      <c r="D29" s="98" t="e">
        <f>'Proy. ventas'!#REF!</f>
        <v>#REF!</v>
      </c>
      <c r="E29" s="99" t="e">
        <f>'Proy. ventas'!#REF!</f>
        <v>#REF!</v>
      </c>
    </row>
    <row r="30" spans="2:5" ht="15.75" thickBot="1" x14ac:dyDescent="0.3">
      <c r="B30" s="67" t="s">
        <v>58</v>
      </c>
      <c r="C30" s="68" t="e">
        <f t="shared" ref="C30:E30" si="0">SUM(C17:C29)</f>
        <v>#REF!</v>
      </c>
      <c r="D30" s="68" t="e">
        <f t="shared" si="0"/>
        <v>#REF!</v>
      </c>
      <c r="E30" s="69" t="e">
        <f t="shared" si="0"/>
        <v>#REF!</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1"/>
  <sheetViews>
    <sheetView zoomScale="70" zoomScaleNormal="70" workbookViewId="0">
      <pane ySplit="1" topLeftCell="A38" activePane="bottomLeft" state="frozen"/>
      <selection pane="bottomLeft" activeCell="D56" sqref="D56"/>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475" customFormat="1" ht="58.5" customHeight="1" x14ac:dyDescent="0.25">
      <c r="A1" s="477"/>
      <c r="B1" s="477"/>
      <c r="C1" s="477"/>
      <c r="D1" s="477"/>
      <c r="E1" s="477"/>
      <c r="F1" s="480" t="s">
        <v>4</v>
      </c>
      <c r="G1" s="481"/>
      <c r="H1" s="481"/>
      <c r="I1" s="477"/>
      <c r="J1" s="477"/>
      <c r="K1" s="477"/>
      <c r="L1" s="477"/>
      <c r="M1" s="477"/>
      <c r="N1" s="477"/>
      <c r="O1" s="477"/>
      <c r="P1" s="477"/>
      <c r="Q1" s="477"/>
    </row>
    <row r="2" spans="1:17" ht="15.75" thickBot="1" x14ac:dyDescent="0.3"/>
    <row r="3" spans="1:17" ht="27" thickBot="1" x14ac:dyDescent="0.45">
      <c r="C3" s="691" t="s">
        <v>35</v>
      </c>
      <c r="D3" s="692"/>
      <c r="E3" s="693"/>
      <c r="G3" s="691" t="s">
        <v>94</v>
      </c>
      <c r="H3" s="692"/>
      <c r="I3" s="693"/>
    </row>
    <row r="4" spans="1:17" x14ac:dyDescent="0.25">
      <c r="C4" s="44">
        <v>2019</v>
      </c>
      <c r="D4" s="34">
        <v>2020</v>
      </c>
      <c r="E4" s="45">
        <v>2021</v>
      </c>
      <c r="G4" s="44">
        <v>2019</v>
      </c>
      <c r="H4" s="34">
        <v>2020</v>
      </c>
      <c r="I4" s="45">
        <v>2021</v>
      </c>
    </row>
    <row r="5" spans="1:17" ht="15.75" thickBot="1" x14ac:dyDescent="0.3">
      <c r="C5" s="46">
        <f>Hipótesis!C24</f>
        <v>0.02</v>
      </c>
      <c r="D5" s="40">
        <f>Hipótesis!C25</f>
        <v>0.05</v>
      </c>
      <c r="E5" s="47">
        <f>Hipótesis!C26</f>
        <v>7.0000000000000007E-2</v>
      </c>
      <c r="G5" s="48">
        <f>P24</f>
        <v>2343935.7000000002</v>
      </c>
      <c r="H5" s="49">
        <f>P42</f>
        <v>2614351.9749999996</v>
      </c>
      <c r="I5" s="50">
        <f>P61</f>
        <v>2971977.4835000001</v>
      </c>
    </row>
    <row r="6" spans="1:17" ht="15.75" thickBot="1" x14ac:dyDescent="0.3">
      <c r="C6" s="48">
        <f>Hipótesis!D24</f>
        <v>121458400</v>
      </c>
      <c r="D6" s="49">
        <f>Hipótesis!D25</f>
        <v>303646000</v>
      </c>
      <c r="E6" s="50">
        <f>Hipótesis!D26</f>
        <v>425104400.00000006</v>
      </c>
      <c r="G6" s="162"/>
      <c r="H6" s="162"/>
      <c r="I6" s="162"/>
    </row>
    <row r="8" spans="1:17" ht="15.75" thickBot="1" x14ac:dyDescent="0.3"/>
    <row r="9" spans="1:17" ht="27" thickBot="1" x14ac:dyDescent="0.45">
      <c r="B9" s="691" t="s">
        <v>81</v>
      </c>
      <c r="C9" s="692"/>
      <c r="D9" s="692"/>
      <c r="E9" s="692"/>
      <c r="F9" s="692"/>
      <c r="G9" s="692"/>
      <c r="H9" s="692"/>
      <c r="I9" s="692"/>
      <c r="J9" s="692"/>
      <c r="K9" s="692"/>
      <c r="L9" s="692"/>
      <c r="M9" s="692"/>
      <c r="N9" s="692"/>
      <c r="O9" s="692"/>
      <c r="P9" s="692"/>
      <c r="Q9" s="693"/>
    </row>
    <row r="10" spans="1:17" ht="19.5" thickBot="1" x14ac:dyDescent="0.3">
      <c r="B10" s="702" t="s">
        <v>82</v>
      </c>
      <c r="C10" s="703"/>
      <c r="D10" s="149" t="s">
        <v>40</v>
      </c>
      <c r="E10" s="129" t="s">
        <v>41</v>
      </c>
      <c r="F10" s="129" t="s">
        <v>42</v>
      </c>
      <c r="G10" s="129" t="s">
        <v>43</v>
      </c>
      <c r="H10" s="129" t="s">
        <v>44</v>
      </c>
      <c r="I10" s="129" t="s">
        <v>45</v>
      </c>
      <c r="J10" s="129" t="s">
        <v>46</v>
      </c>
      <c r="K10" s="129" t="s">
        <v>47</v>
      </c>
      <c r="L10" s="129" t="s">
        <v>48</v>
      </c>
      <c r="M10" s="129" t="s">
        <v>49</v>
      </c>
      <c r="N10" s="129" t="s">
        <v>50</v>
      </c>
      <c r="O10" s="130" t="s">
        <v>51</v>
      </c>
      <c r="P10" s="131" t="s">
        <v>84</v>
      </c>
      <c r="Q10" s="132" t="s">
        <v>83</v>
      </c>
    </row>
    <row r="11" spans="1:17" x14ac:dyDescent="0.25">
      <c r="B11" s="697" t="s">
        <v>74</v>
      </c>
      <c r="C11" s="156" t="s">
        <v>75</v>
      </c>
      <c r="D11" s="150">
        <v>804.62</v>
      </c>
      <c r="E11" s="133">
        <v>0</v>
      </c>
      <c r="F11" s="133">
        <v>804.62</v>
      </c>
      <c r="G11" s="133">
        <v>0</v>
      </c>
      <c r="H11" s="133">
        <v>804.62</v>
      </c>
      <c r="I11" s="133">
        <v>0</v>
      </c>
      <c r="J11" s="133">
        <v>1774.61</v>
      </c>
      <c r="K11" s="133">
        <v>0</v>
      </c>
      <c r="L11" s="133">
        <v>1774.61</v>
      </c>
      <c r="M11" s="133">
        <v>0</v>
      </c>
      <c r="N11" s="133">
        <v>804.62</v>
      </c>
      <c r="O11" s="134">
        <v>0</v>
      </c>
      <c r="P11" s="135">
        <f t="shared" ref="P11:P18" si="0">SUM(D11:O11)</f>
        <v>6767.7</v>
      </c>
      <c r="Q11" s="136"/>
    </row>
    <row r="12" spans="1:17" x14ac:dyDescent="0.25">
      <c r="B12" s="698"/>
      <c r="C12" s="157" t="s">
        <v>77</v>
      </c>
      <c r="D12" s="151">
        <v>9365</v>
      </c>
      <c r="E12" s="114">
        <v>9365</v>
      </c>
      <c r="F12" s="114">
        <v>9365</v>
      </c>
      <c r="G12" s="114">
        <v>9365</v>
      </c>
      <c r="H12" s="114">
        <v>9365</v>
      </c>
      <c r="I12" s="114">
        <v>9365</v>
      </c>
      <c r="J12" s="114">
        <v>9365</v>
      </c>
      <c r="K12" s="114">
        <v>9365</v>
      </c>
      <c r="L12" s="114">
        <v>9365</v>
      </c>
      <c r="M12" s="114">
        <v>9365</v>
      </c>
      <c r="N12" s="114">
        <v>9365</v>
      </c>
      <c r="O12" s="116">
        <v>9365</v>
      </c>
      <c r="P12" s="120">
        <f t="shared" si="0"/>
        <v>112380</v>
      </c>
      <c r="Q12" s="117"/>
    </row>
    <row r="13" spans="1:17" x14ac:dyDescent="0.25">
      <c r="B13" s="698"/>
      <c r="C13" s="157" t="s">
        <v>76</v>
      </c>
      <c r="D13" s="151">
        <v>615</v>
      </c>
      <c r="E13" s="114">
        <v>615</v>
      </c>
      <c r="F13" s="114">
        <v>615</v>
      </c>
      <c r="G13" s="114">
        <v>615</v>
      </c>
      <c r="H13" s="114">
        <v>615</v>
      </c>
      <c r="I13" s="114">
        <v>615</v>
      </c>
      <c r="J13" s="114">
        <v>615</v>
      </c>
      <c r="K13" s="114">
        <v>615</v>
      </c>
      <c r="L13" s="114">
        <v>615</v>
      </c>
      <c r="M13" s="114">
        <v>615</v>
      </c>
      <c r="N13" s="114">
        <v>615</v>
      </c>
      <c r="O13" s="116">
        <v>615</v>
      </c>
      <c r="P13" s="120">
        <f t="shared" si="0"/>
        <v>7380</v>
      </c>
      <c r="Q13" s="117"/>
    </row>
    <row r="14" spans="1:17" x14ac:dyDescent="0.25">
      <c r="B14" s="698"/>
      <c r="C14" s="157" t="s">
        <v>85</v>
      </c>
      <c r="D14" s="151">
        <v>390</v>
      </c>
      <c r="E14" s="114">
        <v>390</v>
      </c>
      <c r="F14" s="114">
        <v>390</v>
      </c>
      <c r="G14" s="114">
        <v>390</v>
      </c>
      <c r="H14" s="114">
        <v>390</v>
      </c>
      <c r="I14" s="114">
        <v>390</v>
      </c>
      <c r="J14" s="114">
        <v>390</v>
      </c>
      <c r="K14" s="114">
        <v>390</v>
      </c>
      <c r="L14" s="114">
        <v>390</v>
      </c>
      <c r="M14" s="114">
        <v>390</v>
      </c>
      <c r="N14" s="114">
        <v>390</v>
      </c>
      <c r="O14" s="116">
        <v>390</v>
      </c>
      <c r="P14" s="120">
        <f t="shared" si="0"/>
        <v>4680</v>
      </c>
      <c r="Q14" s="118"/>
    </row>
    <row r="15" spans="1:17" x14ac:dyDescent="0.25">
      <c r="B15" s="698"/>
      <c r="C15" s="158" t="s">
        <v>86</v>
      </c>
      <c r="D15" s="151">
        <f>725*6</f>
        <v>4350</v>
      </c>
      <c r="E15" s="114">
        <f t="shared" ref="E15:O15" si="1">725*6</f>
        <v>4350</v>
      </c>
      <c r="F15" s="114">
        <f t="shared" si="1"/>
        <v>4350</v>
      </c>
      <c r="G15" s="114">
        <f t="shared" si="1"/>
        <v>4350</v>
      </c>
      <c r="H15" s="114">
        <f t="shared" si="1"/>
        <v>4350</v>
      </c>
      <c r="I15" s="114">
        <f t="shared" si="1"/>
        <v>4350</v>
      </c>
      <c r="J15" s="114">
        <f t="shared" si="1"/>
        <v>4350</v>
      </c>
      <c r="K15" s="114">
        <f t="shared" si="1"/>
        <v>4350</v>
      </c>
      <c r="L15" s="114">
        <f t="shared" si="1"/>
        <v>4350</v>
      </c>
      <c r="M15" s="114">
        <f t="shared" si="1"/>
        <v>4350</v>
      </c>
      <c r="N15" s="114">
        <f t="shared" si="1"/>
        <v>4350</v>
      </c>
      <c r="O15" s="116">
        <f t="shared" si="1"/>
        <v>4350</v>
      </c>
      <c r="P15" s="120">
        <f t="shared" si="0"/>
        <v>52200</v>
      </c>
      <c r="Q15" s="119"/>
    </row>
    <row r="16" spans="1:17" x14ac:dyDescent="0.25">
      <c r="B16" s="698"/>
      <c r="C16" s="158" t="s">
        <v>87</v>
      </c>
      <c r="D16" s="151">
        <v>2290</v>
      </c>
      <c r="E16" s="114">
        <v>2290</v>
      </c>
      <c r="F16" s="114">
        <v>2290</v>
      </c>
      <c r="G16" s="114">
        <v>2290</v>
      </c>
      <c r="H16" s="114">
        <v>2290</v>
      </c>
      <c r="I16" s="114">
        <v>2290</v>
      </c>
      <c r="J16" s="114">
        <v>2290</v>
      </c>
      <c r="K16" s="114">
        <v>2290</v>
      </c>
      <c r="L16" s="114">
        <v>2290</v>
      </c>
      <c r="M16" s="114">
        <v>2290</v>
      </c>
      <c r="N16" s="114">
        <v>2290</v>
      </c>
      <c r="O16" s="116">
        <v>2290</v>
      </c>
      <c r="P16" s="120">
        <f t="shared" si="0"/>
        <v>27480</v>
      </c>
      <c r="Q16" s="119"/>
    </row>
    <row r="17" spans="2:17" x14ac:dyDescent="0.25">
      <c r="B17" s="698"/>
      <c r="C17" s="119" t="s">
        <v>88</v>
      </c>
      <c r="D17" s="151">
        <f>18228/12</f>
        <v>1519</v>
      </c>
      <c r="E17" s="114">
        <f t="shared" ref="E17:O17" si="2">18228/12</f>
        <v>1519</v>
      </c>
      <c r="F17" s="114">
        <f t="shared" si="2"/>
        <v>1519</v>
      </c>
      <c r="G17" s="114">
        <f t="shared" si="2"/>
        <v>1519</v>
      </c>
      <c r="H17" s="114">
        <f t="shared" si="2"/>
        <v>1519</v>
      </c>
      <c r="I17" s="114">
        <f t="shared" si="2"/>
        <v>1519</v>
      </c>
      <c r="J17" s="114">
        <f t="shared" si="2"/>
        <v>1519</v>
      </c>
      <c r="K17" s="114">
        <f t="shared" si="2"/>
        <v>1519</v>
      </c>
      <c r="L17" s="114">
        <f t="shared" si="2"/>
        <v>1519</v>
      </c>
      <c r="M17" s="114">
        <f t="shared" si="2"/>
        <v>1519</v>
      </c>
      <c r="N17" s="114">
        <f t="shared" si="2"/>
        <v>1519</v>
      </c>
      <c r="O17" s="116">
        <f t="shared" si="2"/>
        <v>1519</v>
      </c>
      <c r="P17" s="120">
        <f t="shared" si="0"/>
        <v>18228</v>
      </c>
      <c r="Q17" s="119"/>
    </row>
    <row r="18" spans="2:17" ht="16.5" customHeight="1" thickBot="1" x14ac:dyDescent="0.3">
      <c r="B18" s="699"/>
      <c r="C18" s="159" t="s">
        <v>89</v>
      </c>
      <c r="D18" s="152">
        <v>1860</v>
      </c>
      <c r="E18" s="137">
        <v>1860</v>
      </c>
      <c r="F18" s="137">
        <v>1860</v>
      </c>
      <c r="G18" s="137">
        <v>1860</v>
      </c>
      <c r="H18" s="137">
        <v>1860</v>
      </c>
      <c r="I18" s="137">
        <v>1860</v>
      </c>
      <c r="J18" s="137">
        <v>1860</v>
      </c>
      <c r="K18" s="137">
        <v>1860</v>
      </c>
      <c r="L18" s="137">
        <v>1860</v>
      </c>
      <c r="M18" s="137">
        <v>1860</v>
      </c>
      <c r="N18" s="137">
        <v>1860</v>
      </c>
      <c r="O18" s="138">
        <v>1860</v>
      </c>
      <c r="P18" s="121">
        <f t="shared" si="0"/>
        <v>22320</v>
      </c>
      <c r="Q18" s="139"/>
    </row>
    <row r="19" spans="2:17" ht="63.75" customHeight="1" x14ac:dyDescent="0.25">
      <c r="B19" s="704" t="s">
        <v>78</v>
      </c>
      <c r="C19" s="160" t="s">
        <v>280</v>
      </c>
      <c r="D19" s="153">
        <v>65000</v>
      </c>
      <c r="E19" s="140">
        <v>65000</v>
      </c>
      <c r="F19" s="140">
        <v>65000</v>
      </c>
      <c r="G19" s="140">
        <v>65000</v>
      </c>
      <c r="H19" s="140">
        <v>65000</v>
      </c>
      <c r="I19" s="140">
        <v>65000</v>
      </c>
      <c r="J19" s="140">
        <v>74750</v>
      </c>
      <c r="K19" s="140">
        <v>74750</v>
      </c>
      <c r="L19" s="140">
        <v>74750</v>
      </c>
      <c r="M19" s="140">
        <v>74750</v>
      </c>
      <c r="N19" s="140">
        <v>74750</v>
      </c>
      <c r="O19" s="141">
        <v>74750</v>
      </c>
      <c r="P19" s="142">
        <f t="shared" ref="P19:P23" si="3">SUM(D19:O19)</f>
        <v>838500</v>
      </c>
      <c r="Q19" s="143"/>
    </row>
    <row r="20" spans="2:17" ht="22.5" customHeight="1" thickBot="1" x14ac:dyDescent="0.3">
      <c r="B20" s="705"/>
      <c r="C20" s="159" t="s">
        <v>90</v>
      </c>
      <c r="D20" s="152">
        <v>0</v>
      </c>
      <c r="E20" s="137">
        <v>0</v>
      </c>
      <c r="F20" s="137">
        <v>0</v>
      </c>
      <c r="G20" s="137">
        <v>0</v>
      </c>
      <c r="H20" s="137">
        <v>0</v>
      </c>
      <c r="I20" s="137">
        <v>0</v>
      </c>
      <c r="J20" s="137">
        <v>0</v>
      </c>
      <c r="K20" s="137">
        <v>0</v>
      </c>
      <c r="L20" s="137">
        <v>0</v>
      </c>
      <c r="M20" s="137">
        <v>0</v>
      </c>
      <c r="N20" s="137">
        <v>0</v>
      </c>
      <c r="O20" s="138">
        <v>0</v>
      </c>
      <c r="P20" s="121">
        <f t="shared" si="3"/>
        <v>0</v>
      </c>
      <c r="Q20" s="139"/>
    </row>
    <row r="21" spans="2:17" ht="19.5" thickBot="1" x14ac:dyDescent="0.35">
      <c r="B21" s="144" t="s">
        <v>79</v>
      </c>
      <c r="C21" s="161" t="s">
        <v>80</v>
      </c>
      <c r="D21" s="154">
        <v>8500</v>
      </c>
      <c r="E21" s="145">
        <v>8500</v>
      </c>
      <c r="F21" s="145">
        <v>8500</v>
      </c>
      <c r="G21" s="145">
        <v>8500</v>
      </c>
      <c r="H21" s="145">
        <v>8500</v>
      </c>
      <c r="I21" s="145">
        <v>8500</v>
      </c>
      <c r="J21" s="145">
        <v>8500</v>
      </c>
      <c r="K21" s="145">
        <v>8500</v>
      </c>
      <c r="L21" s="145">
        <v>8500</v>
      </c>
      <c r="M21" s="145">
        <v>8500</v>
      </c>
      <c r="N21" s="145">
        <v>8500</v>
      </c>
      <c r="O21" s="146">
        <v>8500</v>
      </c>
      <c r="P21" s="126">
        <f t="shared" si="3"/>
        <v>102000</v>
      </c>
      <c r="Q21" s="147"/>
    </row>
    <row r="22" spans="2:17" x14ac:dyDescent="0.25">
      <c r="B22" s="700" t="s">
        <v>91</v>
      </c>
      <c r="C22" s="157" t="s">
        <v>281</v>
      </c>
      <c r="D22" s="151">
        <f>200*60*4</f>
        <v>48000</v>
      </c>
      <c r="E22" s="114">
        <f t="shared" ref="E22:O23" si="4">200*60*4</f>
        <v>48000</v>
      </c>
      <c r="F22" s="114">
        <f t="shared" si="4"/>
        <v>48000</v>
      </c>
      <c r="G22" s="114">
        <f t="shared" si="4"/>
        <v>48000</v>
      </c>
      <c r="H22" s="114">
        <f t="shared" si="4"/>
        <v>48000</v>
      </c>
      <c r="I22" s="114">
        <f t="shared" si="4"/>
        <v>48000</v>
      </c>
      <c r="J22" s="114">
        <f t="shared" si="4"/>
        <v>48000</v>
      </c>
      <c r="K22" s="114">
        <f t="shared" si="4"/>
        <v>48000</v>
      </c>
      <c r="L22" s="114">
        <f t="shared" si="4"/>
        <v>48000</v>
      </c>
      <c r="M22" s="114">
        <f t="shared" si="4"/>
        <v>48000</v>
      </c>
      <c r="N22" s="114">
        <f t="shared" si="4"/>
        <v>48000</v>
      </c>
      <c r="O22" s="116">
        <f t="shared" si="4"/>
        <v>48000</v>
      </c>
      <c r="P22" s="120">
        <f t="shared" si="3"/>
        <v>576000</v>
      </c>
      <c r="Q22" s="118"/>
    </row>
    <row r="23" spans="2:17" ht="20.25" customHeight="1" thickBot="1" x14ac:dyDescent="0.3">
      <c r="B23" s="701"/>
      <c r="C23" s="159" t="s">
        <v>281</v>
      </c>
      <c r="D23" s="155">
        <f>200*60*4</f>
        <v>48000</v>
      </c>
      <c r="E23" s="155">
        <f t="shared" si="4"/>
        <v>48000</v>
      </c>
      <c r="F23" s="155">
        <f t="shared" si="4"/>
        <v>48000</v>
      </c>
      <c r="G23" s="155">
        <f t="shared" si="4"/>
        <v>48000</v>
      </c>
      <c r="H23" s="155">
        <f t="shared" si="4"/>
        <v>48000</v>
      </c>
      <c r="I23" s="155">
        <f t="shared" si="4"/>
        <v>48000</v>
      </c>
      <c r="J23" s="155">
        <f t="shared" si="4"/>
        <v>48000</v>
      </c>
      <c r="K23" s="155">
        <f t="shared" si="4"/>
        <v>48000</v>
      </c>
      <c r="L23" s="155">
        <f t="shared" si="4"/>
        <v>48000</v>
      </c>
      <c r="M23" s="155">
        <f t="shared" si="4"/>
        <v>48000</v>
      </c>
      <c r="N23" s="155">
        <f t="shared" si="4"/>
        <v>48000</v>
      </c>
      <c r="O23" s="155">
        <f t="shared" si="4"/>
        <v>48000</v>
      </c>
      <c r="P23" s="122">
        <f t="shared" si="3"/>
        <v>576000</v>
      </c>
      <c r="Q23" s="118"/>
    </row>
    <row r="24" spans="2:17" ht="15.75" thickBot="1" x14ac:dyDescent="0.3">
      <c r="B24" s="21"/>
      <c r="C24" s="123" t="s">
        <v>19</v>
      </c>
      <c r="D24" s="124">
        <f t="shared" ref="D24:P24" si="5">SUM(D11:D23)</f>
        <v>190693.62</v>
      </c>
      <c r="E24" s="124">
        <f t="shared" si="5"/>
        <v>189889</v>
      </c>
      <c r="F24" s="124">
        <f t="shared" si="5"/>
        <v>190693.62</v>
      </c>
      <c r="G24" s="124">
        <f t="shared" si="5"/>
        <v>189889</v>
      </c>
      <c r="H24" s="124">
        <f t="shared" si="5"/>
        <v>190693.62</v>
      </c>
      <c r="I24" s="124">
        <f t="shared" si="5"/>
        <v>189889</v>
      </c>
      <c r="J24" s="124">
        <f t="shared" si="5"/>
        <v>201413.61</v>
      </c>
      <c r="K24" s="124">
        <f t="shared" si="5"/>
        <v>199639</v>
      </c>
      <c r="L24" s="124">
        <f t="shared" si="5"/>
        <v>201413.61</v>
      </c>
      <c r="M24" s="124">
        <f t="shared" si="5"/>
        <v>199639</v>
      </c>
      <c r="N24" s="124">
        <f t="shared" si="5"/>
        <v>200443.62</v>
      </c>
      <c r="O24" s="125">
        <f t="shared" si="5"/>
        <v>199639</v>
      </c>
      <c r="P24" s="148">
        <f t="shared" si="5"/>
        <v>2343935.7000000002</v>
      </c>
      <c r="Q24" s="115"/>
    </row>
    <row r="26" spans="2:17" ht="15.75" thickBot="1" x14ac:dyDescent="0.3"/>
    <row r="27" spans="2:17" ht="27" thickBot="1" x14ac:dyDescent="0.45">
      <c r="B27" s="691" t="s">
        <v>92</v>
      </c>
      <c r="C27" s="692"/>
      <c r="D27" s="692"/>
      <c r="E27" s="692"/>
      <c r="F27" s="692"/>
      <c r="G27" s="692"/>
      <c r="H27" s="692"/>
      <c r="I27" s="692"/>
      <c r="J27" s="692"/>
      <c r="K27" s="692"/>
      <c r="L27" s="692"/>
      <c r="M27" s="692"/>
      <c r="N27" s="692"/>
      <c r="O27" s="692"/>
      <c r="P27" s="692"/>
      <c r="Q27" s="693"/>
    </row>
    <row r="28" spans="2:17" ht="19.5" thickBot="1" x14ac:dyDescent="0.3">
      <c r="B28" s="702" t="s">
        <v>82</v>
      </c>
      <c r="C28" s="703"/>
      <c r="D28" s="149" t="s">
        <v>40</v>
      </c>
      <c r="E28" s="129" t="s">
        <v>41</v>
      </c>
      <c r="F28" s="129" t="s">
        <v>42</v>
      </c>
      <c r="G28" s="129" t="s">
        <v>43</v>
      </c>
      <c r="H28" s="129" t="s">
        <v>44</v>
      </c>
      <c r="I28" s="129" t="s">
        <v>45</v>
      </c>
      <c r="J28" s="129" t="s">
        <v>46</v>
      </c>
      <c r="K28" s="129" t="s">
        <v>47</v>
      </c>
      <c r="L28" s="129" t="s">
        <v>48</v>
      </c>
      <c r="M28" s="129" t="s">
        <v>49</v>
      </c>
      <c r="N28" s="129" t="s">
        <v>50</v>
      </c>
      <c r="O28" s="130" t="s">
        <v>51</v>
      </c>
      <c r="P28" s="131" t="s">
        <v>84</v>
      </c>
      <c r="Q28" s="132" t="s">
        <v>83</v>
      </c>
    </row>
    <row r="29" spans="2:17" x14ac:dyDescent="0.25">
      <c r="B29" s="697" t="s">
        <v>74</v>
      </c>
      <c r="C29" s="156" t="s">
        <v>75</v>
      </c>
      <c r="D29" s="150">
        <v>804.62</v>
      </c>
      <c r="E29" s="133">
        <v>0</v>
      </c>
      <c r="F29" s="133">
        <v>804.62</v>
      </c>
      <c r="G29" s="133">
        <v>0</v>
      </c>
      <c r="H29" s="133">
        <v>804.62</v>
      </c>
      <c r="I29" s="133">
        <v>0</v>
      </c>
      <c r="J29" s="133">
        <v>1774.61</v>
      </c>
      <c r="K29" s="133">
        <v>0</v>
      </c>
      <c r="L29" s="133">
        <v>1774.61</v>
      </c>
      <c r="M29" s="133">
        <v>0</v>
      </c>
      <c r="N29" s="133">
        <v>804.62</v>
      </c>
      <c r="O29" s="134">
        <v>0</v>
      </c>
      <c r="P29" s="135">
        <f t="shared" ref="P29:P36" si="6">SUM(D29:O29)</f>
        <v>6767.7</v>
      </c>
      <c r="Q29" s="136"/>
    </row>
    <row r="30" spans="2:17" x14ac:dyDescent="0.25">
      <c r="B30" s="698"/>
      <c r="C30" s="157" t="s">
        <v>77</v>
      </c>
      <c r="D30" s="151">
        <v>9365</v>
      </c>
      <c r="E30" s="114">
        <v>9365</v>
      </c>
      <c r="F30" s="114">
        <v>9365</v>
      </c>
      <c r="G30" s="114">
        <v>9365</v>
      </c>
      <c r="H30" s="114">
        <v>9365</v>
      </c>
      <c r="I30" s="114">
        <v>9365</v>
      </c>
      <c r="J30" s="114">
        <v>9365</v>
      </c>
      <c r="K30" s="114">
        <v>9365</v>
      </c>
      <c r="L30" s="114">
        <v>9365</v>
      </c>
      <c r="M30" s="114">
        <v>9365</v>
      </c>
      <c r="N30" s="114">
        <v>9365</v>
      </c>
      <c r="O30" s="116">
        <v>9365</v>
      </c>
      <c r="P30" s="120">
        <f t="shared" si="6"/>
        <v>112380</v>
      </c>
      <c r="Q30" s="117"/>
    </row>
    <row r="31" spans="2:17" x14ac:dyDescent="0.25">
      <c r="B31" s="698"/>
      <c r="C31" s="157" t="s">
        <v>76</v>
      </c>
      <c r="D31" s="151">
        <v>615</v>
      </c>
      <c r="E31" s="114">
        <v>615</v>
      </c>
      <c r="F31" s="114">
        <v>615</v>
      </c>
      <c r="G31" s="114">
        <v>615</v>
      </c>
      <c r="H31" s="114">
        <v>615</v>
      </c>
      <c r="I31" s="114">
        <v>615</v>
      </c>
      <c r="J31" s="114">
        <v>615</v>
      </c>
      <c r="K31" s="114">
        <v>615</v>
      </c>
      <c r="L31" s="114">
        <v>615</v>
      </c>
      <c r="M31" s="114">
        <v>615</v>
      </c>
      <c r="N31" s="114">
        <v>615</v>
      </c>
      <c r="O31" s="116">
        <v>615</v>
      </c>
      <c r="P31" s="120">
        <f t="shared" si="6"/>
        <v>7380</v>
      </c>
      <c r="Q31" s="117"/>
    </row>
    <row r="32" spans="2:17" x14ac:dyDescent="0.25">
      <c r="B32" s="698"/>
      <c r="C32" s="157" t="s">
        <v>85</v>
      </c>
      <c r="D32" s="151">
        <v>390</v>
      </c>
      <c r="E32" s="114">
        <v>390</v>
      </c>
      <c r="F32" s="114">
        <v>390</v>
      </c>
      <c r="G32" s="114">
        <v>390</v>
      </c>
      <c r="H32" s="114">
        <v>390</v>
      </c>
      <c r="I32" s="114">
        <v>390</v>
      </c>
      <c r="J32" s="114">
        <v>390</v>
      </c>
      <c r="K32" s="114">
        <v>390</v>
      </c>
      <c r="L32" s="114">
        <v>390</v>
      </c>
      <c r="M32" s="114">
        <v>390</v>
      </c>
      <c r="N32" s="114">
        <v>390</v>
      </c>
      <c r="O32" s="116">
        <v>390</v>
      </c>
      <c r="P32" s="120">
        <f t="shared" si="6"/>
        <v>4680</v>
      </c>
      <c r="Q32" s="118"/>
    </row>
    <row r="33" spans="2:17" x14ac:dyDescent="0.25">
      <c r="B33" s="698"/>
      <c r="C33" s="158" t="s">
        <v>86</v>
      </c>
      <c r="D33" s="151">
        <f>725*6</f>
        <v>4350</v>
      </c>
      <c r="E33" s="114">
        <f t="shared" ref="E33:O33" si="7">725*6</f>
        <v>4350</v>
      </c>
      <c r="F33" s="114">
        <f t="shared" si="7"/>
        <v>4350</v>
      </c>
      <c r="G33" s="114">
        <f t="shared" si="7"/>
        <v>4350</v>
      </c>
      <c r="H33" s="114">
        <f t="shared" si="7"/>
        <v>4350</v>
      </c>
      <c r="I33" s="114">
        <f t="shared" si="7"/>
        <v>4350</v>
      </c>
      <c r="J33" s="114">
        <f t="shared" si="7"/>
        <v>4350</v>
      </c>
      <c r="K33" s="114">
        <f t="shared" si="7"/>
        <v>4350</v>
      </c>
      <c r="L33" s="114">
        <f t="shared" si="7"/>
        <v>4350</v>
      </c>
      <c r="M33" s="114">
        <f t="shared" si="7"/>
        <v>4350</v>
      </c>
      <c r="N33" s="114">
        <f t="shared" si="7"/>
        <v>4350</v>
      </c>
      <c r="O33" s="116">
        <f t="shared" si="7"/>
        <v>4350</v>
      </c>
      <c r="P33" s="120">
        <f t="shared" si="6"/>
        <v>52200</v>
      </c>
      <c r="Q33" s="119"/>
    </row>
    <row r="34" spans="2:17" x14ac:dyDescent="0.25">
      <c r="B34" s="698"/>
      <c r="C34" s="158" t="s">
        <v>87</v>
      </c>
      <c r="D34" s="151">
        <v>2290</v>
      </c>
      <c r="E34" s="114">
        <v>2290</v>
      </c>
      <c r="F34" s="114">
        <v>2290</v>
      </c>
      <c r="G34" s="114">
        <v>2290</v>
      </c>
      <c r="H34" s="114">
        <v>2290</v>
      </c>
      <c r="I34" s="114">
        <v>2290</v>
      </c>
      <c r="J34" s="114">
        <v>2290</v>
      </c>
      <c r="K34" s="114">
        <v>2290</v>
      </c>
      <c r="L34" s="114">
        <v>2290</v>
      </c>
      <c r="M34" s="114">
        <v>2290</v>
      </c>
      <c r="N34" s="114">
        <v>2290</v>
      </c>
      <c r="O34" s="116">
        <v>2290</v>
      </c>
      <c r="P34" s="120">
        <f t="shared" si="6"/>
        <v>27480</v>
      </c>
      <c r="Q34" s="119"/>
    </row>
    <row r="35" spans="2:17" x14ac:dyDescent="0.25">
      <c r="B35" s="698"/>
      <c r="C35" s="119" t="s">
        <v>88</v>
      </c>
      <c r="D35" s="151">
        <f>18228/12</f>
        <v>1519</v>
      </c>
      <c r="E35" s="114">
        <f t="shared" ref="E35:O35" si="8">18228/12</f>
        <v>1519</v>
      </c>
      <c r="F35" s="114">
        <f t="shared" si="8"/>
        <v>1519</v>
      </c>
      <c r="G35" s="114">
        <f t="shared" si="8"/>
        <v>1519</v>
      </c>
      <c r="H35" s="114">
        <f t="shared" si="8"/>
        <v>1519</v>
      </c>
      <c r="I35" s="114">
        <f t="shared" si="8"/>
        <v>1519</v>
      </c>
      <c r="J35" s="114">
        <f t="shared" si="8"/>
        <v>1519</v>
      </c>
      <c r="K35" s="114">
        <f t="shared" si="8"/>
        <v>1519</v>
      </c>
      <c r="L35" s="114">
        <f t="shared" si="8"/>
        <v>1519</v>
      </c>
      <c r="M35" s="114">
        <f t="shared" si="8"/>
        <v>1519</v>
      </c>
      <c r="N35" s="114">
        <f t="shared" si="8"/>
        <v>1519</v>
      </c>
      <c r="O35" s="116">
        <f t="shared" si="8"/>
        <v>1519</v>
      </c>
      <c r="P35" s="120">
        <f t="shared" si="6"/>
        <v>18228</v>
      </c>
      <c r="Q35" s="119"/>
    </row>
    <row r="36" spans="2:17" ht="15.75" thickBot="1" x14ac:dyDescent="0.3">
      <c r="B36" s="699"/>
      <c r="C36" s="159" t="s">
        <v>89</v>
      </c>
      <c r="D36" s="152">
        <v>1860</v>
      </c>
      <c r="E36" s="137">
        <v>1860</v>
      </c>
      <c r="F36" s="137">
        <v>1860</v>
      </c>
      <c r="G36" s="137">
        <v>1860</v>
      </c>
      <c r="H36" s="137">
        <v>1860</v>
      </c>
      <c r="I36" s="137">
        <v>1860</v>
      </c>
      <c r="J36" s="137">
        <v>1860</v>
      </c>
      <c r="K36" s="137">
        <v>1860</v>
      </c>
      <c r="L36" s="137">
        <v>1860</v>
      </c>
      <c r="M36" s="137">
        <v>1860</v>
      </c>
      <c r="N36" s="137">
        <v>1860</v>
      </c>
      <c r="O36" s="138">
        <v>1860</v>
      </c>
      <c r="P36" s="121">
        <f t="shared" si="6"/>
        <v>22320</v>
      </c>
      <c r="Q36" s="139"/>
    </row>
    <row r="37" spans="2:17" x14ac:dyDescent="0.25">
      <c r="B37" s="704" t="s">
        <v>78</v>
      </c>
      <c r="C37" s="160" t="s">
        <v>280</v>
      </c>
      <c r="D37" s="153">
        <f>74750*1.15</f>
        <v>85962.5</v>
      </c>
      <c r="E37" s="140">
        <f t="shared" ref="E37:I37" si="9">74750*1.15</f>
        <v>85962.5</v>
      </c>
      <c r="F37" s="140">
        <f t="shared" si="9"/>
        <v>85962.5</v>
      </c>
      <c r="G37" s="140">
        <f t="shared" si="9"/>
        <v>85962.5</v>
      </c>
      <c r="H37" s="140">
        <f t="shared" si="9"/>
        <v>85962.5</v>
      </c>
      <c r="I37" s="140">
        <f t="shared" si="9"/>
        <v>85962.5</v>
      </c>
      <c r="J37" s="140">
        <f>I37*1.15</f>
        <v>98856.874999999985</v>
      </c>
      <c r="K37" s="140">
        <v>98856.88</v>
      </c>
      <c r="L37" s="140">
        <v>98856.88</v>
      </c>
      <c r="M37" s="140">
        <v>98856.88</v>
      </c>
      <c r="N37" s="140">
        <v>98856.88</v>
      </c>
      <c r="O37" s="140">
        <v>98856.88</v>
      </c>
      <c r="P37" s="142">
        <f t="shared" ref="P37:P41" si="10">SUM(D37:O37)</f>
        <v>1108916.2749999999</v>
      </c>
      <c r="Q37" s="143"/>
    </row>
    <row r="38" spans="2:17" ht="15.75" thickBot="1" x14ac:dyDescent="0.3">
      <c r="B38" s="705"/>
      <c r="C38" s="159" t="s">
        <v>90</v>
      </c>
      <c r="D38" s="152">
        <v>0</v>
      </c>
      <c r="E38" s="137">
        <v>0</v>
      </c>
      <c r="F38" s="137">
        <v>0</v>
      </c>
      <c r="G38" s="137">
        <v>0</v>
      </c>
      <c r="H38" s="137">
        <v>0</v>
      </c>
      <c r="I38" s="137">
        <v>0</v>
      </c>
      <c r="J38" s="137">
        <v>0</v>
      </c>
      <c r="K38" s="137">
        <v>0</v>
      </c>
      <c r="L38" s="137">
        <v>0</v>
      </c>
      <c r="M38" s="137">
        <v>0</v>
      </c>
      <c r="N38" s="137">
        <v>0</v>
      </c>
      <c r="O38" s="138">
        <v>0</v>
      </c>
      <c r="P38" s="121">
        <f t="shared" si="10"/>
        <v>0</v>
      </c>
      <c r="Q38" s="139"/>
    </row>
    <row r="39" spans="2:17" ht="19.5" thickBot="1" x14ac:dyDescent="0.35">
      <c r="B39" s="144" t="s">
        <v>79</v>
      </c>
      <c r="C39" s="161" t="s">
        <v>80</v>
      </c>
      <c r="D39" s="154">
        <v>8500</v>
      </c>
      <c r="E39" s="145">
        <v>8500</v>
      </c>
      <c r="F39" s="145">
        <v>8500</v>
      </c>
      <c r="G39" s="145">
        <v>8500</v>
      </c>
      <c r="H39" s="145">
        <v>8500</v>
      </c>
      <c r="I39" s="145">
        <v>8500</v>
      </c>
      <c r="J39" s="145">
        <v>8500</v>
      </c>
      <c r="K39" s="145">
        <v>8500</v>
      </c>
      <c r="L39" s="145">
        <v>8500</v>
      </c>
      <c r="M39" s="145">
        <v>8500</v>
      </c>
      <c r="N39" s="145">
        <v>8500</v>
      </c>
      <c r="O39" s="146">
        <v>8500</v>
      </c>
      <c r="P39" s="126">
        <f t="shared" si="10"/>
        <v>102000</v>
      </c>
      <c r="Q39" s="147"/>
    </row>
    <row r="40" spans="2:17" x14ac:dyDescent="0.25">
      <c r="B40" s="700" t="s">
        <v>91</v>
      </c>
      <c r="C40" s="157" t="s">
        <v>281</v>
      </c>
      <c r="D40" s="151">
        <f>200*60*4</f>
        <v>48000</v>
      </c>
      <c r="E40" s="114">
        <f t="shared" ref="E40:O41" si="11">200*60*4</f>
        <v>48000</v>
      </c>
      <c r="F40" s="114">
        <f t="shared" si="11"/>
        <v>48000</v>
      </c>
      <c r="G40" s="114">
        <f t="shared" si="11"/>
        <v>48000</v>
      </c>
      <c r="H40" s="114">
        <f t="shared" si="11"/>
        <v>48000</v>
      </c>
      <c r="I40" s="114">
        <f t="shared" si="11"/>
        <v>48000</v>
      </c>
      <c r="J40" s="114">
        <f t="shared" si="11"/>
        <v>48000</v>
      </c>
      <c r="K40" s="114">
        <f t="shared" si="11"/>
        <v>48000</v>
      </c>
      <c r="L40" s="114">
        <f t="shared" si="11"/>
        <v>48000</v>
      </c>
      <c r="M40" s="114">
        <f t="shared" si="11"/>
        <v>48000</v>
      </c>
      <c r="N40" s="114">
        <f t="shared" si="11"/>
        <v>48000</v>
      </c>
      <c r="O40" s="116">
        <f t="shared" si="11"/>
        <v>48000</v>
      </c>
      <c r="P40" s="120">
        <f t="shared" si="10"/>
        <v>576000</v>
      </c>
      <c r="Q40" s="118"/>
    </row>
    <row r="41" spans="2:17" ht="15.75" thickBot="1" x14ac:dyDescent="0.3">
      <c r="B41" s="701"/>
      <c r="C41" s="159" t="s">
        <v>281</v>
      </c>
      <c r="D41" s="155">
        <f>200*60*4</f>
        <v>48000</v>
      </c>
      <c r="E41" s="155">
        <f t="shared" si="11"/>
        <v>48000</v>
      </c>
      <c r="F41" s="155">
        <f t="shared" si="11"/>
        <v>48000</v>
      </c>
      <c r="G41" s="155">
        <f t="shared" si="11"/>
        <v>48000</v>
      </c>
      <c r="H41" s="155">
        <f t="shared" si="11"/>
        <v>48000</v>
      </c>
      <c r="I41" s="155">
        <f t="shared" si="11"/>
        <v>48000</v>
      </c>
      <c r="J41" s="155">
        <f t="shared" si="11"/>
        <v>48000</v>
      </c>
      <c r="K41" s="155">
        <f t="shared" si="11"/>
        <v>48000</v>
      </c>
      <c r="L41" s="155">
        <f t="shared" si="11"/>
        <v>48000</v>
      </c>
      <c r="M41" s="155">
        <f t="shared" si="11"/>
        <v>48000</v>
      </c>
      <c r="N41" s="155">
        <f t="shared" si="11"/>
        <v>48000</v>
      </c>
      <c r="O41" s="155">
        <f t="shared" si="11"/>
        <v>48000</v>
      </c>
      <c r="P41" s="122">
        <f t="shared" si="10"/>
        <v>576000</v>
      </c>
      <c r="Q41" s="118"/>
    </row>
    <row r="42" spans="2:17" ht="15.75" thickBot="1" x14ac:dyDescent="0.3">
      <c r="B42" s="21"/>
      <c r="C42" s="123" t="s">
        <v>19</v>
      </c>
      <c r="D42" s="124">
        <f t="shared" ref="D42:P42" si="12">SUM(D29:D41)</f>
        <v>211656.12</v>
      </c>
      <c r="E42" s="124">
        <f t="shared" si="12"/>
        <v>210851.5</v>
      </c>
      <c r="F42" s="124">
        <f t="shared" si="12"/>
        <v>211656.12</v>
      </c>
      <c r="G42" s="124">
        <f t="shared" si="12"/>
        <v>210851.5</v>
      </c>
      <c r="H42" s="124">
        <f t="shared" si="12"/>
        <v>211656.12</v>
      </c>
      <c r="I42" s="124">
        <f t="shared" si="12"/>
        <v>210851.5</v>
      </c>
      <c r="J42" s="124">
        <f t="shared" si="12"/>
        <v>225520.48499999999</v>
      </c>
      <c r="K42" s="124">
        <f t="shared" si="12"/>
        <v>223745.88</v>
      </c>
      <c r="L42" s="124">
        <f t="shared" si="12"/>
        <v>225520.49</v>
      </c>
      <c r="M42" s="124">
        <f t="shared" si="12"/>
        <v>223745.88</v>
      </c>
      <c r="N42" s="124">
        <f t="shared" si="12"/>
        <v>224550.5</v>
      </c>
      <c r="O42" s="125">
        <f t="shared" si="12"/>
        <v>223745.88</v>
      </c>
      <c r="P42" s="148">
        <f t="shared" si="12"/>
        <v>2614351.9749999996</v>
      </c>
      <c r="Q42" s="115"/>
    </row>
    <row r="45" spans="2:17" ht="15.75" thickBot="1" x14ac:dyDescent="0.3"/>
    <row r="46" spans="2:17" ht="27" thickBot="1" x14ac:dyDescent="0.45">
      <c r="B46" s="691" t="s">
        <v>93</v>
      </c>
      <c r="C46" s="692"/>
      <c r="D46" s="692"/>
      <c r="E46" s="692"/>
      <c r="F46" s="692"/>
      <c r="G46" s="692"/>
      <c r="H46" s="692"/>
      <c r="I46" s="692"/>
      <c r="J46" s="692"/>
      <c r="K46" s="692"/>
      <c r="L46" s="692"/>
      <c r="M46" s="692"/>
      <c r="N46" s="692"/>
      <c r="O46" s="692"/>
      <c r="P46" s="692"/>
      <c r="Q46" s="693"/>
    </row>
    <row r="47" spans="2:17" ht="19.5" thickBot="1" x14ac:dyDescent="0.3">
      <c r="B47" s="702" t="s">
        <v>82</v>
      </c>
      <c r="C47" s="703"/>
      <c r="D47" s="149" t="s">
        <v>40</v>
      </c>
      <c r="E47" s="129" t="s">
        <v>41</v>
      </c>
      <c r="F47" s="129" t="s">
        <v>42</v>
      </c>
      <c r="G47" s="129" t="s">
        <v>43</v>
      </c>
      <c r="H47" s="129" t="s">
        <v>44</v>
      </c>
      <c r="I47" s="129" t="s">
        <v>45</v>
      </c>
      <c r="J47" s="129" t="s">
        <v>46</v>
      </c>
      <c r="K47" s="129" t="s">
        <v>47</v>
      </c>
      <c r="L47" s="129" t="s">
        <v>48</v>
      </c>
      <c r="M47" s="129" t="s">
        <v>49</v>
      </c>
      <c r="N47" s="129" t="s">
        <v>50</v>
      </c>
      <c r="O47" s="130" t="s">
        <v>51</v>
      </c>
      <c r="P47" s="131" t="s">
        <v>84</v>
      </c>
      <c r="Q47" s="132" t="s">
        <v>83</v>
      </c>
    </row>
    <row r="48" spans="2:17" x14ac:dyDescent="0.25">
      <c r="B48" s="697" t="s">
        <v>74</v>
      </c>
      <c r="C48" s="156" t="s">
        <v>75</v>
      </c>
      <c r="D48" s="150">
        <v>804.62</v>
      </c>
      <c r="E48" s="133">
        <v>0</v>
      </c>
      <c r="F48" s="133">
        <v>804.62</v>
      </c>
      <c r="G48" s="133">
        <v>0</v>
      </c>
      <c r="H48" s="133">
        <v>804.62</v>
      </c>
      <c r="I48" s="133">
        <v>0</v>
      </c>
      <c r="J48" s="133">
        <v>1774.61</v>
      </c>
      <c r="K48" s="133">
        <v>0</v>
      </c>
      <c r="L48" s="133">
        <v>1774.61</v>
      </c>
      <c r="M48" s="133">
        <v>0</v>
      </c>
      <c r="N48" s="133">
        <v>804.62</v>
      </c>
      <c r="O48" s="134">
        <v>0</v>
      </c>
      <c r="P48" s="135">
        <f t="shared" ref="P48:P55" si="13">SUM(D48:O48)</f>
        <v>6767.7</v>
      </c>
      <c r="Q48" s="136"/>
    </row>
    <row r="49" spans="2:17" x14ac:dyDescent="0.25">
      <c r="B49" s="698"/>
      <c r="C49" s="157" t="s">
        <v>77</v>
      </c>
      <c r="D49" s="151">
        <v>9365</v>
      </c>
      <c r="E49" s="114">
        <v>9365</v>
      </c>
      <c r="F49" s="114">
        <v>9365</v>
      </c>
      <c r="G49" s="114">
        <v>9365</v>
      </c>
      <c r="H49" s="114">
        <v>9365</v>
      </c>
      <c r="I49" s="114">
        <v>9365</v>
      </c>
      <c r="J49" s="114">
        <v>9365</v>
      </c>
      <c r="K49" s="114">
        <v>9365</v>
      </c>
      <c r="L49" s="114">
        <v>9365</v>
      </c>
      <c r="M49" s="114">
        <v>9365</v>
      </c>
      <c r="N49" s="114">
        <v>9365</v>
      </c>
      <c r="O49" s="116">
        <v>9365</v>
      </c>
      <c r="P49" s="120">
        <f t="shared" si="13"/>
        <v>112380</v>
      </c>
      <c r="Q49" s="117"/>
    </row>
    <row r="50" spans="2:17" x14ac:dyDescent="0.25">
      <c r="B50" s="698"/>
      <c r="C50" s="157" t="s">
        <v>76</v>
      </c>
      <c r="D50" s="151">
        <v>615</v>
      </c>
      <c r="E50" s="114">
        <v>615</v>
      </c>
      <c r="F50" s="114">
        <v>615</v>
      </c>
      <c r="G50" s="114">
        <v>615</v>
      </c>
      <c r="H50" s="114">
        <v>615</v>
      </c>
      <c r="I50" s="114">
        <v>615</v>
      </c>
      <c r="J50" s="114">
        <v>615</v>
      </c>
      <c r="K50" s="114">
        <v>615</v>
      </c>
      <c r="L50" s="114">
        <v>615</v>
      </c>
      <c r="M50" s="114">
        <v>615</v>
      </c>
      <c r="N50" s="114">
        <v>615</v>
      </c>
      <c r="O50" s="116">
        <v>615</v>
      </c>
      <c r="P50" s="120">
        <f t="shared" si="13"/>
        <v>7380</v>
      </c>
      <c r="Q50" s="117"/>
    </row>
    <row r="51" spans="2:17" x14ac:dyDescent="0.25">
      <c r="B51" s="698"/>
      <c r="C51" s="157" t="s">
        <v>85</v>
      </c>
      <c r="D51" s="151">
        <v>390</v>
      </c>
      <c r="E51" s="114">
        <v>390</v>
      </c>
      <c r="F51" s="114">
        <v>390</v>
      </c>
      <c r="G51" s="114">
        <v>390</v>
      </c>
      <c r="H51" s="114">
        <v>390</v>
      </c>
      <c r="I51" s="114">
        <v>390</v>
      </c>
      <c r="J51" s="114">
        <v>390</v>
      </c>
      <c r="K51" s="114">
        <v>390</v>
      </c>
      <c r="L51" s="114">
        <v>390</v>
      </c>
      <c r="M51" s="114">
        <v>390</v>
      </c>
      <c r="N51" s="114">
        <v>390</v>
      </c>
      <c r="O51" s="116">
        <v>390</v>
      </c>
      <c r="P51" s="120">
        <f t="shared" si="13"/>
        <v>4680</v>
      </c>
      <c r="Q51" s="118"/>
    </row>
    <row r="52" spans="2:17" x14ac:dyDescent="0.25">
      <c r="B52" s="698"/>
      <c r="C52" s="158" t="s">
        <v>86</v>
      </c>
      <c r="D52" s="151">
        <f>725*6</f>
        <v>4350</v>
      </c>
      <c r="E52" s="114">
        <f t="shared" ref="E52:O52" si="14">725*6</f>
        <v>4350</v>
      </c>
      <c r="F52" s="114">
        <f t="shared" si="14"/>
        <v>4350</v>
      </c>
      <c r="G52" s="114">
        <f t="shared" si="14"/>
        <v>4350</v>
      </c>
      <c r="H52" s="114">
        <f t="shared" si="14"/>
        <v>4350</v>
      </c>
      <c r="I52" s="114">
        <f t="shared" si="14"/>
        <v>4350</v>
      </c>
      <c r="J52" s="114">
        <f t="shared" si="14"/>
        <v>4350</v>
      </c>
      <c r="K52" s="114">
        <f t="shared" si="14"/>
        <v>4350</v>
      </c>
      <c r="L52" s="114">
        <f t="shared" si="14"/>
        <v>4350</v>
      </c>
      <c r="M52" s="114">
        <f t="shared" si="14"/>
        <v>4350</v>
      </c>
      <c r="N52" s="114">
        <f t="shared" si="14"/>
        <v>4350</v>
      </c>
      <c r="O52" s="116">
        <f t="shared" si="14"/>
        <v>4350</v>
      </c>
      <c r="P52" s="120">
        <f t="shared" si="13"/>
        <v>52200</v>
      </c>
      <c r="Q52" s="119"/>
    </row>
    <row r="53" spans="2:17" x14ac:dyDescent="0.25">
      <c r="B53" s="698"/>
      <c r="C53" s="158" t="s">
        <v>87</v>
      </c>
      <c r="D53" s="151">
        <v>2290</v>
      </c>
      <c r="E53" s="114">
        <v>2290</v>
      </c>
      <c r="F53" s="114">
        <v>2290</v>
      </c>
      <c r="G53" s="114">
        <v>2290</v>
      </c>
      <c r="H53" s="114">
        <v>2290</v>
      </c>
      <c r="I53" s="114">
        <v>2290</v>
      </c>
      <c r="J53" s="114">
        <v>2290</v>
      </c>
      <c r="K53" s="114">
        <v>2290</v>
      </c>
      <c r="L53" s="114">
        <v>2290</v>
      </c>
      <c r="M53" s="114">
        <v>2290</v>
      </c>
      <c r="N53" s="114">
        <v>2290</v>
      </c>
      <c r="O53" s="116">
        <v>2290</v>
      </c>
      <c r="P53" s="120">
        <f t="shared" si="13"/>
        <v>27480</v>
      </c>
      <c r="Q53" s="119"/>
    </row>
    <row r="54" spans="2:17" x14ac:dyDescent="0.25">
      <c r="B54" s="698"/>
      <c r="C54" s="119" t="s">
        <v>88</v>
      </c>
      <c r="D54" s="151">
        <f>18228/12</f>
        <v>1519</v>
      </c>
      <c r="E54" s="114">
        <f t="shared" ref="E54:O54" si="15">18228/12</f>
        <v>1519</v>
      </c>
      <c r="F54" s="114">
        <f t="shared" si="15"/>
        <v>1519</v>
      </c>
      <c r="G54" s="114">
        <f t="shared" si="15"/>
        <v>1519</v>
      </c>
      <c r="H54" s="114">
        <f t="shared" si="15"/>
        <v>1519</v>
      </c>
      <c r="I54" s="114">
        <f t="shared" si="15"/>
        <v>1519</v>
      </c>
      <c r="J54" s="114">
        <f t="shared" si="15"/>
        <v>1519</v>
      </c>
      <c r="K54" s="114">
        <f t="shared" si="15"/>
        <v>1519</v>
      </c>
      <c r="L54" s="114">
        <f t="shared" si="15"/>
        <v>1519</v>
      </c>
      <c r="M54" s="114">
        <f t="shared" si="15"/>
        <v>1519</v>
      </c>
      <c r="N54" s="114">
        <f t="shared" si="15"/>
        <v>1519</v>
      </c>
      <c r="O54" s="116">
        <f t="shared" si="15"/>
        <v>1519</v>
      </c>
      <c r="P54" s="120">
        <f t="shared" si="13"/>
        <v>18228</v>
      </c>
      <c r="Q54" s="119"/>
    </row>
    <row r="55" spans="2:17" ht="15.75" thickBot="1" x14ac:dyDescent="0.3">
      <c r="B55" s="699"/>
      <c r="C55" s="159" t="s">
        <v>89</v>
      </c>
      <c r="D55" s="152">
        <v>1860</v>
      </c>
      <c r="E55" s="137">
        <v>1860</v>
      </c>
      <c r="F55" s="137">
        <v>1860</v>
      </c>
      <c r="G55" s="137">
        <v>1860</v>
      </c>
      <c r="H55" s="137">
        <v>1860</v>
      </c>
      <c r="I55" s="137">
        <v>1860</v>
      </c>
      <c r="J55" s="137">
        <v>1860</v>
      </c>
      <c r="K55" s="137">
        <v>1860</v>
      </c>
      <c r="L55" s="137">
        <v>1860</v>
      </c>
      <c r="M55" s="137">
        <v>1860</v>
      </c>
      <c r="N55" s="137">
        <v>1860</v>
      </c>
      <c r="O55" s="138">
        <v>1860</v>
      </c>
      <c r="P55" s="121">
        <f t="shared" si="13"/>
        <v>22320</v>
      </c>
      <c r="Q55" s="139"/>
    </row>
    <row r="56" spans="2:17" x14ac:dyDescent="0.25">
      <c r="B56" s="704" t="s">
        <v>78</v>
      </c>
      <c r="C56" s="160" t="s">
        <v>280</v>
      </c>
      <c r="D56" s="153">
        <f>98856.88*1.15</f>
        <v>113685.412</v>
      </c>
      <c r="E56" s="140">
        <v>113685.41</v>
      </c>
      <c r="F56" s="140">
        <v>113685.41</v>
      </c>
      <c r="G56" s="140">
        <v>113685.41</v>
      </c>
      <c r="H56" s="140">
        <v>113685.41</v>
      </c>
      <c r="I56" s="140">
        <v>113685.41</v>
      </c>
      <c r="J56" s="140">
        <f>I56*1.15</f>
        <v>130738.2215</v>
      </c>
      <c r="K56" s="140">
        <v>130738.22</v>
      </c>
      <c r="L56" s="140">
        <v>130738.22</v>
      </c>
      <c r="M56" s="140">
        <v>130738.22</v>
      </c>
      <c r="N56" s="140">
        <v>130738.22</v>
      </c>
      <c r="O56" s="140">
        <v>130738.22</v>
      </c>
      <c r="P56" s="142">
        <f t="shared" ref="P56:P60" si="16">SUM(D56:O56)</f>
        <v>1466541.7834999999</v>
      </c>
      <c r="Q56" s="143"/>
    </row>
    <row r="57" spans="2:17" ht="15.75" thickBot="1" x14ac:dyDescent="0.3">
      <c r="B57" s="705"/>
      <c r="C57" s="159" t="s">
        <v>90</v>
      </c>
      <c r="D57" s="152">
        <v>0</v>
      </c>
      <c r="E57" s="137">
        <v>0</v>
      </c>
      <c r="F57" s="137">
        <v>0</v>
      </c>
      <c r="G57" s="137">
        <v>0</v>
      </c>
      <c r="H57" s="137">
        <v>0</v>
      </c>
      <c r="I57" s="137">
        <v>0</v>
      </c>
      <c r="J57" s="137">
        <v>0</v>
      </c>
      <c r="K57" s="137">
        <v>0</v>
      </c>
      <c r="L57" s="137">
        <v>0</v>
      </c>
      <c r="M57" s="137">
        <v>0</v>
      </c>
      <c r="N57" s="137">
        <v>0</v>
      </c>
      <c r="O57" s="138">
        <v>0</v>
      </c>
      <c r="P57" s="121">
        <f t="shared" si="16"/>
        <v>0</v>
      </c>
      <c r="Q57" s="139"/>
    </row>
    <row r="58" spans="2:17" ht="19.5" thickBot="1" x14ac:dyDescent="0.35">
      <c r="B58" s="144" t="s">
        <v>79</v>
      </c>
      <c r="C58" s="161" t="s">
        <v>80</v>
      </c>
      <c r="D58" s="154">
        <v>8500</v>
      </c>
      <c r="E58" s="145">
        <v>8500</v>
      </c>
      <c r="F58" s="145">
        <v>8500</v>
      </c>
      <c r="G58" s="145">
        <v>8500</v>
      </c>
      <c r="H58" s="145">
        <v>8500</v>
      </c>
      <c r="I58" s="145">
        <v>8500</v>
      </c>
      <c r="J58" s="145">
        <v>8500</v>
      </c>
      <c r="K58" s="145">
        <v>8500</v>
      </c>
      <c r="L58" s="145">
        <v>8500</v>
      </c>
      <c r="M58" s="145">
        <v>8500</v>
      </c>
      <c r="N58" s="145">
        <v>8500</v>
      </c>
      <c r="O58" s="146">
        <v>8500</v>
      </c>
      <c r="P58" s="126">
        <f t="shared" si="16"/>
        <v>102000</v>
      </c>
      <c r="Q58" s="147"/>
    </row>
    <row r="59" spans="2:17" x14ac:dyDescent="0.25">
      <c r="B59" s="700" t="s">
        <v>91</v>
      </c>
      <c r="C59" s="157" t="s">
        <v>281</v>
      </c>
      <c r="D59" s="151">
        <f>200*60*4</f>
        <v>48000</v>
      </c>
      <c r="E59" s="114">
        <f t="shared" ref="E59:O60" si="17">200*60*4</f>
        <v>48000</v>
      </c>
      <c r="F59" s="114">
        <f t="shared" si="17"/>
        <v>48000</v>
      </c>
      <c r="G59" s="114">
        <f t="shared" si="17"/>
        <v>48000</v>
      </c>
      <c r="H59" s="114">
        <f t="shared" si="17"/>
        <v>48000</v>
      </c>
      <c r="I59" s="114">
        <f t="shared" si="17"/>
        <v>48000</v>
      </c>
      <c r="J59" s="114">
        <f t="shared" si="17"/>
        <v>48000</v>
      </c>
      <c r="K59" s="114">
        <f t="shared" si="17"/>
        <v>48000</v>
      </c>
      <c r="L59" s="114">
        <f t="shared" si="17"/>
        <v>48000</v>
      </c>
      <c r="M59" s="114">
        <f t="shared" si="17"/>
        <v>48000</v>
      </c>
      <c r="N59" s="114">
        <f t="shared" si="17"/>
        <v>48000</v>
      </c>
      <c r="O59" s="116">
        <f t="shared" si="17"/>
        <v>48000</v>
      </c>
      <c r="P59" s="120">
        <f t="shared" si="16"/>
        <v>576000</v>
      </c>
      <c r="Q59" s="118"/>
    </row>
    <row r="60" spans="2:17" ht="25.5" customHeight="1" thickBot="1" x14ac:dyDescent="0.3">
      <c r="B60" s="701"/>
      <c r="C60" s="159" t="s">
        <v>281</v>
      </c>
      <c r="D60" s="155">
        <f>200*60*4</f>
        <v>48000</v>
      </c>
      <c r="E60" s="155">
        <f t="shared" si="17"/>
        <v>48000</v>
      </c>
      <c r="F60" s="155">
        <f t="shared" si="17"/>
        <v>48000</v>
      </c>
      <c r="G60" s="155">
        <f t="shared" si="17"/>
        <v>48000</v>
      </c>
      <c r="H60" s="155">
        <f t="shared" si="17"/>
        <v>48000</v>
      </c>
      <c r="I60" s="155">
        <f t="shared" si="17"/>
        <v>48000</v>
      </c>
      <c r="J60" s="155">
        <f t="shared" si="17"/>
        <v>48000</v>
      </c>
      <c r="K60" s="155">
        <f t="shared" si="17"/>
        <v>48000</v>
      </c>
      <c r="L60" s="155">
        <f t="shared" si="17"/>
        <v>48000</v>
      </c>
      <c r="M60" s="155">
        <f t="shared" si="17"/>
        <v>48000</v>
      </c>
      <c r="N60" s="155">
        <f t="shared" si="17"/>
        <v>48000</v>
      </c>
      <c r="O60" s="155">
        <f t="shared" si="17"/>
        <v>48000</v>
      </c>
      <c r="P60" s="122">
        <f t="shared" si="16"/>
        <v>576000</v>
      </c>
      <c r="Q60" s="118"/>
    </row>
    <row r="61" spans="2:17" ht="15.75" thickBot="1" x14ac:dyDescent="0.3">
      <c r="B61" s="21"/>
      <c r="C61" s="123" t="s">
        <v>19</v>
      </c>
      <c r="D61" s="124">
        <f t="shared" ref="D61:P61" si="18">SUM(D48:D60)</f>
        <v>239379.03200000001</v>
      </c>
      <c r="E61" s="124">
        <f t="shared" si="18"/>
        <v>238574.41</v>
      </c>
      <c r="F61" s="124">
        <f t="shared" si="18"/>
        <v>239379.03</v>
      </c>
      <c r="G61" s="124">
        <f t="shared" si="18"/>
        <v>238574.41</v>
      </c>
      <c r="H61" s="124">
        <f t="shared" si="18"/>
        <v>239379.03</v>
      </c>
      <c r="I61" s="124">
        <f t="shared" si="18"/>
        <v>238574.41</v>
      </c>
      <c r="J61" s="124">
        <f t="shared" si="18"/>
        <v>257401.8315</v>
      </c>
      <c r="K61" s="124">
        <f t="shared" si="18"/>
        <v>255627.22</v>
      </c>
      <c r="L61" s="124">
        <f t="shared" si="18"/>
        <v>257401.83000000002</v>
      </c>
      <c r="M61" s="124">
        <f t="shared" si="18"/>
        <v>255627.22</v>
      </c>
      <c r="N61" s="124">
        <f t="shared" si="18"/>
        <v>256431.84</v>
      </c>
      <c r="O61" s="125">
        <f t="shared" si="18"/>
        <v>255627.22</v>
      </c>
      <c r="P61" s="148">
        <f t="shared" si="18"/>
        <v>2971977.4835000001</v>
      </c>
      <c r="Q61" s="115"/>
    </row>
  </sheetData>
  <mergeCells count="17">
    <mergeCell ref="C3:E3"/>
    <mergeCell ref="B11:B18"/>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9"/>
  <sheetViews>
    <sheetView zoomScale="60" zoomScaleNormal="60" workbookViewId="0">
      <pane xSplit="3" ySplit="1" topLeftCell="D56"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75" customFormat="1" ht="58.5" customHeight="1" x14ac:dyDescent="0.25">
      <c r="A1" s="477"/>
      <c r="B1" s="477"/>
      <c r="C1" s="477"/>
      <c r="D1" s="477"/>
      <c r="E1" s="477"/>
      <c r="F1" s="480" t="s">
        <v>5</v>
      </c>
      <c r="G1" s="481"/>
      <c r="H1" s="481"/>
      <c r="I1" s="477"/>
      <c r="J1" s="477"/>
      <c r="K1" s="477"/>
      <c r="L1" s="477"/>
    </row>
    <row r="3" spans="1:12" ht="15.75" thickBot="1" x14ac:dyDescent="0.3"/>
    <row r="4" spans="1:12" ht="27" thickBot="1" x14ac:dyDescent="0.45">
      <c r="B4" s="691" t="s">
        <v>35</v>
      </c>
      <c r="C4" s="692"/>
      <c r="D4" s="693"/>
      <c r="E4" s="39"/>
      <c r="H4" s="691" t="s">
        <v>95</v>
      </c>
      <c r="I4" s="692"/>
      <c r="J4" s="693"/>
    </row>
    <row r="5" spans="1:12" x14ac:dyDescent="0.25">
      <c r="B5" s="34">
        <v>2019</v>
      </c>
      <c r="C5" s="34">
        <v>2020</v>
      </c>
      <c r="D5" s="34">
        <v>2021</v>
      </c>
      <c r="E5" s="106"/>
      <c r="H5" s="44">
        <v>2019</v>
      </c>
      <c r="I5" s="34">
        <v>2020</v>
      </c>
      <c r="J5" s="45">
        <v>2021</v>
      </c>
    </row>
    <row r="6" spans="1:12" ht="15.75" thickBot="1" x14ac:dyDescent="0.3">
      <c r="B6" s="40">
        <f>Hipótesis!C24</f>
        <v>0.02</v>
      </c>
      <c r="C6" s="40">
        <f>Hipótesis!C25</f>
        <v>0.05</v>
      </c>
      <c r="D6" s="40">
        <f>Hipótesis!C26</f>
        <v>7.0000000000000007E-2</v>
      </c>
      <c r="E6" s="165"/>
      <c r="H6" s="48" t="e">
        <f>AB71</f>
        <v>#REF!</v>
      </c>
      <c r="I6" s="49" t="e">
        <f>AB95</f>
        <v>#REF!</v>
      </c>
      <c r="J6" s="50" t="e">
        <f>AB119</f>
        <v>#REF!</v>
      </c>
    </row>
    <row r="7" spans="1:12" x14ac:dyDescent="0.25">
      <c r="B7" s="33">
        <f>Hipótesis!D24</f>
        <v>121458400</v>
      </c>
      <c r="C7" s="33">
        <f>Hipótesis!D25</f>
        <v>303646000</v>
      </c>
      <c r="D7" s="33">
        <f>Hipótesis!D26</f>
        <v>425104400.00000006</v>
      </c>
      <c r="E7" s="162"/>
    </row>
    <row r="9" spans="1:12" ht="15.75" thickBot="1" x14ac:dyDescent="0.3"/>
    <row r="10" spans="1:12" ht="27" thickBot="1" x14ac:dyDescent="0.45">
      <c r="B10" s="691" t="s">
        <v>122</v>
      </c>
      <c r="C10" s="692"/>
      <c r="D10" s="692"/>
      <c r="E10" s="693"/>
    </row>
    <row r="11" spans="1:12" ht="27" thickBot="1" x14ac:dyDescent="0.45">
      <c r="B11" s="708" t="s">
        <v>279</v>
      </c>
      <c r="C11" s="709"/>
      <c r="D11" s="709"/>
      <c r="E11" s="710"/>
      <c r="F11" s="107"/>
    </row>
    <row r="12" spans="1:12" ht="16.5" thickBot="1" x14ac:dyDescent="0.3">
      <c r="B12" s="183" t="s">
        <v>63</v>
      </c>
      <c r="C12" s="184" t="s">
        <v>60</v>
      </c>
      <c r="D12" s="184" t="s">
        <v>102</v>
      </c>
      <c r="E12" s="185" t="s">
        <v>97</v>
      </c>
    </row>
    <row r="13" spans="1:12" ht="30" x14ac:dyDescent="0.25">
      <c r="B13" s="169" t="s">
        <v>109</v>
      </c>
      <c r="C13" s="166">
        <v>1</v>
      </c>
      <c r="D13" s="167">
        <v>800</v>
      </c>
      <c r="E13" s="170">
        <f>C13*D13</f>
        <v>800</v>
      </c>
      <c r="I13" s="54"/>
      <c r="J13" s="55">
        <v>2800</v>
      </c>
    </row>
    <row r="14" spans="1:12" ht="30" x14ac:dyDescent="0.25">
      <c r="B14" s="169" t="s">
        <v>108</v>
      </c>
      <c r="C14" s="166">
        <v>2</v>
      </c>
      <c r="D14" s="167">
        <v>65</v>
      </c>
      <c r="E14" s="170">
        <f t="shared" ref="E14:E19" si="0">C14*D14</f>
        <v>130</v>
      </c>
      <c r="I14" s="56"/>
      <c r="J14" s="53">
        <v>15500</v>
      </c>
    </row>
    <row r="15" spans="1:12" ht="16.5" thickBot="1" x14ac:dyDescent="0.3">
      <c r="B15" s="169" t="s">
        <v>103</v>
      </c>
      <c r="C15" s="166">
        <v>2</v>
      </c>
      <c r="D15" s="167">
        <v>50</v>
      </c>
      <c r="E15" s="170">
        <f t="shared" si="0"/>
        <v>100</v>
      </c>
      <c r="I15" s="57"/>
      <c r="J15" s="58">
        <v>23000</v>
      </c>
    </row>
    <row r="16" spans="1:12" x14ac:dyDescent="0.25">
      <c r="B16" s="169" t="s">
        <v>98</v>
      </c>
      <c r="C16" s="166">
        <v>2</v>
      </c>
      <c r="D16" s="167">
        <v>70</v>
      </c>
      <c r="E16" s="170">
        <f t="shared" si="0"/>
        <v>140</v>
      </c>
    </row>
    <row r="17" spans="2:6" x14ac:dyDescent="0.25">
      <c r="B17" s="169" t="s">
        <v>99</v>
      </c>
      <c r="C17" s="166">
        <v>1</v>
      </c>
      <c r="D17" s="167">
        <v>80</v>
      </c>
      <c r="E17" s="170">
        <f t="shared" si="0"/>
        <v>80</v>
      </c>
    </row>
    <row r="18" spans="2:6" x14ac:dyDescent="0.25">
      <c r="B18" s="169" t="s">
        <v>100</v>
      </c>
      <c r="C18" s="166">
        <v>1</v>
      </c>
      <c r="D18" s="167">
        <v>50</v>
      </c>
      <c r="E18" s="170">
        <f t="shared" si="0"/>
        <v>50</v>
      </c>
    </row>
    <row r="19" spans="2:6" ht="15.75" thickBot="1" x14ac:dyDescent="0.3">
      <c r="B19" s="171" t="s">
        <v>101</v>
      </c>
      <c r="C19" s="172">
        <v>1</v>
      </c>
      <c r="D19" s="173">
        <v>60</v>
      </c>
      <c r="E19" s="174">
        <f t="shared" si="0"/>
        <v>60</v>
      </c>
    </row>
    <row r="20" spans="2:6" ht="16.5" thickBot="1" x14ac:dyDescent="0.3">
      <c r="D20" s="175" t="s">
        <v>19</v>
      </c>
      <c r="E20" s="182">
        <f>SUM(E13:E19)</f>
        <v>1360</v>
      </c>
    </row>
    <row r="21" spans="2:6" ht="15.75" thickBot="1" x14ac:dyDescent="0.3"/>
    <row r="22" spans="2:6" ht="27" thickBot="1" x14ac:dyDescent="0.45">
      <c r="B22" s="708" t="s">
        <v>279</v>
      </c>
      <c r="C22" s="709"/>
      <c r="D22" s="709"/>
      <c r="E22" s="710"/>
      <c r="F22" s="178"/>
    </row>
    <row r="23" spans="2:6" ht="15.75" x14ac:dyDescent="0.25">
      <c r="B23" s="183" t="s">
        <v>63</v>
      </c>
      <c r="C23" s="184" t="s">
        <v>60</v>
      </c>
      <c r="D23" s="184" t="s">
        <v>102</v>
      </c>
      <c r="E23" s="185" t="s">
        <v>97</v>
      </c>
      <c r="F23" s="179"/>
    </row>
    <row r="24" spans="2:6" ht="16.5" customHeight="1" x14ac:dyDescent="0.25">
      <c r="B24" s="169" t="s">
        <v>104</v>
      </c>
      <c r="C24" s="166">
        <v>10</v>
      </c>
      <c r="D24" s="167">
        <v>85</v>
      </c>
      <c r="E24" s="170">
        <f>C24*D24</f>
        <v>850</v>
      </c>
      <c r="F24" s="179"/>
    </row>
    <row r="25" spans="2:6" x14ac:dyDescent="0.25">
      <c r="B25" s="169" t="s">
        <v>105</v>
      </c>
      <c r="C25" s="166">
        <v>8</v>
      </c>
      <c r="D25" s="167">
        <v>60</v>
      </c>
      <c r="E25" s="170">
        <f t="shared" ref="E25:E32" si="1">C25*D25</f>
        <v>480</v>
      </c>
      <c r="F25" s="179"/>
    </row>
    <row r="26" spans="2:6" x14ac:dyDescent="0.25">
      <c r="B26" s="169" t="s">
        <v>106</v>
      </c>
      <c r="C26" s="166">
        <v>1</v>
      </c>
      <c r="D26" s="167">
        <v>250</v>
      </c>
      <c r="E26" s="170">
        <f t="shared" si="1"/>
        <v>250</v>
      </c>
      <c r="F26" s="179"/>
    </row>
    <row r="27" spans="2:6" x14ac:dyDescent="0.25">
      <c r="B27" s="169" t="s">
        <v>33</v>
      </c>
      <c r="C27" s="166">
        <v>1</v>
      </c>
      <c r="D27" s="167">
        <v>1800</v>
      </c>
      <c r="E27" s="170">
        <f t="shared" si="1"/>
        <v>1800</v>
      </c>
      <c r="F27" s="179"/>
    </row>
    <row r="28" spans="2:6" x14ac:dyDescent="0.25">
      <c r="B28" s="169" t="s">
        <v>107</v>
      </c>
      <c r="C28" s="166">
        <v>1</v>
      </c>
      <c r="D28" s="167">
        <v>600</v>
      </c>
      <c r="E28" s="170">
        <f t="shared" si="1"/>
        <v>600</v>
      </c>
      <c r="F28" s="179"/>
    </row>
    <row r="29" spans="2:6" x14ac:dyDescent="0.25">
      <c r="B29" s="169" t="s">
        <v>110</v>
      </c>
      <c r="C29" s="166">
        <v>4</v>
      </c>
      <c r="D29" s="167">
        <v>200</v>
      </c>
      <c r="E29" s="170">
        <f t="shared" si="1"/>
        <v>800</v>
      </c>
      <c r="F29" s="179"/>
    </row>
    <row r="30" spans="2:6" x14ac:dyDescent="0.25">
      <c r="B30" s="169" t="s">
        <v>111</v>
      </c>
      <c r="C30" s="166">
        <v>1</v>
      </c>
      <c r="D30" s="167">
        <v>400</v>
      </c>
      <c r="E30" s="170">
        <f t="shared" si="1"/>
        <v>400</v>
      </c>
      <c r="F30" s="179"/>
    </row>
    <row r="31" spans="2:6" x14ac:dyDescent="0.25">
      <c r="B31" s="169" t="s">
        <v>112</v>
      </c>
      <c r="C31" s="166">
        <v>1</v>
      </c>
      <c r="D31" s="167">
        <v>250</v>
      </c>
      <c r="E31" s="170">
        <f t="shared" si="1"/>
        <v>250</v>
      </c>
      <c r="F31" s="179"/>
    </row>
    <row r="32" spans="2:6" ht="15.75" thickBot="1" x14ac:dyDescent="0.3">
      <c r="B32" s="171" t="s">
        <v>113</v>
      </c>
      <c r="C32" s="172">
        <v>1</v>
      </c>
      <c r="D32" s="173">
        <v>275</v>
      </c>
      <c r="E32" s="174">
        <f t="shared" si="1"/>
        <v>275</v>
      </c>
      <c r="F32" s="180"/>
    </row>
    <row r="33" spans="2:6" ht="16.5" thickBot="1" x14ac:dyDescent="0.3">
      <c r="D33" s="175" t="s">
        <v>19</v>
      </c>
      <c r="E33" s="182">
        <f>SUM(E24:E32)</f>
        <v>5705</v>
      </c>
      <c r="F33" s="52"/>
    </row>
    <row r="34" spans="2:6" ht="15.75" thickBot="1" x14ac:dyDescent="0.3">
      <c r="B34" s="52"/>
      <c r="C34" s="52"/>
      <c r="D34" s="52"/>
      <c r="E34" s="52"/>
      <c r="F34" s="52"/>
    </row>
    <row r="35" spans="2:6" ht="27" thickBot="1" x14ac:dyDescent="0.45">
      <c r="B35" s="691" t="s">
        <v>279</v>
      </c>
      <c r="C35" s="692"/>
      <c r="D35" s="692"/>
      <c r="E35" s="693"/>
      <c r="F35" s="52"/>
    </row>
    <row r="36" spans="2:6" ht="15.75" x14ac:dyDescent="0.25">
      <c r="B36" s="176" t="s">
        <v>63</v>
      </c>
      <c r="C36" s="168" t="s">
        <v>60</v>
      </c>
      <c r="D36" s="168" t="s">
        <v>102</v>
      </c>
      <c r="E36" s="177" t="s">
        <v>97</v>
      </c>
      <c r="F36" s="181"/>
    </row>
    <row r="37" spans="2:6" x14ac:dyDescent="0.25">
      <c r="B37" s="169" t="s">
        <v>104</v>
      </c>
      <c r="C37" s="166">
        <v>22</v>
      </c>
      <c r="D37" s="167">
        <v>85</v>
      </c>
      <c r="E37" s="170">
        <f>C37*D37</f>
        <v>1870</v>
      </c>
      <c r="F37" s="52"/>
    </row>
    <row r="38" spans="2:6" x14ac:dyDescent="0.25">
      <c r="B38" s="169" t="s">
        <v>105</v>
      </c>
      <c r="C38" s="166">
        <v>16</v>
      </c>
      <c r="D38" s="167">
        <v>60</v>
      </c>
      <c r="E38" s="170">
        <f t="shared" ref="E38:E45" si="2">C38*D38</f>
        <v>960</v>
      </c>
      <c r="F38" s="52"/>
    </row>
    <row r="39" spans="2:6" x14ac:dyDescent="0.25">
      <c r="B39" s="169" t="s">
        <v>106</v>
      </c>
      <c r="C39" s="166">
        <v>1</v>
      </c>
      <c r="D39" s="167">
        <v>250</v>
      </c>
      <c r="E39" s="170">
        <f t="shared" si="2"/>
        <v>250</v>
      </c>
      <c r="F39" s="52"/>
    </row>
    <row r="40" spans="2:6" x14ac:dyDescent="0.25">
      <c r="B40" s="169" t="s">
        <v>33</v>
      </c>
      <c r="C40" s="166">
        <v>1</v>
      </c>
      <c r="D40" s="167">
        <v>1800</v>
      </c>
      <c r="E40" s="170">
        <f t="shared" si="2"/>
        <v>1800</v>
      </c>
      <c r="F40" s="52"/>
    </row>
    <row r="41" spans="2:6" x14ac:dyDescent="0.25">
      <c r="B41" s="169" t="s">
        <v>107</v>
      </c>
      <c r="C41" s="166">
        <v>1</v>
      </c>
      <c r="D41" s="167">
        <v>600</v>
      </c>
      <c r="E41" s="170">
        <f t="shared" si="2"/>
        <v>600</v>
      </c>
      <c r="F41" s="52"/>
    </row>
    <row r="42" spans="2:6" x14ac:dyDescent="0.25">
      <c r="B42" s="169" t="s">
        <v>110</v>
      </c>
      <c r="C42" s="166">
        <v>8</v>
      </c>
      <c r="D42" s="167">
        <v>200</v>
      </c>
      <c r="E42" s="170">
        <f t="shared" si="2"/>
        <v>1600</v>
      </c>
      <c r="F42" s="52"/>
    </row>
    <row r="43" spans="2:6" x14ac:dyDescent="0.25">
      <c r="B43" s="169" t="s">
        <v>111</v>
      </c>
      <c r="C43" s="166">
        <v>1</v>
      </c>
      <c r="D43" s="167">
        <v>400</v>
      </c>
      <c r="E43" s="170">
        <f t="shared" si="2"/>
        <v>400</v>
      </c>
      <c r="F43" s="52"/>
    </row>
    <row r="44" spans="2:6" x14ac:dyDescent="0.25">
      <c r="B44" s="169" t="s">
        <v>112</v>
      </c>
      <c r="C44" s="166">
        <v>1</v>
      </c>
      <c r="D44" s="167">
        <v>250</v>
      </c>
      <c r="E44" s="170">
        <f t="shared" si="2"/>
        <v>250</v>
      </c>
      <c r="F44" s="52"/>
    </row>
    <row r="45" spans="2:6" ht="15.75" thickBot="1" x14ac:dyDescent="0.3">
      <c r="B45" s="171" t="s">
        <v>113</v>
      </c>
      <c r="C45" s="172">
        <v>1</v>
      </c>
      <c r="D45" s="173">
        <v>375</v>
      </c>
      <c r="E45" s="174">
        <f t="shared" si="2"/>
        <v>375</v>
      </c>
      <c r="F45" s="52"/>
    </row>
    <row r="46" spans="2:6" ht="16.5" thickBot="1" x14ac:dyDescent="0.3">
      <c r="D46" s="175" t="s">
        <v>19</v>
      </c>
      <c r="E46" s="182">
        <f>SUM(E37:E45)</f>
        <v>8105</v>
      </c>
      <c r="F46" s="52"/>
    </row>
    <row r="47" spans="2:6" x14ac:dyDescent="0.25">
      <c r="B47" s="1">
        <v>1E-3</v>
      </c>
    </row>
    <row r="48" spans="2:6" x14ac:dyDescent="0.25">
      <c r="B48" s="1">
        <v>0.5</v>
      </c>
      <c r="C48" s="1">
        <v>100</v>
      </c>
    </row>
    <row r="49" spans="1:28" ht="15.75" thickBot="1" x14ac:dyDescent="0.3"/>
    <row r="50" spans="1:28" ht="27" thickBot="1" x14ac:dyDescent="0.45">
      <c r="B50" s="714" t="s">
        <v>96</v>
      </c>
      <c r="C50" s="715"/>
      <c r="D50" s="715"/>
      <c r="E50" s="715"/>
      <c r="F50" s="715"/>
      <c r="G50" s="715"/>
      <c r="H50" s="715"/>
      <c r="I50" s="715"/>
      <c r="J50" s="715"/>
      <c r="K50" s="715"/>
      <c r="L50" s="715"/>
      <c r="M50" s="715"/>
      <c r="N50" s="715"/>
      <c r="O50" s="715"/>
      <c r="P50" s="715"/>
      <c r="Q50" s="715"/>
      <c r="R50" s="715"/>
      <c r="S50" s="715"/>
      <c r="T50" s="715"/>
      <c r="U50" s="715"/>
      <c r="V50" s="715"/>
      <c r="W50" s="715"/>
      <c r="X50" s="715"/>
      <c r="Y50" s="715"/>
      <c r="Z50" s="715"/>
      <c r="AA50" s="715"/>
      <c r="AB50" s="716"/>
    </row>
    <row r="51" spans="1:28" x14ac:dyDescent="0.25">
      <c r="B51" s="712" t="s">
        <v>63</v>
      </c>
      <c r="C51" s="713"/>
      <c r="D51" s="711" t="s">
        <v>40</v>
      </c>
      <c r="E51" s="707"/>
      <c r="F51" s="706" t="s">
        <v>41</v>
      </c>
      <c r="G51" s="707"/>
      <c r="H51" s="706" t="s">
        <v>42</v>
      </c>
      <c r="I51" s="707"/>
      <c r="J51" s="706" t="s">
        <v>43</v>
      </c>
      <c r="K51" s="707"/>
      <c r="L51" s="706" t="s">
        <v>44</v>
      </c>
      <c r="M51" s="707"/>
      <c r="N51" s="706" t="s">
        <v>45</v>
      </c>
      <c r="O51" s="707"/>
      <c r="P51" s="706" t="s">
        <v>46</v>
      </c>
      <c r="Q51" s="707"/>
      <c r="R51" s="706" t="s">
        <v>47</v>
      </c>
      <c r="S51" s="707"/>
      <c r="T51" s="706" t="s">
        <v>48</v>
      </c>
      <c r="U51" s="707"/>
      <c r="V51" s="706" t="s">
        <v>49</v>
      </c>
      <c r="W51" s="707"/>
      <c r="X51" s="706" t="s">
        <v>50</v>
      </c>
      <c r="Y51" s="707"/>
      <c r="Z51" s="706" t="s">
        <v>51</v>
      </c>
      <c r="AA51" s="711"/>
      <c r="AB51" s="717" t="s">
        <v>19</v>
      </c>
    </row>
    <row r="52" spans="1:28" ht="15.75" thickBot="1" x14ac:dyDescent="0.3">
      <c r="B52" s="194" t="s">
        <v>72</v>
      </c>
      <c r="C52" s="195" t="s">
        <v>102</v>
      </c>
      <c r="D52" s="196" t="s">
        <v>60</v>
      </c>
      <c r="E52" s="197" t="s">
        <v>71</v>
      </c>
      <c r="F52" s="197" t="s">
        <v>60</v>
      </c>
      <c r="G52" s="197" t="s">
        <v>71</v>
      </c>
      <c r="H52" s="197" t="s">
        <v>60</v>
      </c>
      <c r="I52" s="197" t="s">
        <v>71</v>
      </c>
      <c r="J52" s="197" t="s">
        <v>60</v>
      </c>
      <c r="K52" s="197" t="s">
        <v>71</v>
      </c>
      <c r="L52" s="197" t="s">
        <v>60</v>
      </c>
      <c r="M52" s="197" t="s">
        <v>71</v>
      </c>
      <c r="N52" s="197" t="s">
        <v>60</v>
      </c>
      <c r="O52" s="197" t="s">
        <v>71</v>
      </c>
      <c r="P52" s="197" t="s">
        <v>60</v>
      </c>
      <c r="Q52" s="197" t="s">
        <v>71</v>
      </c>
      <c r="R52" s="197" t="s">
        <v>60</v>
      </c>
      <c r="S52" s="197" t="s">
        <v>71</v>
      </c>
      <c r="T52" s="197" t="s">
        <v>60</v>
      </c>
      <c r="U52" s="197" t="s">
        <v>71</v>
      </c>
      <c r="V52" s="197" t="s">
        <v>60</v>
      </c>
      <c r="W52" s="197" t="s">
        <v>71</v>
      </c>
      <c r="X52" s="197" t="s">
        <v>60</v>
      </c>
      <c r="Y52" s="197" t="s">
        <v>71</v>
      </c>
      <c r="Z52" s="197" t="s">
        <v>60</v>
      </c>
      <c r="AA52" s="198" t="s">
        <v>71</v>
      </c>
      <c r="AB52" s="717"/>
    </row>
    <row r="53" spans="1:28" x14ac:dyDescent="0.25">
      <c r="A53" s="718" t="s">
        <v>114</v>
      </c>
      <c r="B53" s="199"/>
      <c r="C53" s="200">
        <f>$E$20</f>
        <v>1360</v>
      </c>
      <c r="D53" s="201">
        <f>'Proy. ventas'!F19</f>
        <v>664.1</v>
      </c>
      <c r="E53" s="133">
        <f t="shared" ref="E53:E64" si="3">D53*C53</f>
        <v>903176</v>
      </c>
      <c r="F53" s="228">
        <f>'Proy. ventas'!I19</f>
        <v>1992.3000000000002</v>
      </c>
      <c r="G53" s="133">
        <f t="shared" ref="G53:G68" si="4">F53*C53</f>
        <v>2709528.0000000005</v>
      </c>
      <c r="H53" s="228">
        <f>'Proy. ventas'!L19</f>
        <v>3320.5</v>
      </c>
      <c r="I53" s="133">
        <f t="shared" ref="I53:I68" si="5">H53*C53</f>
        <v>4515880</v>
      </c>
      <c r="J53" s="228">
        <f>'Proy. ventas'!O19</f>
        <v>4980.75</v>
      </c>
      <c r="K53" s="133">
        <f t="shared" ref="K53:K68" si="6">J53*C53</f>
        <v>6773820</v>
      </c>
      <c r="L53" s="228">
        <f>'Proy. ventas'!R19</f>
        <v>6973.05</v>
      </c>
      <c r="M53" s="133">
        <f t="shared" ref="M53:M68" si="7">L53*C53</f>
        <v>9483348</v>
      </c>
      <c r="N53" s="228">
        <f>'Proy. ventas'!U19</f>
        <v>9629.4500000000007</v>
      </c>
      <c r="O53" s="133">
        <f t="shared" ref="O53:O68" si="8">N53*C53</f>
        <v>13096052.000000002</v>
      </c>
      <c r="P53" s="228">
        <f>'Proy. ventas'!X19</f>
        <v>12949.95</v>
      </c>
      <c r="Q53" s="133">
        <f t="shared" ref="Q53:Q68" si="9">P53*C53</f>
        <v>17611932</v>
      </c>
      <c r="R53" s="228">
        <f>'Proy. ventas'!AA19</f>
        <v>16602.5</v>
      </c>
      <c r="S53" s="133">
        <f t="shared" ref="S53:S68" si="10">R53*C53</f>
        <v>22579400</v>
      </c>
      <c r="T53" s="228">
        <f>'Proy. ventas'!AD19</f>
        <v>20255.05</v>
      </c>
      <c r="U53" s="133">
        <f t="shared" ref="U53:U68" si="11">T53*C53</f>
        <v>27546868</v>
      </c>
      <c r="V53" s="228">
        <f>'Proy. ventas'!AG19</f>
        <v>24239.649999999998</v>
      </c>
      <c r="W53" s="133">
        <f t="shared" ref="W53:W68" si="12">V53*C53</f>
        <v>32965923.999999996</v>
      </c>
      <c r="X53" s="228">
        <f>'Proy. ventas'!AJ19</f>
        <v>28556.3</v>
      </c>
      <c r="Y53" s="133">
        <f t="shared" ref="Y53:Y68" si="13">X53*C53</f>
        <v>38836568</v>
      </c>
      <c r="Z53" s="228">
        <f>'Proy. ventas'!AM19</f>
        <v>33205</v>
      </c>
      <c r="AA53" s="134">
        <f t="shared" ref="AA53:AA68" si="14">Z53*C53</f>
        <v>45158800</v>
      </c>
      <c r="AB53" s="221">
        <f>E53+G53+I53+K53+M53+O53+Q53+S53++U53+W53+Y53+AA53</f>
        <v>222181296</v>
      </c>
    </row>
    <row r="54" spans="1:28" x14ac:dyDescent="0.25">
      <c r="A54" s="719"/>
      <c r="B54" s="191"/>
      <c r="C54" s="192">
        <f>$E$33</f>
        <v>5705</v>
      </c>
      <c r="D54" s="189" t="e">
        <f>'Proy. ventas'!#REF!</f>
        <v>#REF!</v>
      </c>
      <c r="E54" s="114" t="e">
        <f t="shared" si="3"/>
        <v>#REF!</v>
      </c>
      <c r="F54" s="186" t="e">
        <f>'Proy. ventas'!#REF!</f>
        <v>#REF!</v>
      </c>
      <c r="G54" s="114" t="e">
        <f t="shared" si="4"/>
        <v>#REF!</v>
      </c>
      <c r="H54" s="186" t="e">
        <f>'Proy. ventas'!#REF!</f>
        <v>#REF!</v>
      </c>
      <c r="I54" s="114" t="e">
        <f t="shared" si="5"/>
        <v>#REF!</v>
      </c>
      <c r="J54" s="186" t="e">
        <f>'Proy. ventas'!#REF!</f>
        <v>#REF!</v>
      </c>
      <c r="K54" s="114" t="e">
        <f t="shared" si="6"/>
        <v>#REF!</v>
      </c>
      <c r="L54" s="186" t="e">
        <f>'Proy. ventas'!#REF!</f>
        <v>#REF!</v>
      </c>
      <c r="M54" s="114" t="e">
        <f t="shared" si="7"/>
        <v>#REF!</v>
      </c>
      <c r="N54" s="186" t="e">
        <f>'Proy. ventas'!#REF!</f>
        <v>#REF!</v>
      </c>
      <c r="O54" s="114" t="e">
        <f t="shared" si="8"/>
        <v>#REF!</v>
      </c>
      <c r="P54" s="186" t="e">
        <f>'Proy. ventas'!#REF!</f>
        <v>#REF!</v>
      </c>
      <c r="Q54" s="114" t="e">
        <f t="shared" si="9"/>
        <v>#REF!</v>
      </c>
      <c r="R54" s="186" t="e">
        <f>'Proy. ventas'!#REF!</f>
        <v>#REF!</v>
      </c>
      <c r="S54" s="114" t="e">
        <f t="shared" si="10"/>
        <v>#REF!</v>
      </c>
      <c r="T54" s="186" t="e">
        <f>'Proy. ventas'!#REF!</f>
        <v>#REF!</v>
      </c>
      <c r="U54" s="114" t="e">
        <f t="shared" si="11"/>
        <v>#REF!</v>
      </c>
      <c r="V54" s="186" t="e">
        <f>'Proy. ventas'!#REF!</f>
        <v>#REF!</v>
      </c>
      <c r="W54" s="114" t="e">
        <f t="shared" si="12"/>
        <v>#REF!</v>
      </c>
      <c r="X54" s="186" t="e">
        <f>'Proy. ventas'!#REF!</f>
        <v>#REF!</v>
      </c>
      <c r="Y54" s="114" t="e">
        <f t="shared" si="13"/>
        <v>#REF!</v>
      </c>
      <c r="Z54" s="186" t="e">
        <f>'Proy. ventas'!#REF!</f>
        <v>#REF!</v>
      </c>
      <c r="AA54" s="116" t="e">
        <f t="shared" si="14"/>
        <v>#REF!</v>
      </c>
      <c r="AB54" s="222" t="e">
        <f t="shared" ref="AB54:AB68" si="15">E54+G54+I54+K54+M54+O54+Q54+S54++U54+W54+Y54+AA54</f>
        <v>#REF!</v>
      </c>
    </row>
    <row r="55" spans="1:28" ht="15.75" thickBot="1" x14ac:dyDescent="0.3">
      <c r="A55" s="720"/>
      <c r="B55" s="202"/>
      <c r="C55" s="203">
        <f>$E$46</f>
        <v>8105</v>
      </c>
      <c r="D55" s="204" t="e">
        <f>'Proy. ventas'!#REF!</f>
        <v>#REF!</v>
      </c>
      <c r="E55" s="137" t="e">
        <f t="shared" si="3"/>
        <v>#REF!</v>
      </c>
      <c r="F55" s="229" t="e">
        <f>'Proy. ventas'!#REF!</f>
        <v>#REF!</v>
      </c>
      <c r="G55" s="137" t="e">
        <f t="shared" si="4"/>
        <v>#REF!</v>
      </c>
      <c r="H55" s="229" t="e">
        <f>'Proy. ventas'!#REF!</f>
        <v>#REF!</v>
      </c>
      <c r="I55" s="137" t="e">
        <f t="shared" si="5"/>
        <v>#REF!</v>
      </c>
      <c r="J55" s="229" t="e">
        <f>'Proy. ventas'!#REF!</f>
        <v>#REF!</v>
      </c>
      <c r="K55" s="137" t="e">
        <f t="shared" si="6"/>
        <v>#REF!</v>
      </c>
      <c r="L55" s="229" t="e">
        <f>'Proy. ventas'!#REF!</f>
        <v>#REF!</v>
      </c>
      <c r="M55" s="137" t="e">
        <f t="shared" si="7"/>
        <v>#REF!</v>
      </c>
      <c r="N55" s="229" t="e">
        <f>'Proy. ventas'!#REF!</f>
        <v>#REF!</v>
      </c>
      <c r="O55" s="137" t="e">
        <f t="shared" si="8"/>
        <v>#REF!</v>
      </c>
      <c r="P55" s="229" t="e">
        <f>'Proy. ventas'!#REF!</f>
        <v>#REF!</v>
      </c>
      <c r="Q55" s="137" t="e">
        <f t="shared" si="9"/>
        <v>#REF!</v>
      </c>
      <c r="R55" s="229" t="e">
        <f>'Proy. ventas'!#REF!</f>
        <v>#REF!</v>
      </c>
      <c r="S55" s="137" t="e">
        <f t="shared" si="10"/>
        <v>#REF!</v>
      </c>
      <c r="T55" s="229" t="e">
        <f>'Proy. ventas'!#REF!</f>
        <v>#REF!</v>
      </c>
      <c r="U55" s="137" t="e">
        <f t="shared" si="11"/>
        <v>#REF!</v>
      </c>
      <c r="V55" s="229" t="e">
        <f>'Proy. ventas'!#REF!</f>
        <v>#REF!</v>
      </c>
      <c r="W55" s="137" t="e">
        <f t="shared" si="12"/>
        <v>#REF!</v>
      </c>
      <c r="X55" s="229" t="e">
        <f>'Proy. ventas'!#REF!</f>
        <v>#REF!</v>
      </c>
      <c r="Y55" s="137" t="e">
        <f t="shared" si="13"/>
        <v>#REF!</v>
      </c>
      <c r="Z55" s="229" t="e">
        <f>'Proy. ventas'!#REF!</f>
        <v>#REF!</v>
      </c>
      <c r="AA55" s="138" t="e">
        <f t="shared" si="14"/>
        <v>#REF!</v>
      </c>
      <c r="AB55" s="223" t="e">
        <f t="shared" si="15"/>
        <v>#REF!</v>
      </c>
    </row>
    <row r="56" spans="1:28" x14ac:dyDescent="0.25">
      <c r="A56" s="718" t="s">
        <v>115</v>
      </c>
      <c r="B56" s="199"/>
      <c r="C56" s="200">
        <v>420</v>
      </c>
      <c r="D56" s="201">
        <f>'Proy. ventas'!F20</f>
        <v>322.2</v>
      </c>
      <c r="E56" s="133">
        <f t="shared" si="3"/>
        <v>135324</v>
      </c>
      <c r="F56" s="228">
        <f>'Proy. ventas'!I20</f>
        <v>966.59999999999991</v>
      </c>
      <c r="G56" s="133">
        <f t="shared" si="4"/>
        <v>405971.99999999994</v>
      </c>
      <c r="H56" s="228">
        <f>'Proy. ventas'!L20</f>
        <v>1611</v>
      </c>
      <c r="I56" s="133">
        <f t="shared" si="5"/>
        <v>676620</v>
      </c>
      <c r="J56" s="228">
        <f>'Proy. ventas'!O20</f>
        <v>2416.5</v>
      </c>
      <c r="K56" s="133">
        <f t="shared" si="6"/>
        <v>1014930</v>
      </c>
      <c r="L56" s="228">
        <f>'Proy. ventas'!R20</f>
        <v>3383.1</v>
      </c>
      <c r="M56" s="133">
        <f t="shared" si="7"/>
        <v>1420902</v>
      </c>
      <c r="N56" s="228">
        <f>'Proy. ventas'!U20</f>
        <v>4671.8999999999996</v>
      </c>
      <c r="O56" s="133">
        <f t="shared" si="8"/>
        <v>1962197.9999999998</v>
      </c>
      <c r="P56" s="228">
        <f>'Proy. ventas'!X20</f>
        <v>6282.9</v>
      </c>
      <c r="Q56" s="133">
        <f t="shared" si="9"/>
        <v>2638818</v>
      </c>
      <c r="R56" s="228">
        <f>'Proy. ventas'!AA20</f>
        <v>8055</v>
      </c>
      <c r="S56" s="133">
        <f t="shared" si="10"/>
        <v>3383100</v>
      </c>
      <c r="T56" s="228">
        <f>'Proy. ventas'!AD20</f>
        <v>9827.1</v>
      </c>
      <c r="U56" s="133">
        <f t="shared" si="11"/>
        <v>4127382</v>
      </c>
      <c r="V56" s="228">
        <f>'Proy. ventas'!AG20</f>
        <v>11760.3</v>
      </c>
      <c r="W56" s="133">
        <f t="shared" si="12"/>
        <v>4939326</v>
      </c>
      <c r="X56" s="228">
        <f>'Proy. ventas'!AJ20</f>
        <v>13854.599999999999</v>
      </c>
      <c r="Y56" s="133">
        <f t="shared" si="13"/>
        <v>5818931.9999999991</v>
      </c>
      <c r="Z56" s="228">
        <f>'Proy. ventas'!AM20</f>
        <v>16109.999999999998</v>
      </c>
      <c r="AA56" s="134">
        <f t="shared" si="14"/>
        <v>6766199.9999999991</v>
      </c>
      <c r="AB56" s="221">
        <f t="shared" si="15"/>
        <v>33289704</v>
      </c>
    </row>
    <row r="57" spans="1:28" x14ac:dyDescent="0.25">
      <c r="A57" s="719"/>
      <c r="B57" s="191"/>
      <c r="C57" s="192">
        <v>300</v>
      </c>
      <c r="D57" s="189" t="e">
        <f>'Proy. ventas'!#REF!</f>
        <v>#REF!</v>
      </c>
      <c r="E57" s="114" t="e">
        <f t="shared" si="3"/>
        <v>#REF!</v>
      </c>
      <c r="F57" s="186" t="e">
        <f>'Proy. ventas'!#REF!</f>
        <v>#REF!</v>
      </c>
      <c r="G57" s="114" t="e">
        <f t="shared" si="4"/>
        <v>#REF!</v>
      </c>
      <c r="H57" s="186" t="e">
        <f>'Proy. ventas'!#REF!</f>
        <v>#REF!</v>
      </c>
      <c r="I57" s="114" t="e">
        <f t="shared" si="5"/>
        <v>#REF!</v>
      </c>
      <c r="J57" s="186" t="e">
        <f>'Proy. ventas'!#REF!</f>
        <v>#REF!</v>
      </c>
      <c r="K57" s="114" t="e">
        <f t="shared" si="6"/>
        <v>#REF!</v>
      </c>
      <c r="L57" s="186" t="e">
        <f>'Proy. ventas'!#REF!</f>
        <v>#REF!</v>
      </c>
      <c r="M57" s="114" t="e">
        <f t="shared" si="7"/>
        <v>#REF!</v>
      </c>
      <c r="N57" s="186" t="e">
        <f>'Proy. ventas'!#REF!</f>
        <v>#REF!</v>
      </c>
      <c r="O57" s="114" t="e">
        <f t="shared" si="8"/>
        <v>#REF!</v>
      </c>
      <c r="P57" s="186" t="e">
        <f>'Proy. ventas'!#REF!</f>
        <v>#REF!</v>
      </c>
      <c r="Q57" s="114" t="e">
        <f t="shared" si="9"/>
        <v>#REF!</v>
      </c>
      <c r="R57" s="186" t="e">
        <f>'Proy. ventas'!#REF!</f>
        <v>#REF!</v>
      </c>
      <c r="S57" s="114" t="e">
        <f t="shared" si="10"/>
        <v>#REF!</v>
      </c>
      <c r="T57" s="186" t="e">
        <f>'Proy. ventas'!#REF!</f>
        <v>#REF!</v>
      </c>
      <c r="U57" s="114" t="e">
        <f t="shared" si="11"/>
        <v>#REF!</v>
      </c>
      <c r="V57" s="186" t="e">
        <f>'Proy. ventas'!#REF!</f>
        <v>#REF!</v>
      </c>
      <c r="W57" s="114" t="e">
        <f t="shared" si="12"/>
        <v>#REF!</v>
      </c>
      <c r="X57" s="186" t="e">
        <f>'Proy. ventas'!#REF!</f>
        <v>#REF!</v>
      </c>
      <c r="Y57" s="114" t="e">
        <f t="shared" si="13"/>
        <v>#REF!</v>
      </c>
      <c r="Z57" s="186" t="e">
        <f>'Proy. ventas'!#REF!</f>
        <v>#REF!</v>
      </c>
      <c r="AA57" s="116" t="e">
        <f t="shared" si="14"/>
        <v>#REF!</v>
      </c>
      <c r="AB57" s="222" t="e">
        <f t="shared" si="15"/>
        <v>#REF!</v>
      </c>
    </row>
    <row r="58" spans="1:28" x14ac:dyDescent="0.25">
      <c r="A58" s="719"/>
      <c r="B58" s="191"/>
      <c r="C58" s="192">
        <v>1800</v>
      </c>
      <c r="D58" s="189" t="e">
        <f>'Proy. ventas'!#REF!</f>
        <v>#REF!</v>
      </c>
      <c r="E58" s="114" t="e">
        <f t="shared" si="3"/>
        <v>#REF!</v>
      </c>
      <c r="F58" s="186" t="e">
        <f>'Proy. ventas'!#REF!</f>
        <v>#REF!</v>
      </c>
      <c r="G58" s="114" t="e">
        <f t="shared" si="4"/>
        <v>#REF!</v>
      </c>
      <c r="H58" s="186" t="e">
        <f>'Proy. ventas'!#REF!</f>
        <v>#REF!</v>
      </c>
      <c r="I58" s="114" t="e">
        <f t="shared" si="5"/>
        <v>#REF!</v>
      </c>
      <c r="J58" s="186" t="e">
        <f>'Proy. ventas'!#REF!</f>
        <v>#REF!</v>
      </c>
      <c r="K58" s="114" t="e">
        <f t="shared" si="6"/>
        <v>#REF!</v>
      </c>
      <c r="L58" s="186" t="e">
        <f>'Proy. ventas'!#REF!</f>
        <v>#REF!</v>
      </c>
      <c r="M58" s="114" t="e">
        <f t="shared" si="7"/>
        <v>#REF!</v>
      </c>
      <c r="N58" s="186" t="e">
        <f>'Proy. ventas'!#REF!</f>
        <v>#REF!</v>
      </c>
      <c r="O58" s="114" t="e">
        <f t="shared" si="8"/>
        <v>#REF!</v>
      </c>
      <c r="P58" s="186" t="e">
        <f>'Proy. ventas'!#REF!</f>
        <v>#REF!</v>
      </c>
      <c r="Q58" s="114" t="e">
        <f t="shared" si="9"/>
        <v>#REF!</v>
      </c>
      <c r="R58" s="186" t="e">
        <f>'Proy. ventas'!#REF!</f>
        <v>#REF!</v>
      </c>
      <c r="S58" s="114" t="e">
        <f t="shared" si="10"/>
        <v>#REF!</v>
      </c>
      <c r="T58" s="186" t="e">
        <f>'Proy. ventas'!#REF!</f>
        <v>#REF!</v>
      </c>
      <c r="U58" s="114" t="e">
        <f t="shared" si="11"/>
        <v>#REF!</v>
      </c>
      <c r="V58" s="186" t="e">
        <f>'Proy. ventas'!#REF!</f>
        <v>#REF!</v>
      </c>
      <c r="W58" s="114" t="e">
        <f t="shared" si="12"/>
        <v>#REF!</v>
      </c>
      <c r="X58" s="186" t="e">
        <f>'Proy. ventas'!#REF!</f>
        <v>#REF!</v>
      </c>
      <c r="Y58" s="114" t="e">
        <f t="shared" si="13"/>
        <v>#REF!</v>
      </c>
      <c r="Z58" s="186" t="e">
        <f>'Proy. ventas'!#REF!</f>
        <v>#REF!</v>
      </c>
      <c r="AA58" s="116" t="e">
        <f t="shared" si="14"/>
        <v>#REF!</v>
      </c>
      <c r="AB58" s="222" t="e">
        <f t="shared" si="15"/>
        <v>#REF!</v>
      </c>
    </row>
    <row r="59" spans="1:28" x14ac:dyDescent="0.25">
      <c r="A59" s="719"/>
      <c r="B59" s="191"/>
      <c r="C59" s="192">
        <v>180</v>
      </c>
      <c r="D59" s="189" t="e">
        <f>'Proy. ventas'!#REF!</f>
        <v>#REF!</v>
      </c>
      <c r="E59" s="114" t="e">
        <f t="shared" si="3"/>
        <v>#REF!</v>
      </c>
      <c r="F59" s="186" t="e">
        <f>'Proy. ventas'!#REF!</f>
        <v>#REF!</v>
      </c>
      <c r="G59" s="114" t="e">
        <f t="shared" si="4"/>
        <v>#REF!</v>
      </c>
      <c r="H59" s="186" t="e">
        <f>'Proy. ventas'!#REF!</f>
        <v>#REF!</v>
      </c>
      <c r="I59" s="114" t="e">
        <f t="shared" si="5"/>
        <v>#REF!</v>
      </c>
      <c r="J59" s="186" t="e">
        <f>'Proy. ventas'!#REF!</f>
        <v>#REF!</v>
      </c>
      <c r="K59" s="114" t="e">
        <f t="shared" si="6"/>
        <v>#REF!</v>
      </c>
      <c r="L59" s="186" t="e">
        <f>'Proy. ventas'!#REF!</f>
        <v>#REF!</v>
      </c>
      <c r="M59" s="114" t="e">
        <f t="shared" si="7"/>
        <v>#REF!</v>
      </c>
      <c r="N59" s="186" t="e">
        <f>'Proy. ventas'!#REF!</f>
        <v>#REF!</v>
      </c>
      <c r="O59" s="114" t="e">
        <f t="shared" si="8"/>
        <v>#REF!</v>
      </c>
      <c r="P59" s="186" t="e">
        <f>'Proy. ventas'!#REF!</f>
        <v>#REF!</v>
      </c>
      <c r="Q59" s="114" t="e">
        <f t="shared" si="9"/>
        <v>#REF!</v>
      </c>
      <c r="R59" s="186" t="e">
        <f>'Proy. ventas'!#REF!</f>
        <v>#REF!</v>
      </c>
      <c r="S59" s="114" t="e">
        <f t="shared" si="10"/>
        <v>#REF!</v>
      </c>
      <c r="T59" s="186" t="e">
        <f>'Proy. ventas'!#REF!</f>
        <v>#REF!</v>
      </c>
      <c r="U59" s="114" t="e">
        <f t="shared" si="11"/>
        <v>#REF!</v>
      </c>
      <c r="V59" s="186" t="e">
        <f>'Proy. ventas'!#REF!</f>
        <v>#REF!</v>
      </c>
      <c r="W59" s="114" t="e">
        <f t="shared" si="12"/>
        <v>#REF!</v>
      </c>
      <c r="X59" s="186" t="e">
        <f>'Proy. ventas'!#REF!</f>
        <v>#REF!</v>
      </c>
      <c r="Y59" s="114" t="e">
        <f t="shared" si="13"/>
        <v>#REF!</v>
      </c>
      <c r="Z59" s="186" t="e">
        <f>'Proy. ventas'!#REF!</f>
        <v>#REF!</v>
      </c>
      <c r="AA59" s="116" t="e">
        <f t="shared" si="14"/>
        <v>#REF!</v>
      </c>
      <c r="AB59" s="222" t="e">
        <f t="shared" si="15"/>
        <v>#REF!</v>
      </c>
    </row>
    <row r="60" spans="1:28" x14ac:dyDescent="0.25">
      <c r="A60" s="719"/>
      <c r="B60" s="191"/>
      <c r="C60" s="192">
        <v>1250</v>
      </c>
      <c r="D60" s="189">
        <f>'Proy. ventas'!F21</f>
        <v>228.3</v>
      </c>
      <c r="E60" s="114">
        <f t="shared" si="3"/>
        <v>285375</v>
      </c>
      <c r="F60" s="186">
        <f>'Proy. ventas'!I21</f>
        <v>684.90000000000009</v>
      </c>
      <c r="G60" s="114">
        <f t="shared" si="4"/>
        <v>856125.00000000012</v>
      </c>
      <c r="H60" s="186">
        <f>'Proy. ventas'!L21</f>
        <v>1141.5</v>
      </c>
      <c r="I60" s="114">
        <f t="shared" si="5"/>
        <v>1426875</v>
      </c>
      <c r="J60" s="186">
        <f>'Proy. ventas'!O21</f>
        <v>1712.25</v>
      </c>
      <c r="K60" s="114">
        <f t="shared" si="6"/>
        <v>2140312.5</v>
      </c>
      <c r="L60" s="186">
        <f>'Proy. ventas'!R21</f>
        <v>2397.15</v>
      </c>
      <c r="M60" s="114">
        <f t="shared" si="7"/>
        <v>2996437.5</v>
      </c>
      <c r="N60" s="186">
        <f>'Proy. ventas'!U21</f>
        <v>3310.3500000000004</v>
      </c>
      <c r="O60" s="114">
        <f t="shared" si="8"/>
        <v>4137937.5000000005</v>
      </c>
      <c r="P60" s="186">
        <f>'Proy. ventas'!X21</f>
        <v>4451.8500000000004</v>
      </c>
      <c r="Q60" s="114">
        <f t="shared" si="9"/>
        <v>5564812.5</v>
      </c>
      <c r="R60" s="186">
        <f>'Proy. ventas'!AA21</f>
        <v>5707.5</v>
      </c>
      <c r="S60" s="114">
        <f t="shared" si="10"/>
        <v>7134375</v>
      </c>
      <c r="T60" s="186">
        <f>'Proy. ventas'!AD21</f>
        <v>6963.15</v>
      </c>
      <c r="U60" s="114">
        <f t="shared" si="11"/>
        <v>8703937.5</v>
      </c>
      <c r="V60" s="186">
        <f>'Proy. ventas'!AG21</f>
        <v>8332.9499999999989</v>
      </c>
      <c r="W60" s="114">
        <f t="shared" si="12"/>
        <v>10416187.499999998</v>
      </c>
      <c r="X60" s="186">
        <f>'Proy. ventas'!AJ21</f>
        <v>9816.9</v>
      </c>
      <c r="Y60" s="114">
        <f t="shared" si="13"/>
        <v>12271125</v>
      </c>
      <c r="Z60" s="186">
        <f>'Proy. ventas'!AM21</f>
        <v>11415</v>
      </c>
      <c r="AA60" s="116">
        <f t="shared" si="14"/>
        <v>14268750</v>
      </c>
      <c r="AB60" s="222">
        <f t="shared" si="15"/>
        <v>70202250</v>
      </c>
    </row>
    <row r="61" spans="1:28" x14ac:dyDescent="0.25">
      <c r="A61" s="719"/>
      <c r="B61" s="191"/>
      <c r="C61" s="192">
        <v>350</v>
      </c>
      <c r="D61" s="189" t="e">
        <f>'Proy. ventas'!#REF!</f>
        <v>#REF!</v>
      </c>
      <c r="E61" s="114" t="e">
        <f t="shared" si="3"/>
        <v>#REF!</v>
      </c>
      <c r="F61" s="186" t="e">
        <f>'Proy. ventas'!#REF!</f>
        <v>#REF!</v>
      </c>
      <c r="G61" s="114" t="e">
        <f t="shared" si="4"/>
        <v>#REF!</v>
      </c>
      <c r="H61" s="186" t="e">
        <f>'Proy. ventas'!#REF!</f>
        <v>#REF!</v>
      </c>
      <c r="I61" s="114" t="e">
        <f t="shared" si="5"/>
        <v>#REF!</v>
      </c>
      <c r="J61" s="186" t="e">
        <f>'Proy. ventas'!#REF!</f>
        <v>#REF!</v>
      </c>
      <c r="K61" s="114" t="e">
        <f t="shared" si="6"/>
        <v>#REF!</v>
      </c>
      <c r="L61" s="186" t="e">
        <f>'Proy. ventas'!#REF!</f>
        <v>#REF!</v>
      </c>
      <c r="M61" s="114" t="e">
        <f t="shared" si="7"/>
        <v>#REF!</v>
      </c>
      <c r="N61" s="186" t="e">
        <f>'Proy. ventas'!#REF!</f>
        <v>#REF!</v>
      </c>
      <c r="O61" s="114" t="e">
        <f t="shared" si="8"/>
        <v>#REF!</v>
      </c>
      <c r="P61" s="186" t="e">
        <f>'Proy. ventas'!#REF!</f>
        <v>#REF!</v>
      </c>
      <c r="Q61" s="114" t="e">
        <f t="shared" si="9"/>
        <v>#REF!</v>
      </c>
      <c r="R61" s="186" t="e">
        <f>'Proy. ventas'!#REF!</f>
        <v>#REF!</v>
      </c>
      <c r="S61" s="114" t="e">
        <f t="shared" si="10"/>
        <v>#REF!</v>
      </c>
      <c r="T61" s="186" t="e">
        <f>'Proy. ventas'!#REF!</f>
        <v>#REF!</v>
      </c>
      <c r="U61" s="114" t="e">
        <f t="shared" si="11"/>
        <v>#REF!</v>
      </c>
      <c r="V61" s="186" t="e">
        <f>'Proy. ventas'!#REF!</f>
        <v>#REF!</v>
      </c>
      <c r="W61" s="114" t="e">
        <f t="shared" si="12"/>
        <v>#REF!</v>
      </c>
      <c r="X61" s="186" t="e">
        <f>'Proy. ventas'!#REF!</f>
        <v>#REF!</v>
      </c>
      <c r="Y61" s="114" t="e">
        <f t="shared" si="13"/>
        <v>#REF!</v>
      </c>
      <c r="Z61" s="186" t="e">
        <f>'Proy. ventas'!#REF!</f>
        <v>#REF!</v>
      </c>
      <c r="AA61" s="116" t="e">
        <f t="shared" si="14"/>
        <v>#REF!</v>
      </c>
      <c r="AB61" s="222" t="e">
        <f t="shared" si="15"/>
        <v>#REF!</v>
      </c>
    </row>
    <row r="62" spans="1:28" x14ac:dyDescent="0.25">
      <c r="A62" s="719"/>
      <c r="B62" s="191"/>
      <c r="C62" s="192">
        <v>950</v>
      </c>
      <c r="D62" s="189" t="e">
        <f>'Proy. ventas'!#REF!</f>
        <v>#REF!</v>
      </c>
      <c r="E62" s="114" t="e">
        <f t="shared" si="3"/>
        <v>#REF!</v>
      </c>
      <c r="F62" s="186" t="e">
        <f>'Proy. ventas'!#REF!</f>
        <v>#REF!</v>
      </c>
      <c r="G62" s="114" t="e">
        <f t="shared" si="4"/>
        <v>#REF!</v>
      </c>
      <c r="H62" s="186" t="e">
        <f>'Proy. ventas'!#REF!</f>
        <v>#REF!</v>
      </c>
      <c r="I62" s="114" t="e">
        <f t="shared" si="5"/>
        <v>#REF!</v>
      </c>
      <c r="J62" s="186" t="e">
        <f>'Proy. ventas'!#REF!</f>
        <v>#REF!</v>
      </c>
      <c r="K62" s="114" t="e">
        <f t="shared" si="6"/>
        <v>#REF!</v>
      </c>
      <c r="L62" s="186" t="e">
        <f>'Proy. ventas'!#REF!</f>
        <v>#REF!</v>
      </c>
      <c r="M62" s="114" t="e">
        <f t="shared" si="7"/>
        <v>#REF!</v>
      </c>
      <c r="N62" s="186" t="e">
        <f>'Proy. ventas'!#REF!</f>
        <v>#REF!</v>
      </c>
      <c r="O62" s="114" t="e">
        <f t="shared" si="8"/>
        <v>#REF!</v>
      </c>
      <c r="P62" s="186" t="e">
        <f>'Proy. ventas'!#REF!</f>
        <v>#REF!</v>
      </c>
      <c r="Q62" s="114" t="e">
        <f t="shared" si="9"/>
        <v>#REF!</v>
      </c>
      <c r="R62" s="186" t="e">
        <f>'Proy. ventas'!#REF!</f>
        <v>#REF!</v>
      </c>
      <c r="S62" s="114" t="e">
        <f t="shared" si="10"/>
        <v>#REF!</v>
      </c>
      <c r="T62" s="186" t="e">
        <f>'Proy. ventas'!#REF!</f>
        <v>#REF!</v>
      </c>
      <c r="U62" s="114" t="e">
        <f t="shared" si="11"/>
        <v>#REF!</v>
      </c>
      <c r="V62" s="186" t="e">
        <f>'Proy. ventas'!#REF!</f>
        <v>#REF!</v>
      </c>
      <c r="W62" s="114" t="e">
        <f t="shared" si="12"/>
        <v>#REF!</v>
      </c>
      <c r="X62" s="186" t="e">
        <f>'Proy. ventas'!#REF!</f>
        <v>#REF!</v>
      </c>
      <c r="Y62" s="114" t="e">
        <f t="shared" si="13"/>
        <v>#REF!</v>
      </c>
      <c r="Z62" s="186" t="e">
        <f>'Proy. ventas'!#REF!</f>
        <v>#REF!</v>
      </c>
      <c r="AA62" s="116" t="e">
        <f t="shared" si="14"/>
        <v>#REF!</v>
      </c>
      <c r="AB62" s="222" t="e">
        <f t="shared" si="15"/>
        <v>#REF!</v>
      </c>
    </row>
    <row r="63" spans="1:28" x14ac:dyDescent="0.25">
      <c r="A63" s="719"/>
      <c r="B63" s="191"/>
      <c r="C63" s="192">
        <v>200</v>
      </c>
      <c r="D63" s="189" t="e">
        <f>'Proy. ventas'!#REF!</f>
        <v>#REF!</v>
      </c>
      <c r="E63" s="114" t="e">
        <f t="shared" si="3"/>
        <v>#REF!</v>
      </c>
      <c r="F63" s="186" t="e">
        <f>'Proy. ventas'!#REF!</f>
        <v>#REF!</v>
      </c>
      <c r="G63" s="114" t="e">
        <f t="shared" si="4"/>
        <v>#REF!</v>
      </c>
      <c r="H63" s="186" t="e">
        <f>'Proy. ventas'!#REF!</f>
        <v>#REF!</v>
      </c>
      <c r="I63" s="114" t="e">
        <f t="shared" si="5"/>
        <v>#REF!</v>
      </c>
      <c r="J63" s="186" t="e">
        <f>'Proy. ventas'!#REF!</f>
        <v>#REF!</v>
      </c>
      <c r="K63" s="114" t="e">
        <f t="shared" si="6"/>
        <v>#REF!</v>
      </c>
      <c r="L63" s="186" t="e">
        <f>'Proy. ventas'!#REF!</f>
        <v>#REF!</v>
      </c>
      <c r="M63" s="114" t="e">
        <f t="shared" si="7"/>
        <v>#REF!</v>
      </c>
      <c r="N63" s="186" t="e">
        <f>'Proy. ventas'!#REF!</f>
        <v>#REF!</v>
      </c>
      <c r="O63" s="114" t="e">
        <f t="shared" si="8"/>
        <v>#REF!</v>
      </c>
      <c r="P63" s="186" t="e">
        <f>'Proy. ventas'!#REF!</f>
        <v>#REF!</v>
      </c>
      <c r="Q63" s="114" t="e">
        <f t="shared" si="9"/>
        <v>#REF!</v>
      </c>
      <c r="R63" s="186" t="e">
        <f>'Proy. ventas'!#REF!</f>
        <v>#REF!</v>
      </c>
      <c r="S63" s="114" t="e">
        <f t="shared" si="10"/>
        <v>#REF!</v>
      </c>
      <c r="T63" s="186" t="e">
        <f>'Proy. ventas'!#REF!</f>
        <v>#REF!</v>
      </c>
      <c r="U63" s="114" t="e">
        <f t="shared" si="11"/>
        <v>#REF!</v>
      </c>
      <c r="V63" s="186" t="e">
        <f>'Proy. ventas'!#REF!</f>
        <v>#REF!</v>
      </c>
      <c r="W63" s="114" t="e">
        <f t="shared" si="12"/>
        <v>#REF!</v>
      </c>
      <c r="X63" s="186" t="e">
        <f>'Proy. ventas'!#REF!</f>
        <v>#REF!</v>
      </c>
      <c r="Y63" s="114" t="e">
        <f t="shared" si="13"/>
        <v>#REF!</v>
      </c>
      <c r="Z63" s="186" t="e">
        <f>'Proy. ventas'!#REF!</f>
        <v>#REF!</v>
      </c>
      <c r="AA63" s="116" t="e">
        <f t="shared" si="14"/>
        <v>#REF!</v>
      </c>
      <c r="AB63" s="222" t="e">
        <f t="shared" si="15"/>
        <v>#REF!</v>
      </c>
    </row>
    <row r="64" spans="1:28" ht="15.75" thickBot="1" x14ac:dyDescent="0.3">
      <c r="A64" s="720"/>
      <c r="B64" s="202"/>
      <c r="C64" s="203">
        <v>1150</v>
      </c>
      <c r="D64" s="204" t="e">
        <f>'Proy. ventas'!#REF!</f>
        <v>#REF!</v>
      </c>
      <c r="E64" s="137" t="e">
        <f t="shared" si="3"/>
        <v>#REF!</v>
      </c>
      <c r="F64" s="229" t="e">
        <f>'Proy. ventas'!#REF!</f>
        <v>#REF!</v>
      </c>
      <c r="G64" s="137" t="e">
        <f t="shared" si="4"/>
        <v>#REF!</v>
      </c>
      <c r="H64" s="229" t="e">
        <f>'Proy. ventas'!#REF!</f>
        <v>#REF!</v>
      </c>
      <c r="I64" s="137" t="e">
        <f t="shared" si="5"/>
        <v>#REF!</v>
      </c>
      <c r="J64" s="229" t="e">
        <f>'Proy. ventas'!#REF!</f>
        <v>#REF!</v>
      </c>
      <c r="K64" s="137" t="e">
        <f t="shared" si="6"/>
        <v>#REF!</v>
      </c>
      <c r="L64" s="229" t="e">
        <f>'Proy. ventas'!#REF!</f>
        <v>#REF!</v>
      </c>
      <c r="M64" s="137" t="e">
        <f t="shared" si="7"/>
        <v>#REF!</v>
      </c>
      <c r="N64" s="229" t="e">
        <f>'Proy. ventas'!#REF!</f>
        <v>#REF!</v>
      </c>
      <c r="O64" s="137" t="e">
        <f t="shared" si="8"/>
        <v>#REF!</v>
      </c>
      <c r="P64" s="229" t="e">
        <f>'Proy. ventas'!#REF!</f>
        <v>#REF!</v>
      </c>
      <c r="Q64" s="137" t="e">
        <f t="shared" si="9"/>
        <v>#REF!</v>
      </c>
      <c r="R64" s="229" t="e">
        <f>'Proy. ventas'!#REF!</f>
        <v>#REF!</v>
      </c>
      <c r="S64" s="137" t="e">
        <f t="shared" si="10"/>
        <v>#REF!</v>
      </c>
      <c r="T64" s="229" t="e">
        <f>'Proy. ventas'!#REF!</f>
        <v>#REF!</v>
      </c>
      <c r="U64" s="137" t="e">
        <f t="shared" si="11"/>
        <v>#REF!</v>
      </c>
      <c r="V64" s="229" t="e">
        <f>'Proy. ventas'!#REF!</f>
        <v>#REF!</v>
      </c>
      <c r="W64" s="137" t="e">
        <f t="shared" si="12"/>
        <v>#REF!</v>
      </c>
      <c r="X64" s="229" t="e">
        <f>'Proy. ventas'!#REF!</f>
        <v>#REF!</v>
      </c>
      <c r="Y64" s="137" t="e">
        <f t="shared" si="13"/>
        <v>#REF!</v>
      </c>
      <c r="Z64" s="229" t="e">
        <f>'Proy. ventas'!#REF!</f>
        <v>#REF!</v>
      </c>
      <c r="AA64" s="138" t="e">
        <f t="shared" si="14"/>
        <v>#REF!</v>
      </c>
      <c r="AB64" s="223" t="e">
        <f t="shared" si="15"/>
        <v>#REF!</v>
      </c>
    </row>
    <row r="65" spans="1:28" ht="30.75" thickBot="1" x14ac:dyDescent="0.3">
      <c r="A65" s="205" t="s">
        <v>116</v>
      </c>
      <c r="B65" s="206"/>
      <c r="C65" s="207">
        <v>300</v>
      </c>
      <c r="D65" s="208">
        <v>50</v>
      </c>
      <c r="E65" s="145">
        <f t="shared" ref="E65:E68" si="16">D65*C65</f>
        <v>15000</v>
      </c>
      <c r="F65" s="230">
        <v>20</v>
      </c>
      <c r="G65" s="145">
        <f t="shared" si="4"/>
        <v>6000</v>
      </c>
      <c r="H65" s="230">
        <v>10</v>
      </c>
      <c r="I65" s="145">
        <f t="shared" si="5"/>
        <v>3000</v>
      </c>
      <c r="J65" s="230">
        <v>5</v>
      </c>
      <c r="K65" s="145">
        <f t="shared" si="6"/>
        <v>1500</v>
      </c>
      <c r="L65" s="230">
        <v>0</v>
      </c>
      <c r="M65" s="145">
        <f t="shared" si="7"/>
        <v>0</v>
      </c>
      <c r="N65" s="230">
        <v>5</v>
      </c>
      <c r="O65" s="145">
        <f t="shared" si="8"/>
        <v>1500</v>
      </c>
      <c r="P65" s="230">
        <v>5</v>
      </c>
      <c r="Q65" s="145">
        <f t="shared" si="9"/>
        <v>1500</v>
      </c>
      <c r="R65" s="230">
        <v>0</v>
      </c>
      <c r="S65" s="145">
        <f t="shared" si="10"/>
        <v>0</v>
      </c>
      <c r="T65" s="230">
        <v>10</v>
      </c>
      <c r="U65" s="145">
        <f t="shared" si="11"/>
        <v>3000</v>
      </c>
      <c r="V65" s="230">
        <v>10</v>
      </c>
      <c r="W65" s="145">
        <f t="shared" si="12"/>
        <v>3000</v>
      </c>
      <c r="X65" s="230">
        <v>15</v>
      </c>
      <c r="Y65" s="145">
        <f t="shared" si="13"/>
        <v>4500</v>
      </c>
      <c r="Z65" s="230">
        <v>10</v>
      </c>
      <c r="AA65" s="146">
        <f t="shared" si="14"/>
        <v>3000</v>
      </c>
      <c r="AB65" s="224">
        <f t="shared" si="15"/>
        <v>42000</v>
      </c>
    </row>
    <row r="66" spans="1:28" x14ac:dyDescent="0.25">
      <c r="A66" s="721" t="s">
        <v>119</v>
      </c>
      <c r="B66" s="217"/>
      <c r="C66" s="190">
        <v>182000</v>
      </c>
      <c r="D66" s="188">
        <v>1</v>
      </c>
      <c r="E66" s="127">
        <f t="shared" si="16"/>
        <v>182000</v>
      </c>
      <c r="F66" s="187">
        <v>1</v>
      </c>
      <c r="G66" s="127">
        <f t="shared" si="4"/>
        <v>182000</v>
      </c>
      <c r="H66" s="187">
        <v>0</v>
      </c>
      <c r="I66" s="127">
        <f t="shared" si="5"/>
        <v>0</v>
      </c>
      <c r="J66" s="187">
        <v>1</v>
      </c>
      <c r="K66" s="127">
        <f t="shared" si="6"/>
        <v>182000</v>
      </c>
      <c r="L66" s="187">
        <v>1</v>
      </c>
      <c r="M66" s="127">
        <f t="shared" si="7"/>
        <v>182000</v>
      </c>
      <c r="N66" s="187">
        <v>0</v>
      </c>
      <c r="O66" s="127">
        <f t="shared" si="8"/>
        <v>0</v>
      </c>
      <c r="P66" s="187">
        <v>0</v>
      </c>
      <c r="Q66" s="127">
        <f t="shared" si="9"/>
        <v>0</v>
      </c>
      <c r="R66" s="187">
        <v>0</v>
      </c>
      <c r="S66" s="127">
        <f t="shared" si="10"/>
        <v>0</v>
      </c>
      <c r="T66" s="187">
        <v>1</v>
      </c>
      <c r="U66" s="127">
        <f t="shared" si="11"/>
        <v>182000</v>
      </c>
      <c r="V66" s="187">
        <v>0</v>
      </c>
      <c r="W66" s="127">
        <f t="shared" si="12"/>
        <v>0</v>
      </c>
      <c r="X66" s="187">
        <v>0</v>
      </c>
      <c r="Y66" s="127">
        <f t="shared" si="13"/>
        <v>0</v>
      </c>
      <c r="Z66" s="187">
        <v>1</v>
      </c>
      <c r="AA66" s="128">
        <f t="shared" si="14"/>
        <v>182000</v>
      </c>
      <c r="AB66" s="225">
        <f t="shared" si="15"/>
        <v>1092000</v>
      </c>
    </row>
    <row r="67" spans="1:28" x14ac:dyDescent="0.25">
      <c r="A67" s="722"/>
      <c r="B67" s="218"/>
      <c r="C67" s="192">
        <v>130000</v>
      </c>
      <c r="D67" s="189">
        <v>1</v>
      </c>
      <c r="E67" s="114">
        <f t="shared" si="16"/>
        <v>130000</v>
      </c>
      <c r="F67" s="186">
        <v>0</v>
      </c>
      <c r="G67" s="114">
        <f t="shared" si="4"/>
        <v>0</v>
      </c>
      <c r="H67" s="186">
        <v>0</v>
      </c>
      <c r="I67" s="114">
        <f t="shared" si="5"/>
        <v>0</v>
      </c>
      <c r="J67" s="186">
        <v>0</v>
      </c>
      <c r="K67" s="114">
        <f t="shared" si="6"/>
        <v>0</v>
      </c>
      <c r="L67" s="186">
        <v>1</v>
      </c>
      <c r="M67" s="114">
        <f t="shared" si="7"/>
        <v>130000</v>
      </c>
      <c r="N67" s="186">
        <v>0</v>
      </c>
      <c r="O67" s="114">
        <f t="shared" si="8"/>
        <v>0</v>
      </c>
      <c r="P67" s="186">
        <v>0</v>
      </c>
      <c r="Q67" s="114">
        <f t="shared" si="9"/>
        <v>0</v>
      </c>
      <c r="R67" s="186">
        <v>0</v>
      </c>
      <c r="S67" s="114">
        <f t="shared" si="10"/>
        <v>0</v>
      </c>
      <c r="T67" s="186">
        <v>1</v>
      </c>
      <c r="U67" s="114">
        <f t="shared" si="11"/>
        <v>130000</v>
      </c>
      <c r="V67" s="186">
        <v>0</v>
      </c>
      <c r="W67" s="114">
        <f t="shared" si="12"/>
        <v>0</v>
      </c>
      <c r="X67" s="186">
        <v>0</v>
      </c>
      <c r="Y67" s="114">
        <f t="shared" si="13"/>
        <v>0</v>
      </c>
      <c r="Z67" s="186">
        <v>1</v>
      </c>
      <c r="AA67" s="116">
        <f t="shared" si="14"/>
        <v>130000</v>
      </c>
      <c r="AB67" s="222">
        <f t="shared" si="15"/>
        <v>520000</v>
      </c>
    </row>
    <row r="68" spans="1:28" x14ac:dyDescent="0.25">
      <c r="A68" s="722"/>
      <c r="B68" s="193"/>
      <c r="C68" s="192">
        <v>250000</v>
      </c>
      <c r="D68" s="189">
        <v>0</v>
      </c>
      <c r="E68" s="114">
        <f t="shared" si="16"/>
        <v>0</v>
      </c>
      <c r="F68" s="186">
        <v>0</v>
      </c>
      <c r="G68" s="114">
        <f t="shared" si="4"/>
        <v>0</v>
      </c>
      <c r="H68" s="186">
        <v>0</v>
      </c>
      <c r="I68" s="114">
        <f t="shared" si="5"/>
        <v>0</v>
      </c>
      <c r="J68" s="186">
        <v>0</v>
      </c>
      <c r="K68" s="114">
        <f t="shared" si="6"/>
        <v>0</v>
      </c>
      <c r="L68" s="186">
        <v>0</v>
      </c>
      <c r="M68" s="114">
        <f t="shared" si="7"/>
        <v>0</v>
      </c>
      <c r="N68" s="186">
        <v>0</v>
      </c>
      <c r="O68" s="114">
        <f t="shared" si="8"/>
        <v>0</v>
      </c>
      <c r="P68" s="186">
        <v>0</v>
      </c>
      <c r="Q68" s="114">
        <f t="shared" si="9"/>
        <v>0</v>
      </c>
      <c r="R68" s="186">
        <v>0</v>
      </c>
      <c r="S68" s="114">
        <f t="shared" si="10"/>
        <v>0</v>
      </c>
      <c r="T68" s="186">
        <v>1</v>
      </c>
      <c r="U68" s="114">
        <f t="shared" si="11"/>
        <v>250000</v>
      </c>
      <c r="V68" s="186">
        <v>0</v>
      </c>
      <c r="W68" s="114">
        <f t="shared" si="12"/>
        <v>0</v>
      </c>
      <c r="X68" s="186">
        <v>0</v>
      </c>
      <c r="Y68" s="114">
        <f t="shared" si="13"/>
        <v>0</v>
      </c>
      <c r="Z68" s="186">
        <v>0</v>
      </c>
      <c r="AA68" s="116">
        <f t="shared" si="14"/>
        <v>0</v>
      </c>
      <c r="AB68" s="222">
        <f t="shared" si="15"/>
        <v>250000</v>
      </c>
    </row>
    <row r="69" spans="1:28" ht="15.75" thickBot="1" x14ac:dyDescent="0.3">
      <c r="A69" s="723"/>
      <c r="B69" s="209"/>
      <c r="C69" s="210">
        <v>0</v>
      </c>
      <c r="D69" s="211">
        <v>0</v>
      </c>
      <c r="E69" s="137">
        <v>0</v>
      </c>
      <c r="F69" s="231">
        <v>0</v>
      </c>
      <c r="G69" s="137">
        <v>0</v>
      </c>
      <c r="H69" s="231">
        <v>0</v>
      </c>
      <c r="I69" s="137">
        <v>0</v>
      </c>
      <c r="J69" s="231">
        <v>0</v>
      </c>
      <c r="K69" s="137">
        <v>0</v>
      </c>
      <c r="L69" s="231">
        <v>0</v>
      </c>
      <c r="M69" s="137" t="e">
        <f>($C$53*L53 + $C$54*L54+$C$55*L55)*0.15</f>
        <v>#REF!</v>
      </c>
      <c r="N69" s="231">
        <v>0</v>
      </c>
      <c r="O69" s="137" t="e">
        <f>($C$53*N53 + $C$54*N54+$C$55*N55)*0.15</f>
        <v>#REF!</v>
      </c>
      <c r="P69" s="231">
        <v>0</v>
      </c>
      <c r="Q69" s="137" t="e">
        <f>($C$53*P53 + $C$54*P54+$C$55*P55)*0.15</f>
        <v>#REF!</v>
      </c>
      <c r="R69" s="231">
        <v>0</v>
      </c>
      <c r="S69" s="137">
        <v>0</v>
      </c>
      <c r="T69" s="231">
        <v>0</v>
      </c>
      <c r="U69" s="137">
        <v>0</v>
      </c>
      <c r="V69" s="231">
        <v>0</v>
      </c>
      <c r="W69" s="137">
        <v>0</v>
      </c>
      <c r="X69" s="231">
        <v>0</v>
      </c>
      <c r="Y69" s="137">
        <v>0</v>
      </c>
      <c r="Z69" s="231">
        <v>0</v>
      </c>
      <c r="AA69" s="138">
        <v>0</v>
      </c>
      <c r="AB69" s="223" t="e">
        <f>E69+G69+I69+K69+M69+O69+Q69+S69+U69+W69+Y69+AA69</f>
        <v>#REF!</v>
      </c>
    </row>
    <row r="70" spans="1:28" ht="15.75" thickBot="1" x14ac:dyDescent="0.3">
      <c r="A70" s="205" t="s">
        <v>117</v>
      </c>
      <c r="B70" s="206"/>
      <c r="C70" s="215">
        <v>0</v>
      </c>
      <c r="D70" s="216">
        <v>0</v>
      </c>
      <c r="E70" s="145" t="e">
        <f>(D55+D54+D53)*75</f>
        <v>#REF!</v>
      </c>
      <c r="F70" s="232">
        <v>0</v>
      </c>
      <c r="G70" s="145" t="e">
        <f>(F55+F54+F53)*75</f>
        <v>#REF!</v>
      </c>
      <c r="H70" s="232">
        <v>0</v>
      </c>
      <c r="I70" s="145" t="e">
        <f>(H55+H54+H53)*75</f>
        <v>#REF!</v>
      </c>
      <c r="J70" s="232">
        <v>0</v>
      </c>
      <c r="K70" s="145" t="e">
        <f>(J55+J54+J53)*75</f>
        <v>#REF!</v>
      </c>
      <c r="L70" s="232">
        <v>0</v>
      </c>
      <c r="M70" s="145" t="e">
        <f>(L55+L54+L53)*75</f>
        <v>#REF!</v>
      </c>
      <c r="N70" s="232">
        <v>0</v>
      </c>
      <c r="O70" s="145" t="e">
        <f>(N55+N54+N53)*75</f>
        <v>#REF!</v>
      </c>
      <c r="P70" s="232">
        <v>0</v>
      </c>
      <c r="Q70" s="145" t="e">
        <f>(P55+P54+P53)*75</f>
        <v>#REF!</v>
      </c>
      <c r="R70" s="232">
        <v>0</v>
      </c>
      <c r="S70" s="145" t="e">
        <f>(R55+R54+R53)*75</f>
        <v>#REF!</v>
      </c>
      <c r="T70" s="232">
        <v>0</v>
      </c>
      <c r="U70" s="145" t="e">
        <f>(T55+T54+T53)*75</f>
        <v>#REF!</v>
      </c>
      <c r="V70" s="232">
        <v>0</v>
      </c>
      <c r="W70" s="145" t="e">
        <f>(V55+V54+V53)*75</f>
        <v>#REF!</v>
      </c>
      <c r="X70" s="232">
        <v>0</v>
      </c>
      <c r="Y70" s="145" t="e">
        <f>(X55+X54+X53)*75</f>
        <v>#REF!</v>
      </c>
      <c r="Z70" s="232">
        <v>0</v>
      </c>
      <c r="AA70" s="145" t="e">
        <f>(Z55+Z54+Z53)*75</f>
        <v>#REF!</v>
      </c>
      <c r="AB70" s="223" t="e">
        <f>E70+G70+I70+K70+M70+O70+Q70+S70+U70+W70+Y70+AA70</f>
        <v>#REF!</v>
      </c>
    </row>
    <row r="71" spans="1:28" ht="15.75" thickBot="1" x14ac:dyDescent="0.3">
      <c r="B71" s="220" t="s">
        <v>118</v>
      </c>
      <c r="C71" s="212"/>
      <c r="D71" s="213"/>
      <c r="E71" s="227" t="e">
        <f>SUM(E53:E70)</f>
        <v>#REF!</v>
      </c>
      <c r="F71" s="233"/>
      <c r="G71" s="227" t="e">
        <f>SUM(G53:G70)</f>
        <v>#REF!</v>
      </c>
      <c r="H71" s="233"/>
      <c r="I71" s="227" t="e">
        <f>SUM(I53:I70)</f>
        <v>#REF!</v>
      </c>
      <c r="J71" s="233"/>
      <c r="K71" s="227" t="e">
        <f>SUM(K53:K70)</f>
        <v>#REF!</v>
      </c>
      <c r="L71" s="233"/>
      <c r="M71" s="227" t="e">
        <f>SUM(M53:M70)</f>
        <v>#REF!</v>
      </c>
      <c r="N71" s="213"/>
      <c r="O71" s="227" t="e">
        <f>SUM(O53:O70)</f>
        <v>#REF!</v>
      </c>
      <c r="P71" s="233"/>
      <c r="Q71" s="227" t="e">
        <f>SUM(Q53:Q70)</f>
        <v>#REF!</v>
      </c>
      <c r="R71" s="233"/>
      <c r="S71" s="227" t="e">
        <f>SUM(S53:S70)</f>
        <v>#REF!</v>
      </c>
      <c r="T71" s="233"/>
      <c r="U71" s="227" t="e">
        <f>SUM(U53:U70)</f>
        <v>#REF!</v>
      </c>
      <c r="V71" s="233"/>
      <c r="W71" s="227" t="e">
        <f>SUM(W53:W70)</f>
        <v>#REF!</v>
      </c>
      <c r="X71" s="233"/>
      <c r="Y71" s="227" t="e">
        <f>SUM(Y53:Y70)</f>
        <v>#REF!</v>
      </c>
      <c r="Z71" s="233"/>
      <c r="AA71" s="226" t="e">
        <f>SUM(AA53:AA70)</f>
        <v>#REF!</v>
      </c>
      <c r="AB71" s="219" t="e">
        <f>SUM(E71:AA71)</f>
        <v>#REF!</v>
      </c>
    </row>
    <row r="73" spans="1:28" ht="15.75" thickBot="1" x14ac:dyDescent="0.3"/>
    <row r="74" spans="1:28" ht="27" thickBot="1" x14ac:dyDescent="0.45">
      <c r="B74" s="714" t="s">
        <v>120</v>
      </c>
      <c r="C74" s="715"/>
      <c r="D74" s="715"/>
      <c r="E74" s="715"/>
      <c r="F74" s="715"/>
      <c r="G74" s="715"/>
      <c r="H74" s="715"/>
      <c r="I74" s="715"/>
      <c r="J74" s="715"/>
      <c r="K74" s="715"/>
      <c r="L74" s="715"/>
      <c r="M74" s="715"/>
      <c r="N74" s="715"/>
      <c r="O74" s="715"/>
      <c r="P74" s="715"/>
      <c r="Q74" s="715"/>
      <c r="R74" s="715"/>
      <c r="S74" s="715"/>
      <c r="T74" s="715"/>
      <c r="U74" s="715"/>
      <c r="V74" s="715"/>
      <c r="W74" s="715"/>
      <c r="X74" s="715"/>
      <c r="Y74" s="715"/>
      <c r="Z74" s="715"/>
      <c r="AA74" s="715"/>
      <c r="AB74" s="716"/>
    </row>
    <row r="75" spans="1:28" x14ac:dyDescent="0.25">
      <c r="B75" s="712" t="s">
        <v>63</v>
      </c>
      <c r="C75" s="713"/>
      <c r="D75" s="711" t="s">
        <v>40</v>
      </c>
      <c r="E75" s="707"/>
      <c r="F75" s="706" t="s">
        <v>41</v>
      </c>
      <c r="G75" s="707"/>
      <c r="H75" s="706" t="s">
        <v>42</v>
      </c>
      <c r="I75" s="707"/>
      <c r="J75" s="706" t="s">
        <v>43</v>
      </c>
      <c r="K75" s="707"/>
      <c r="L75" s="706" t="s">
        <v>44</v>
      </c>
      <c r="M75" s="707"/>
      <c r="N75" s="706" t="s">
        <v>45</v>
      </c>
      <c r="O75" s="707"/>
      <c r="P75" s="706" t="s">
        <v>46</v>
      </c>
      <c r="Q75" s="707"/>
      <c r="R75" s="706" t="s">
        <v>47</v>
      </c>
      <c r="S75" s="707"/>
      <c r="T75" s="706" t="s">
        <v>48</v>
      </c>
      <c r="U75" s="707"/>
      <c r="V75" s="706" t="s">
        <v>49</v>
      </c>
      <c r="W75" s="707"/>
      <c r="X75" s="706" t="s">
        <v>50</v>
      </c>
      <c r="Y75" s="707"/>
      <c r="Z75" s="706" t="s">
        <v>51</v>
      </c>
      <c r="AA75" s="711"/>
      <c r="AB75" s="724" t="s">
        <v>19</v>
      </c>
    </row>
    <row r="76" spans="1:28" ht="15.75" thickBot="1" x14ac:dyDescent="0.3">
      <c r="B76" s="194" t="s">
        <v>72</v>
      </c>
      <c r="C76" s="195" t="s">
        <v>102</v>
      </c>
      <c r="D76" s="196" t="s">
        <v>60</v>
      </c>
      <c r="E76" s="197" t="s">
        <v>71</v>
      </c>
      <c r="F76" s="197" t="s">
        <v>60</v>
      </c>
      <c r="G76" s="197" t="s">
        <v>71</v>
      </c>
      <c r="H76" s="197" t="s">
        <v>60</v>
      </c>
      <c r="I76" s="197" t="s">
        <v>71</v>
      </c>
      <c r="J76" s="197" t="s">
        <v>60</v>
      </c>
      <c r="K76" s="197" t="s">
        <v>71</v>
      </c>
      <c r="L76" s="197" t="s">
        <v>60</v>
      </c>
      <c r="M76" s="197" t="s">
        <v>71</v>
      </c>
      <c r="N76" s="197" t="s">
        <v>60</v>
      </c>
      <c r="O76" s="197" t="s">
        <v>71</v>
      </c>
      <c r="P76" s="197" t="s">
        <v>60</v>
      </c>
      <c r="Q76" s="197" t="s">
        <v>71</v>
      </c>
      <c r="R76" s="197" t="s">
        <v>60</v>
      </c>
      <c r="S76" s="197" t="s">
        <v>71</v>
      </c>
      <c r="T76" s="197" t="s">
        <v>60</v>
      </c>
      <c r="U76" s="197" t="s">
        <v>71</v>
      </c>
      <c r="V76" s="197" t="s">
        <v>60</v>
      </c>
      <c r="W76" s="197" t="s">
        <v>71</v>
      </c>
      <c r="X76" s="197" t="s">
        <v>60</v>
      </c>
      <c r="Y76" s="197" t="s">
        <v>71</v>
      </c>
      <c r="Z76" s="197" t="s">
        <v>60</v>
      </c>
      <c r="AA76" s="198" t="s">
        <v>71</v>
      </c>
      <c r="AB76" s="717"/>
    </row>
    <row r="77" spans="1:28" x14ac:dyDescent="0.25">
      <c r="A77" s="718" t="s">
        <v>114</v>
      </c>
      <c r="B77" s="199"/>
      <c r="C77" s="200">
        <f>$E$20</f>
        <v>1360</v>
      </c>
      <c r="D77" s="201" t="e">
        <f>'Proy. ventas'!#REF!</f>
        <v>#REF!</v>
      </c>
      <c r="E77" s="133" t="e">
        <f t="shared" ref="E77:E92" si="17">D77*C77</f>
        <v>#REF!</v>
      </c>
      <c r="F77" s="228" t="e">
        <f>'Proy. ventas'!#REF!</f>
        <v>#REF!</v>
      </c>
      <c r="G77" s="133" t="e">
        <f t="shared" ref="G77:G92" si="18">F77*C77</f>
        <v>#REF!</v>
      </c>
      <c r="H77" s="228" t="e">
        <f>'Proy. ventas'!#REF!</f>
        <v>#REF!</v>
      </c>
      <c r="I77" s="133" t="e">
        <f t="shared" ref="I77:I92" si="19">H77*C77</f>
        <v>#REF!</v>
      </c>
      <c r="J77" s="228" t="e">
        <f>'Proy. ventas'!#REF!</f>
        <v>#REF!</v>
      </c>
      <c r="K77" s="133" t="e">
        <f t="shared" ref="K77:K92" si="20">J77*C77</f>
        <v>#REF!</v>
      </c>
      <c r="L77" s="228" t="e">
        <f>'Proy. ventas'!#REF!</f>
        <v>#REF!</v>
      </c>
      <c r="M77" s="133" t="e">
        <f t="shared" ref="M77:M92" si="21">L77*C77</f>
        <v>#REF!</v>
      </c>
      <c r="N77" s="228" t="e">
        <f>'Proy. ventas'!#REF!</f>
        <v>#REF!</v>
      </c>
      <c r="O77" s="133" t="e">
        <f t="shared" ref="O77:O92" si="22">N77*C77</f>
        <v>#REF!</v>
      </c>
      <c r="P77" s="228" t="e">
        <f>'Proy. ventas'!#REF!</f>
        <v>#REF!</v>
      </c>
      <c r="Q77" s="133" t="e">
        <f t="shared" ref="Q77:Q92" si="23">P77*C77</f>
        <v>#REF!</v>
      </c>
      <c r="R77" s="228" t="e">
        <f>'Proy. ventas'!#REF!</f>
        <v>#REF!</v>
      </c>
      <c r="S77" s="133" t="e">
        <f t="shared" ref="S77:S92" si="24">R77*C77</f>
        <v>#REF!</v>
      </c>
      <c r="T77" s="228" t="e">
        <f>'Proy. ventas'!#REF!</f>
        <v>#REF!</v>
      </c>
      <c r="U77" s="133" t="e">
        <f t="shared" ref="U77:U92" si="25">T77*C77</f>
        <v>#REF!</v>
      </c>
      <c r="V77" s="228" t="e">
        <f>'Proy. ventas'!#REF!</f>
        <v>#REF!</v>
      </c>
      <c r="W77" s="133" t="e">
        <f t="shared" ref="W77:W92" si="26">V77*C77</f>
        <v>#REF!</v>
      </c>
      <c r="X77" s="228" t="e">
        <f>'Proy. ventas'!#REF!</f>
        <v>#REF!</v>
      </c>
      <c r="Y77" s="133" t="e">
        <f t="shared" ref="Y77:Y92" si="27">X77*C77</f>
        <v>#REF!</v>
      </c>
      <c r="Z77" s="228" t="e">
        <f>'Proy. ventas'!#REF!</f>
        <v>#REF!</v>
      </c>
      <c r="AA77" s="134" t="e">
        <f t="shared" ref="AA77:AA92" si="28">Z77*C77</f>
        <v>#REF!</v>
      </c>
      <c r="AB77" s="221" t="e">
        <f>E77+G77+I77+K77+M77+O77+Q77+S77++U77+W77+Y77+AA77</f>
        <v>#REF!</v>
      </c>
    </row>
    <row r="78" spans="1:28" x14ac:dyDescent="0.25">
      <c r="A78" s="719"/>
      <c r="B78" s="191"/>
      <c r="C78" s="192">
        <f>$E$33</f>
        <v>5705</v>
      </c>
      <c r="D78" s="189" t="e">
        <f>'Proy. ventas'!#REF!</f>
        <v>#REF!</v>
      </c>
      <c r="E78" s="114" t="e">
        <f t="shared" si="17"/>
        <v>#REF!</v>
      </c>
      <c r="F78" s="186" t="e">
        <f>'Proy. ventas'!#REF!</f>
        <v>#REF!</v>
      </c>
      <c r="G78" s="114" t="e">
        <f t="shared" si="18"/>
        <v>#REF!</v>
      </c>
      <c r="H78" s="186" t="e">
        <f>'Proy. ventas'!#REF!</f>
        <v>#REF!</v>
      </c>
      <c r="I78" s="114" t="e">
        <f t="shared" si="19"/>
        <v>#REF!</v>
      </c>
      <c r="J78" s="186" t="e">
        <f>'Proy. ventas'!#REF!</f>
        <v>#REF!</v>
      </c>
      <c r="K78" s="114" t="e">
        <f t="shared" si="20"/>
        <v>#REF!</v>
      </c>
      <c r="L78" s="186" t="e">
        <f>'Proy. ventas'!#REF!</f>
        <v>#REF!</v>
      </c>
      <c r="M78" s="114" t="e">
        <f t="shared" si="21"/>
        <v>#REF!</v>
      </c>
      <c r="N78" s="186" t="e">
        <f>'Proy. ventas'!#REF!</f>
        <v>#REF!</v>
      </c>
      <c r="O78" s="114" t="e">
        <f t="shared" si="22"/>
        <v>#REF!</v>
      </c>
      <c r="P78" s="186" t="e">
        <f>'Proy. ventas'!#REF!</f>
        <v>#REF!</v>
      </c>
      <c r="Q78" s="114" t="e">
        <f t="shared" si="23"/>
        <v>#REF!</v>
      </c>
      <c r="R78" s="186" t="e">
        <f>'Proy. ventas'!#REF!</f>
        <v>#REF!</v>
      </c>
      <c r="S78" s="114" t="e">
        <f t="shared" si="24"/>
        <v>#REF!</v>
      </c>
      <c r="T78" s="186" t="e">
        <f>'Proy. ventas'!#REF!</f>
        <v>#REF!</v>
      </c>
      <c r="U78" s="114" t="e">
        <f t="shared" si="25"/>
        <v>#REF!</v>
      </c>
      <c r="V78" s="186" t="e">
        <f>'Proy. ventas'!#REF!</f>
        <v>#REF!</v>
      </c>
      <c r="W78" s="114" t="e">
        <f t="shared" si="26"/>
        <v>#REF!</v>
      </c>
      <c r="X78" s="186" t="e">
        <f>'Proy. ventas'!#REF!</f>
        <v>#REF!</v>
      </c>
      <c r="Y78" s="114" t="e">
        <f t="shared" si="27"/>
        <v>#REF!</v>
      </c>
      <c r="Z78" s="186" t="e">
        <f>'Proy. ventas'!#REF!</f>
        <v>#REF!</v>
      </c>
      <c r="AA78" s="116" t="e">
        <f t="shared" si="28"/>
        <v>#REF!</v>
      </c>
      <c r="AB78" s="222" t="e">
        <f t="shared" ref="AB78:AB92" si="29">E78+G78+I78+K78+M78+O78+Q78+S78++U78+W78+Y78+AA78</f>
        <v>#REF!</v>
      </c>
    </row>
    <row r="79" spans="1:28" ht="15.75" thickBot="1" x14ac:dyDescent="0.3">
      <c r="A79" s="720"/>
      <c r="B79" s="202"/>
      <c r="C79" s="203">
        <f>$E$46</f>
        <v>8105</v>
      </c>
      <c r="D79" s="204" t="e">
        <f>'Proy. ventas'!#REF!</f>
        <v>#REF!</v>
      </c>
      <c r="E79" s="137" t="e">
        <f t="shared" si="17"/>
        <v>#REF!</v>
      </c>
      <c r="F79" s="229" t="e">
        <f>'Proy. ventas'!#REF!</f>
        <v>#REF!</v>
      </c>
      <c r="G79" s="137" t="e">
        <f t="shared" si="18"/>
        <v>#REF!</v>
      </c>
      <c r="H79" s="229" t="e">
        <f>'Proy. ventas'!#REF!</f>
        <v>#REF!</v>
      </c>
      <c r="I79" s="137" t="e">
        <f t="shared" si="19"/>
        <v>#REF!</v>
      </c>
      <c r="J79" s="229" t="e">
        <f>'Proy. ventas'!#REF!</f>
        <v>#REF!</v>
      </c>
      <c r="K79" s="137" t="e">
        <f t="shared" si="20"/>
        <v>#REF!</v>
      </c>
      <c r="L79" s="229" t="e">
        <f>'Proy. ventas'!#REF!</f>
        <v>#REF!</v>
      </c>
      <c r="M79" s="137" t="e">
        <f t="shared" si="21"/>
        <v>#REF!</v>
      </c>
      <c r="N79" s="229" t="e">
        <f>'Proy. ventas'!#REF!</f>
        <v>#REF!</v>
      </c>
      <c r="O79" s="137" t="e">
        <f t="shared" si="22"/>
        <v>#REF!</v>
      </c>
      <c r="P79" s="229" t="e">
        <f>'Proy. ventas'!#REF!</f>
        <v>#REF!</v>
      </c>
      <c r="Q79" s="137" t="e">
        <f t="shared" si="23"/>
        <v>#REF!</v>
      </c>
      <c r="R79" s="229" t="e">
        <f>'Proy. ventas'!#REF!</f>
        <v>#REF!</v>
      </c>
      <c r="S79" s="137" t="e">
        <f t="shared" si="24"/>
        <v>#REF!</v>
      </c>
      <c r="T79" s="229" t="e">
        <f>'Proy. ventas'!#REF!</f>
        <v>#REF!</v>
      </c>
      <c r="U79" s="137" t="e">
        <f t="shared" si="25"/>
        <v>#REF!</v>
      </c>
      <c r="V79" s="229" t="e">
        <f>'Proy. ventas'!#REF!</f>
        <v>#REF!</v>
      </c>
      <c r="W79" s="137" t="e">
        <f t="shared" si="26"/>
        <v>#REF!</v>
      </c>
      <c r="X79" s="229" t="e">
        <f>'Proy. ventas'!#REF!</f>
        <v>#REF!</v>
      </c>
      <c r="Y79" s="137" t="e">
        <f t="shared" si="27"/>
        <v>#REF!</v>
      </c>
      <c r="Z79" s="229" t="e">
        <f>'Proy. ventas'!#REF!</f>
        <v>#REF!</v>
      </c>
      <c r="AA79" s="138" t="e">
        <f t="shared" si="28"/>
        <v>#REF!</v>
      </c>
      <c r="AB79" s="223" t="e">
        <f t="shared" si="29"/>
        <v>#REF!</v>
      </c>
    </row>
    <row r="80" spans="1:28" x14ac:dyDescent="0.25">
      <c r="A80" s="718" t="s">
        <v>115</v>
      </c>
      <c r="B80" s="199"/>
      <c r="C80" s="200">
        <v>420</v>
      </c>
      <c r="D80" s="201" t="e">
        <f>'Proy. ventas'!#REF!</f>
        <v>#REF!</v>
      </c>
      <c r="E80" s="133" t="e">
        <f t="shared" si="17"/>
        <v>#REF!</v>
      </c>
      <c r="F80" s="228" t="e">
        <f>'Proy. ventas'!#REF!</f>
        <v>#REF!</v>
      </c>
      <c r="G80" s="133" t="e">
        <f t="shared" si="18"/>
        <v>#REF!</v>
      </c>
      <c r="H80" s="228" t="e">
        <f>'Proy. ventas'!#REF!</f>
        <v>#REF!</v>
      </c>
      <c r="I80" s="133" t="e">
        <f t="shared" si="19"/>
        <v>#REF!</v>
      </c>
      <c r="J80" s="228" t="e">
        <f>'Proy. ventas'!#REF!</f>
        <v>#REF!</v>
      </c>
      <c r="K80" s="133" t="e">
        <f t="shared" si="20"/>
        <v>#REF!</v>
      </c>
      <c r="L80" s="228" t="e">
        <f>'Proy. ventas'!#REF!</f>
        <v>#REF!</v>
      </c>
      <c r="M80" s="133" t="e">
        <f t="shared" si="21"/>
        <v>#REF!</v>
      </c>
      <c r="N80" s="228" t="e">
        <f>'Proy. ventas'!#REF!</f>
        <v>#REF!</v>
      </c>
      <c r="O80" s="133" t="e">
        <f t="shared" si="22"/>
        <v>#REF!</v>
      </c>
      <c r="P80" s="228" t="e">
        <f>'Proy. ventas'!#REF!</f>
        <v>#REF!</v>
      </c>
      <c r="Q80" s="133" t="e">
        <f t="shared" si="23"/>
        <v>#REF!</v>
      </c>
      <c r="R80" s="228" t="e">
        <f>'Proy. ventas'!#REF!</f>
        <v>#REF!</v>
      </c>
      <c r="S80" s="133" t="e">
        <f t="shared" si="24"/>
        <v>#REF!</v>
      </c>
      <c r="T80" s="228" t="e">
        <f>'Proy. ventas'!#REF!</f>
        <v>#REF!</v>
      </c>
      <c r="U80" s="133" t="e">
        <f t="shared" si="25"/>
        <v>#REF!</v>
      </c>
      <c r="V80" s="228" t="e">
        <f>'Proy. ventas'!#REF!</f>
        <v>#REF!</v>
      </c>
      <c r="W80" s="133" t="e">
        <f t="shared" si="26"/>
        <v>#REF!</v>
      </c>
      <c r="X80" s="228" t="e">
        <f>'Proy. ventas'!#REF!</f>
        <v>#REF!</v>
      </c>
      <c r="Y80" s="133" t="e">
        <f t="shared" si="27"/>
        <v>#REF!</v>
      </c>
      <c r="Z80" s="228" t="e">
        <f>'Proy. ventas'!#REF!</f>
        <v>#REF!</v>
      </c>
      <c r="AA80" s="134" t="e">
        <f t="shared" si="28"/>
        <v>#REF!</v>
      </c>
      <c r="AB80" s="221" t="e">
        <f t="shared" si="29"/>
        <v>#REF!</v>
      </c>
    </row>
    <row r="81" spans="1:28" x14ac:dyDescent="0.25">
      <c r="A81" s="719"/>
      <c r="B81" s="191"/>
      <c r="C81" s="192">
        <v>300</v>
      </c>
      <c r="D81" s="189" t="e">
        <f>'Proy. ventas'!#REF!</f>
        <v>#REF!</v>
      </c>
      <c r="E81" s="114" t="e">
        <f t="shared" si="17"/>
        <v>#REF!</v>
      </c>
      <c r="F81" s="186" t="e">
        <f>'Proy. ventas'!#REF!</f>
        <v>#REF!</v>
      </c>
      <c r="G81" s="114" t="e">
        <f t="shared" si="18"/>
        <v>#REF!</v>
      </c>
      <c r="H81" s="186" t="e">
        <f>'Proy. ventas'!#REF!</f>
        <v>#REF!</v>
      </c>
      <c r="I81" s="114" t="e">
        <f t="shared" si="19"/>
        <v>#REF!</v>
      </c>
      <c r="J81" s="186" t="e">
        <f>'Proy. ventas'!#REF!</f>
        <v>#REF!</v>
      </c>
      <c r="K81" s="114" t="e">
        <f t="shared" si="20"/>
        <v>#REF!</v>
      </c>
      <c r="L81" s="186" t="e">
        <f>'Proy. ventas'!#REF!</f>
        <v>#REF!</v>
      </c>
      <c r="M81" s="114" t="e">
        <f t="shared" si="21"/>
        <v>#REF!</v>
      </c>
      <c r="N81" s="186" t="e">
        <f>'Proy. ventas'!#REF!</f>
        <v>#REF!</v>
      </c>
      <c r="O81" s="114" t="e">
        <f t="shared" si="22"/>
        <v>#REF!</v>
      </c>
      <c r="P81" s="186" t="e">
        <f>'Proy. ventas'!#REF!</f>
        <v>#REF!</v>
      </c>
      <c r="Q81" s="114" t="e">
        <f t="shared" si="23"/>
        <v>#REF!</v>
      </c>
      <c r="R81" s="186" t="e">
        <f>'Proy. ventas'!#REF!</f>
        <v>#REF!</v>
      </c>
      <c r="S81" s="114" t="e">
        <f t="shared" si="24"/>
        <v>#REF!</v>
      </c>
      <c r="T81" s="186" t="e">
        <f>'Proy. ventas'!#REF!</f>
        <v>#REF!</v>
      </c>
      <c r="U81" s="114" t="e">
        <f t="shared" si="25"/>
        <v>#REF!</v>
      </c>
      <c r="V81" s="186" t="e">
        <f>'Proy. ventas'!#REF!</f>
        <v>#REF!</v>
      </c>
      <c r="W81" s="114" t="e">
        <f t="shared" si="26"/>
        <v>#REF!</v>
      </c>
      <c r="X81" s="186" t="e">
        <f>'Proy. ventas'!#REF!</f>
        <v>#REF!</v>
      </c>
      <c r="Y81" s="114" t="e">
        <f t="shared" si="27"/>
        <v>#REF!</v>
      </c>
      <c r="Z81" s="186" t="e">
        <f>'Proy. ventas'!#REF!</f>
        <v>#REF!</v>
      </c>
      <c r="AA81" s="116" t="e">
        <f t="shared" si="28"/>
        <v>#REF!</v>
      </c>
      <c r="AB81" s="222" t="e">
        <f t="shared" si="29"/>
        <v>#REF!</v>
      </c>
    </row>
    <row r="82" spans="1:28" x14ac:dyDescent="0.25">
      <c r="A82" s="719"/>
      <c r="B82" s="191"/>
      <c r="C82" s="192">
        <v>1800</v>
      </c>
      <c r="D82" s="189" t="e">
        <f>'Proy. ventas'!#REF!</f>
        <v>#REF!</v>
      </c>
      <c r="E82" s="114" t="e">
        <f t="shared" si="17"/>
        <v>#REF!</v>
      </c>
      <c r="F82" s="186" t="e">
        <f>'Proy. ventas'!#REF!</f>
        <v>#REF!</v>
      </c>
      <c r="G82" s="114" t="e">
        <f t="shared" si="18"/>
        <v>#REF!</v>
      </c>
      <c r="H82" s="186" t="e">
        <f>'Proy. ventas'!#REF!</f>
        <v>#REF!</v>
      </c>
      <c r="I82" s="114" t="e">
        <f t="shared" si="19"/>
        <v>#REF!</v>
      </c>
      <c r="J82" s="186" t="e">
        <f>'Proy. ventas'!#REF!</f>
        <v>#REF!</v>
      </c>
      <c r="K82" s="114" t="e">
        <f t="shared" si="20"/>
        <v>#REF!</v>
      </c>
      <c r="L82" s="186" t="e">
        <f>'Proy. ventas'!#REF!</f>
        <v>#REF!</v>
      </c>
      <c r="M82" s="114" t="e">
        <f t="shared" si="21"/>
        <v>#REF!</v>
      </c>
      <c r="N82" s="186" t="e">
        <f>'Proy. ventas'!#REF!</f>
        <v>#REF!</v>
      </c>
      <c r="O82" s="114" t="e">
        <f t="shared" si="22"/>
        <v>#REF!</v>
      </c>
      <c r="P82" s="186" t="e">
        <f>'Proy. ventas'!#REF!</f>
        <v>#REF!</v>
      </c>
      <c r="Q82" s="114" t="e">
        <f t="shared" si="23"/>
        <v>#REF!</v>
      </c>
      <c r="R82" s="186" t="e">
        <f>'Proy. ventas'!#REF!</f>
        <v>#REF!</v>
      </c>
      <c r="S82" s="114" t="e">
        <f t="shared" si="24"/>
        <v>#REF!</v>
      </c>
      <c r="T82" s="186" t="e">
        <f>'Proy. ventas'!#REF!</f>
        <v>#REF!</v>
      </c>
      <c r="U82" s="114" t="e">
        <f t="shared" si="25"/>
        <v>#REF!</v>
      </c>
      <c r="V82" s="186" t="e">
        <f>'Proy. ventas'!#REF!</f>
        <v>#REF!</v>
      </c>
      <c r="W82" s="114" t="e">
        <f t="shared" si="26"/>
        <v>#REF!</v>
      </c>
      <c r="X82" s="186" t="e">
        <f>'Proy. ventas'!#REF!</f>
        <v>#REF!</v>
      </c>
      <c r="Y82" s="114" t="e">
        <f t="shared" si="27"/>
        <v>#REF!</v>
      </c>
      <c r="Z82" s="186" t="e">
        <f>'Proy. ventas'!#REF!</f>
        <v>#REF!</v>
      </c>
      <c r="AA82" s="116" t="e">
        <f t="shared" si="28"/>
        <v>#REF!</v>
      </c>
      <c r="AB82" s="222" t="e">
        <f t="shared" si="29"/>
        <v>#REF!</v>
      </c>
    </row>
    <row r="83" spans="1:28" x14ac:dyDescent="0.25">
      <c r="A83" s="719"/>
      <c r="B83" s="191"/>
      <c r="C83" s="192">
        <v>180</v>
      </c>
      <c r="D83" s="189" t="e">
        <f>'Proy. ventas'!#REF!</f>
        <v>#REF!</v>
      </c>
      <c r="E83" s="114" t="e">
        <f t="shared" si="17"/>
        <v>#REF!</v>
      </c>
      <c r="F83" s="186" t="e">
        <f>'Proy. ventas'!#REF!</f>
        <v>#REF!</v>
      </c>
      <c r="G83" s="114" t="e">
        <f t="shared" si="18"/>
        <v>#REF!</v>
      </c>
      <c r="H83" s="186" t="e">
        <f>'Proy. ventas'!#REF!</f>
        <v>#REF!</v>
      </c>
      <c r="I83" s="114" t="e">
        <f t="shared" si="19"/>
        <v>#REF!</v>
      </c>
      <c r="J83" s="186" t="e">
        <f>'Proy. ventas'!#REF!</f>
        <v>#REF!</v>
      </c>
      <c r="K83" s="114" t="e">
        <f t="shared" si="20"/>
        <v>#REF!</v>
      </c>
      <c r="L83" s="186" t="e">
        <f>'Proy. ventas'!#REF!</f>
        <v>#REF!</v>
      </c>
      <c r="M83" s="114" t="e">
        <f t="shared" si="21"/>
        <v>#REF!</v>
      </c>
      <c r="N83" s="186" t="e">
        <f>'Proy. ventas'!#REF!</f>
        <v>#REF!</v>
      </c>
      <c r="O83" s="114" t="e">
        <f t="shared" si="22"/>
        <v>#REF!</v>
      </c>
      <c r="P83" s="186" t="e">
        <f>'Proy. ventas'!#REF!</f>
        <v>#REF!</v>
      </c>
      <c r="Q83" s="114" t="e">
        <f t="shared" si="23"/>
        <v>#REF!</v>
      </c>
      <c r="R83" s="186" t="e">
        <f>'Proy. ventas'!#REF!</f>
        <v>#REF!</v>
      </c>
      <c r="S83" s="114" t="e">
        <f t="shared" si="24"/>
        <v>#REF!</v>
      </c>
      <c r="T83" s="186" t="e">
        <f>'Proy. ventas'!#REF!</f>
        <v>#REF!</v>
      </c>
      <c r="U83" s="114" t="e">
        <f t="shared" si="25"/>
        <v>#REF!</v>
      </c>
      <c r="V83" s="186" t="e">
        <f>'Proy. ventas'!#REF!</f>
        <v>#REF!</v>
      </c>
      <c r="W83" s="114" t="e">
        <f t="shared" si="26"/>
        <v>#REF!</v>
      </c>
      <c r="X83" s="186" t="e">
        <f>'Proy. ventas'!#REF!</f>
        <v>#REF!</v>
      </c>
      <c r="Y83" s="114" t="e">
        <f t="shared" si="27"/>
        <v>#REF!</v>
      </c>
      <c r="Z83" s="186" t="e">
        <f>'Proy. ventas'!#REF!</f>
        <v>#REF!</v>
      </c>
      <c r="AA83" s="116" t="e">
        <f t="shared" si="28"/>
        <v>#REF!</v>
      </c>
      <c r="AB83" s="222" t="e">
        <f t="shared" si="29"/>
        <v>#REF!</v>
      </c>
    </row>
    <row r="84" spans="1:28" x14ac:dyDescent="0.25">
      <c r="A84" s="719"/>
      <c r="B84" s="191"/>
      <c r="C84" s="192">
        <v>1250</v>
      </c>
      <c r="D84" s="189" t="e">
        <f>'Proy. ventas'!#REF!</f>
        <v>#REF!</v>
      </c>
      <c r="E84" s="114" t="e">
        <f t="shared" si="17"/>
        <v>#REF!</v>
      </c>
      <c r="F84" s="186" t="e">
        <f>'Proy. ventas'!#REF!</f>
        <v>#REF!</v>
      </c>
      <c r="G84" s="114" t="e">
        <f t="shared" si="18"/>
        <v>#REF!</v>
      </c>
      <c r="H84" s="186" t="e">
        <f>'Proy. ventas'!#REF!</f>
        <v>#REF!</v>
      </c>
      <c r="I84" s="114" t="e">
        <f t="shared" si="19"/>
        <v>#REF!</v>
      </c>
      <c r="J84" s="186" t="e">
        <f>'Proy. ventas'!#REF!</f>
        <v>#REF!</v>
      </c>
      <c r="K84" s="114" t="e">
        <f t="shared" si="20"/>
        <v>#REF!</v>
      </c>
      <c r="L84" s="186" t="e">
        <f>'Proy. ventas'!#REF!</f>
        <v>#REF!</v>
      </c>
      <c r="M84" s="114" t="e">
        <f t="shared" si="21"/>
        <v>#REF!</v>
      </c>
      <c r="N84" s="186" t="e">
        <f>'Proy. ventas'!#REF!</f>
        <v>#REF!</v>
      </c>
      <c r="O84" s="114" t="e">
        <f t="shared" si="22"/>
        <v>#REF!</v>
      </c>
      <c r="P84" s="186" t="e">
        <f>'Proy. ventas'!#REF!</f>
        <v>#REF!</v>
      </c>
      <c r="Q84" s="114" t="e">
        <f t="shared" si="23"/>
        <v>#REF!</v>
      </c>
      <c r="R84" s="186" t="e">
        <f>'Proy. ventas'!#REF!</f>
        <v>#REF!</v>
      </c>
      <c r="S84" s="114" t="e">
        <f t="shared" si="24"/>
        <v>#REF!</v>
      </c>
      <c r="T84" s="186" t="e">
        <f>'Proy. ventas'!#REF!</f>
        <v>#REF!</v>
      </c>
      <c r="U84" s="114" t="e">
        <f t="shared" si="25"/>
        <v>#REF!</v>
      </c>
      <c r="V84" s="186" t="e">
        <f>'Proy. ventas'!#REF!</f>
        <v>#REF!</v>
      </c>
      <c r="W84" s="114" t="e">
        <f t="shared" si="26"/>
        <v>#REF!</v>
      </c>
      <c r="X84" s="186" t="e">
        <f>'Proy. ventas'!#REF!</f>
        <v>#REF!</v>
      </c>
      <c r="Y84" s="114" t="e">
        <f t="shared" si="27"/>
        <v>#REF!</v>
      </c>
      <c r="Z84" s="186" t="e">
        <f>'Proy. ventas'!#REF!</f>
        <v>#REF!</v>
      </c>
      <c r="AA84" s="116" t="e">
        <f t="shared" si="28"/>
        <v>#REF!</v>
      </c>
      <c r="AB84" s="222" t="e">
        <f t="shared" si="29"/>
        <v>#REF!</v>
      </c>
    </row>
    <row r="85" spans="1:28" x14ac:dyDescent="0.25">
      <c r="A85" s="719"/>
      <c r="B85" s="191"/>
      <c r="C85" s="192">
        <v>350</v>
      </c>
      <c r="D85" s="189" t="e">
        <f>'Proy. ventas'!#REF!</f>
        <v>#REF!</v>
      </c>
      <c r="E85" s="114" t="e">
        <f t="shared" si="17"/>
        <v>#REF!</v>
      </c>
      <c r="F85" s="186" t="e">
        <f>'Proy. ventas'!#REF!</f>
        <v>#REF!</v>
      </c>
      <c r="G85" s="114" t="e">
        <f t="shared" si="18"/>
        <v>#REF!</v>
      </c>
      <c r="H85" s="186" t="e">
        <f>'Proy. ventas'!#REF!</f>
        <v>#REF!</v>
      </c>
      <c r="I85" s="114" t="e">
        <f t="shared" si="19"/>
        <v>#REF!</v>
      </c>
      <c r="J85" s="186" t="e">
        <f>'Proy. ventas'!#REF!</f>
        <v>#REF!</v>
      </c>
      <c r="K85" s="114" t="e">
        <f t="shared" si="20"/>
        <v>#REF!</v>
      </c>
      <c r="L85" s="186" t="e">
        <f>'Proy. ventas'!#REF!</f>
        <v>#REF!</v>
      </c>
      <c r="M85" s="114" t="e">
        <f t="shared" si="21"/>
        <v>#REF!</v>
      </c>
      <c r="N85" s="186" t="e">
        <f>'Proy. ventas'!#REF!</f>
        <v>#REF!</v>
      </c>
      <c r="O85" s="114" t="e">
        <f t="shared" si="22"/>
        <v>#REF!</v>
      </c>
      <c r="P85" s="186" t="e">
        <f>'Proy. ventas'!#REF!</f>
        <v>#REF!</v>
      </c>
      <c r="Q85" s="114" t="e">
        <f t="shared" si="23"/>
        <v>#REF!</v>
      </c>
      <c r="R85" s="186" t="e">
        <f>'Proy. ventas'!#REF!</f>
        <v>#REF!</v>
      </c>
      <c r="S85" s="114" t="e">
        <f t="shared" si="24"/>
        <v>#REF!</v>
      </c>
      <c r="T85" s="186" t="e">
        <f>'Proy. ventas'!#REF!</f>
        <v>#REF!</v>
      </c>
      <c r="U85" s="114" t="e">
        <f t="shared" si="25"/>
        <v>#REF!</v>
      </c>
      <c r="V85" s="186" t="e">
        <f>'Proy. ventas'!#REF!</f>
        <v>#REF!</v>
      </c>
      <c r="W85" s="114" t="e">
        <f t="shared" si="26"/>
        <v>#REF!</v>
      </c>
      <c r="X85" s="186" t="e">
        <f>'Proy. ventas'!#REF!</f>
        <v>#REF!</v>
      </c>
      <c r="Y85" s="114" t="e">
        <f t="shared" si="27"/>
        <v>#REF!</v>
      </c>
      <c r="Z85" s="186" t="e">
        <f>'Proy. ventas'!#REF!</f>
        <v>#REF!</v>
      </c>
      <c r="AA85" s="116" t="e">
        <f t="shared" si="28"/>
        <v>#REF!</v>
      </c>
      <c r="AB85" s="222" t="e">
        <f t="shared" si="29"/>
        <v>#REF!</v>
      </c>
    </row>
    <row r="86" spans="1:28" x14ac:dyDescent="0.25">
      <c r="A86" s="719"/>
      <c r="B86" s="191"/>
      <c r="C86" s="192">
        <v>950</v>
      </c>
      <c r="D86" s="189" t="e">
        <f>'Proy. ventas'!#REF!</f>
        <v>#REF!</v>
      </c>
      <c r="E86" s="114" t="e">
        <f t="shared" si="17"/>
        <v>#REF!</v>
      </c>
      <c r="F86" s="186" t="e">
        <f>'Proy. ventas'!#REF!</f>
        <v>#REF!</v>
      </c>
      <c r="G86" s="114" t="e">
        <f t="shared" si="18"/>
        <v>#REF!</v>
      </c>
      <c r="H86" s="186" t="e">
        <f>'Proy. ventas'!#REF!</f>
        <v>#REF!</v>
      </c>
      <c r="I86" s="114" t="e">
        <f t="shared" si="19"/>
        <v>#REF!</v>
      </c>
      <c r="J86" s="186" t="e">
        <f>'Proy. ventas'!#REF!</f>
        <v>#REF!</v>
      </c>
      <c r="K86" s="114" t="e">
        <f t="shared" si="20"/>
        <v>#REF!</v>
      </c>
      <c r="L86" s="186" t="e">
        <f>'Proy. ventas'!#REF!</f>
        <v>#REF!</v>
      </c>
      <c r="M86" s="114" t="e">
        <f t="shared" si="21"/>
        <v>#REF!</v>
      </c>
      <c r="N86" s="186" t="e">
        <f>'Proy. ventas'!#REF!</f>
        <v>#REF!</v>
      </c>
      <c r="O86" s="114" t="e">
        <f t="shared" si="22"/>
        <v>#REF!</v>
      </c>
      <c r="P86" s="186" t="e">
        <f>'Proy. ventas'!#REF!</f>
        <v>#REF!</v>
      </c>
      <c r="Q86" s="114" t="e">
        <f t="shared" si="23"/>
        <v>#REF!</v>
      </c>
      <c r="R86" s="186" t="e">
        <f>'Proy. ventas'!#REF!</f>
        <v>#REF!</v>
      </c>
      <c r="S86" s="114" t="e">
        <f t="shared" si="24"/>
        <v>#REF!</v>
      </c>
      <c r="T86" s="186" t="e">
        <f>'Proy. ventas'!#REF!</f>
        <v>#REF!</v>
      </c>
      <c r="U86" s="114" t="e">
        <f t="shared" si="25"/>
        <v>#REF!</v>
      </c>
      <c r="V86" s="186" t="e">
        <f>'Proy. ventas'!#REF!</f>
        <v>#REF!</v>
      </c>
      <c r="W86" s="114" t="e">
        <f t="shared" si="26"/>
        <v>#REF!</v>
      </c>
      <c r="X86" s="186" t="e">
        <f>'Proy. ventas'!#REF!</f>
        <v>#REF!</v>
      </c>
      <c r="Y86" s="114" t="e">
        <f t="shared" si="27"/>
        <v>#REF!</v>
      </c>
      <c r="Z86" s="186" t="e">
        <f>'Proy. ventas'!#REF!</f>
        <v>#REF!</v>
      </c>
      <c r="AA86" s="116" t="e">
        <f t="shared" si="28"/>
        <v>#REF!</v>
      </c>
      <c r="AB86" s="222" t="e">
        <f t="shared" si="29"/>
        <v>#REF!</v>
      </c>
    </row>
    <row r="87" spans="1:28" x14ac:dyDescent="0.25">
      <c r="A87" s="719"/>
      <c r="B87" s="191"/>
      <c r="C87" s="192">
        <v>200</v>
      </c>
      <c r="D87" s="189" t="e">
        <f>'Proy. ventas'!#REF!</f>
        <v>#REF!</v>
      </c>
      <c r="E87" s="114" t="e">
        <f t="shared" si="17"/>
        <v>#REF!</v>
      </c>
      <c r="F87" s="186" t="e">
        <f>'Proy. ventas'!#REF!</f>
        <v>#REF!</v>
      </c>
      <c r="G87" s="114" t="e">
        <f t="shared" si="18"/>
        <v>#REF!</v>
      </c>
      <c r="H87" s="186" t="e">
        <f>'Proy. ventas'!#REF!</f>
        <v>#REF!</v>
      </c>
      <c r="I87" s="114" t="e">
        <f t="shared" si="19"/>
        <v>#REF!</v>
      </c>
      <c r="J87" s="186" t="e">
        <f>'Proy. ventas'!#REF!</f>
        <v>#REF!</v>
      </c>
      <c r="K87" s="114" t="e">
        <f t="shared" si="20"/>
        <v>#REF!</v>
      </c>
      <c r="L87" s="186" t="e">
        <f>'Proy. ventas'!#REF!</f>
        <v>#REF!</v>
      </c>
      <c r="M87" s="114" t="e">
        <f t="shared" si="21"/>
        <v>#REF!</v>
      </c>
      <c r="N87" s="186" t="e">
        <f>'Proy. ventas'!#REF!</f>
        <v>#REF!</v>
      </c>
      <c r="O87" s="114" t="e">
        <f t="shared" si="22"/>
        <v>#REF!</v>
      </c>
      <c r="P87" s="186" t="e">
        <f>'Proy. ventas'!#REF!</f>
        <v>#REF!</v>
      </c>
      <c r="Q87" s="114" t="e">
        <f t="shared" si="23"/>
        <v>#REF!</v>
      </c>
      <c r="R87" s="186" t="e">
        <f>'Proy. ventas'!#REF!</f>
        <v>#REF!</v>
      </c>
      <c r="S87" s="114" t="e">
        <f t="shared" si="24"/>
        <v>#REF!</v>
      </c>
      <c r="T87" s="186" t="e">
        <f>'Proy. ventas'!#REF!</f>
        <v>#REF!</v>
      </c>
      <c r="U87" s="114" t="e">
        <f t="shared" si="25"/>
        <v>#REF!</v>
      </c>
      <c r="V87" s="186" t="e">
        <f>'Proy. ventas'!#REF!</f>
        <v>#REF!</v>
      </c>
      <c r="W87" s="114" t="e">
        <f t="shared" si="26"/>
        <v>#REF!</v>
      </c>
      <c r="X87" s="186" t="e">
        <f>'Proy. ventas'!#REF!</f>
        <v>#REF!</v>
      </c>
      <c r="Y87" s="114" t="e">
        <f t="shared" si="27"/>
        <v>#REF!</v>
      </c>
      <c r="Z87" s="186" t="e">
        <f>'Proy. ventas'!#REF!</f>
        <v>#REF!</v>
      </c>
      <c r="AA87" s="116" t="e">
        <f t="shared" si="28"/>
        <v>#REF!</v>
      </c>
      <c r="AB87" s="222" t="e">
        <f t="shared" si="29"/>
        <v>#REF!</v>
      </c>
    </row>
    <row r="88" spans="1:28" ht="15.75" thickBot="1" x14ac:dyDescent="0.3">
      <c r="A88" s="720"/>
      <c r="B88" s="202"/>
      <c r="C88" s="203">
        <v>1150</v>
      </c>
      <c r="D88" s="204" t="e">
        <f>'Proy. ventas'!#REF!</f>
        <v>#REF!</v>
      </c>
      <c r="E88" s="137" t="e">
        <f t="shared" si="17"/>
        <v>#REF!</v>
      </c>
      <c r="F88" s="229" t="e">
        <f>'Proy. ventas'!#REF!</f>
        <v>#REF!</v>
      </c>
      <c r="G88" s="137" t="e">
        <f t="shared" si="18"/>
        <v>#REF!</v>
      </c>
      <c r="H88" s="229" t="e">
        <f>'Proy. ventas'!#REF!</f>
        <v>#REF!</v>
      </c>
      <c r="I88" s="137" t="e">
        <f t="shared" si="19"/>
        <v>#REF!</v>
      </c>
      <c r="J88" s="229" t="e">
        <f>'Proy. ventas'!#REF!</f>
        <v>#REF!</v>
      </c>
      <c r="K88" s="137" t="e">
        <f t="shared" si="20"/>
        <v>#REF!</v>
      </c>
      <c r="L88" s="229" t="e">
        <f>'Proy. ventas'!#REF!</f>
        <v>#REF!</v>
      </c>
      <c r="M88" s="137" t="e">
        <f t="shared" si="21"/>
        <v>#REF!</v>
      </c>
      <c r="N88" s="229" t="e">
        <f>'Proy. ventas'!#REF!</f>
        <v>#REF!</v>
      </c>
      <c r="O88" s="137" t="e">
        <f t="shared" si="22"/>
        <v>#REF!</v>
      </c>
      <c r="P88" s="229" t="e">
        <f>'Proy. ventas'!#REF!</f>
        <v>#REF!</v>
      </c>
      <c r="Q88" s="137" t="e">
        <f t="shared" si="23"/>
        <v>#REF!</v>
      </c>
      <c r="R88" s="229" t="e">
        <f>'Proy. ventas'!#REF!</f>
        <v>#REF!</v>
      </c>
      <c r="S88" s="137" t="e">
        <f t="shared" si="24"/>
        <v>#REF!</v>
      </c>
      <c r="T88" s="229" t="e">
        <f>'Proy. ventas'!#REF!</f>
        <v>#REF!</v>
      </c>
      <c r="U88" s="137" t="e">
        <f t="shared" si="25"/>
        <v>#REF!</v>
      </c>
      <c r="V88" s="229" t="e">
        <f>'Proy. ventas'!#REF!</f>
        <v>#REF!</v>
      </c>
      <c r="W88" s="137" t="e">
        <f t="shared" si="26"/>
        <v>#REF!</v>
      </c>
      <c r="X88" s="229" t="e">
        <f>'Proy. ventas'!#REF!</f>
        <v>#REF!</v>
      </c>
      <c r="Y88" s="137" t="e">
        <f t="shared" si="27"/>
        <v>#REF!</v>
      </c>
      <c r="Z88" s="229" t="e">
        <f>'Proy. ventas'!#REF!</f>
        <v>#REF!</v>
      </c>
      <c r="AA88" s="138" t="e">
        <f t="shared" si="28"/>
        <v>#REF!</v>
      </c>
      <c r="AB88" s="223" t="e">
        <f t="shared" si="29"/>
        <v>#REF!</v>
      </c>
    </row>
    <row r="89" spans="1:28" ht="30.75" thickBot="1" x14ac:dyDescent="0.3">
      <c r="A89" s="238" t="s">
        <v>116</v>
      </c>
      <c r="B89" s="239"/>
      <c r="C89" s="240">
        <v>300</v>
      </c>
      <c r="D89" s="234">
        <v>50</v>
      </c>
      <c r="E89" s="214">
        <f t="shared" si="17"/>
        <v>15000</v>
      </c>
      <c r="F89" s="235">
        <v>20</v>
      </c>
      <c r="G89" s="214">
        <f t="shared" si="18"/>
        <v>6000</v>
      </c>
      <c r="H89" s="235">
        <v>10</v>
      </c>
      <c r="I89" s="214">
        <f t="shared" si="19"/>
        <v>3000</v>
      </c>
      <c r="J89" s="235">
        <v>5</v>
      </c>
      <c r="K89" s="214">
        <f t="shared" si="20"/>
        <v>1500</v>
      </c>
      <c r="L89" s="235">
        <v>0</v>
      </c>
      <c r="M89" s="214">
        <f t="shared" si="21"/>
        <v>0</v>
      </c>
      <c r="N89" s="235">
        <v>5</v>
      </c>
      <c r="O89" s="214">
        <f t="shared" si="22"/>
        <v>1500</v>
      </c>
      <c r="P89" s="235">
        <v>5</v>
      </c>
      <c r="Q89" s="214">
        <f t="shared" si="23"/>
        <v>1500</v>
      </c>
      <c r="R89" s="235">
        <v>0</v>
      </c>
      <c r="S89" s="214">
        <f t="shared" si="24"/>
        <v>0</v>
      </c>
      <c r="T89" s="235">
        <v>10</v>
      </c>
      <c r="U89" s="214">
        <f t="shared" si="25"/>
        <v>3000</v>
      </c>
      <c r="V89" s="235">
        <v>10</v>
      </c>
      <c r="W89" s="214">
        <f t="shared" si="26"/>
        <v>3000</v>
      </c>
      <c r="X89" s="235">
        <v>15</v>
      </c>
      <c r="Y89" s="214">
        <f t="shared" si="27"/>
        <v>4500</v>
      </c>
      <c r="Z89" s="235">
        <v>10</v>
      </c>
      <c r="AA89" s="236">
        <f t="shared" si="28"/>
        <v>3000</v>
      </c>
      <c r="AB89" s="237">
        <f t="shared" si="29"/>
        <v>42000</v>
      </c>
    </row>
    <row r="90" spans="1:28" x14ac:dyDescent="0.25">
      <c r="A90" s="721" t="s">
        <v>119</v>
      </c>
      <c r="B90" s="217"/>
      <c r="C90" s="190">
        <v>182000</v>
      </c>
      <c r="D90" s="188">
        <v>1</v>
      </c>
      <c r="E90" s="127">
        <f t="shared" si="17"/>
        <v>182000</v>
      </c>
      <c r="F90" s="187">
        <v>1</v>
      </c>
      <c r="G90" s="127">
        <f t="shared" si="18"/>
        <v>182000</v>
      </c>
      <c r="H90" s="187">
        <v>0</v>
      </c>
      <c r="I90" s="127">
        <f t="shared" si="19"/>
        <v>0</v>
      </c>
      <c r="J90" s="187">
        <v>1</v>
      </c>
      <c r="K90" s="127">
        <f t="shared" si="20"/>
        <v>182000</v>
      </c>
      <c r="L90" s="187">
        <v>1</v>
      </c>
      <c r="M90" s="127">
        <f t="shared" si="21"/>
        <v>182000</v>
      </c>
      <c r="N90" s="187">
        <v>0</v>
      </c>
      <c r="O90" s="127">
        <f t="shared" si="22"/>
        <v>0</v>
      </c>
      <c r="P90" s="187">
        <v>0</v>
      </c>
      <c r="Q90" s="127">
        <f t="shared" si="23"/>
        <v>0</v>
      </c>
      <c r="R90" s="187">
        <v>0</v>
      </c>
      <c r="S90" s="127">
        <f t="shared" si="24"/>
        <v>0</v>
      </c>
      <c r="T90" s="187">
        <v>1</v>
      </c>
      <c r="U90" s="127">
        <f t="shared" si="25"/>
        <v>182000</v>
      </c>
      <c r="V90" s="187">
        <v>0</v>
      </c>
      <c r="W90" s="127">
        <f t="shared" si="26"/>
        <v>0</v>
      </c>
      <c r="X90" s="187">
        <v>0</v>
      </c>
      <c r="Y90" s="127">
        <f t="shared" si="27"/>
        <v>0</v>
      </c>
      <c r="Z90" s="187">
        <v>1</v>
      </c>
      <c r="AA90" s="128">
        <f t="shared" si="28"/>
        <v>182000</v>
      </c>
      <c r="AB90" s="225">
        <f t="shared" si="29"/>
        <v>1092000</v>
      </c>
    </row>
    <row r="91" spans="1:28" x14ac:dyDescent="0.25">
      <c r="A91" s="722"/>
      <c r="B91" s="218"/>
      <c r="C91" s="192">
        <v>130000</v>
      </c>
      <c r="D91" s="189">
        <v>1</v>
      </c>
      <c r="E91" s="114">
        <f t="shared" si="17"/>
        <v>130000</v>
      </c>
      <c r="F91" s="186">
        <v>0</v>
      </c>
      <c r="G91" s="114">
        <f t="shared" si="18"/>
        <v>0</v>
      </c>
      <c r="H91" s="186">
        <v>0</v>
      </c>
      <c r="I91" s="114">
        <f t="shared" si="19"/>
        <v>0</v>
      </c>
      <c r="J91" s="186">
        <v>0</v>
      </c>
      <c r="K91" s="114">
        <f t="shared" si="20"/>
        <v>0</v>
      </c>
      <c r="L91" s="186">
        <v>1</v>
      </c>
      <c r="M91" s="114">
        <f t="shared" si="21"/>
        <v>130000</v>
      </c>
      <c r="N91" s="186">
        <v>0</v>
      </c>
      <c r="O91" s="114">
        <f t="shared" si="22"/>
        <v>0</v>
      </c>
      <c r="P91" s="186">
        <v>0</v>
      </c>
      <c r="Q91" s="114">
        <f t="shared" si="23"/>
        <v>0</v>
      </c>
      <c r="R91" s="186">
        <v>0</v>
      </c>
      <c r="S91" s="114">
        <f t="shared" si="24"/>
        <v>0</v>
      </c>
      <c r="T91" s="186">
        <v>1</v>
      </c>
      <c r="U91" s="114">
        <f t="shared" si="25"/>
        <v>130000</v>
      </c>
      <c r="V91" s="186">
        <v>0</v>
      </c>
      <c r="W91" s="114">
        <f t="shared" si="26"/>
        <v>0</v>
      </c>
      <c r="X91" s="186">
        <v>0</v>
      </c>
      <c r="Y91" s="114">
        <f t="shared" si="27"/>
        <v>0</v>
      </c>
      <c r="Z91" s="186">
        <v>1</v>
      </c>
      <c r="AA91" s="116">
        <f t="shared" si="28"/>
        <v>130000</v>
      </c>
      <c r="AB91" s="222">
        <f t="shared" si="29"/>
        <v>520000</v>
      </c>
    </row>
    <row r="92" spans="1:28" x14ac:dyDescent="0.25">
      <c r="A92" s="722"/>
      <c r="B92" s="193"/>
      <c r="C92" s="192">
        <v>250000</v>
      </c>
      <c r="D92" s="189">
        <v>0</v>
      </c>
      <c r="E92" s="114">
        <f t="shared" si="17"/>
        <v>0</v>
      </c>
      <c r="F92" s="186">
        <v>0</v>
      </c>
      <c r="G92" s="114">
        <f t="shared" si="18"/>
        <v>0</v>
      </c>
      <c r="H92" s="186">
        <v>0</v>
      </c>
      <c r="I92" s="114">
        <f t="shared" si="19"/>
        <v>0</v>
      </c>
      <c r="J92" s="186">
        <v>0</v>
      </c>
      <c r="K92" s="114">
        <f t="shared" si="20"/>
        <v>0</v>
      </c>
      <c r="L92" s="186">
        <v>0</v>
      </c>
      <c r="M92" s="114">
        <f t="shared" si="21"/>
        <v>0</v>
      </c>
      <c r="N92" s="186">
        <v>0</v>
      </c>
      <c r="O92" s="114">
        <f t="shared" si="22"/>
        <v>0</v>
      </c>
      <c r="P92" s="186">
        <v>0</v>
      </c>
      <c r="Q92" s="114">
        <f t="shared" si="23"/>
        <v>0</v>
      </c>
      <c r="R92" s="186">
        <v>0</v>
      </c>
      <c r="S92" s="114">
        <f t="shared" si="24"/>
        <v>0</v>
      </c>
      <c r="T92" s="186">
        <v>1</v>
      </c>
      <c r="U92" s="114">
        <f t="shared" si="25"/>
        <v>250000</v>
      </c>
      <c r="V92" s="186">
        <v>0</v>
      </c>
      <c r="W92" s="114">
        <f t="shared" si="26"/>
        <v>0</v>
      </c>
      <c r="X92" s="186">
        <v>0</v>
      </c>
      <c r="Y92" s="114">
        <f t="shared" si="27"/>
        <v>0</v>
      </c>
      <c r="Z92" s="186">
        <v>0</v>
      </c>
      <c r="AA92" s="116">
        <f t="shared" si="28"/>
        <v>0</v>
      </c>
      <c r="AB92" s="222">
        <f t="shared" si="29"/>
        <v>250000</v>
      </c>
    </row>
    <row r="93" spans="1:28" ht="15.75" thickBot="1" x14ac:dyDescent="0.3">
      <c r="A93" s="723"/>
      <c r="B93" s="209"/>
      <c r="C93" s="210">
        <v>0</v>
      </c>
      <c r="D93" s="211">
        <v>0</v>
      </c>
      <c r="E93" s="137">
        <v>0</v>
      </c>
      <c r="F93" s="231">
        <v>0</v>
      </c>
      <c r="G93" s="137">
        <v>0</v>
      </c>
      <c r="H93" s="231">
        <v>0</v>
      </c>
      <c r="I93" s="137">
        <v>0</v>
      </c>
      <c r="J93" s="231">
        <v>0</v>
      </c>
      <c r="K93" s="137">
        <v>0</v>
      </c>
      <c r="L93" s="231">
        <v>0</v>
      </c>
      <c r="M93" s="137" t="e">
        <f>($C$53*L77 + $C$54*L78+$C$55*L79)*0.15</f>
        <v>#REF!</v>
      </c>
      <c r="N93" s="231">
        <v>0</v>
      </c>
      <c r="O93" s="137" t="e">
        <f>($C$53*N77 + $C$54*N78+$C$55*N79)*0.15</f>
        <v>#REF!</v>
      </c>
      <c r="P93" s="231">
        <v>0</v>
      </c>
      <c r="Q93" s="137" t="e">
        <f>($C$53*P77 + $C$54*P78+$C$55*P79)*0.15</f>
        <v>#REF!</v>
      </c>
      <c r="R93" s="231">
        <v>0</v>
      </c>
      <c r="S93" s="137">
        <v>0</v>
      </c>
      <c r="T93" s="231">
        <v>0</v>
      </c>
      <c r="U93" s="137">
        <v>0</v>
      </c>
      <c r="V93" s="231">
        <v>0</v>
      </c>
      <c r="W93" s="137">
        <v>0</v>
      </c>
      <c r="X93" s="231">
        <v>0</v>
      </c>
      <c r="Y93" s="137">
        <v>0</v>
      </c>
      <c r="Z93" s="231">
        <v>0</v>
      </c>
      <c r="AA93" s="138">
        <v>0</v>
      </c>
      <c r="AB93" s="223" t="e">
        <f>E93+G93+I93+K93+M93+O93+Q93+S93+U93+W93+Y93+AA93</f>
        <v>#REF!</v>
      </c>
    </row>
    <row r="94" spans="1:28" ht="15.75" thickBot="1" x14ac:dyDescent="0.3">
      <c r="A94" s="205" t="s">
        <v>117</v>
      </c>
      <c r="B94" s="206"/>
      <c r="C94" s="215">
        <v>0</v>
      </c>
      <c r="D94" s="216">
        <v>0</v>
      </c>
      <c r="E94" s="145" t="e">
        <f>(D79+D78+D77)*75</f>
        <v>#REF!</v>
      </c>
      <c r="F94" s="232">
        <v>0</v>
      </c>
      <c r="G94" s="145" t="e">
        <f>(F79+F78+F77)*75</f>
        <v>#REF!</v>
      </c>
      <c r="H94" s="232">
        <v>0</v>
      </c>
      <c r="I94" s="145" t="e">
        <f>(H79+H78+H77)*75</f>
        <v>#REF!</v>
      </c>
      <c r="J94" s="232">
        <v>0</v>
      </c>
      <c r="K94" s="145" t="e">
        <f>(J79+J78+J77)*75</f>
        <v>#REF!</v>
      </c>
      <c r="L94" s="232">
        <v>0</v>
      </c>
      <c r="M94" s="145" t="e">
        <f>(L79+L78+L77)*75</f>
        <v>#REF!</v>
      </c>
      <c r="N94" s="232">
        <v>0</v>
      </c>
      <c r="O94" s="145" t="e">
        <f>(N79+N78+N77)*75</f>
        <v>#REF!</v>
      </c>
      <c r="P94" s="232">
        <v>0</v>
      </c>
      <c r="Q94" s="145" t="e">
        <f>(P79+P78+P77)*75</f>
        <v>#REF!</v>
      </c>
      <c r="R94" s="232">
        <v>0</v>
      </c>
      <c r="S94" s="145" t="e">
        <f>(R79+R78+R77)*75</f>
        <v>#REF!</v>
      </c>
      <c r="T94" s="232">
        <v>0</v>
      </c>
      <c r="U94" s="145" t="e">
        <f>(T79+T78+T77)*75</f>
        <v>#REF!</v>
      </c>
      <c r="V94" s="232">
        <v>0</v>
      </c>
      <c r="W94" s="145" t="e">
        <f>(V79+V78+V77)*75</f>
        <v>#REF!</v>
      </c>
      <c r="X94" s="232">
        <v>0</v>
      </c>
      <c r="Y94" s="145" t="e">
        <f>(X79+X78+X77)*75</f>
        <v>#REF!</v>
      </c>
      <c r="Z94" s="232">
        <v>0</v>
      </c>
      <c r="AA94" s="145" t="e">
        <f>(Z79+Z78+Z77)*75</f>
        <v>#REF!</v>
      </c>
      <c r="AB94" s="223" t="e">
        <f>E94+G94+I94+K94+M94+O94+Q94+S94+U94+W94+Y94+AA94</f>
        <v>#REF!</v>
      </c>
    </row>
    <row r="95" spans="1:28" ht="15.75" thickBot="1" x14ac:dyDescent="0.3">
      <c r="B95" s="220" t="s">
        <v>118</v>
      </c>
      <c r="C95" s="212"/>
      <c r="D95" s="213"/>
      <c r="E95" s="227" t="e">
        <f>SUM(E77:E94)</f>
        <v>#REF!</v>
      </c>
      <c r="F95" s="233"/>
      <c r="G95" s="227" t="e">
        <f>SUM(G77:G94)</f>
        <v>#REF!</v>
      </c>
      <c r="H95" s="233"/>
      <c r="I95" s="227" t="e">
        <f>SUM(I77:I94)</f>
        <v>#REF!</v>
      </c>
      <c r="J95" s="233"/>
      <c r="K95" s="227" t="e">
        <f>SUM(K77:K94)</f>
        <v>#REF!</v>
      </c>
      <c r="L95" s="233"/>
      <c r="M95" s="227" t="e">
        <f>SUM(M77:M94)</f>
        <v>#REF!</v>
      </c>
      <c r="N95" s="213"/>
      <c r="O95" s="227" t="e">
        <f>SUM(O77:O94)</f>
        <v>#REF!</v>
      </c>
      <c r="P95" s="233"/>
      <c r="Q95" s="227" t="e">
        <f>SUM(Q77:Q94)</f>
        <v>#REF!</v>
      </c>
      <c r="R95" s="233"/>
      <c r="S95" s="227" t="e">
        <f>SUM(S77:S94)</f>
        <v>#REF!</v>
      </c>
      <c r="T95" s="233"/>
      <c r="U95" s="227" t="e">
        <f>SUM(U77:U94)</f>
        <v>#REF!</v>
      </c>
      <c r="V95" s="233"/>
      <c r="W95" s="227" t="e">
        <f>SUM(W77:W94)</f>
        <v>#REF!</v>
      </c>
      <c r="X95" s="233"/>
      <c r="Y95" s="227" t="e">
        <f>SUM(Y77:Y94)</f>
        <v>#REF!</v>
      </c>
      <c r="Z95" s="233"/>
      <c r="AA95" s="226" t="e">
        <f>SUM(AA77:AA94)</f>
        <v>#REF!</v>
      </c>
      <c r="AB95" s="219" t="e">
        <f>SUM(E95:AA95)</f>
        <v>#REF!</v>
      </c>
    </row>
    <row r="97" spans="1:28" ht="15.75" thickBot="1" x14ac:dyDescent="0.3"/>
    <row r="98" spans="1:28" ht="27" thickBot="1" x14ac:dyDescent="0.45">
      <c r="B98" s="714" t="s">
        <v>121</v>
      </c>
      <c r="C98" s="715"/>
      <c r="D98" s="715"/>
      <c r="E98" s="715"/>
      <c r="F98" s="715"/>
      <c r="G98" s="715"/>
      <c r="H98" s="715"/>
      <c r="I98" s="715"/>
      <c r="J98" s="715"/>
      <c r="K98" s="715"/>
      <c r="L98" s="715"/>
      <c r="M98" s="715"/>
      <c r="N98" s="715"/>
      <c r="O98" s="715"/>
      <c r="P98" s="715"/>
      <c r="Q98" s="715"/>
      <c r="R98" s="715"/>
      <c r="S98" s="715"/>
      <c r="T98" s="715"/>
      <c r="U98" s="715"/>
      <c r="V98" s="715"/>
      <c r="W98" s="715"/>
      <c r="X98" s="715"/>
      <c r="Y98" s="715"/>
      <c r="Z98" s="715"/>
      <c r="AA98" s="715"/>
      <c r="AB98" s="716"/>
    </row>
    <row r="99" spans="1:28" x14ac:dyDescent="0.25">
      <c r="B99" s="712" t="s">
        <v>63</v>
      </c>
      <c r="C99" s="713"/>
      <c r="D99" s="711" t="s">
        <v>40</v>
      </c>
      <c r="E99" s="707"/>
      <c r="F99" s="706" t="s">
        <v>41</v>
      </c>
      <c r="G99" s="707"/>
      <c r="H99" s="706" t="s">
        <v>42</v>
      </c>
      <c r="I99" s="707"/>
      <c r="J99" s="706" t="s">
        <v>43</v>
      </c>
      <c r="K99" s="707"/>
      <c r="L99" s="706" t="s">
        <v>44</v>
      </c>
      <c r="M99" s="707"/>
      <c r="N99" s="706" t="s">
        <v>45</v>
      </c>
      <c r="O99" s="707"/>
      <c r="P99" s="706" t="s">
        <v>46</v>
      </c>
      <c r="Q99" s="707"/>
      <c r="R99" s="706" t="s">
        <v>47</v>
      </c>
      <c r="S99" s="707"/>
      <c r="T99" s="706" t="s">
        <v>48</v>
      </c>
      <c r="U99" s="707"/>
      <c r="V99" s="706" t="s">
        <v>49</v>
      </c>
      <c r="W99" s="707"/>
      <c r="X99" s="706" t="s">
        <v>50</v>
      </c>
      <c r="Y99" s="707"/>
      <c r="Z99" s="706" t="s">
        <v>51</v>
      </c>
      <c r="AA99" s="711"/>
      <c r="AB99" s="724" t="s">
        <v>19</v>
      </c>
    </row>
    <row r="100" spans="1:28" ht="15.75" thickBot="1" x14ac:dyDescent="0.3">
      <c r="B100" s="194" t="s">
        <v>72</v>
      </c>
      <c r="C100" s="195" t="s">
        <v>102</v>
      </c>
      <c r="D100" s="196" t="s">
        <v>60</v>
      </c>
      <c r="E100" s="197" t="s">
        <v>71</v>
      </c>
      <c r="F100" s="197" t="s">
        <v>60</v>
      </c>
      <c r="G100" s="197" t="s">
        <v>71</v>
      </c>
      <c r="H100" s="197" t="s">
        <v>60</v>
      </c>
      <c r="I100" s="197" t="s">
        <v>71</v>
      </c>
      <c r="J100" s="197" t="s">
        <v>60</v>
      </c>
      <c r="K100" s="197" t="s">
        <v>71</v>
      </c>
      <c r="L100" s="197" t="s">
        <v>60</v>
      </c>
      <c r="M100" s="197" t="s">
        <v>71</v>
      </c>
      <c r="N100" s="197" t="s">
        <v>60</v>
      </c>
      <c r="O100" s="197" t="s">
        <v>71</v>
      </c>
      <c r="P100" s="197" t="s">
        <v>60</v>
      </c>
      <c r="Q100" s="197" t="s">
        <v>71</v>
      </c>
      <c r="R100" s="197" t="s">
        <v>60</v>
      </c>
      <c r="S100" s="197" t="s">
        <v>71</v>
      </c>
      <c r="T100" s="197" t="s">
        <v>60</v>
      </c>
      <c r="U100" s="197" t="s">
        <v>71</v>
      </c>
      <c r="V100" s="197" t="s">
        <v>60</v>
      </c>
      <c r="W100" s="197" t="s">
        <v>71</v>
      </c>
      <c r="X100" s="197" t="s">
        <v>60</v>
      </c>
      <c r="Y100" s="197" t="s">
        <v>71</v>
      </c>
      <c r="Z100" s="197" t="s">
        <v>60</v>
      </c>
      <c r="AA100" s="198" t="s">
        <v>71</v>
      </c>
      <c r="AB100" s="717"/>
    </row>
    <row r="101" spans="1:28" x14ac:dyDescent="0.25">
      <c r="A101" s="718" t="s">
        <v>114</v>
      </c>
      <c r="B101" s="199"/>
      <c r="C101" s="200">
        <f>$E$20</f>
        <v>1360</v>
      </c>
      <c r="D101" s="201" t="e">
        <f>'Proy. ventas'!#REF!</f>
        <v>#REF!</v>
      </c>
      <c r="E101" s="133" t="e">
        <f t="shared" ref="E101:E116" si="30">D101*C101</f>
        <v>#REF!</v>
      </c>
      <c r="F101" s="228" t="e">
        <f>'Proy. ventas'!#REF!</f>
        <v>#REF!</v>
      </c>
      <c r="G101" s="133" t="e">
        <f t="shared" ref="G101:G116" si="31">F101*C101</f>
        <v>#REF!</v>
      </c>
      <c r="H101" s="228" t="e">
        <f>'Proy. ventas'!#REF!</f>
        <v>#REF!</v>
      </c>
      <c r="I101" s="133" t="e">
        <f t="shared" ref="I101:I116" si="32">H101*C101</f>
        <v>#REF!</v>
      </c>
      <c r="J101" s="228" t="e">
        <f>'Proy. ventas'!#REF!</f>
        <v>#REF!</v>
      </c>
      <c r="K101" s="133" t="e">
        <f t="shared" ref="K101:K116" si="33">J101*C101</f>
        <v>#REF!</v>
      </c>
      <c r="L101" s="228" t="e">
        <f>'Proy. ventas'!#REF!</f>
        <v>#REF!</v>
      </c>
      <c r="M101" s="133" t="e">
        <f t="shared" ref="M101:M116" si="34">L101*C101</f>
        <v>#REF!</v>
      </c>
      <c r="N101" s="228" t="e">
        <f>'Proy. ventas'!#REF!</f>
        <v>#REF!</v>
      </c>
      <c r="O101" s="133" t="e">
        <f t="shared" ref="O101:O116" si="35">N101*C101</f>
        <v>#REF!</v>
      </c>
      <c r="P101" s="228" t="e">
        <f>'Proy. ventas'!#REF!</f>
        <v>#REF!</v>
      </c>
      <c r="Q101" s="133" t="e">
        <f t="shared" ref="Q101:Q116" si="36">P101*C101</f>
        <v>#REF!</v>
      </c>
      <c r="R101" s="228" t="e">
        <f>'Proy. ventas'!#REF!</f>
        <v>#REF!</v>
      </c>
      <c r="S101" s="133" t="e">
        <f t="shared" ref="S101:S116" si="37">R101*C101</f>
        <v>#REF!</v>
      </c>
      <c r="T101" s="228" t="e">
        <f>'Proy. ventas'!#REF!</f>
        <v>#REF!</v>
      </c>
      <c r="U101" s="133" t="e">
        <f t="shared" ref="U101:U116" si="38">T101*C101</f>
        <v>#REF!</v>
      </c>
      <c r="V101" s="228" t="e">
        <f>'Proy. ventas'!#REF!</f>
        <v>#REF!</v>
      </c>
      <c r="W101" s="133" t="e">
        <f t="shared" ref="W101:W116" si="39">V101*C101</f>
        <v>#REF!</v>
      </c>
      <c r="X101" s="228" t="e">
        <f>'Proy. ventas'!#REF!</f>
        <v>#REF!</v>
      </c>
      <c r="Y101" s="133" t="e">
        <f t="shared" ref="Y101:Y116" si="40">X101*C101</f>
        <v>#REF!</v>
      </c>
      <c r="Z101" s="228" t="e">
        <f>'Proy. ventas'!#REF!</f>
        <v>#REF!</v>
      </c>
      <c r="AA101" s="134" t="e">
        <f t="shared" ref="AA101:AA116" si="41">Z101*C101</f>
        <v>#REF!</v>
      </c>
      <c r="AB101" s="221" t="e">
        <f>E101+G101+I101+K101+M101+O101+Q101+S101++U101+W101+Y101+AA101</f>
        <v>#REF!</v>
      </c>
    </row>
    <row r="102" spans="1:28" x14ac:dyDescent="0.25">
      <c r="A102" s="719"/>
      <c r="B102" s="191"/>
      <c r="C102" s="192">
        <f>$E$33</f>
        <v>5705</v>
      </c>
      <c r="D102" s="189" t="e">
        <f>'Proy. ventas'!#REF!</f>
        <v>#REF!</v>
      </c>
      <c r="E102" s="114" t="e">
        <f t="shared" si="30"/>
        <v>#REF!</v>
      </c>
      <c r="F102" s="186" t="e">
        <f>'Proy. ventas'!#REF!</f>
        <v>#REF!</v>
      </c>
      <c r="G102" s="114" t="e">
        <f t="shared" si="31"/>
        <v>#REF!</v>
      </c>
      <c r="H102" s="186" t="e">
        <f>'Proy. ventas'!#REF!</f>
        <v>#REF!</v>
      </c>
      <c r="I102" s="114" t="e">
        <f t="shared" si="32"/>
        <v>#REF!</v>
      </c>
      <c r="J102" s="186" t="e">
        <f>'Proy. ventas'!#REF!</f>
        <v>#REF!</v>
      </c>
      <c r="K102" s="114" t="e">
        <f t="shared" si="33"/>
        <v>#REF!</v>
      </c>
      <c r="L102" s="186" t="e">
        <f>'Proy. ventas'!#REF!</f>
        <v>#REF!</v>
      </c>
      <c r="M102" s="114" t="e">
        <f t="shared" si="34"/>
        <v>#REF!</v>
      </c>
      <c r="N102" s="186" t="e">
        <f>'Proy. ventas'!#REF!</f>
        <v>#REF!</v>
      </c>
      <c r="O102" s="114" t="e">
        <f t="shared" si="35"/>
        <v>#REF!</v>
      </c>
      <c r="P102" s="186" t="e">
        <f>'Proy. ventas'!#REF!</f>
        <v>#REF!</v>
      </c>
      <c r="Q102" s="114" t="e">
        <f t="shared" si="36"/>
        <v>#REF!</v>
      </c>
      <c r="R102" s="186" t="e">
        <f>'Proy. ventas'!#REF!</f>
        <v>#REF!</v>
      </c>
      <c r="S102" s="114" t="e">
        <f t="shared" si="37"/>
        <v>#REF!</v>
      </c>
      <c r="T102" s="186" t="e">
        <f>'Proy. ventas'!#REF!</f>
        <v>#REF!</v>
      </c>
      <c r="U102" s="114" t="e">
        <f t="shared" si="38"/>
        <v>#REF!</v>
      </c>
      <c r="V102" s="186" t="e">
        <f>'Proy. ventas'!#REF!</f>
        <v>#REF!</v>
      </c>
      <c r="W102" s="114" t="e">
        <f t="shared" si="39"/>
        <v>#REF!</v>
      </c>
      <c r="X102" s="186" t="e">
        <f>'Proy. ventas'!#REF!</f>
        <v>#REF!</v>
      </c>
      <c r="Y102" s="114" t="e">
        <f t="shared" si="40"/>
        <v>#REF!</v>
      </c>
      <c r="Z102" s="186" t="e">
        <f>'Proy. ventas'!#REF!</f>
        <v>#REF!</v>
      </c>
      <c r="AA102" s="116" t="e">
        <f t="shared" si="41"/>
        <v>#REF!</v>
      </c>
      <c r="AB102" s="222" t="e">
        <f t="shared" ref="AB102:AB116" si="42">E102+G102+I102+K102+M102+O102+Q102+S102++U102+W102+Y102+AA102</f>
        <v>#REF!</v>
      </c>
    </row>
    <row r="103" spans="1:28" ht="15.75" thickBot="1" x14ac:dyDescent="0.3">
      <c r="A103" s="720"/>
      <c r="B103" s="202"/>
      <c r="C103" s="203">
        <f>$E$46</f>
        <v>8105</v>
      </c>
      <c r="D103" s="204" t="e">
        <f>'Proy. ventas'!#REF!</f>
        <v>#REF!</v>
      </c>
      <c r="E103" s="137" t="e">
        <f t="shared" si="30"/>
        <v>#REF!</v>
      </c>
      <c r="F103" s="229" t="e">
        <f>'Proy. ventas'!#REF!</f>
        <v>#REF!</v>
      </c>
      <c r="G103" s="137" t="e">
        <f t="shared" si="31"/>
        <v>#REF!</v>
      </c>
      <c r="H103" s="229" t="e">
        <f>'Proy. ventas'!#REF!</f>
        <v>#REF!</v>
      </c>
      <c r="I103" s="137" t="e">
        <f t="shared" si="32"/>
        <v>#REF!</v>
      </c>
      <c r="J103" s="229" t="e">
        <f>'Proy. ventas'!#REF!</f>
        <v>#REF!</v>
      </c>
      <c r="K103" s="137" t="e">
        <f t="shared" si="33"/>
        <v>#REF!</v>
      </c>
      <c r="L103" s="229" t="e">
        <f>'Proy. ventas'!#REF!</f>
        <v>#REF!</v>
      </c>
      <c r="M103" s="137" t="e">
        <f t="shared" si="34"/>
        <v>#REF!</v>
      </c>
      <c r="N103" s="229" t="e">
        <f>'Proy. ventas'!#REF!</f>
        <v>#REF!</v>
      </c>
      <c r="O103" s="137" t="e">
        <f t="shared" si="35"/>
        <v>#REF!</v>
      </c>
      <c r="P103" s="229" t="e">
        <f>'Proy. ventas'!#REF!</f>
        <v>#REF!</v>
      </c>
      <c r="Q103" s="137" t="e">
        <f t="shared" si="36"/>
        <v>#REF!</v>
      </c>
      <c r="R103" s="229" t="e">
        <f>'Proy. ventas'!#REF!</f>
        <v>#REF!</v>
      </c>
      <c r="S103" s="137" t="e">
        <f t="shared" si="37"/>
        <v>#REF!</v>
      </c>
      <c r="T103" s="229" t="e">
        <f>'Proy. ventas'!#REF!</f>
        <v>#REF!</v>
      </c>
      <c r="U103" s="137" t="e">
        <f t="shared" si="38"/>
        <v>#REF!</v>
      </c>
      <c r="V103" s="229" t="e">
        <f>'Proy. ventas'!#REF!</f>
        <v>#REF!</v>
      </c>
      <c r="W103" s="137" t="e">
        <f t="shared" si="39"/>
        <v>#REF!</v>
      </c>
      <c r="X103" s="229" t="e">
        <f>'Proy. ventas'!#REF!</f>
        <v>#REF!</v>
      </c>
      <c r="Y103" s="137" t="e">
        <f t="shared" si="40"/>
        <v>#REF!</v>
      </c>
      <c r="Z103" s="229" t="e">
        <f>'Proy. ventas'!#REF!</f>
        <v>#REF!</v>
      </c>
      <c r="AA103" s="138" t="e">
        <f t="shared" si="41"/>
        <v>#REF!</v>
      </c>
      <c r="AB103" s="223" t="e">
        <f t="shared" si="42"/>
        <v>#REF!</v>
      </c>
    </row>
    <row r="104" spans="1:28" x14ac:dyDescent="0.25">
      <c r="A104" s="718" t="s">
        <v>115</v>
      </c>
      <c r="B104" s="199"/>
      <c r="C104" s="200">
        <v>420</v>
      </c>
      <c r="D104" s="201" t="e">
        <f>'Proy. ventas'!#REF!</f>
        <v>#REF!</v>
      </c>
      <c r="E104" s="133" t="e">
        <f t="shared" si="30"/>
        <v>#REF!</v>
      </c>
      <c r="F104" s="228" t="e">
        <f>'Proy. ventas'!#REF!</f>
        <v>#REF!</v>
      </c>
      <c r="G104" s="133" t="e">
        <f t="shared" si="31"/>
        <v>#REF!</v>
      </c>
      <c r="H104" s="228" t="e">
        <f>'Proy. ventas'!#REF!</f>
        <v>#REF!</v>
      </c>
      <c r="I104" s="133" t="e">
        <f t="shared" si="32"/>
        <v>#REF!</v>
      </c>
      <c r="J104" s="228" t="e">
        <f>'Proy. ventas'!#REF!</f>
        <v>#REF!</v>
      </c>
      <c r="K104" s="133" t="e">
        <f t="shared" si="33"/>
        <v>#REF!</v>
      </c>
      <c r="L104" s="228" t="e">
        <f>'Proy. ventas'!#REF!</f>
        <v>#REF!</v>
      </c>
      <c r="M104" s="133" t="e">
        <f t="shared" si="34"/>
        <v>#REF!</v>
      </c>
      <c r="N104" s="228" t="e">
        <f>'Proy. ventas'!#REF!</f>
        <v>#REF!</v>
      </c>
      <c r="O104" s="133" t="e">
        <f t="shared" si="35"/>
        <v>#REF!</v>
      </c>
      <c r="P104" s="228" t="e">
        <f>'Proy. ventas'!#REF!</f>
        <v>#REF!</v>
      </c>
      <c r="Q104" s="133" t="e">
        <f t="shared" si="36"/>
        <v>#REF!</v>
      </c>
      <c r="R104" s="228" t="e">
        <f>'Proy. ventas'!#REF!</f>
        <v>#REF!</v>
      </c>
      <c r="S104" s="133" t="e">
        <f t="shared" si="37"/>
        <v>#REF!</v>
      </c>
      <c r="T104" s="228" t="e">
        <f>'Proy. ventas'!#REF!</f>
        <v>#REF!</v>
      </c>
      <c r="U104" s="133" t="e">
        <f t="shared" si="38"/>
        <v>#REF!</v>
      </c>
      <c r="V104" s="228" t="e">
        <f>'Proy. ventas'!#REF!</f>
        <v>#REF!</v>
      </c>
      <c r="W104" s="133" t="e">
        <f t="shared" si="39"/>
        <v>#REF!</v>
      </c>
      <c r="X104" s="228" t="e">
        <f>'Proy. ventas'!#REF!</f>
        <v>#REF!</v>
      </c>
      <c r="Y104" s="133" t="e">
        <f t="shared" si="40"/>
        <v>#REF!</v>
      </c>
      <c r="Z104" s="228" t="e">
        <f>'Proy. ventas'!#REF!</f>
        <v>#REF!</v>
      </c>
      <c r="AA104" s="134" t="e">
        <f t="shared" si="41"/>
        <v>#REF!</v>
      </c>
      <c r="AB104" s="221" t="e">
        <f t="shared" si="42"/>
        <v>#REF!</v>
      </c>
    </row>
    <row r="105" spans="1:28" x14ac:dyDescent="0.25">
      <c r="A105" s="719"/>
      <c r="B105" s="191"/>
      <c r="C105" s="192">
        <v>300</v>
      </c>
      <c r="D105" s="189" t="e">
        <f>'Proy. ventas'!#REF!</f>
        <v>#REF!</v>
      </c>
      <c r="E105" s="114" t="e">
        <f t="shared" si="30"/>
        <v>#REF!</v>
      </c>
      <c r="F105" s="186" t="e">
        <f>'Proy. ventas'!#REF!</f>
        <v>#REF!</v>
      </c>
      <c r="G105" s="114" t="e">
        <f t="shared" si="31"/>
        <v>#REF!</v>
      </c>
      <c r="H105" s="186" t="e">
        <f>'Proy. ventas'!#REF!</f>
        <v>#REF!</v>
      </c>
      <c r="I105" s="114" t="e">
        <f t="shared" si="32"/>
        <v>#REF!</v>
      </c>
      <c r="J105" s="186" t="e">
        <f>'Proy. ventas'!#REF!</f>
        <v>#REF!</v>
      </c>
      <c r="K105" s="114" t="e">
        <f t="shared" si="33"/>
        <v>#REF!</v>
      </c>
      <c r="L105" s="186" t="e">
        <f>'Proy. ventas'!#REF!</f>
        <v>#REF!</v>
      </c>
      <c r="M105" s="114" t="e">
        <f t="shared" si="34"/>
        <v>#REF!</v>
      </c>
      <c r="N105" s="186" t="e">
        <f>'Proy. ventas'!#REF!</f>
        <v>#REF!</v>
      </c>
      <c r="O105" s="114" t="e">
        <f t="shared" si="35"/>
        <v>#REF!</v>
      </c>
      <c r="P105" s="186" t="e">
        <f>'Proy. ventas'!#REF!</f>
        <v>#REF!</v>
      </c>
      <c r="Q105" s="114" t="e">
        <f t="shared" si="36"/>
        <v>#REF!</v>
      </c>
      <c r="R105" s="186" t="e">
        <f>'Proy. ventas'!#REF!</f>
        <v>#REF!</v>
      </c>
      <c r="S105" s="114" t="e">
        <f t="shared" si="37"/>
        <v>#REF!</v>
      </c>
      <c r="T105" s="186" t="e">
        <f>'Proy. ventas'!#REF!</f>
        <v>#REF!</v>
      </c>
      <c r="U105" s="114" t="e">
        <f t="shared" si="38"/>
        <v>#REF!</v>
      </c>
      <c r="V105" s="186" t="e">
        <f>'Proy. ventas'!#REF!</f>
        <v>#REF!</v>
      </c>
      <c r="W105" s="114" t="e">
        <f t="shared" si="39"/>
        <v>#REF!</v>
      </c>
      <c r="X105" s="186" t="e">
        <f>'Proy. ventas'!#REF!</f>
        <v>#REF!</v>
      </c>
      <c r="Y105" s="114" t="e">
        <f t="shared" si="40"/>
        <v>#REF!</v>
      </c>
      <c r="Z105" s="186" t="e">
        <f>'Proy. ventas'!#REF!</f>
        <v>#REF!</v>
      </c>
      <c r="AA105" s="116" t="e">
        <f t="shared" si="41"/>
        <v>#REF!</v>
      </c>
      <c r="AB105" s="222" t="e">
        <f t="shared" si="42"/>
        <v>#REF!</v>
      </c>
    </row>
    <row r="106" spans="1:28" x14ac:dyDescent="0.25">
      <c r="A106" s="719"/>
      <c r="B106" s="191"/>
      <c r="C106" s="192">
        <v>1800</v>
      </c>
      <c r="D106" s="189" t="e">
        <f>'Proy. ventas'!#REF!</f>
        <v>#REF!</v>
      </c>
      <c r="E106" s="114" t="e">
        <f t="shared" si="30"/>
        <v>#REF!</v>
      </c>
      <c r="F106" s="186" t="e">
        <f>'Proy. ventas'!#REF!</f>
        <v>#REF!</v>
      </c>
      <c r="G106" s="114" t="e">
        <f t="shared" si="31"/>
        <v>#REF!</v>
      </c>
      <c r="H106" s="186" t="e">
        <f>'Proy. ventas'!#REF!</f>
        <v>#REF!</v>
      </c>
      <c r="I106" s="114" t="e">
        <f t="shared" si="32"/>
        <v>#REF!</v>
      </c>
      <c r="J106" s="186" t="e">
        <f>'Proy. ventas'!#REF!</f>
        <v>#REF!</v>
      </c>
      <c r="K106" s="114" t="e">
        <f t="shared" si="33"/>
        <v>#REF!</v>
      </c>
      <c r="L106" s="186" t="e">
        <f>'Proy. ventas'!#REF!</f>
        <v>#REF!</v>
      </c>
      <c r="M106" s="114" t="e">
        <f t="shared" si="34"/>
        <v>#REF!</v>
      </c>
      <c r="N106" s="186" t="e">
        <f>'Proy. ventas'!#REF!</f>
        <v>#REF!</v>
      </c>
      <c r="O106" s="114" t="e">
        <f t="shared" si="35"/>
        <v>#REF!</v>
      </c>
      <c r="P106" s="186" t="e">
        <f>'Proy. ventas'!#REF!</f>
        <v>#REF!</v>
      </c>
      <c r="Q106" s="114" t="e">
        <f t="shared" si="36"/>
        <v>#REF!</v>
      </c>
      <c r="R106" s="186" t="e">
        <f>'Proy. ventas'!#REF!</f>
        <v>#REF!</v>
      </c>
      <c r="S106" s="114" t="e">
        <f t="shared" si="37"/>
        <v>#REF!</v>
      </c>
      <c r="T106" s="186" t="e">
        <f>'Proy. ventas'!#REF!</f>
        <v>#REF!</v>
      </c>
      <c r="U106" s="114" t="e">
        <f t="shared" si="38"/>
        <v>#REF!</v>
      </c>
      <c r="V106" s="186" t="e">
        <f>'Proy. ventas'!#REF!</f>
        <v>#REF!</v>
      </c>
      <c r="W106" s="114" t="e">
        <f t="shared" si="39"/>
        <v>#REF!</v>
      </c>
      <c r="X106" s="186" t="e">
        <f>'Proy. ventas'!#REF!</f>
        <v>#REF!</v>
      </c>
      <c r="Y106" s="114" t="e">
        <f t="shared" si="40"/>
        <v>#REF!</v>
      </c>
      <c r="Z106" s="186" t="e">
        <f>'Proy. ventas'!#REF!</f>
        <v>#REF!</v>
      </c>
      <c r="AA106" s="116" t="e">
        <f t="shared" si="41"/>
        <v>#REF!</v>
      </c>
      <c r="AB106" s="222" t="e">
        <f t="shared" si="42"/>
        <v>#REF!</v>
      </c>
    </row>
    <row r="107" spans="1:28" x14ac:dyDescent="0.25">
      <c r="A107" s="719"/>
      <c r="B107" s="191"/>
      <c r="C107" s="192">
        <v>180</v>
      </c>
      <c r="D107" s="189" t="e">
        <f>'Proy. ventas'!#REF!</f>
        <v>#REF!</v>
      </c>
      <c r="E107" s="114" t="e">
        <f t="shared" si="30"/>
        <v>#REF!</v>
      </c>
      <c r="F107" s="186" t="e">
        <f>'Proy. ventas'!#REF!</f>
        <v>#REF!</v>
      </c>
      <c r="G107" s="114" t="e">
        <f t="shared" si="31"/>
        <v>#REF!</v>
      </c>
      <c r="H107" s="186" t="e">
        <f>'Proy. ventas'!#REF!</f>
        <v>#REF!</v>
      </c>
      <c r="I107" s="114" t="e">
        <f t="shared" si="32"/>
        <v>#REF!</v>
      </c>
      <c r="J107" s="186" t="e">
        <f>'Proy. ventas'!#REF!</f>
        <v>#REF!</v>
      </c>
      <c r="K107" s="114" t="e">
        <f t="shared" si="33"/>
        <v>#REF!</v>
      </c>
      <c r="L107" s="186" t="e">
        <f>'Proy. ventas'!#REF!</f>
        <v>#REF!</v>
      </c>
      <c r="M107" s="114" t="e">
        <f t="shared" si="34"/>
        <v>#REF!</v>
      </c>
      <c r="N107" s="186" t="e">
        <f>'Proy. ventas'!#REF!</f>
        <v>#REF!</v>
      </c>
      <c r="O107" s="114" t="e">
        <f t="shared" si="35"/>
        <v>#REF!</v>
      </c>
      <c r="P107" s="186" t="e">
        <f>'Proy. ventas'!#REF!</f>
        <v>#REF!</v>
      </c>
      <c r="Q107" s="114" t="e">
        <f t="shared" si="36"/>
        <v>#REF!</v>
      </c>
      <c r="R107" s="186" t="e">
        <f>'Proy. ventas'!#REF!</f>
        <v>#REF!</v>
      </c>
      <c r="S107" s="114" t="e">
        <f t="shared" si="37"/>
        <v>#REF!</v>
      </c>
      <c r="T107" s="186" t="e">
        <f>'Proy. ventas'!#REF!</f>
        <v>#REF!</v>
      </c>
      <c r="U107" s="114" t="e">
        <f t="shared" si="38"/>
        <v>#REF!</v>
      </c>
      <c r="V107" s="186" t="e">
        <f>'Proy. ventas'!#REF!</f>
        <v>#REF!</v>
      </c>
      <c r="W107" s="114" t="e">
        <f t="shared" si="39"/>
        <v>#REF!</v>
      </c>
      <c r="X107" s="186" t="e">
        <f>'Proy. ventas'!#REF!</f>
        <v>#REF!</v>
      </c>
      <c r="Y107" s="114" t="e">
        <f t="shared" si="40"/>
        <v>#REF!</v>
      </c>
      <c r="Z107" s="186" t="e">
        <f>'Proy. ventas'!#REF!</f>
        <v>#REF!</v>
      </c>
      <c r="AA107" s="116" t="e">
        <f t="shared" si="41"/>
        <v>#REF!</v>
      </c>
      <c r="AB107" s="222" t="e">
        <f t="shared" si="42"/>
        <v>#REF!</v>
      </c>
    </row>
    <row r="108" spans="1:28" x14ac:dyDescent="0.25">
      <c r="A108" s="719"/>
      <c r="B108" s="191"/>
      <c r="C108" s="192">
        <v>1250</v>
      </c>
      <c r="D108" s="189" t="e">
        <f>'Proy. ventas'!#REF!</f>
        <v>#REF!</v>
      </c>
      <c r="E108" s="114" t="e">
        <f t="shared" si="30"/>
        <v>#REF!</v>
      </c>
      <c r="F108" s="186" t="e">
        <f>'Proy. ventas'!#REF!</f>
        <v>#REF!</v>
      </c>
      <c r="G108" s="114" t="e">
        <f t="shared" si="31"/>
        <v>#REF!</v>
      </c>
      <c r="H108" s="186" t="e">
        <f>'Proy. ventas'!#REF!</f>
        <v>#REF!</v>
      </c>
      <c r="I108" s="114" t="e">
        <f t="shared" si="32"/>
        <v>#REF!</v>
      </c>
      <c r="J108" s="186" t="e">
        <f>'Proy. ventas'!#REF!</f>
        <v>#REF!</v>
      </c>
      <c r="K108" s="114" t="e">
        <f t="shared" si="33"/>
        <v>#REF!</v>
      </c>
      <c r="L108" s="186" t="e">
        <f>'Proy. ventas'!#REF!</f>
        <v>#REF!</v>
      </c>
      <c r="M108" s="114" t="e">
        <f t="shared" si="34"/>
        <v>#REF!</v>
      </c>
      <c r="N108" s="186" t="e">
        <f>'Proy. ventas'!#REF!</f>
        <v>#REF!</v>
      </c>
      <c r="O108" s="114" t="e">
        <f t="shared" si="35"/>
        <v>#REF!</v>
      </c>
      <c r="P108" s="186" t="e">
        <f>'Proy. ventas'!#REF!</f>
        <v>#REF!</v>
      </c>
      <c r="Q108" s="114" t="e">
        <f t="shared" si="36"/>
        <v>#REF!</v>
      </c>
      <c r="R108" s="186" t="e">
        <f>'Proy. ventas'!#REF!</f>
        <v>#REF!</v>
      </c>
      <c r="S108" s="114" t="e">
        <f t="shared" si="37"/>
        <v>#REF!</v>
      </c>
      <c r="T108" s="186" t="e">
        <f>'Proy. ventas'!#REF!</f>
        <v>#REF!</v>
      </c>
      <c r="U108" s="114" t="e">
        <f t="shared" si="38"/>
        <v>#REF!</v>
      </c>
      <c r="V108" s="186" t="e">
        <f>'Proy. ventas'!#REF!</f>
        <v>#REF!</v>
      </c>
      <c r="W108" s="114" t="e">
        <f t="shared" si="39"/>
        <v>#REF!</v>
      </c>
      <c r="X108" s="186" t="e">
        <f>'Proy. ventas'!#REF!</f>
        <v>#REF!</v>
      </c>
      <c r="Y108" s="114" t="e">
        <f t="shared" si="40"/>
        <v>#REF!</v>
      </c>
      <c r="Z108" s="186" t="e">
        <f>'Proy. ventas'!#REF!</f>
        <v>#REF!</v>
      </c>
      <c r="AA108" s="116" t="e">
        <f t="shared" si="41"/>
        <v>#REF!</v>
      </c>
      <c r="AB108" s="222" t="e">
        <f t="shared" si="42"/>
        <v>#REF!</v>
      </c>
    </row>
    <row r="109" spans="1:28" x14ac:dyDescent="0.25">
      <c r="A109" s="719"/>
      <c r="B109" s="191"/>
      <c r="C109" s="192">
        <v>350</v>
      </c>
      <c r="D109" s="189" t="e">
        <f>'Proy. ventas'!#REF!</f>
        <v>#REF!</v>
      </c>
      <c r="E109" s="114" t="e">
        <f t="shared" si="30"/>
        <v>#REF!</v>
      </c>
      <c r="F109" s="186" t="e">
        <f>'Proy. ventas'!#REF!</f>
        <v>#REF!</v>
      </c>
      <c r="G109" s="114" t="e">
        <f t="shared" si="31"/>
        <v>#REF!</v>
      </c>
      <c r="H109" s="186" t="e">
        <f>'Proy. ventas'!#REF!</f>
        <v>#REF!</v>
      </c>
      <c r="I109" s="114" t="e">
        <f t="shared" si="32"/>
        <v>#REF!</v>
      </c>
      <c r="J109" s="186" t="e">
        <f>'Proy. ventas'!#REF!</f>
        <v>#REF!</v>
      </c>
      <c r="K109" s="114" t="e">
        <f t="shared" si="33"/>
        <v>#REF!</v>
      </c>
      <c r="L109" s="186" t="e">
        <f>'Proy. ventas'!#REF!</f>
        <v>#REF!</v>
      </c>
      <c r="M109" s="114" t="e">
        <f t="shared" si="34"/>
        <v>#REF!</v>
      </c>
      <c r="N109" s="186" t="e">
        <f>'Proy. ventas'!#REF!</f>
        <v>#REF!</v>
      </c>
      <c r="O109" s="114" t="e">
        <f t="shared" si="35"/>
        <v>#REF!</v>
      </c>
      <c r="P109" s="186" t="e">
        <f>'Proy. ventas'!#REF!</f>
        <v>#REF!</v>
      </c>
      <c r="Q109" s="114" t="e">
        <f t="shared" si="36"/>
        <v>#REF!</v>
      </c>
      <c r="R109" s="186" t="e">
        <f>'Proy. ventas'!#REF!</f>
        <v>#REF!</v>
      </c>
      <c r="S109" s="114" t="e">
        <f t="shared" si="37"/>
        <v>#REF!</v>
      </c>
      <c r="T109" s="186" t="e">
        <f>'Proy. ventas'!#REF!</f>
        <v>#REF!</v>
      </c>
      <c r="U109" s="114" t="e">
        <f t="shared" si="38"/>
        <v>#REF!</v>
      </c>
      <c r="V109" s="186" t="e">
        <f>'Proy. ventas'!#REF!</f>
        <v>#REF!</v>
      </c>
      <c r="W109" s="114" t="e">
        <f t="shared" si="39"/>
        <v>#REF!</v>
      </c>
      <c r="X109" s="186" t="e">
        <f>'Proy. ventas'!#REF!</f>
        <v>#REF!</v>
      </c>
      <c r="Y109" s="114" t="e">
        <f t="shared" si="40"/>
        <v>#REF!</v>
      </c>
      <c r="Z109" s="186" t="e">
        <f>'Proy. ventas'!#REF!</f>
        <v>#REF!</v>
      </c>
      <c r="AA109" s="116" t="e">
        <f t="shared" si="41"/>
        <v>#REF!</v>
      </c>
      <c r="AB109" s="222" t="e">
        <f t="shared" si="42"/>
        <v>#REF!</v>
      </c>
    </row>
    <row r="110" spans="1:28" x14ac:dyDescent="0.25">
      <c r="A110" s="719"/>
      <c r="B110" s="191"/>
      <c r="C110" s="192">
        <v>950</v>
      </c>
      <c r="D110" s="189" t="e">
        <f>'Proy. ventas'!#REF!</f>
        <v>#REF!</v>
      </c>
      <c r="E110" s="114" t="e">
        <f t="shared" si="30"/>
        <v>#REF!</v>
      </c>
      <c r="F110" s="186" t="e">
        <f>'Proy. ventas'!#REF!</f>
        <v>#REF!</v>
      </c>
      <c r="G110" s="114" t="e">
        <f t="shared" si="31"/>
        <v>#REF!</v>
      </c>
      <c r="H110" s="186" t="e">
        <f>'Proy. ventas'!#REF!</f>
        <v>#REF!</v>
      </c>
      <c r="I110" s="114" t="e">
        <f t="shared" si="32"/>
        <v>#REF!</v>
      </c>
      <c r="J110" s="186" t="e">
        <f>'Proy. ventas'!#REF!</f>
        <v>#REF!</v>
      </c>
      <c r="K110" s="114" t="e">
        <f t="shared" si="33"/>
        <v>#REF!</v>
      </c>
      <c r="L110" s="186" t="e">
        <f>'Proy. ventas'!#REF!</f>
        <v>#REF!</v>
      </c>
      <c r="M110" s="114" t="e">
        <f t="shared" si="34"/>
        <v>#REF!</v>
      </c>
      <c r="N110" s="186" t="e">
        <f>'Proy. ventas'!#REF!</f>
        <v>#REF!</v>
      </c>
      <c r="O110" s="114" t="e">
        <f t="shared" si="35"/>
        <v>#REF!</v>
      </c>
      <c r="P110" s="186" t="e">
        <f>'Proy. ventas'!#REF!</f>
        <v>#REF!</v>
      </c>
      <c r="Q110" s="114" t="e">
        <f t="shared" si="36"/>
        <v>#REF!</v>
      </c>
      <c r="R110" s="186" t="e">
        <f>'Proy. ventas'!#REF!</f>
        <v>#REF!</v>
      </c>
      <c r="S110" s="114" t="e">
        <f t="shared" si="37"/>
        <v>#REF!</v>
      </c>
      <c r="T110" s="186" t="e">
        <f>'Proy. ventas'!#REF!</f>
        <v>#REF!</v>
      </c>
      <c r="U110" s="114" t="e">
        <f t="shared" si="38"/>
        <v>#REF!</v>
      </c>
      <c r="V110" s="186" t="e">
        <f>'Proy. ventas'!#REF!</f>
        <v>#REF!</v>
      </c>
      <c r="W110" s="114" t="e">
        <f t="shared" si="39"/>
        <v>#REF!</v>
      </c>
      <c r="X110" s="186" t="e">
        <f>'Proy. ventas'!#REF!</f>
        <v>#REF!</v>
      </c>
      <c r="Y110" s="114" t="e">
        <f t="shared" si="40"/>
        <v>#REF!</v>
      </c>
      <c r="Z110" s="186" t="e">
        <f>'Proy. ventas'!#REF!</f>
        <v>#REF!</v>
      </c>
      <c r="AA110" s="116" t="e">
        <f t="shared" si="41"/>
        <v>#REF!</v>
      </c>
      <c r="AB110" s="222" t="e">
        <f t="shared" si="42"/>
        <v>#REF!</v>
      </c>
    </row>
    <row r="111" spans="1:28" x14ac:dyDescent="0.25">
      <c r="A111" s="719"/>
      <c r="B111" s="191"/>
      <c r="C111" s="192">
        <v>200</v>
      </c>
      <c r="D111" s="189" t="e">
        <f>'Proy. ventas'!#REF!</f>
        <v>#REF!</v>
      </c>
      <c r="E111" s="114" t="e">
        <f t="shared" si="30"/>
        <v>#REF!</v>
      </c>
      <c r="F111" s="186" t="e">
        <f>'Proy. ventas'!#REF!</f>
        <v>#REF!</v>
      </c>
      <c r="G111" s="114" t="e">
        <f t="shared" si="31"/>
        <v>#REF!</v>
      </c>
      <c r="H111" s="186" t="e">
        <f>'Proy. ventas'!#REF!</f>
        <v>#REF!</v>
      </c>
      <c r="I111" s="114" t="e">
        <f t="shared" si="32"/>
        <v>#REF!</v>
      </c>
      <c r="J111" s="186" t="e">
        <f>'Proy. ventas'!#REF!</f>
        <v>#REF!</v>
      </c>
      <c r="K111" s="114" t="e">
        <f t="shared" si="33"/>
        <v>#REF!</v>
      </c>
      <c r="L111" s="186" t="e">
        <f>'Proy. ventas'!#REF!</f>
        <v>#REF!</v>
      </c>
      <c r="M111" s="114" t="e">
        <f t="shared" si="34"/>
        <v>#REF!</v>
      </c>
      <c r="N111" s="186" t="e">
        <f>'Proy. ventas'!#REF!</f>
        <v>#REF!</v>
      </c>
      <c r="O111" s="114" t="e">
        <f t="shared" si="35"/>
        <v>#REF!</v>
      </c>
      <c r="P111" s="186" t="e">
        <f>'Proy. ventas'!#REF!</f>
        <v>#REF!</v>
      </c>
      <c r="Q111" s="114" t="e">
        <f t="shared" si="36"/>
        <v>#REF!</v>
      </c>
      <c r="R111" s="186" t="e">
        <f>'Proy. ventas'!#REF!</f>
        <v>#REF!</v>
      </c>
      <c r="S111" s="114" t="e">
        <f t="shared" si="37"/>
        <v>#REF!</v>
      </c>
      <c r="T111" s="186" t="e">
        <f>'Proy. ventas'!#REF!</f>
        <v>#REF!</v>
      </c>
      <c r="U111" s="114" t="e">
        <f t="shared" si="38"/>
        <v>#REF!</v>
      </c>
      <c r="V111" s="186" t="e">
        <f>'Proy. ventas'!#REF!</f>
        <v>#REF!</v>
      </c>
      <c r="W111" s="114" t="e">
        <f t="shared" si="39"/>
        <v>#REF!</v>
      </c>
      <c r="X111" s="186" t="e">
        <f>'Proy. ventas'!#REF!</f>
        <v>#REF!</v>
      </c>
      <c r="Y111" s="114" t="e">
        <f t="shared" si="40"/>
        <v>#REF!</v>
      </c>
      <c r="Z111" s="186" t="e">
        <f>'Proy. ventas'!#REF!</f>
        <v>#REF!</v>
      </c>
      <c r="AA111" s="116" t="e">
        <f t="shared" si="41"/>
        <v>#REF!</v>
      </c>
      <c r="AB111" s="222" t="e">
        <f t="shared" si="42"/>
        <v>#REF!</v>
      </c>
    </row>
    <row r="112" spans="1:28" ht="15.75" thickBot="1" x14ac:dyDescent="0.3">
      <c r="A112" s="720"/>
      <c r="B112" s="202"/>
      <c r="C112" s="203">
        <v>1150</v>
      </c>
      <c r="D112" s="204" t="e">
        <f>'Proy. ventas'!#REF!</f>
        <v>#REF!</v>
      </c>
      <c r="E112" s="137" t="e">
        <f t="shared" si="30"/>
        <v>#REF!</v>
      </c>
      <c r="F112" s="229" t="e">
        <f>'Proy. ventas'!#REF!</f>
        <v>#REF!</v>
      </c>
      <c r="G112" s="137" t="e">
        <f t="shared" si="31"/>
        <v>#REF!</v>
      </c>
      <c r="H112" s="229" t="e">
        <f>'Proy. ventas'!#REF!</f>
        <v>#REF!</v>
      </c>
      <c r="I112" s="137" t="e">
        <f t="shared" si="32"/>
        <v>#REF!</v>
      </c>
      <c r="J112" s="229" t="e">
        <f>'Proy. ventas'!#REF!</f>
        <v>#REF!</v>
      </c>
      <c r="K112" s="137" t="e">
        <f t="shared" si="33"/>
        <v>#REF!</v>
      </c>
      <c r="L112" s="229" t="e">
        <f>'Proy. ventas'!#REF!</f>
        <v>#REF!</v>
      </c>
      <c r="M112" s="137" t="e">
        <f t="shared" si="34"/>
        <v>#REF!</v>
      </c>
      <c r="N112" s="229" t="e">
        <f>'Proy. ventas'!#REF!</f>
        <v>#REF!</v>
      </c>
      <c r="O112" s="137" t="e">
        <f t="shared" si="35"/>
        <v>#REF!</v>
      </c>
      <c r="P112" s="229" t="e">
        <f>'Proy. ventas'!#REF!</f>
        <v>#REF!</v>
      </c>
      <c r="Q112" s="137" t="e">
        <f t="shared" si="36"/>
        <v>#REF!</v>
      </c>
      <c r="R112" s="229" t="e">
        <f>'Proy. ventas'!#REF!</f>
        <v>#REF!</v>
      </c>
      <c r="S112" s="137" t="e">
        <f t="shared" si="37"/>
        <v>#REF!</v>
      </c>
      <c r="T112" s="229" t="e">
        <f>'Proy. ventas'!#REF!</f>
        <v>#REF!</v>
      </c>
      <c r="U112" s="137" t="e">
        <f t="shared" si="38"/>
        <v>#REF!</v>
      </c>
      <c r="V112" s="229" t="e">
        <f>'Proy. ventas'!#REF!</f>
        <v>#REF!</v>
      </c>
      <c r="W112" s="137" t="e">
        <f t="shared" si="39"/>
        <v>#REF!</v>
      </c>
      <c r="X112" s="229" t="e">
        <f>'Proy. ventas'!#REF!</f>
        <v>#REF!</v>
      </c>
      <c r="Y112" s="137" t="e">
        <f t="shared" si="40"/>
        <v>#REF!</v>
      </c>
      <c r="Z112" s="229" t="e">
        <f>'Proy. ventas'!#REF!</f>
        <v>#REF!</v>
      </c>
      <c r="AA112" s="138" t="e">
        <f t="shared" si="41"/>
        <v>#REF!</v>
      </c>
      <c r="AB112" s="223" t="e">
        <f t="shared" si="42"/>
        <v>#REF!</v>
      </c>
    </row>
    <row r="113" spans="1:28" ht="30.75" thickBot="1" x14ac:dyDescent="0.3">
      <c r="A113" s="205" t="s">
        <v>116</v>
      </c>
      <c r="B113" s="239"/>
      <c r="C113" s="240">
        <v>300</v>
      </c>
      <c r="D113" s="234">
        <v>50</v>
      </c>
      <c r="E113" s="214">
        <f t="shared" si="30"/>
        <v>15000</v>
      </c>
      <c r="F113" s="235">
        <v>20</v>
      </c>
      <c r="G113" s="214">
        <f t="shared" si="31"/>
        <v>6000</v>
      </c>
      <c r="H113" s="235">
        <v>10</v>
      </c>
      <c r="I113" s="214">
        <f t="shared" si="32"/>
        <v>3000</v>
      </c>
      <c r="J113" s="235">
        <v>5</v>
      </c>
      <c r="K113" s="214">
        <f t="shared" si="33"/>
        <v>1500</v>
      </c>
      <c r="L113" s="235">
        <v>0</v>
      </c>
      <c r="M113" s="214">
        <f t="shared" si="34"/>
        <v>0</v>
      </c>
      <c r="N113" s="235">
        <v>5</v>
      </c>
      <c r="O113" s="214">
        <f t="shared" si="35"/>
        <v>1500</v>
      </c>
      <c r="P113" s="235">
        <v>5</v>
      </c>
      <c r="Q113" s="214">
        <f t="shared" si="36"/>
        <v>1500</v>
      </c>
      <c r="R113" s="235">
        <v>0</v>
      </c>
      <c r="S113" s="214">
        <f t="shared" si="37"/>
        <v>0</v>
      </c>
      <c r="T113" s="235">
        <v>10</v>
      </c>
      <c r="U113" s="214">
        <f t="shared" si="38"/>
        <v>3000</v>
      </c>
      <c r="V113" s="235">
        <v>10</v>
      </c>
      <c r="W113" s="214">
        <f t="shared" si="39"/>
        <v>3000</v>
      </c>
      <c r="X113" s="235">
        <v>15</v>
      </c>
      <c r="Y113" s="214">
        <f t="shared" si="40"/>
        <v>4500</v>
      </c>
      <c r="Z113" s="235">
        <v>10</v>
      </c>
      <c r="AA113" s="236">
        <f t="shared" si="41"/>
        <v>3000</v>
      </c>
      <c r="AB113" s="237">
        <f t="shared" si="42"/>
        <v>42000</v>
      </c>
    </row>
    <row r="114" spans="1:28" x14ac:dyDescent="0.25">
      <c r="A114" s="721" t="s">
        <v>119</v>
      </c>
      <c r="B114" s="217"/>
      <c r="C114" s="190">
        <v>182000</v>
      </c>
      <c r="D114" s="188">
        <v>1</v>
      </c>
      <c r="E114" s="127">
        <f t="shared" si="30"/>
        <v>182000</v>
      </c>
      <c r="F114" s="187">
        <v>1</v>
      </c>
      <c r="G114" s="127">
        <f t="shared" si="31"/>
        <v>182000</v>
      </c>
      <c r="H114" s="187">
        <v>0</v>
      </c>
      <c r="I114" s="127">
        <f t="shared" si="32"/>
        <v>0</v>
      </c>
      <c r="J114" s="187">
        <v>1</v>
      </c>
      <c r="K114" s="127">
        <f t="shared" si="33"/>
        <v>182000</v>
      </c>
      <c r="L114" s="187">
        <v>1</v>
      </c>
      <c r="M114" s="127">
        <f t="shared" si="34"/>
        <v>182000</v>
      </c>
      <c r="N114" s="187">
        <v>0</v>
      </c>
      <c r="O114" s="127">
        <f t="shared" si="35"/>
        <v>0</v>
      </c>
      <c r="P114" s="187">
        <v>0</v>
      </c>
      <c r="Q114" s="127">
        <f t="shared" si="36"/>
        <v>0</v>
      </c>
      <c r="R114" s="187">
        <v>0</v>
      </c>
      <c r="S114" s="127">
        <f t="shared" si="37"/>
        <v>0</v>
      </c>
      <c r="T114" s="187">
        <v>1</v>
      </c>
      <c r="U114" s="127">
        <f t="shared" si="38"/>
        <v>182000</v>
      </c>
      <c r="V114" s="187">
        <v>0</v>
      </c>
      <c r="W114" s="127">
        <f t="shared" si="39"/>
        <v>0</v>
      </c>
      <c r="X114" s="187">
        <v>0</v>
      </c>
      <c r="Y114" s="127">
        <f t="shared" si="40"/>
        <v>0</v>
      </c>
      <c r="Z114" s="187">
        <v>1</v>
      </c>
      <c r="AA114" s="128">
        <f t="shared" si="41"/>
        <v>182000</v>
      </c>
      <c r="AB114" s="225">
        <f t="shared" si="42"/>
        <v>1092000</v>
      </c>
    </row>
    <row r="115" spans="1:28" x14ac:dyDescent="0.25">
      <c r="A115" s="722"/>
      <c r="B115" s="218"/>
      <c r="C115" s="192">
        <v>130000</v>
      </c>
      <c r="D115" s="189">
        <v>1</v>
      </c>
      <c r="E115" s="114">
        <f t="shared" si="30"/>
        <v>130000</v>
      </c>
      <c r="F115" s="186">
        <v>0</v>
      </c>
      <c r="G115" s="114">
        <f t="shared" si="31"/>
        <v>0</v>
      </c>
      <c r="H115" s="186">
        <v>0</v>
      </c>
      <c r="I115" s="114">
        <f t="shared" si="32"/>
        <v>0</v>
      </c>
      <c r="J115" s="186">
        <v>0</v>
      </c>
      <c r="K115" s="114">
        <f t="shared" si="33"/>
        <v>0</v>
      </c>
      <c r="L115" s="186">
        <v>1</v>
      </c>
      <c r="M115" s="114">
        <f t="shared" si="34"/>
        <v>130000</v>
      </c>
      <c r="N115" s="186">
        <v>0</v>
      </c>
      <c r="O115" s="114">
        <f t="shared" si="35"/>
        <v>0</v>
      </c>
      <c r="P115" s="186">
        <v>0</v>
      </c>
      <c r="Q115" s="114">
        <f t="shared" si="36"/>
        <v>0</v>
      </c>
      <c r="R115" s="186">
        <v>0</v>
      </c>
      <c r="S115" s="114">
        <f t="shared" si="37"/>
        <v>0</v>
      </c>
      <c r="T115" s="186">
        <v>1</v>
      </c>
      <c r="U115" s="114">
        <f t="shared" si="38"/>
        <v>130000</v>
      </c>
      <c r="V115" s="186">
        <v>0</v>
      </c>
      <c r="W115" s="114">
        <f t="shared" si="39"/>
        <v>0</v>
      </c>
      <c r="X115" s="186">
        <v>0</v>
      </c>
      <c r="Y115" s="114">
        <f t="shared" si="40"/>
        <v>0</v>
      </c>
      <c r="Z115" s="186">
        <v>1</v>
      </c>
      <c r="AA115" s="116">
        <f t="shared" si="41"/>
        <v>130000</v>
      </c>
      <c r="AB115" s="222">
        <f t="shared" si="42"/>
        <v>520000</v>
      </c>
    </row>
    <row r="116" spans="1:28" x14ac:dyDescent="0.25">
      <c r="A116" s="722"/>
      <c r="B116" s="193"/>
      <c r="C116" s="192">
        <v>250000</v>
      </c>
      <c r="D116" s="189">
        <v>0</v>
      </c>
      <c r="E116" s="114">
        <f t="shared" si="30"/>
        <v>0</v>
      </c>
      <c r="F116" s="186">
        <v>0</v>
      </c>
      <c r="G116" s="114">
        <f t="shared" si="31"/>
        <v>0</v>
      </c>
      <c r="H116" s="186">
        <v>0</v>
      </c>
      <c r="I116" s="114">
        <f t="shared" si="32"/>
        <v>0</v>
      </c>
      <c r="J116" s="186">
        <v>0</v>
      </c>
      <c r="K116" s="114">
        <f t="shared" si="33"/>
        <v>0</v>
      </c>
      <c r="L116" s="186">
        <v>0</v>
      </c>
      <c r="M116" s="114">
        <f t="shared" si="34"/>
        <v>0</v>
      </c>
      <c r="N116" s="186">
        <v>0</v>
      </c>
      <c r="O116" s="114">
        <f t="shared" si="35"/>
        <v>0</v>
      </c>
      <c r="P116" s="186">
        <v>0</v>
      </c>
      <c r="Q116" s="114">
        <f t="shared" si="36"/>
        <v>0</v>
      </c>
      <c r="R116" s="186">
        <v>0</v>
      </c>
      <c r="S116" s="114">
        <f t="shared" si="37"/>
        <v>0</v>
      </c>
      <c r="T116" s="186">
        <v>1</v>
      </c>
      <c r="U116" s="114">
        <f t="shared" si="38"/>
        <v>250000</v>
      </c>
      <c r="V116" s="186">
        <v>0</v>
      </c>
      <c r="W116" s="114">
        <f t="shared" si="39"/>
        <v>0</v>
      </c>
      <c r="X116" s="186">
        <v>0</v>
      </c>
      <c r="Y116" s="114">
        <f t="shared" si="40"/>
        <v>0</v>
      </c>
      <c r="Z116" s="186">
        <v>0</v>
      </c>
      <c r="AA116" s="116">
        <f t="shared" si="41"/>
        <v>0</v>
      </c>
      <c r="AB116" s="222">
        <f t="shared" si="42"/>
        <v>250000</v>
      </c>
    </row>
    <row r="117" spans="1:28" ht="15.75" thickBot="1" x14ac:dyDescent="0.3">
      <c r="A117" s="723"/>
      <c r="B117" s="209"/>
      <c r="C117" s="210">
        <v>0</v>
      </c>
      <c r="D117" s="211">
        <v>0</v>
      </c>
      <c r="E117" s="137">
        <v>0</v>
      </c>
      <c r="F117" s="231">
        <v>0</v>
      </c>
      <c r="G117" s="137">
        <v>0</v>
      </c>
      <c r="H117" s="231">
        <v>0</v>
      </c>
      <c r="I117" s="137">
        <v>0</v>
      </c>
      <c r="J117" s="231">
        <v>0</v>
      </c>
      <c r="K117" s="137">
        <v>0</v>
      </c>
      <c r="L117" s="231">
        <v>0</v>
      </c>
      <c r="M117" s="137" t="e">
        <f>($C$53*L101 + $C$54*L102+$C$55*L103)*0.15</f>
        <v>#REF!</v>
      </c>
      <c r="N117" s="231">
        <v>0</v>
      </c>
      <c r="O117" s="137" t="e">
        <f>($C$53*N101 + $C$54*N102+$C$55*N103)*0.15</f>
        <v>#REF!</v>
      </c>
      <c r="P117" s="231">
        <v>0</v>
      </c>
      <c r="Q117" s="137" t="e">
        <f>($C$53*P101 + $C$54*P102+$C$55*P103)*0.15</f>
        <v>#REF!</v>
      </c>
      <c r="R117" s="231">
        <v>0</v>
      </c>
      <c r="S117" s="137">
        <v>0</v>
      </c>
      <c r="T117" s="231">
        <v>0</v>
      </c>
      <c r="U117" s="137">
        <v>0</v>
      </c>
      <c r="V117" s="231">
        <v>0</v>
      </c>
      <c r="W117" s="137">
        <v>0</v>
      </c>
      <c r="X117" s="231">
        <v>0</v>
      </c>
      <c r="Y117" s="137">
        <v>0</v>
      </c>
      <c r="Z117" s="231">
        <v>0</v>
      </c>
      <c r="AA117" s="138">
        <v>0</v>
      </c>
      <c r="AB117" s="223" t="e">
        <f>E117+G117+I117+K117+M117+O117+Q117+S117+U117+W117+Y117+AA117</f>
        <v>#REF!</v>
      </c>
    </row>
    <row r="118" spans="1:28" ht="15.75" thickBot="1" x14ac:dyDescent="0.3">
      <c r="A118" s="205" t="s">
        <v>117</v>
      </c>
      <c r="B118" s="206"/>
      <c r="C118" s="215">
        <v>0</v>
      </c>
      <c r="D118" s="216">
        <v>0</v>
      </c>
      <c r="E118" s="145" t="e">
        <f>(D103+D102+D101)*75</f>
        <v>#REF!</v>
      </c>
      <c r="F118" s="232">
        <v>0</v>
      </c>
      <c r="G118" s="145" t="e">
        <f>(F103+F102+F101)*75</f>
        <v>#REF!</v>
      </c>
      <c r="H118" s="232">
        <v>0</v>
      </c>
      <c r="I118" s="145" t="e">
        <f>(H103+H102+H101)*75</f>
        <v>#REF!</v>
      </c>
      <c r="J118" s="232">
        <v>0</v>
      </c>
      <c r="K118" s="145" t="e">
        <f>(J103+J102+J101)*75</f>
        <v>#REF!</v>
      </c>
      <c r="L118" s="232">
        <v>0</v>
      </c>
      <c r="M118" s="145" t="e">
        <f>(L103+L102+L101)*75</f>
        <v>#REF!</v>
      </c>
      <c r="N118" s="232">
        <v>0</v>
      </c>
      <c r="O118" s="145" t="e">
        <f>(N103+N102+N101)*75</f>
        <v>#REF!</v>
      </c>
      <c r="P118" s="232">
        <v>0</v>
      </c>
      <c r="Q118" s="145" t="e">
        <f>(P103+P102+P101)*75</f>
        <v>#REF!</v>
      </c>
      <c r="R118" s="232">
        <v>0</v>
      </c>
      <c r="S118" s="145" t="e">
        <f>(R103+R102+R101)*75</f>
        <v>#REF!</v>
      </c>
      <c r="T118" s="232">
        <v>0</v>
      </c>
      <c r="U118" s="145" t="e">
        <f>(T103+T102+T101)*75</f>
        <v>#REF!</v>
      </c>
      <c r="V118" s="232">
        <v>0</v>
      </c>
      <c r="W118" s="145" t="e">
        <f>(V103+V102+V101)*75</f>
        <v>#REF!</v>
      </c>
      <c r="X118" s="232">
        <v>0</v>
      </c>
      <c r="Y118" s="145" t="e">
        <f>(X103+X102+X101)*75</f>
        <v>#REF!</v>
      </c>
      <c r="Z118" s="232">
        <v>0</v>
      </c>
      <c r="AA118" s="145" t="e">
        <f>(Z103+Z102+Z101)*75</f>
        <v>#REF!</v>
      </c>
      <c r="AB118" s="223" t="e">
        <f>E118+G118+I118+K118+M118+O118+Q118+S118+U118+W118+Y118+AA118</f>
        <v>#REF!</v>
      </c>
    </row>
    <row r="119" spans="1:28" ht="15.75" thickBot="1" x14ac:dyDescent="0.3">
      <c r="B119" s="220" t="s">
        <v>118</v>
      </c>
      <c r="C119" s="212"/>
      <c r="D119" s="213"/>
      <c r="E119" s="227" t="e">
        <f>SUM(E101:E118)</f>
        <v>#REF!</v>
      </c>
      <c r="F119" s="233"/>
      <c r="G119" s="227" t="e">
        <f>SUM(G101:G118)</f>
        <v>#REF!</v>
      </c>
      <c r="H119" s="233"/>
      <c r="I119" s="227" t="e">
        <f>SUM(I101:I118)</f>
        <v>#REF!</v>
      </c>
      <c r="J119" s="233"/>
      <c r="K119" s="227" t="e">
        <f>SUM(K101:K118)</f>
        <v>#REF!</v>
      </c>
      <c r="L119" s="233"/>
      <c r="M119" s="227" t="e">
        <f>SUM(M101:M118)</f>
        <v>#REF!</v>
      </c>
      <c r="N119" s="213"/>
      <c r="O119" s="227" t="e">
        <f>SUM(O101:O118)</f>
        <v>#REF!</v>
      </c>
      <c r="P119" s="233"/>
      <c r="Q119" s="227" t="e">
        <f>SUM(Q101:Q118)</f>
        <v>#REF!</v>
      </c>
      <c r="R119" s="233"/>
      <c r="S119" s="227" t="e">
        <f>SUM(S101:S118)</f>
        <v>#REF!</v>
      </c>
      <c r="T119" s="233"/>
      <c r="U119" s="227" t="e">
        <f>SUM(U101:U118)</f>
        <v>#REF!</v>
      </c>
      <c r="V119" s="233"/>
      <c r="W119" s="227" t="e">
        <f>SUM(W101:W118)</f>
        <v>#REF!</v>
      </c>
      <c r="X119" s="233"/>
      <c r="Y119" s="227" t="e">
        <f>SUM(Y101:Y118)</f>
        <v>#REF!</v>
      </c>
      <c r="Z119" s="233"/>
      <c r="AA119" s="226" t="e">
        <f>SUM(AA101:AA118)</f>
        <v>#REF!</v>
      </c>
      <c r="AB119" s="219"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75" customFormat="1" ht="58.5" customHeight="1" x14ac:dyDescent="0.25">
      <c r="A1" s="477"/>
      <c r="B1" s="477"/>
      <c r="C1" s="477"/>
      <c r="D1" s="477"/>
      <c r="E1" s="480" t="s">
        <v>6</v>
      </c>
      <c r="F1" s="482"/>
      <c r="G1" s="482"/>
      <c r="H1" s="477"/>
      <c r="I1" s="477"/>
      <c r="J1" s="477"/>
      <c r="K1" s="477"/>
      <c r="L1" s="477"/>
      <c r="M1" s="477"/>
      <c r="N1" s="477"/>
      <c r="O1" s="477"/>
      <c r="P1" s="477"/>
      <c r="Q1" s="477"/>
      <c r="R1" s="477"/>
      <c r="S1" s="477"/>
      <c r="T1" s="477"/>
      <c r="U1" s="477"/>
      <c r="V1" s="477"/>
      <c r="W1" s="477"/>
      <c r="X1" s="477"/>
      <c r="Y1" s="477"/>
      <c r="Z1" s="477"/>
      <c r="AA1" s="477"/>
      <c r="AB1" s="477"/>
      <c r="AC1" s="477"/>
      <c r="AD1" s="477"/>
      <c r="AE1" s="477"/>
    </row>
    <row r="3" spans="1:31" ht="15.75" thickBot="1" x14ac:dyDescent="0.3"/>
    <row r="4" spans="1:31" ht="27" thickBot="1" x14ac:dyDescent="0.45">
      <c r="B4" s="691" t="s">
        <v>35</v>
      </c>
      <c r="C4" s="692"/>
      <c r="D4" s="693"/>
      <c r="E4" s="39"/>
      <c r="H4" s="691" t="s">
        <v>123</v>
      </c>
      <c r="I4" s="692"/>
      <c r="J4" s="693"/>
    </row>
    <row r="5" spans="1:31" x14ac:dyDescent="0.25">
      <c r="B5" s="34">
        <v>2019</v>
      </c>
      <c r="C5" s="34">
        <v>2020</v>
      </c>
      <c r="D5" s="34">
        <v>2021</v>
      </c>
      <c r="E5" s="106"/>
      <c r="H5" s="44">
        <v>2019</v>
      </c>
      <c r="I5" s="34">
        <v>2020</v>
      </c>
      <c r="J5" s="45">
        <v>2021</v>
      </c>
    </row>
    <row r="6" spans="1:31" ht="15.75" thickBot="1" x14ac:dyDescent="0.3">
      <c r="B6" s="40">
        <f>Hipótesis!C24</f>
        <v>0.02</v>
      </c>
      <c r="C6" s="40">
        <f>Hipótesis!C25</f>
        <v>0.05</v>
      </c>
      <c r="D6" s="40">
        <f>Hipótesis!C26</f>
        <v>7.0000000000000007E-2</v>
      </c>
      <c r="E6" s="165"/>
      <c r="H6" s="48">
        <f>$AA$51</f>
        <v>7341662.4450000012</v>
      </c>
      <c r="I6" s="49">
        <f>$AA$69</f>
        <v>8446303.9266666677</v>
      </c>
      <c r="J6" s="50">
        <f>$AA$87</f>
        <v>10262133.115833335</v>
      </c>
    </row>
    <row r="7" spans="1:31" x14ac:dyDescent="0.25">
      <c r="B7" s="33">
        <f>Hipótesis!D24</f>
        <v>121458400</v>
      </c>
      <c r="C7" s="33">
        <f>Hipótesis!D25</f>
        <v>303646000</v>
      </c>
      <c r="D7" s="33">
        <f>Hipótesis!D26</f>
        <v>425104400.00000006</v>
      </c>
      <c r="E7" s="162"/>
    </row>
    <row r="10" spans="1:31" ht="15.75" thickBot="1" x14ac:dyDescent="0.3"/>
    <row r="11" spans="1:31" ht="27" thickBot="1" x14ac:dyDescent="0.45">
      <c r="B11" s="691" t="s">
        <v>139</v>
      </c>
      <c r="C11" s="692"/>
      <c r="D11" s="692"/>
      <c r="E11" s="692"/>
      <c r="F11" s="692"/>
      <c r="G11" s="692"/>
      <c r="H11" s="692"/>
      <c r="I11" s="692"/>
      <c r="J11" s="692"/>
      <c r="K11" s="692"/>
      <c r="L11" s="693"/>
    </row>
    <row r="12" spans="1:31" ht="15.75" x14ac:dyDescent="0.25">
      <c r="B12" s="740" t="s">
        <v>130</v>
      </c>
      <c r="C12" s="738" t="s">
        <v>131</v>
      </c>
      <c r="D12" s="736" t="s">
        <v>132</v>
      </c>
      <c r="E12" s="248" t="s">
        <v>124</v>
      </c>
      <c r="F12" s="184" t="s">
        <v>125</v>
      </c>
      <c r="G12" s="184" t="s">
        <v>126</v>
      </c>
      <c r="H12" s="184" t="s">
        <v>127</v>
      </c>
      <c r="I12" s="241" t="s">
        <v>128</v>
      </c>
      <c r="J12" s="258" t="s">
        <v>129</v>
      </c>
      <c r="K12" s="730" t="s">
        <v>141</v>
      </c>
      <c r="L12" s="730" t="s">
        <v>142</v>
      </c>
    </row>
    <row r="13" spans="1:31" ht="16.5" thickBot="1" x14ac:dyDescent="0.3">
      <c r="B13" s="741"/>
      <c r="C13" s="739"/>
      <c r="D13" s="737"/>
      <c r="E13" s="249">
        <v>0.1047</v>
      </c>
      <c r="F13" s="242">
        <v>1.54E-2</v>
      </c>
      <c r="G13" s="243">
        <v>0.06</v>
      </c>
      <c r="H13" s="242">
        <v>9.1999999999999998E-3</v>
      </c>
      <c r="I13" s="243" t="s">
        <v>140</v>
      </c>
      <c r="J13" s="259">
        <v>0.03</v>
      </c>
      <c r="K13" s="731"/>
      <c r="L13" s="731"/>
    </row>
    <row r="14" spans="1:31" ht="15.75" thickBot="1" x14ac:dyDescent="0.3">
      <c r="B14" s="244" t="s">
        <v>133</v>
      </c>
      <c r="C14" s="245"/>
      <c r="D14" s="250">
        <v>80000</v>
      </c>
      <c r="E14" s="154">
        <f>$D$14*E13</f>
        <v>8376</v>
      </c>
      <c r="F14" s="145">
        <f t="shared" ref="F14:J14" si="0">$D$14*F13</f>
        <v>1232</v>
      </c>
      <c r="G14" s="145">
        <f t="shared" si="0"/>
        <v>4800</v>
      </c>
      <c r="H14" s="145">
        <f t="shared" si="0"/>
        <v>736</v>
      </c>
      <c r="I14" s="145">
        <v>18.57</v>
      </c>
      <c r="J14" s="146">
        <f t="shared" si="0"/>
        <v>2400</v>
      </c>
      <c r="K14" s="260">
        <f>SUM(E14:J14)</f>
        <v>17562.57</v>
      </c>
      <c r="L14" s="254">
        <f>D14+K14</f>
        <v>97562.57</v>
      </c>
    </row>
    <row r="15" spans="1:31" x14ac:dyDescent="0.25">
      <c r="B15" s="732" t="s">
        <v>136</v>
      </c>
      <c r="C15" s="246"/>
      <c r="D15" s="251">
        <v>60000</v>
      </c>
      <c r="E15" s="150">
        <f>$D$15*E13</f>
        <v>6282</v>
      </c>
      <c r="F15" s="133">
        <f t="shared" ref="F15:J15" si="1">$D$15*F13</f>
        <v>924</v>
      </c>
      <c r="G15" s="133">
        <f t="shared" si="1"/>
        <v>3600</v>
      </c>
      <c r="H15" s="133">
        <f t="shared" si="1"/>
        <v>552</v>
      </c>
      <c r="I15" s="133">
        <v>18.57</v>
      </c>
      <c r="J15" s="134">
        <f t="shared" si="1"/>
        <v>1800</v>
      </c>
      <c r="K15" s="261">
        <f t="shared" ref="K15:K34" si="2">SUM(E15:J15)</f>
        <v>13176.57</v>
      </c>
      <c r="L15" s="255">
        <f t="shared" ref="L15:L34" si="3">D15+K15</f>
        <v>73176.570000000007</v>
      </c>
    </row>
    <row r="16" spans="1:31" x14ac:dyDescent="0.25">
      <c r="B16" s="733"/>
      <c r="C16" s="105"/>
      <c r="D16" s="252">
        <v>52000</v>
      </c>
      <c r="E16" s="151">
        <f>$D$16*E13</f>
        <v>5444.4</v>
      </c>
      <c r="F16" s="114">
        <f t="shared" ref="F16:J16" si="4">$D$16*F13</f>
        <v>800.80000000000007</v>
      </c>
      <c r="G16" s="114">
        <f t="shared" si="4"/>
        <v>3120</v>
      </c>
      <c r="H16" s="114">
        <f t="shared" si="4"/>
        <v>478.4</v>
      </c>
      <c r="I16" s="114">
        <v>18.57</v>
      </c>
      <c r="J16" s="116">
        <f t="shared" si="4"/>
        <v>1560</v>
      </c>
      <c r="K16" s="262">
        <f t="shared" si="2"/>
        <v>11422.17</v>
      </c>
      <c r="L16" s="256">
        <f t="shared" si="3"/>
        <v>63422.17</v>
      </c>
    </row>
    <row r="17" spans="2:12" x14ac:dyDescent="0.25">
      <c r="B17" s="733"/>
      <c r="C17" s="105"/>
      <c r="D17" s="252">
        <v>52000</v>
      </c>
      <c r="E17" s="151">
        <f>$D$17*E13</f>
        <v>5444.4</v>
      </c>
      <c r="F17" s="114">
        <f t="shared" ref="F17:H17" si="5">$D$17*F13</f>
        <v>800.80000000000007</v>
      </c>
      <c r="G17" s="114">
        <f t="shared" si="5"/>
        <v>3120</v>
      </c>
      <c r="H17" s="114">
        <f t="shared" si="5"/>
        <v>478.4</v>
      </c>
      <c r="I17" s="114">
        <v>18.57</v>
      </c>
      <c r="J17" s="116">
        <f>$D$17*J13</f>
        <v>1560</v>
      </c>
      <c r="K17" s="262">
        <f t="shared" si="2"/>
        <v>11422.17</v>
      </c>
      <c r="L17" s="256">
        <f t="shared" si="3"/>
        <v>63422.17</v>
      </c>
    </row>
    <row r="18" spans="2:12" x14ac:dyDescent="0.25">
      <c r="B18" s="733"/>
      <c r="C18" s="105"/>
      <c r="D18" s="252">
        <v>48000</v>
      </c>
      <c r="E18" s="151">
        <f>$D$18*E13</f>
        <v>5025.6000000000004</v>
      </c>
      <c r="F18" s="114">
        <f t="shared" ref="F18:J18" si="6">$D$18*F13</f>
        <v>739.2</v>
      </c>
      <c r="G18" s="114">
        <f t="shared" si="6"/>
        <v>2880</v>
      </c>
      <c r="H18" s="114">
        <f t="shared" si="6"/>
        <v>441.59999999999997</v>
      </c>
      <c r="I18" s="114">
        <v>18.57</v>
      </c>
      <c r="J18" s="116">
        <f t="shared" si="6"/>
        <v>1440</v>
      </c>
      <c r="K18" s="262">
        <f t="shared" si="2"/>
        <v>10544.97</v>
      </c>
      <c r="L18" s="256">
        <f t="shared" si="3"/>
        <v>58544.97</v>
      </c>
    </row>
    <row r="19" spans="2:12" ht="15.75" thickBot="1" x14ac:dyDescent="0.3">
      <c r="B19" s="734"/>
      <c r="C19" s="247"/>
      <c r="D19" s="253">
        <v>40000</v>
      </c>
      <c r="E19" s="152">
        <f>$D$19*E13</f>
        <v>4188</v>
      </c>
      <c r="F19" s="137">
        <f t="shared" ref="F19:J19" si="7">$D$19*F13</f>
        <v>616</v>
      </c>
      <c r="G19" s="137">
        <f t="shared" si="7"/>
        <v>2400</v>
      </c>
      <c r="H19" s="137">
        <f t="shared" si="7"/>
        <v>368</v>
      </c>
      <c r="I19" s="137">
        <v>18.57</v>
      </c>
      <c r="J19" s="138">
        <f t="shared" si="7"/>
        <v>1200</v>
      </c>
      <c r="K19" s="263">
        <f t="shared" si="2"/>
        <v>8790.57</v>
      </c>
      <c r="L19" s="257">
        <f t="shared" si="3"/>
        <v>48790.57</v>
      </c>
    </row>
    <row r="20" spans="2:12" x14ac:dyDescent="0.25">
      <c r="B20" s="732" t="s">
        <v>134</v>
      </c>
      <c r="C20" s="246"/>
      <c r="D20" s="251">
        <v>52000</v>
      </c>
      <c r="E20" s="150">
        <f>$D$20*E13</f>
        <v>5444.4</v>
      </c>
      <c r="F20" s="133">
        <f t="shared" ref="F20:J20" si="8">$D$20*F13</f>
        <v>800.80000000000007</v>
      </c>
      <c r="G20" s="133">
        <f t="shared" si="8"/>
        <v>3120</v>
      </c>
      <c r="H20" s="133">
        <f t="shared" si="8"/>
        <v>478.4</v>
      </c>
      <c r="I20" s="133">
        <v>18.57</v>
      </c>
      <c r="J20" s="134">
        <f t="shared" si="8"/>
        <v>1560</v>
      </c>
      <c r="K20" s="261">
        <f t="shared" si="2"/>
        <v>11422.17</v>
      </c>
      <c r="L20" s="255">
        <f t="shared" si="3"/>
        <v>63422.17</v>
      </c>
    </row>
    <row r="21" spans="2:12" ht="15.75" thickBot="1" x14ac:dyDescent="0.3">
      <c r="B21" s="734"/>
      <c r="C21" s="247"/>
      <c r="D21" s="253">
        <v>35000</v>
      </c>
      <c r="E21" s="152">
        <f>$D$21*E13</f>
        <v>3664.5</v>
      </c>
      <c r="F21" s="137">
        <f t="shared" ref="F21:J21" si="9">$D$21*F13</f>
        <v>539</v>
      </c>
      <c r="G21" s="137">
        <f t="shared" si="9"/>
        <v>2100</v>
      </c>
      <c r="H21" s="137">
        <f t="shared" si="9"/>
        <v>322</v>
      </c>
      <c r="I21" s="137">
        <v>18.57</v>
      </c>
      <c r="J21" s="138">
        <f t="shared" si="9"/>
        <v>1050</v>
      </c>
      <c r="K21" s="263">
        <f t="shared" si="2"/>
        <v>7694.07</v>
      </c>
      <c r="L21" s="257">
        <f t="shared" si="3"/>
        <v>42694.07</v>
      </c>
    </row>
    <row r="22" spans="2:12" x14ac:dyDescent="0.25">
      <c r="B22" s="732" t="s">
        <v>137</v>
      </c>
      <c r="C22" s="246"/>
      <c r="D22" s="251">
        <v>48000</v>
      </c>
      <c r="E22" s="150">
        <f>$D$22*E13</f>
        <v>5025.6000000000004</v>
      </c>
      <c r="F22" s="133">
        <f t="shared" ref="F22:J22" si="10">$D$22*F13</f>
        <v>739.2</v>
      </c>
      <c r="G22" s="133">
        <f t="shared" si="10"/>
        <v>2880</v>
      </c>
      <c r="H22" s="133">
        <f t="shared" si="10"/>
        <v>441.59999999999997</v>
      </c>
      <c r="I22" s="133">
        <v>18.57</v>
      </c>
      <c r="J22" s="134">
        <f t="shared" si="10"/>
        <v>1440</v>
      </c>
      <c r="K22" s="261">
        <f t="shared" si="2"/>
        <v>10544.97</v>
      </c>
      <c r="L22" s="255">
        <f t="shared" si="3"/>
        <v>58544.97</v>
      </c>
    </row>
    <row r="23" spans="2:12" x14ac:dyDescent="0.25">
      <c r="B23" s="733"/>
      <c r="C23" s="105"/>
      <c r="D23" s="252">
        <v>32000</v>
      </c>
      <c r="E23" s="151">
        <f>$D$23*E13</f>
        <v>3350.4</v>
      </c>
      <c r="F23" s="114">
        <f t="shared" ref="F23:J23" si="11">$D$23*F13</f>
        <v>492.8</v>
      </c>
      <c r="G23" s="114">
        <f t="shared" si="11"/>
        <v>1920</v>
      </c>
      <c r="H23" s="114">
        <f t="shared" si="11"/>
        <v>294.39999999999998</v>
      </c>
      <c r="I23" s="114">
        <v>18.57</v>
      </c>
      <c r="J23" s="116">
        <f t="shared" si="11"/>
        <v>960</v>
      </c>
      <c r="K23" s="262">
        <f t="shared" si="2"/>
        <v>7036.17</v>
      </c>
      <c r="L23" s="256">
        <f t="shared" si="3"/>
        <v>39036.17</v>
      </c>
    </row>
    <row r="24" spans="2:12" x14ac:dyDescent="0.25">
      <c r="B24" s="735"/>
      <c r="C24" s="105"/>
      <c r="D24" s="252">
        <v>32000</v>
      </c>
      <c r="E24" s="151">
        <f>$D$24*E13</f>
        <v>3350.4</v>
      </c>
      <c r="F24" s="151">
        <f t="shared" ref="F24:J24" si="12">$D$24*F13</f>
        <v>492.8</v>
      </c>
      <c r="G24" s="151">
        <f t="shared" si="12"/>
        <v>1920</v>
      </c>
      <c r="H24" s="151">
        <f t="shared" si="12"/>
        <v>294.39999999999998</v>
      </c>
      <c r="I24" s="114">
        <v>18.57</v>
      </c>
      <c r="J24" s="151">
        <f t="shared" si="12"/>
        <v>960</v>
      </c>
      <c r="K24" s="262">
        <f t="shared" si="2"/>
        <v>7036.17</v>
      </c>
      <c r="L24" s="256">
        <f t="shared" ref="L24:L25" si="13">D24+K24</f>
        <v>39036.17</v>
      </c>
    </row>
    <row r="25" spans="2:12" x14ac:dyDescent="0.25">
      <c r="B25" s="735"/>
      <c r="C25" s="108"/>
      <c r="D25" s="264">
        <v>16000</v>
      </c>
      <c r="E25" s="155">
        <f>$D$25*E13</f>
        <v>1675.2</v>
      </c>
      <c r="F25" s="155">
        <f t="shared" ref="F25:J25" si="14">$D$25*F13</f>
        <v>246.4</v>
      </c>
      <c r="G25" s="155">
        <f t="shared" si="14"/>
        <v>960</v>
      </c>
      <c r="H25" s="155">
        <f t="shared" si="14"/>
        <v>147.19999999999999</v>
      </c>
      <c r="I25" s="114">
        <v>18.57</v>
      </c>
      <c r="J25" s="155">
        <f t="shared" si="14"/>
        <v>480</v>
      </c>
      <c r="K25" s="262">
        <f t="shared" si="2"/>
        <v>3527.3700000000003</v>
      </c>
      <c r="L25" s="256">
        <f t="shared" si="13"/>
        <v>19527.37</v>
      </c>
    </row>
    <row r="26" spans="2:12" ht="15.75" thickBot="1" x14ac:dyDescent="0.3">
      <c r="B26" s="734"/>
      <c r="C26" s="247"/>
      <c r="D26" s="253">
        <v>32000</v>
      </c>
      <c r="E26" s="152">
        <f>$D$26*E13</f>
        <v>3350.4</v>
      </c>
      <c r="F26" s="137">
        <f>$D$26*F13</f>
        <v>492.8</v>
      </c>
      <c r="G26" s="137">
        <f>$D$26*G13</f>
        <v>1920</v>
      </c>
      <c r="H26" s="137">
        <f>$D$26*H13</f>
        <v>294.39999999999998</v>
      </c>
      <c r="I26" s="137">
        <v>18.57</v>
      </c>
      <c r="J26" s="138">
        <f>$D$26*J13</f>
        <v>960</v>
      </c>
      <c r="K26" s="263">
        <f>SUM(E26:J26)</f>
        <v>7036.17</v>
      </c>
      <c r="L26" s="257">
        <f>D26+K26</f>
        <v>39036.17</v>
      </c>
    </row>
    <row r="27" spans="2:12" x14ac:dyDescent="0.25">
      <c r="B27" s="732" t="s">
        <v>135</v>
      </c>
      <c r="C27" s="246"/>
      <c r="D27" s="251">
        <v>52000</v>
      </c>
      <c r="E27" s="150">
        <f>$D$27*E13</f>
        <v>5444.4</v>
      </c>
      <c r="F27" s="133">
        <f>$D$27*F13</f>
        <v>800.80000000000007</v>
      </c>
      <c r="G27" s="133">
        <f>$D$27*G13</f>
        <v>3120</v>
      </c>
      <c r="H27" s="133">
        <f>$D$27*H13</f>
        <v>478.4</v>
      </c>
      <c r="I27" s="133">
        <v>18.57</v>
      </c>
      <c r="J27" s="134">
        <f>$D$27*J13</f>
        <v>1560</v>
      </c>
      <c r="K27" s="261">
        <f t="shared" si="2"/>
        <v>11422.17</v>
      </c>
      <c r="L27" s="255">
        <f t="shared" si="3"/>
        <v>63422.17</v>
      </c>
    </row>
    <row r="28" spans="2:12" x14ac:dyDescent="0.25">
      <c r="B28" s="733"/>
      <c r="C28" s="105"/>
      <c r="D28" s="252">
        <v>42000</v>
      </c>
      <c r="E28" s="151">
        <f>$D$28*E13</f>
        <v>4397.3999999999996</v>
      </c>
      <c r="F28" s="114">
        <f>$D$28*F13</f>
        <v>646.80000000000007</v>
      </c>
      <c r="G28" s="114">
        <f>$D$28*G13</f>
        <v>2520</v>
      </c>
      <c r="H28" s="114">
        <f>$D$28*H13</f>
        <v>386.4</v>
      </c>
      <c r="I28" s="114">
        <v>18.57</v>
      </c>
      <c r="J28" s="116">
        <f>$D$28*J13</f>
        <v>1260</v>
      </c>
      <c r="K28" s="262">
        <f t="shared" si="2"/>
        <v>9229.1699999999983</v>
      </c>
      <c r="L28" s="256">
        <f t="shared" si="3"/>
        <v>51229.17</v>
      </c>
    </row>
    <row r="29" spans="2:12" ht="15.75" thickBot="1" x14ac:dyDescent="0.3">
      <c r="B29" s="734"/>
      <c r="C29" s="247"/>
      <c r="D29" s="253">
        <v>40000</v>
      </c>
      <c r="E29" s="152">
        <f>$D$29*E13</f>
        <v>4188</v>
      </c>
      <c r="F29" s="137">
        <f>$D$29*F13</f>
        <v>616</v>
      </c>
      <c r="G29" s="137">
        <f>$D$29*G13</f>
        <v>2400</v>
      </c>
      <c r="H29" s="137">
        <f>$D$29*H13</f>
        <v>368</v>
      </c>
      <c r="I29" s="137">
        <v>18.57</v>
      </c>
      <c r="J29" s="138">
        <f>$D$29*J13</f>
        <v>1200</v>
      </c>
      <c r="K29" s="263">
        <f t="shared" si="2"/>
        <v>8790.57</v>
      </c>
      <c r="L29" s="257">
        <f t="shared" si="3"/>
        <v>48790.57</v>
      </c>
    </row>
    <row r="30" spans="2:12" x14ac:dyDescent="0.25">
      <c r="B30" s="732" t="s">
        <v>138</v>
      </c>
      <c r="C30" s="246"/>
      <c r="D30" s="251">
        <v>48000</v>
      </c>
      <c r="E30" s="150">
        <f>$D$30*E13</f>
        <v>5025.6000000000004</v>
      </c>
      <c r="F30" s="133">
        <f>$D$30*F13</f>
        <v>739.2</v>
      </c>
      <c r="G30" s="133">
        <f>$D$30*G13</f>
        <v>2880</v>
      </c>
      <c r="H30" s="133">
        <f>$D$30*H13</f>
        <v>441.59999999999997</v>
      </c>
      <c r="I30" s="133">
        <v>18.57</v>
      </c>
      <c r="J30" s="134">
        <f>$D$30*J13</f>
        <v>1440</v>
      </c>
      <c r="K30" s="261">
        <f t="shared" si="2"/>
        <v>10544.97</v>
      </c>
      <c r="L30" s="255">
        <f t="shared" si="3"/>
        <v>58544.97</v>
      </c>
    </row>
    <row r="31" spans="2:12" x14ac:dyDescent="0.25">
      <c r="B31" s="733"/>
      <c r="C31" s="105"/>
      <c r="D31" s="252">
        <v>40000</v>
      </c>
      <c r="E31" s="151">
        <f>$D$31*E13</f>
        <v>4188</v>
      </c>
      <c r="F31" s="114">
        <f>$D$31*F13</f>
        <v>616</v>
      </c>
      <c r="G31" s="114">
        <f>$D$31*G13</f>
        <v>2400</v>
      </c>
      <c r="H31" s="114">
        <f>$D$31*H13</f>
        <v>368</v>
      </c>
      <c r="I31" s="114">
        <v>18.57</v>
      </c>
      <c r="J31" s="116">
        <f>$D$31*J13</f>
        <v>1200</v>
      </c>
      <c r="K31" s="262">
        <f t="shared" si="2"/>
        <v>8790.57</v>
      </c>
      <c r="L31" s="256">
        <f t="shared" si="3"/>
        <v>48790.57</v>
      </c>
    </row>
    <row r="32" spans="2:12" x14ac:dyDescent="0.25">
      <c r="B32" s="733"/>
      <c r="C32" s="105"/>
      <c r="D32" s="252">
        <v>35000</v>
      </c>
      <c r="E32" s="151">
        <f>$D$32*E13</f>
        <v>3664.5</v>
      </c>
      <c r="F32" s="114">
        <f>$D$32*F13</f>
        <v>539</v>
      </c>
      <c r="G32" s="114">
        <f>$D$32*G13</f>
        <v>2100</v>
      </c>
      <c r="H32" s="114">
        <f>$D$32*H13</f>
        <v>322</v>
      </c>
      <c r="I32" s="114">
        <v>18.57</v>
      </c>
      <c r="J32" s="116">
        <f>$D$32*J13</f>
        <v>1050</v>
      </c>
      <c r="K32" s="262">
        <f t="shared" si="2"/>
        <v>7694.07</v>
      </c>
      <c r="L32" s="256">
        <f t="shared" si="3"/>
        <v>42694.07</v>
      </c>
    </row>
    <row r="33" spans="2:27" x14ac:dyDescent="0.25">
      <c r="B33" s="733"/>
      <c r="C33" s="105"/>
      <c r="D33" s="252">
        <v>38000</v>
      </c>
      <c r="E33" s="151">
        <f>$D$33*E13</f>
        <v>3978.6</v>
      </c>
      <c r="F33" s="114">
        <f>$D$33*F13</f>
        <v>585.20000000000005</v>
      </c>
      <c r="G33" s="114">
        <f>$D$33*G13</f>
        <v>2280</v>
      </c>
      <c r="H33" s="114">
        <f>$D$33*H13</f>
        <v>349.59999999999997</v>
      </c>
      <c r="I33" s="114">
        <v>18.57</v>
      </c>
      <c r="J33" s="116">
        <f>$D$33*J13</f>
        <v>1140</v>
      </c>
      <c r="K33" s="262">
        <f t="shared" si="2"/>
        <v>8351.9700000000012</v>
      </c>
      <c r="L33" s="256">
        <f t="shared" si="3"/>
        <v>46351.97</v>
      </c>
    </row>
    <row r="34" spans="2:27" ht="15.75" thickBot="1" x14ac:dyDescent="0.3">
      <c r="B34" s="734"/>
      <c r="C34" s="247"/>
      <c r="D34" s="253">
        <v>42000</v>
      </c>
      <c r="E34" s="152">
        <f>$D$34*E13</f>
        <v>4397.3999999999996</v>
      </c>
      <c r="F34" s="137">
        <f>$D$34*F13</f>
        <v>646.80000000000007</v>
      </c>
      <c r="G34" s="137">
        <f>$D$34*G13</f>
        <v>2520</v>
      </c>
      <c r="H34" s="137">
        <f>$D$34*H13</f>
        <v>386.4</v>
      </c>
      <c r="I34" s="137">
        <v>18.57</v>
      </c>
      <c r="J34" s="138">
        <f>$D$34*J13</f>
        <v>1260</v>
      </c>
      <c r="K34" s="263">
        <f t="shared" si="2"/>
        <v>9229.1699999999983</v>
      </c>
      <c r="L34" s="257">
        <f t="shared" si="3"/>
        <v>51229.17</v>
      </c>
    </row>
    <row r="37" spans="2:27" ht="15.75" thickBot="1" x14ac:dyDescent="0.3"/>
    <row r="38" spans="2:27" ht="27" thickBot="1" x14ac:dyDescent="0.45">
      <c r="B38" s="714" t="s">
        <v>145</v>
      </c>
      <c r="C38" s="715"/>
      <c r="D38" s="715"/>
      <c r="E38" s="715"/>
      <c r="F38" s="715"/>
      <c r="G38" s="715"/>
      <c r="H38" s="715"/>
      <c r="I38" s="715"/>
      <c r="J38" s="715"/>
      <c r="K38" s="715"/>
      <c r="L38" s="715"/>
      <c r="M38" s="715"/>
      <c r="N38" s="715"/>
      <c r="O38" s="715"/>
      <c r="P38" s="715"/>
      <c r="Q38" s="715"/>
      <c r="R38" s="715"/>
      <c r="S38" s="715"/>
      <c r="T38" s="715"/>
      <c r="U38" s="715"/>
      <c r="V38" s="715"/>
      <c r="W38" s="715"/>
      <c r="X38" s="715"/>
      <c r="Y38" s="715"/>
      <c r="Z38" s="715"/>
      <c r="AA38" s="716"/>
    </row>
    <row r="39" spans="2:27" ht="15.75" x14ac:dyDescent="0.25">
      <c r="B39" s="727" t="s">
        <v>131</v>
      </c>
      <c r="C39" s="729" t="s">
        <v>40</v>
      </c>
      <c r="D39" s="729"/>
      <c r="E39" s="729" t="s">
        <v>41</v>
      </c>
      <c r="F39" s="729"/>
      <c r="G39" s="729" t="s">
        <v>42</v>
      </c>
      <c r="H39" s="729"/>
      <c r="I39" s="729" t="s">
        <v>43</v>
      </c>
      <c r="J39" s="729"/>
      <c r="K39" s="729" t="s">
        <v>44</v>
      </c>
      <c r="L39" s="729"/>
      <c r="M39" s="729" t="s">
        <v>143</v>
      </c>
      <c r="N39" s="729"/>
      <c r="O39" s="729" t="s">
        <v>46</v>
      </c>
      <c r="P39" s="729"/>
      <c r="Q39" s="729" t="s">
        <v>47</v>
      </c>
      <c r="R39" s="729"/>
      <c r="S39" s="729" t="s">
        <v>48</v>
      </c>
      <c r="T39" s="729"/>
      <c r="U39" s="729" t="s">
        <v>49</v>
      </c>
      <c r="V39" s="729"/>
      <c r="W39" s="729" t="s">
        <v>50</v>
      </c>
      <c r="X39" s="729"/>
      <c r="Y39" s="729" t="s">
        <v>144</v>
      </c>
      <c r="Z39" s="729"/>
      <c r="AA39" s="725" t="s">
        <v>84</v>
      </c>
    </row>
    <row r="40" spans="2:27" ht="15.75" x14ac:dyDescent="0.25">
      <c r="B40" s="728"/>
      <c r="C40" s="265" t="s">
        <v>60</v>
      </c>
      <c r="D40" s="265" t="s">
        <v>71</v>
      </c>
      <c r="E40" s="265" t="s">
        <v>60</v>
      </c>
      <c r="F40" s="265" t="s">
        <v>71</v>
      </c>
      <c r="G40" s="265" t="s">
        <v>60</v>
      </c>
      <c r="H40" s="265" t="s">
        <v>71</v>
      </c>
      <c r="I40" s="265" t="s">
        <v>60</v>
      </c>
      <c r="J40" s="265" t="s">
        <v>71</v>
      </c>
      <c r="K40" s="265" t="s">
        <v>60</v>
      </c>
      <c r="L40" s="265" t="s">
        <v>71</v>
      </c>
      <c r="M40" s="265" t="s">
        <v>60</v>
      </c>
      <c r="N40" s="265" t="s">
        <v>71</v>
      </c>
      <c r="O40" s="265" t="s">
        <v>60</v>
      </c>
      <c r="P40" s="265" t="s">
        <v>71</v>
      </c>
      <c r="Q40" s="265" t="s">
        <v>60</v>
      </c>
      <c r="R40" s="265" t="s">
        <v>71</v>
      </c>
      <c r="S40" s="265" t="s">
        <v>60</v>
      </c>
      <c r="T40" s="265" t="s">
        <v>71</v>
      </c>
      <c r="U40" s="265" t="s">
        <v>60</v>
      </c>
      <c r="V40" s="265" t="s">
        <v>71</v>
      </c>
      <c r="W40" s="265" t="s">
        <v>60</v>
      </c>
      <c r="X40" s="265" t="s">
        <v>71</v>
      </c>
      <c r="Y40" s="265" t="s">
        <v>60</v>
      </c>
      <c r="Z40" s="265" t="s">
        <v>71</v>
      </c>
      <c r="AA40" s="726"/>
    </row>
    <row r="41" spans="2:27" x14ac:dyDescent="0.25">
      <c r="B41" s="279"/>
      <c r="C41" s="163">
        <v>1</v>
      </c>
      <c r="D41" s="164">
        <f>C41*$L$14</f>
        <v>97562.57</v>
      </c>
      <c r="E41" s="163">
        <v>1</v>
      </c>
      <c r="F41" s="164">
        <f>E41*$L$14</f>
        <v>97562.57</v>
      </c>
      <c r="G41" s="163">
        <v>1</v>
      </c>
      <c r="H41" s="164">
        <f>G41*$L$14</f>
        <v>97562.57</v>
      </c>
      <c r="I41" s="163">
        <v>1</v>
      </c>
      <c r="J41" s="164">
        <f>I41*$L$14</f>
        <v>97562.57</v>
      </c>
      <c r="K41" s="163">
        <v>1</v>
      </c>
      <c r="L41" s="164">
        <f>K41*$L$14</f>
        <v>97562.57</v>
      </c>
      <c r="M41" s="163">
        <v>1</v>
      </c>
      <c r="N41" s="164">
        <f>M41*$L$14*1.5</f>
        <v>146343.85500000001</v>
      </c>
      <c r="O41" s="163">
        <v>1</v>
      </c>
      <c r="P41" s="164">
        <f>O41*$L$14</f>
        <v>97562.57</v>
      </c>
      <c r="Q41" s="163">
        <v>1</v>
      </c>
      <c r="R41" s="164">
        <f>Q41*$L$14</f>
        <v>97562.57</v>
      </c>
      <c r="S41" s="163">
        <v>1</v>
      </c>
      <c r="T41" s="164">
        <f>S41*$L$14</f>
        <v>97562.57</v>
      </c>
      <c r="U41" s="163">
        <v>1</v>
      </c>
      <c r="V41" s="164">
        <f>U41*$L$14</f>
        <v>97562.57</v>
      </c>
      <c r="W41" s="163">
        <v>1</v>
      </c>
      <c r="X41" s="164">
        <f>W41*$L$14</f>
        <v>97562.57</v>
      </c>
      <c r="Y41" s="163">
        <v>1</v>
      </c>
      <c r="Z41" s="164">
        <f>Y41*$L$14*1.5</f>
        <v>146343.85500000001</v>
      </c>
      <c r="AA41" s="280">
        <f>D41+F41+H41+J41+L41+N41+P41+R41+T41+V41+X41+Z41</f>
        <v>1268313.4100000004</v>
      </c>
    </row>
    <row r="42" spans="2:27" x14ac:dyDescent="0.25">
      <c r="B42" s="281"/>
      <c r="C42" s="163">
        <v>1</v>
      </c>
      <c r="D42" s="164">
        <f>C42*$L$15</f>
        <v>73176.570000000007</v>
      </c>
      <c r="E42" s="163">
        <v>1</v>
      </c>
      <c r="F42" s="164">
        <f>E42*$L$15</f>
        <v>73176.570000000007</v>
      </c>
      <c r="G42" s="163">
        <v>1</v>
      </c>
      <c r="H42" s="164">
        <f>G42*$L$15</f>
        <v>73176.570000000007</v>
      </c>
      <c r="I42" s="163">
        <v>1</v>
      </c>
      <c r="J42" s="164">
        <f>I42*$L$15</f>
        <v>73176.570000000007</v>
      </c>
      <c r="K42" s="163">
        <v>1</v>
      </c>
      <c r="L42" s="164">
        <f>K42*$L$15</f>
        <v>73176.570000000007</v>
      </c>
      <c r="M42" s="163">
        <v>1</v>
      </c>
      <c r="N42" s="164">
        <f>M42*$L$15*1.5</f>
        <v>109764.85500000001</v>
      </c>
      <c r="O42" s="163">
        <v>1</v>
      </c>
      <c r="P42" s="164">
        <f>O42*$L$15</f>
        <v>73176.570000000007</v>
      </c>
      <c r="Q42" s="163">
        <v>1</v>
      </c>
      <c r="R42" s="164">
        <f>Q42*$L$15</f>
        <v>73176.570000000007</v>
      </c>
      <c r="S42" s="163">
        <v>1</v>
      </c>
      <c r="T42" s="164">
        <f>S42*$L$15</f>
        <v>73176.570000000007</v>
      </c>
      <c r="U42" s="163">
        <v>1</v>
      </c>
      <c r="V42" s="164">
        <f>U42*$L$15</f>
        <v>73176.570000000007</v>
      </c>
      <c r="W42" s="163">
        <v>1</v>
      </c>
      <c r="X42" s="164">
        <f>W42*$L$15</f>
        <v>73176.570000000007</v>
      </c>
      <c r="Y42" s="163">
        <v>1</v>
      </c>
      <c r="Z42" s="164">
        <f>Y42*$L$15*1.5</f>
        <v>109764.85500000001</v>
      </c>
      <c r="AA42" s="280">
        <f t="shared" ref="AA42:AA50" si="15">D42+F42+H42+J42+L42+N42+P42+R42+T42+V42+X42+Z42</f>
        <v>951295.41000000038</v>
      </c>
    </row>
    <row r="43" spans="2:27" x14ac:dyDescent="0.25">
      <c r="B43" s="281"/>
      <c r="C43" s="163">
        <v>1</v>
      </c>
      <c r="D43" s="164">
        <f>C43*$L$27</f>
        <v>63422.17</v>
      </c>
      <c r="E43" s="163">
        <v>1</v>
      </c>
      <c r="F43" s="164">
        <f>E43*$L$27</f>
        <v>63422.17</v>
      </c>
      <c r="G43" s="163">
        <v>1</v>
      </c>
      <c r="H43" s="164">
        <f>G43*$L$27</f>
        <v>63422.17</v>
      </c>
      <c r="I43" s="163">
        <v>1</v>
      </c>
      <c r="J43" s="164">
        <f>I43*$L$27</f>
        <v>63422.17</v>
      </c>
      <c r="K43" s="163">
        <v>1</v>
      </c>
      <c r="L43" s="164">
        <f>K43*$L$27</f>
        <v>63422.17</v>
      </c>
      <c r="M43" s="163">
        <v>1</v>
      </c>
      <c r="N43" s="164">
        <f>M43*$L$27*1.5</f>
        <v>95133.255000000005</v>
      </c>
      <c r="O43" s="163">
        <v>1</v>
      </c>
      <c r="P43" s="164">
        <f>O43*$L$27</f>
        <v>63422.17</v>
      </c>
      <c r="Q43" s="163">
        <v>1</v>
      </c>
      <c r="R43" s="164">
        <f>Q43*$L$27</f>
        <v>63422.17</v>
      </c>
      <c r="S43" s="163">
        <v>1</v>
      </c>
      <c r="T43" s="164">
        <f>S43*$L$27</f>
        <v>63422.17</v>
      </c>
      <c r="U43" s="163">
        <v>1</v>
      </c>
      <c r="V43" s="164">
        <f>U43*$L$27</f>
        <v>63422.17</v>
      </c>
      <c r="W43" s="163">
        <v>1</v>
      </c>
      <c r="X43" s="164">
        <f>W43*$L$27</f>
        <v>63422.17</v>
      </c>
      <c r="Y43" s="163">
        <v>1</v>
      </c>
      <c r="Z43" s="164">
        <f>Y43*$L$27*1.5</f>
        <v>95133.255000000005</v>
      </c>
      <c r="AA43" s="280">
        <f t="shared" si="15"/>
        <v>824488.21000000008</v>
      </c>
    </row>
    <row r="44" spans="2:27" x14ac:dyDescent="0.25">
      <c r="B44" s="281"/>
      <c r="C44" s="163">
        <v>0</v>
      </c>
      <c r="D44" s="164">
        <v>0</v>
      </c>
      <c r="E44" s="163">
        <v>0</v>
      </c>
      <c r="F44" s="164">
        <v>0</v>
      </c>
      <c r="G44" s="163">
        <v>0</v>
      </c>
      <c r="H44" s="164">
        <v>0</v>
      </c>
      <c r="I44" s="163">
        <v>0</v>
      </c>
      <c r="J44" s="164">
        <v>0</v>
      </c>
      <c r="K44" s="163">
        <v>0</v>
      </c>
      <c r="L44" s="164">
        <v>0</v>
      </c>
      <c r="M44" s="163">
        <v>0</v>
      </c>
      <c r="N44" s="164">
        <v>0</v>
      </c>
      <c r="O44" s="163">
        <v>0</v>
      </c>
      <c r="P44" s="164">
        <v>0</v>
      </c>
      <c r="Q44" s="163">
        <v>0</v>
      </c>
      <c r="R44" s="164">
        <v>0</v>
      </c>
      <c r="S44" s="163">
        <v>0</v>
      </c>
      <c r="T44" s="164">
        <v>0</v>
      </c>
      <c r="U44" s="163">
        <v>0</v>
      </c>
      <c r="V44" s="164">
        <v>0</v>
      </c>
      <c r="W44" s="267">
        <v>1</v>
      </c>
      <c r="X44" s="164">
        <f>$L$28*W44</f>
        <v>51229.17</v>
      </c>
      <c r="Y44" s="163">
        <v>1</v>
      </c>
      <c r="Z44" s="164">
        <f>$L$28*Y44*(1+2/12)</f>
        <v>59767.365000000005</v>
      </c>
      <c r="AA44" s="280">
        <f t="shared" si="15"/>
        <v>110996.535</v>
      </c>
    </row>
    <row r="45" spans="2:27" x14ac:dyDescent="0.25">
      <c r="B45" s="281"/>
      <c r="C45" s="163">
        <v>1</v>
      </c>
      <c r="D45" s="164">
        <f>C45*$L$30</f>
        <v>58544.97</v>
      </c>
      <c r="E45" s="163">
        <v>1</v>
      </c>
      <c r="F45" s="164">
        <f>E45*$L$30</f>
        <v>58544.97</v>
      </c>
      <c r="G45" s="163">
        <v>1</v>
      </c>
      <c r="H45" s="164">
        <f>G45*$L$30</f>
        <v>58544.97</v>
      </c>
      <c r="I45" s="163">
        <v>1</v>
      </c>
      <c r="J45" s="164">
        <f>I45*$L$30</f>
        <v>58544.97</v>
      </c>
      <c r="K45" s="163">
        <v>1</v>
      </c>
      <c r="L45" s="164">
        <f>K45*$L$30</f>
        <v>58544.97</v>
      </c>
      <c r="M45" s="163">
        <v>1</v>
      </c>
      <c r="N45" s="164">
        <f>M45*$L$30*1.5</f>
        <v>87817.455000000002</v>
      </c>
      <c r="O45" s="163">
        <v>1</v>
      </c>
      <c r="P45" s="164">
        <f>O45*$L$30</f>
        <v>58544.97</v>
      </c>
      <c r="Q45" s="163">
        <v>1</v>
      </c>
      <c r="R45" s="164">
        <f>Q45*$L$30</f>
        <v>58544.97</v>
      </c>
      <c r="S45" s="163">
        <v>1</v>
      </c>
      <c r="T45" s="164">
        <f>S45*$L$30</f>
        <v>58544.97</v>
      </c>
      <c r="U45" s="163">
        <v>1</v>
      </c>
      <c r="V45" s="164">
        <f>U45*$L$30</f>
        <v>58544.97</v>
      </c>
      <c r="W45" s="163">
        <v>1</v>
      </c>
      <c r="X45" s="164">
        <f>W45*$L$30</f>
        <v>58544.97</v>
      </c>
      <c r="Y45" s="163">
        <v>1</v>
      </c>
      <c r="Z45" s="164">
        <f>Y45*$L$30*1.5</f>
        <v>87817.455000000002</v>
      </c>
      <c r="AA45" s="280">
        <f t="shared" si="15"/>
        <v>761084.60999999987</v>
      </c>
    </row>
    <row r="46" spans="2:27" x14ac:dyDescent="0.25">
      <c r="B46" s="281"/>
      <c r="C46" s="163">
        <v>1</v>
      </c>
      <c r="D46" s="164">
        <f>C46*$L$31</f>
        <v>48790.57</v>
      </c>
      <c r="E46" s="163">
        <v>1</v>
      </c>
      <c r="F46" s="164">
        <f>E46*$L$31</f>
        <v>48790.57</v>
      </c>
      <c r="G46" s="163">
        <v>1</v>
      </c>
      <c r="H46" s="164">
        <f>G46*$L$31</f>
        <v>48790.57</v>
      </c>
      <c r="I46" s="163">
        <v>1</v>
      </c>
      <c r="J46" s="164">
        <f>I46*$L$31</f>
        <v>48790.57</v>
      </c>
      <c r="K46" s="163">
        <v>1</v>
      </c>
      <c r="L46" s="164">
        <f>K46*$L$31</f>
        <v>48790.57</v>
      </c>
      <c r="M46" s="163">
        <v>1</v>
      </c>
      <c r="N46" s="164">
        <f>M46*$L$31*1.5</f>
        <v>73185.854999999996</v>
      </c>
      <c r="O46" s="163">
        <v>1</v>
      </c>
      <c r="P46" s="164">
        <f>O46*$L$31</f>
        <v>48790.57</v>
      </c>
      <c r="Q46" s="163">
        <v>1</v>
      </c>
      <c r="R46" s="164">
        <f>Q46*$L$31</f>
        <v>48790.57</v>
      </c>
      <c r="S46" s="163">
        <v>1</v>
      </c>
      <c r="T46" s="164">
        <f>S46*$L$31</f>
        <v>48790.57</v>
      </c>
      <c r="U46" s="163">
        <v>1</v>
      </c>
      <c r="V46" s="164">
        <f>U46*$L$31</f>
        <v>48790.57</v>
      </c>
      <c r="W46" s="163">
        <v>1</v>
      </c>
      <c r="X46" s="164">
        <f>W46*$L$31</f>
        <v>48790.57</v>
      </c>
      <c r="Y46" s="163">
        <v>1</v>
      </c>
      <c r="Z46" s="164">
        <f>Y46*$L$31*1.5</f>
        <v>73185.854999999996</v>
      </c>
      <c r="AA46" s="280">
        <f t="shared" si="15"/>
        <v>634277.41</v>
      </c>
    </row>
    <row r="47" spans="2:27" x14ac:dyDescent="0.25">
      <c r="B47" s="281"/>
      <c r="C47" s="163">
        <v>1</v>
      </c>
      <c r="D47" s="164">
        <f>C47*$L$23</f>
        <v>39036.17</v>
      </c>
      <c r="E47" s="163">
        <v>1</v>
      </c>
      <c r="F47" s="164">
        <f>E47*$L$23</f>
        <v>39036.17</v>
      </c>
      <c r="G47" s="163">
        <v>1</v>
      </c>
      <c r="H47" s="164">
        <f>G47*$L$23</f>
        <v>39036.17</v>
      </c>
      <c r="I47" s="163">
        <v>1</v>
      </c>
      <c r="J47" s="164">
        <f>I47*$L$23</f>
        <v>39036.17</v>
      </c>
      <c r="K47" s="163">
        <v>1</v>
      </c>
      <c r="L47" s="164">
        <f>K47*$L$23</f>
        <v>39036.17</v>
      </c>
      <c r="M47" s="163">
        <v>1</v>
      </c>
      <c r="N47" s="164">
        <f>M47*$L$23*1.5</f>
        <v>58554.254999999997</v>
      </c>
      <c r="O47" s="163">
        <v>1</v>
      </c>
      <c r="P47" s="164">
        <f>O47*$L$23</f>
        <v>39036.17</v>
      </c>
      <c r="Q47" s="163">
        <v>1</v>
      </c>
      <c r="R47" s="164">
        <f>Q47*$L$23</f>
        <v>39036.17</v>
      </c>
      <c r="S47" s="163">
        <v>1</v>
      </c>
      <c r="T47" s="164">
        <f>S47*$L$23</f>
        <v>39036.17</v>
      </c>
      <c r="U47" s="163">
        <v>1</v>
      </c>
      <c r="V47" s="164">
        <f>U47*$L$23</f>
        <v>39036.17</v>
      </c>
      <c r="W47" s="163">
        <v>1</v>
      </c>
      <c r="X47" s="164">
        <f>W47*$L$23</f>
        <v>39036.17</v>
      </c>
      <c r="Y47" s="163">
        <v>1</v>
      </c>
      <c r="Z47" s="164">
        <f>Y47*$L$23*1.5</f>
        <v>58554.254999999997</v>
      </c>
      <c r="AA47" s="280">
        <f t="shared" si="15"/>
        <v>507470.2099999999</v>
      </c>
    </row>
    <row r="48" spans="2:27" x14ac:dyDescent="0.25">
      <c r="B48" s="281"/>
      <c r="C48" s="163">
        <v>2</v>
      </c>
      <c r="D48" s="164">
        <f>C48*$L$26</f>
        <v>78072.34</v>
      </c>
      <c r="E48" s="163">
        <v>2</v>
      </c>
      <c r="F48" s="164">
        <f>E48*$L$26</f>
        <v>78072.34</v>
      </c>
      <c r="G48" s="163">
        <v>2</v>
      </c>
      <c r="H48" s="164">
        <f>G48*$L$26</f>
        <v>78072.34</v>
      </c>
      <c r="I48" s="163">
        <v>2</v>
      </c>
      <c r="J48" s="164">
        <f>I48*$L$26</f>
        <v>78072.34</v>
      </c>
      <c r="K48" s="163">
        <v>2</v>
      </c>
      <c r="L48" s="164">
        <f>K48*$L$26</f>
        <v>78072.34</v>
      </c>
      <c r="M48" s="163">
        <v>2</v>
      </c>
      <c r="N48" s="164">
        <f>M48*$L$26*1.5</f>
        <v>117108.51</v>
      </c>
      <c r="O48" s="163">
        <v>2</v>
      </c>
      <c r="P48" s="164">
        <f>O48*$L$26</f>
        <v>78072.34</v>
      </c>
      <c r="Q48" s="163">
        <v>2</v>
      </c>
      <c r="R48" s="164">
        <f>Q48*$L$26</f>
        <v>78072.34</v>
      </c>
      <c r="S48" s="163">
        <v>2</v>
      </c>
      <c r="T48" s="164">
        <f>S48*$L$26</f>
        <v>78072.34</v>
      </c>
      <c r="U48" s="163">
        <v>2</v>
      </c>
      <c r="V48" s="164">
        <f>U48*$L$26</f>
        <v>78072.34</v>
      </c>
      <c r="W48" s="163">
        <v>2</v>
      </c>
      <c r="X48" s="164">
        <f>W48*$L$26</f>
        <v>78072.34</v>
      </c>
      <c r="Y48" s="163">
        <v>2</v>
      </c>
      <c r="Z48" s="164">
        <f>Y48*$L$26*1.5</f>
        <v>117108.51</v>
      </c>
      <c r="AA48" s="280">
        <f t="shared" si="15"/>
        <v>1014940.4199999998</v>
      </c>
    </row>
    <row r="49" spans="2:27" x14ac:dyDescent="0.25">
      <c r="B49" s="281"/>
      <c r="C49" s="163">
        <v>2</v>
      </c>
      <c r="D49" s="164">
        <f>C49*$L$24</f>
        <v>78072.34</v>
      </c>
      <c r="E49" s="163">
        <v>2</v>
      </c>
      <c r="F49" s="164">
        <f>E49*$L$24</f>
        <v>78072.34</v>
      </c>
      <c r="G49" s="163">
        <v>2</v>
      </c>
      <c r="H49" s="164">
        <f>G49*$L$24</f>
        <v>78072.34</v>
      </c>
      <c r="I49" s="163">
        <v>2</v>
      </c>
      <c r="J49" s="164">
        <f>I49*$L$24</f>
        <v>78072.34</v>
      </c>
      <c r="K49" s="163">
        <v>2</v>
      </c>
      <c r="L49" s="164">
        <f>K49*$L$24</f>
        <v>78072.34</v>
      </c>
      <c r="M49" s="163">
        <v>2</v>
      </c>
      <c r="N49" s="164">
        <f>M49*$L$24*1.5</f>
        <v>117108.51</v>
      </c>
      <c r="O49" s="163">
        <v>2</v>
      </c>
      <c r="P49" s="164">
        <f>O49*$L$24</f>
        <v>78072.34</v>
      </c>
      <c r="Q49" s="163">
        <v>2</v>
      </c>
      <c r="R49" s="164">
        <f>Q49*$L$24</f>
        <v>78072.34</v>
      </c>
      <c r="S49" s="163">
        <v>2</v>
      </c>
      <c r="T49" s="164">
        <f>S49*$L$24</f>
        <v>78072.34</v>
      </c>
      <c r="U49" s="163">
        <v>2</v>
      </c>
      <c r="V49" s="164">
        <f>U49*$L$24</f>
        <v>78072.34</v>
      </c>
      <c r="W49" s="163">
        <v>2</v>
      </c>
      <c r="X49" s="164">
        <f>W49*$L$24</f>
        <v>78072.34</v>
      </c>
      <c r="Y49" s="163">
        <v>2</v>
      </c>
      <c r="Z49" s="164">
        <f>Y49*$L$24*1.5</f>
        <v>117108.51</v>
      </c>
      <c r="AA49" s="280">
        <f t="shared" si="15"/>
        <v>1014940.4199999998</v>
      </c>
    </row>
    <row r="50" spans="2:27" x14ac:dyDescent="0.25">
      <c r="B50" s="279"/>
      <c r="C50" s="163">
        <v>1</v>
      </c>
      <c r="D50" s="164">
        <f>C50*$L$25</f>
        <v>19527.37</v>
      </c>
      <c r="E50" s="163">
        <v>1</v>
      </c>
      <c r="F50" s="164">
        <f>E50*$L$25</f>
        <v>19527.37</v>
      </c>
      <c r="G50" s="163">
        <v>1</v>
      </c>
      <c r="H50" s="164">
        <f>G50*$L$25</f>
        <v>19527.37</v>
      </c>
      <c r="I50" s="163">
        <v>1</v>
      </c>
      <c r="J50" s="164">
        <f>I50*$L$25</f>
        <v>19527.37</v>
      </c>
      <c r="K50" s="163">
        <v>1</v>
      </c>
      <c r="L50" s="164">
        <f>K50*$L$25</f>
        <v>19527.37</v>
      </c>
      <c r="M50" s="163">
        <v>1</v>
      </c>
      <c r="N50" s="164">
        <f>M50*$L$25*1.5</f>
        <v>29291.055</v>
      </c>
      <c r="O50" s="163">
        <v>1</v>
      </c>
      <c r="P50" s="164">
        <f>O50*$L$25</f>
        <v>19527.37</v>
      </c>
      <c r="Q50" s="163">
        <v>1</v>
      </c>
      <c r="R50" s="164">
        <f>Q50*$L$25</f>
        <v>19527.37</v>
      </c>
      <c r="S50" s="163">
        <v>1</v>
      </c>
      <c r="T50" s="164">
        <f>S50*$L$25</f>
        <v>19527.37</v>
      </c>
      <c r="U50" s="163">
        <v>1</v>
      </c>
      <c r="V50" s="164">
        <f>U50*$L$25</f>
        <v>19527.37</v>
      </c>
      <c r="W50" s="163">
        <v>1</v>
      </c>
      <c r="X50" s="164">
        <f>W50*$L$25</f>
        <v>19527.37</v>
      </c>
      <c r="Y50" s="163">
        <v>1</v>
      </c>
      <c r="Z50" s="164">
        <f>Y50*$L$25*1.5</f>
        <v>29291.055</v>
      </c>
      <c r="AA50" s="280">
        <f t="shared" si="15"/>
        <v>253855.80999999997</v>
      </c>
    </row>
    <row r="51" spans="2:27" ht="16.5" thickBot="1" x14ac:dyDescent="0.3">
      <c r="B51" s="282" t="s">
        <v>146</v>
      </c>
      <c r="C51" s="283">
        <f t="shared" ref="C51" si="16">SUM(C41:C50)</f>
        <v>11</v>
      </c>
      <c r="D51" s="284">
        <f t="shared" ref="D51" si="17">SUM(D41:D50)</f>
        <v>556205.06999999995</v>
      </c>
      <c r="E51" s="283">
        <f t="shared" ref="E51" si="18">SUM(E41:E50)</f>
        <v>11</v>
      </c>
      <c r="F51" s="284">
        <f t="shared" ref="F51" si="19">SUM(F41:F50)</f>
        <v>556205.06999999995</v>
      </c>
      <c r="G51" s="283">
        <f t="shared" ref="G51" si="20">SUM(G41:G50)</f>
        <v>11</v>
      </c>
      <c r="H51" s="284">
        <f t="shared" ref="H51" si="21">SUM(H41:H50)</f>
        <v>556205.06999999995</v>
      </c>
      <c r="I51" s="283">
        <f t="shared" ref="I51" si="22">SUM(I41:I50)</f>
        <v>11</v>
      </c>
      <c r="J51" s="284">
        <f t="shared" ref="J51" si="23">SUM(J41:J50)</f>
        <v>556205.06999999995</v>
      </c>
      <c r="K51" s="283">
        <f t="shared" ref="K51" si="24">SUM(K41:K50)</f>
        <v>11</v>
      </c>
      <c r="L51" s="284">
        <f t="shared" ref="L51" si="25">SUM(L41:L50)</f>
        <v>556205.06999999995</v>
      </c>
      <c r="M51" s="283">
        <f t="shared" ref="M51" si="26">SUM(M41:M50)</f>
        <v>11</v>
      </c>
      <c r="N51" s="284">
        <f t="shared" ref="N51" si="27">SUM(N41:N50)</f>
        <v>834307.6050000001</v>
      </c>
      <c r="O51" s="283">
        <f t="shared" ref="O51" si="28">SUM(O41:O50)</f>
        <v>11</v>
      </c>
      <c r="P51" s="284">
        <f t="shared" ref="P51" si="29">SUM(P41:P50)</f>
        <v>556205.06999999995</v>
      </c>
      <c r="Q51" s="283">
        <f t="shared" ref="Q51" si="30">SUM(Q41:Q50)</f>
        <v>11</v>
      </c>
      <c r="R51" s="284">
        <f t="shared" ref="R51" si="31">SUM(R41:R50)</f>
        <v>556205.06999999995</v>
      </c>
      <c r="S51" s="283">
        <f t="shared" ref="S51" si="32">SUM(S41:S50)</f>
        <v>11</v>
      </c>
      <c r="T51" s="284">
        <f t="shared" ref="T51" si="33">SUM(T41:T50)</f>
        <v>556205.06999999995</v>
      </c>
      <c r="U51" s="283">
        <f t="shared" ref="U51" si="34">SUM(U41:U50)</f>
        <v>11</v>
      </c>
      <c r="V51" s="284">
        <f t="shared" ref="V51" si="35">SUM(V41:V50)</f>
        <v>556205.06999999995</v>
      </c>
      <c r="W51" s="283">
        <f t="shared" ref="W51" si="36">SUM(W41:W50)</f>
        <v>12</v>
      </c>
      <c r="X51" s="284">
        <f t="shared" ref="X51" si="37">SUM(X41:X50)</f>
        <v>607434.23999999987</v>
      </c>
      <c r="Y51" s="283">
        <f t="shared" ref="Y51" si="38">SUM(Y41:Y50)</f>
        <v>12</v>
      </c>
      <c r="Z51" s="284">
        <f t="shared" ref="Z51" si="39">SUM(Z41:Z50)</f>
        <v>894074.97000000009</v>
      </c>
      <c r="AA51" s="285">
        <f>Z51+X51+V51+T51+R51+P51+N51+L51+J51+H51+F51+D51</f>
        <v>7341662.4450000012</v>
      </c>
    </row>
    <row r="54" spans="2:27" ht="15.75" thickBot="1" x14ac:dyDescent="0.3"/>
    <row r="55" spans="2:27" ht="27" thickBot="1" x14ac:dyDescent="0.45">
      <c r="B55" s="714" t="s">
        <v>147</v>
      </c>
      <c r="C55" s="715"/>
      <c r="D55" s="715"/>
      <c r="E55" s="715"/>
      <c r="F55" s="715"/>
      <c r="G55" s="715"/>
      <c r="H55" s="715"/>
      <c r="I55" s="715"/>
      <c r="J55" s="715"/>
      <c r="K55" s="715"/>
      <c r="L55" s="715"/>
      <c r="M55" s="715"/>
      <c r="N55" s="715"/>
      <c r="O55" s="715"/>
      <c r="P55" s="715"/>
      <c r="Q55" s="715"/>
      <c r="R55" s="715"/>
      <c r="S55" s="715"/>
      <c r="T55" s="715"/>
      <c r="U55" s="715"/>
      <c r="V55" s="715"/>
      <c r="W55" s="715"/>
      <c r="X55" s="715"/>
      <c r="Y55" s="715"/>
      <c r="Z55" s="715"/>
      <c r="AA55" s="716"/>
    </row>
    <row r="56" spans="2:27" ht="15.75" x14ac:dyDescent="0.25">
      <c r="B56" s="727" t="s">
        <v>131</v>
      </c>
      <c r="C56" s="729" t="s">
        <v>40</v>
      </c>
      <c r="D56" s="729"/>
      <c r="E56" s="729" t="s">
        <v>41</v>
      </c>
      <c r="F56" s="729"/>
      <c r="G56" s="729" t="s">
        <v>42</v>
      </c>
      <c r="H56" s="729"/>
      <c r="I56" s="729" t="s">
        <v>43</v>
      </c>
      <c r="J56" s="729"/>
      <c r="K56" s="729" t="s">
        <v>44</v>
      </c>
      <c r="L56" s="729"/>
      <c r="M56" s="729" t="s">
        <v>143</v>
      </c>
      <c r="N56" s="729"/>
      <c r="O56" s="729" t="s">
        <v>46</v>
      </c>
      <c r="P56" s="729"/>
      <c r="Q56" s="729" t="s">
        <v>47</v>
      </c>
      <c r="R56" s="729"/>
      <c r="S56" s="729" t="s">
        <v>48</v>
      </c>
      <c r="T56" s="729"/>
      <c r="U56" s="729" t="s">
        <v>49</v>
      </c>
      <c r="V56" s="729"/>
      <c r="W56" s="729" t="s">
        <v>50</v>
      </c>
      <c r="X56" s="729"/>
      <c r="Y56" s="729" t="s">
        <v>144</v>
      </c>
      <c r="Z56" s="729"/>
      <c r="AA56" s="725" t="s">
        <v>84</v>
      </c>
    </row>
    <row r="57" spans="2:27" ht="15.75" x14ac:dyDescent="0.25">
      <c r="B57" s="728"/>
      <c r="C57" s="265" t="s">
        <v>60</v>
      </c>
      <c r="D57" s="265" t="s">
        <v>71</v>
      </c>
      <c r="E57" s="265" t="s">
        <v>60</v>
      </c>
      <c r="F57" s="265" t="s">
        <v>71</v>
      </c>
      <c r="G57" s="265" t="s">
        <v>60</v>
      </c>
      <c r="H57" s="265" t="s">
        <v>71</v>
      </c>
      <c r="I57" s="265" t="s">
        <v>60</v>
      </c>
      <c r="J57" s="265" t="s">
        <v>71</v>
      </c>
      <c r="K57" s="265" t="s">
        <v>60</v>
      </c>
      <c r="L57" s="265" t="s">
        <v>71</v>
      </c>
      <c r="M57" s="265" t="s">
        <v>60</v>
      </c>
      <c r="N57" s="265" t="s">
        <v>71</v>
      </c>
      <c r="O57" s="265" t="s">
        <v>60</v>
      </c>
      <c r="P57" s="265" t="s">
        <v>71</v>
      </c>
      <c r="Q57" s="265" t="s">
        <v>60</v>
      </c>
      <c r="R57" s="265" t="s">
        <v>71</v>
      </c>
      <c r="S57" s="265" t="s">
        <v>60</v>
      </c>
      <c r="T57" s="265" t="s">
        <v>71</v>
      </c>
      <c r="U57" s="265" t="s">
        <v>60</v>
      </c>
      <c r="V57" s="265" t="s">
        <v>71</v>
      </c>
      <c r="W57" s="265" t="s">
        <v>60</v>
      </c>
      <c r="X57" s="265" t="s">
        <v>71</v>
      </c>
      <c r="Y57" s="265" t="s">
        <v>60</v>
      </c>
      <c r="Z57" s="265" t="s">
        <v>71</v>
      </c>
      <c r="AA57" s="726"/>
    </row>
    <row r="58" spans="2:27" x14ac:dyDescent="0.25">
      <c r="B58" s="279"/>
      <c r="C58" s="163">
        <v>1</v>
      </c>
      <c r="D58" s="164">
        <f>C58*$L$14</f>
        <v>97562.57</v>
      </c>
      <c r="E58" s="163">
        <v>1</v>
      </c>
      <c r="F58" s="164">
        <f>E58*$L$14</f>
        <v>97562.57</v>
      </c>
      <c r="G58" s="163">
        <v>1</v>
      </c>
      <c r="H58" s="164">
        <f>G58*$L$14</f>
        <v>97562.57</v>
      </c>
      <c r="I58" s="163">
        <v>1</v>
      </c>
      <c r="J58" s="164">
        <f>I58*$L$14</f>
        <v>97562.57</v>
      </c>
      <c r="K58" s="163">
        <v>1</v>
      </c>
      <c r="L58" s="164">
        <f>K58*$L$14</f>
        <v>97562.57</v>
      </c>
      <c r="M58" s="163">
        <v>1</v>
      </c>
      <c r="N58" s="164">
        <f>M58*$L$14*1.5</f>
        <v>146343.85500000001</v>
      </c>
      <c r="O58" s="163">
        <v>1</v>
      </c>
      <c r="P58" s="164">
        <f>O58*$L$14</f>
        <v>97562.57</v>
      </c>
      <c r="Q58" s="163">
        <v>1</v>
      </c>
      <c r="R58" s="164">
        <f>Q58*$L$14</f>
        <v>97562.57</v>
      </c>
      <c r="S58" s="163">
        <v>1</v>
      </c>
      <c r="T58" s="164">
        <f>S58*$L$14</f>
        <v>97562.57</v>
      </c>
      <c r="U58" s="163">
        <v>1</v>
      </c>
      <c r="V58" s="164">
        <f>U58*$L$14</f>
        <v>97562.57</v>
      </c>
      <c r="W58" s="163">
        <v>1</v>
      </c>
      <c r="X58" s="164">
        <f>W58*$L$14</f>
        <v>97562.57</v>
      </c>
      <c r="Y58" s="163">
        <v>1</v>
      </c>
      <c r="Z58" s="164">
        <f>Y58*$L$14*1.5</f>
        <v>146343.85500000001</v>
      </c>
      <c r="AA58" s="280">
        <f>D58+F58+H58+J58+L58+N58+P58+R58+T58+V58+X58+Z58</f>
        <v>1268313.4100000004</v>
      </c>
    </row>
    <row r="59" spans="2:27" x14ac:dyDescent="0.25">
      <c r="B59" s="281"/>
      <c r="C59" s="163">
        <v>1</v>
      </c>
      <c r="D59" s="164">
        <f>C59*$L$15</f>
        <v>73176.570000000007</v>
      </c>
      <c r="E59" s="163">
        <v>1</v>
      </c>
      <c r="F59" s="164">
        <f>E59*$L$15</f>
        <v>73176.570000000007</v>
      </c>
      <c r="G59" s="163">
        <v>1</v>
      </c>
      <c r="H59" s="164">
        <f>G59*$L$15</f>
        <v>73176.570000000007</v>
      </c>
      <c r="I59" s="163">
        <v>1</v>
      </c>
      <c r="J59" s="164">
        <f>I59*$L$15</f>
        <v>73176.570000000007</v>
      </c>
      <c r="K59" s="163">
        <v>1</v>
      </c>
      <c r="L59" s="164">
        <f>K59*$L$15</f>
        <v>73176.570000000007</v>
      </c>
      <c r="M59" s="163">
        <v>1</v>
      </c>
      <c r="N59" s="164">
        <f>M59*$L$15*1.5</f>
        <v>109764.85500000001</v>
      </c>
      <c r="O59" s="163">
        <v>1</v>
      </c>
      <c r="P59" s="164">
        <f>O59*$L$15</f>
        <v>73176.570000000007</v>
      </c>
      <c r="Q59" s="163">
        <v>1</v>
      </c>
      <c r="R59" s="164">
        <f>Q59*$L$15</f>
        <v>73176.570000000007</v>
      </c>
      <c r="S59" s="163">
        <v>1</v>
      </c>
      <c r="T59" s="164">
        <f>S59*$L$15</f>
        <v>73176.570000000007</v>
      </c>
      <c r="U59" s="163">
        <v>1</v>
      </c>
      <c r="V59" s="164">
        <f>U59*$L$15</f>
        <v>73176.570000000007</v>
      </c>
      <c r="W59" s="163">
        <v>1</v>
      </c>
      <c r="X59" s="164">
        <f>W59*$L$15</f>
        <v>73176.570000000007</v>
      </c>
      <c r="Y59" s="163">
        <v>1</v>
      </c>
      <c r="Z59" s="164">
        <f>Y59*$L$15*1.5</f>
        <v>109764.85500000001</v>
      </c>
      <c r="AA59" s="280">
        <f t="shared" ref="AA59:AA68" si="40">D59+F59+H59+J59+L59+N59+P59+R59+T59+V59+X59+Z59</f>
        <v>951295.41000000038</v>
      </c>
    </row>
    <row r="60" spans="2:27" x14ac:dyDescent="0.25">
      <c r="B60" s="281"/>
      <c r="C60" s="163">
        <v>1</v>
      </c>
      <c r="D60" s="164">
        <f>C60*$L$27</f>
        <v>63422.17</v>
      </c>
      <c r="E60" s="163">
        <v>1</v>
      </c>
      <c r="F60" s="164">
        <f>E60*$L$27</f>
        <v>63422.17</v>
      </c>
      <c r="G60" s="163">
        <v>1</v>
      </c>
      <c r="H60" s="164">
        <f>G60*$L$27</f>
        <v>63422.17</v>
      </c>
      <c r="I60" s="163">
        <v>1</v>
      </c>
      <c r="J60" s="164">
        <f>I60*$L$27</f>
        <v>63422.17</v>
      </c>
      <c r="K60" s="163">
        <v>1</v>
      </c>
      <c r="L60" s="164">
        <f>K60*$L$27</f>
        <v>63422.17</v>
      </c>
      <c r="M60" s="163">
        <v>1</v>
      </c>
      <c r="N60" s="164">
        <f>M60*$L$27*1.5</f>
        <v>95133.255000000005</v>
      </c>
      <c r="O60" s="163">
        <v>1</v>
      </c>
      <c r="P60" s="164">
        <f>O60*$L$27</f>
        <v>63422.17</v>
      </c>
      <c r="Q60" s="163">
        <v>1</v>
      </c>
      <c r="R60" s="164">
        <f>Q60*$L$27</f>
        <v>63422.17</v>
      </c>
      <c r="S60" s="163">
        <v>1</v>
      </c>
      <c r="T60" s="164">
        <f>S60*$L$27</f>
        <v>63422.17</v>
      </c>
      <c r="U60" s="163">
        <v>1</v>
      </c>
      <c r="V60" s="164">
        <f>U60*$L$27</f>
        <v>63422.17</v>
      </c>
      <c r="W60" s="163">
        <v>1</v>
      </c>
      <c r="X60" s="164">
        <f>W60*$L$27</f>
        <v>63422.17</v>
      </c>
      <c r="Y60" s="163">
        <v>1</v>
      </c>
      <c r="Z60" s="164">
        <f>Y60*$L$27*1.5</f>
        <v>95133.255000000005</v>
      </c>
      <c r="AA60" s="280">
        <f t="shared" si="40"/>
        <v>824488.21000000008</v>
      </c>
    </row>
    <row r="61" spans="2:27" x14ac:dyDescent="0.25">
      <c r="B61" s="281"/>
      <c r="C61" s="163">
        <v>1</v>
      </c>
      <c r="D61" s="164">
        <f>C61*$L$28</f>
        <v>51229.17</v>
      </c>
      <c r="E61" s="163">
        <v>1</v>
      </c>
      <c r="F61" s="164">
        <f>E61*$L$28</f>
        <v>51229.17</v>
      </c>
      <c r="G61" s="163">
        <v>1</v>
      </c>
      <c r="H61" s="164">
        <f>G61*$L$28</f>
        <v>51229.17</v>
      </c>
      <c r="I61" s="163">
        <v>1</v>
      </c>
      <c r="J61" s="164">
        <f>I61*$L$28</f>
        <v>51229.17</v>
      </c>
      <c r="K61" s="163">
        <v>1</v>
      </c>
      <c r="L61" s="164">
        <f>K61*$L$28</f>
        <v>51229.17</v>
      </c>
      <c r="M61" s="163">
        <v>1</v>
      </c>
      <c r="N61" s="164">
        <f>$L$28*M61*(1+6/12)</f>
        <v>76843.755000000005</v>
      </c>
      <c r="O61" s="163">
        <v>1</v>
      </c>
      <c r="P61" s="164">
        <f>O61*$L$28</f>
        <v>51229.17</v>
      </c>
      <c r="Q61" s="163">
        <v>1</v>
      </c>
      <c r="R61" s="164">
        <f>Q61*$L$28</f>
        <v>51229.17</v>
      </c>
      <c r="S61" s="163">
        <v>1</v>
      </c>
      <c r="T61" s="164">
        <f>S61*$L$28</f>
        <v>51229.17</v>
      </c>
      <c r="U61" s="163">
        <v>1</v>
      </c>
      <c r="V61" s="164">
        <f>U61*$L$28</f>
        <v>51229.17</v>
      </c>
      <c r="W61" s="163">
        <v>1</v>
      </c>
      <c r="X61" s="164">
        <f>$L$28*W61</f>
        <v>51229.17</v>
      </c>
      <c r="Y61" s="163">
        <v>1</v>
      </c>
      <c r="Z61" s="164">
        <f>$L$28*Y61*(1+6/12)</f>
        <v>76843.755000000005</v>
      </c>
      <c r="AA61" s="280">
        <f t="shared" si="40"/>
        <v>665979.21</v>
      </c>
    </row>
    <row r="62" spans="2:27" x14ac:dyDescent="0.25">
      <c r="B62" s="281"/>
      <c r="C62" s="163">
        <v>1</v>
      </c>
      <c r="D62" s="164">
        <f>C62*$L$30</f>
        <v>58544.97</v>
      </c>
      <c r="E62" s="163">
        <v>1</v>
      </c>
      <c r="F62" s="164">
        <f>E62*$L$30</f>
        <v>58544.97</v>
      </c>
      <c r="G62" s="163">
        <v>1</v>
      </c>
      <c r="H62" s="164">
        <f>G62*$L$30</f>
        <v>58544.97</v>
      </c>
      <c r="I62" s="163">
        <v>1</v>
      </c>
      <c r="J62" s="164">
        <f>I62*$L$30</f>
        <v>58544.97</v>
      </c>
      <c r="K62" s="163">
        <v>1</v>
      </c>
      <c r="L62" s="164">
        <f>K62*$L$30</f>
        <v>58544.97</v>
      </c>
      <c r="M62" s="163">
        <v>1</v>
      </c>
      <c r="N62" s="164">
        <f>M62*$L$30*1.5</f>
        <v>87817.455000000002</v>
      </c>
      <c r="O62" s="163">
        <v>1</v>
      </c>
      <c r="P62" s="164">
        <f>O62*$L$30</f>
        <v>58544.97</v>
      </c>
      <c r="Q62" s="163">
        <v>1</v>
      </c>
      <c r="R62" s="164">
        <f>Q62*$L$30</f>
        <v>58544.97</v>
      </c>
      <c r="S62" s="163">
        <v>1</v>
      </c>
      <c r="T62" s="164">
        <f>S62*$L$30</f>
        <v>58544.97</v>
      </c>
      <c r="U62" s="163">
        <v>1</v>
      </c>
      <c r="V62" s="164">
        <f>U62*$L$30</f>
        <v>58544.97</v>
      </c>
      <c r="W62" s="163">
        <v>1</v>
      </c>
      <c r="X62" s="164">
        <f>W62*$L$30</f>
        <v>58544.97</v>
      </c>
      <c r="Y62" s="163">
        <v>1</v>
      </c>
      <c r="Z62" s="164">
        <f>Y62*$L$30*1.5</f>
        <v>87817.455000000002</v>
      </c>
      <c r="AA62" s="280">
        <f t="shared" si="40"/>
        <v>761084.60999999987</v>
      </c>
    </row>
    <row r="63" spans="2:27" x14ac:dyDescent="0.25">
      <c r="B63" s="281"/>
      <c r="C63" s="163">
        <v>1</v>
      </c>
      <c r="D63" s="164">
        <f>C63*$L$31</f>
        <v>48790.57</v>
      </c>
      <c r="E63" s="163">
        <v>1</v>
      </c>
      <c r="F63" s="164">
        <f>E63*$L$31</f>
        <v>48790.57</v>
      </c>
      <c r="G63" s="163">
        <v>1</v>
      </c>
      <c r="H63" s="164">
        <f>G63*$L$31</f>
        <v>48790.57</v>
      </c>
      <c r="I63" s="163">
        <v>1</v>
      </c>
      <c r="J63" s="164">
        <f>I63*$L$31</f>
        <v>48790.57</v>
      </c>
      <c r="K63" s="163">
        <v>1</v>
      </c>
      <c r="L63" s="164">
        <f>K63*$L$31</f>
        <v>48790.57</v>
      </c>
      <c r="M63" s="163">
        <v>1</v>
      </c>
      <c r="N63" s="164">
        <f>M63*$L$31*1.5</f>
        <v>73185.854999999996</v>
      </c>
      <c r="O63" s="163">
        <v>1</v>
      </c>
      <c r="P63" s="164">
        <f>O63*$L$31</f>
        <v>48790.57</v>
      </c>
      <c r="Q63" s="163">
        <v>1</v>
      </c>
      <c r="R63" s="164">
        <f>Q63*$L$31</f>
        <v>48790.57</v>
      </c>
      <c r="S63" s="163">
        <v>1</v>
      </c>
      <c r="T63" s="164">
        <f>S63*$L$31</f>
        <v>48790.57</v>
      </c>
      <c r="U63" s="163">
        <v>1</v>
      </c>
      <c r="V63" s="164">
        <f>U63*$L$31</f>
        <v>48790.57</v>
      </c>
      <c r="W63" s="163">
        <v>1</v>
      </c>
      <c r="X63" s="164">
        <f>W63*$L$31</f>
        <v>48790.57</v>
      </c>
      <c r="Y63" s="163">
        <v>1</v>
      </c>
      <c r="Z63" s="164">
        <f>Y63*$L$31*1.5</f>
        <v>73185.854999999996</v>
      </c>
      <c r="AA63" s="280">
        <f t="shared" si="40"/>
        <v>634277.41</v>
      </c>
    </row>
    <row r="64" spans="2:27" x14ac:dyDescent="0.25">
      <c r="B64" s="281"/>
      <c r="C64" s="163">
        <v>1</v>
      </c>
      <c r="D64" s="164">
        <f>C64*$L$23</f>
        <v>39036.17</v>
      </c>
      <c r="E64" s="163">
        <v>1</v>
      </c>
      <c r="F64" s="164">
        <f>E64*$L$23</f>
        <v>39036.17</v>
      </c>
      <c r="G64" s="163">
        <v>1</v>
      </c>
      <c r="H64" s="164">
        <f>G64*$L$23</f>
        <v>39036.17</v>
      </c>
      <c r="I64" s="163">
        <v>1</v>
      </c>
      <c r="J64" s="164">
        <f>I64*$L$23</f>
        <v>39036.17</v>
      </c>
      <c r="K64" s="163">
        <v>1</v>
      </c>
      <c r="L64" s="164">
        <f>K64*$L$23</f>
        <v>39036.17</v>
      </c>
      <c r="M64" s="163">
        <v>1</v>
      </c>
      <c r="N64" s="164">
        <f>M64*$L$23*1.5</f>
        <v>58554.254999999997</v>
      </c>
      <c r="O64" s="163">
        <v>1</v>
      </c>
      <c r="P64" s="164">
        <f>O64*$L$23</f>
        <v>39036.17</v>
      </c>
      <c r="Q64" s="163">
        <v>1</v>
      </c>
      <c r="R64" s="164">
        <f>Q64*$L$23</f>
        <v>39036.17</v>
      </c>
      <c r="S64" s="163">
        <v>1</v>
      </c>
      <c r="T64" s="164">
        <f>S64*$L$23</f>
        <v>39036.17</v>
      </c>
      <c r="U64" s="163">
        <v>1</v>
      </c>
      <c r="V64" s="164">
        <f>U64*$L$23</f>
        <v>39036.17</v>
      </c>
      <c r="W64" s="163">
        <v>1</v>
      </c>
      <c r="X64" s="164">
        <f>W64*$L$23</f>
        <v>39036.17</v>
      </c>
      <c r="Y64" s="163">
        <v>1</v>
      </c>
      <c r="Z64" s="164">
        <f>Y64*$L$23*1.5</f>
        <v>58554.254999999997</v>
      </c>
      <c r="AA64" s="280">
        <f t="shared" si="40"/>
        <v>507470.2099999999</v>
      </c>
    </row>
    <row r="65" spans="2:29" x14ac:dyDescent="0.25">
      <c r="B65" s="281"/>
      <c r="C65" s="163">
        <v>2</v>
      </c>
      <c r="D65" s="164">
        <f>C65*$L$26</f>
        <v>78072.34</v>
      </c>
      <c r="E65" s="163">
        <v>2</v>
      </c>
      <c r="F65" s="164">
        <f>E65*$L$26</f>
        <v>78072.34</v>
      </c>
      <c r="G65" s="163">
        <v>2</v>
      </c>
      <c r="H65" s="164">
        <f>G65*$L$26</f>
        <v>78072.34</v>
      </c>
      <c r="I65" s="163">
        <v>2</v>
      </c>
      <c r="J65" s="164">
        <f>I65*$L$26</f>
        <v>78072.34</v>
      </c>
      <c r="K65" s="163">
        <v>2</v>
      </c>
      <c r="L65" s="164">
        <f>K65*$L$26</f>
        <v>78072.34</v>
      </c>
      <c r="M65" s="163">
        <v>2</v>
      </c>
      <c r="N65" s="164">
        <f>M65*$L$26*1.5</f>
        <v>117108.51</v>
      </c>
      <c r="O65" s="163">
        <v>2</v>
      </c>
      <c r="P65" s="164">
        <f>O65*$L$26</f>
        <v>78072.34</v>
      </c>
      <c r="Q65" s="163">
        <v>2</v>
      </c>
      <c r="R65" s="164">
        <f>Q65*$L$26</f>
        <v>78072.34</v>
      </c>
      <c r="S65" s="163">
        <v>2</v>
      </c>
      <c r="T65" s="164">
        <f>S65*$L$26</f>
        <v>78072.34</v>
      </c>
      <c r="U65" s="163">
        <v>2</v>
      </c>
      <c r="V65" s="164">
        <f>U65*$L$26</f>
        <v>78072.34</v>
      </c>
      <c r="W65" s="163">
        <v>2</v>
      </c>
      <c r="X65" s="164">
        <f>W65*$L$26</f>
        <v>78072.34</v>
      </c>
      <c r="Y65" s="163">
        <v>2</v>
      </c>
      <c r="Z65" s="164">
        <f>Y65*$L$26*1.5</f>
        <v>117108.51</v>
      </c>
      <c r="AA65" s="280">
        <f t="shared" si="40"/>
        <v>1014940.4199999998</v>
      </c>
    </row>
    <row r="66" spans="2:29" x14ac:dyDescent="0.25">
      <c r="B66" s="281"/>
      <c r="C66" s="163">
        <v>2</v>
      </c>
      <c r="D66" s="164">
        <f>C66*$L$24</f>
        <v>78072.34</v>
      </c>
      <c r="E66" s="163">
        <v>2</v>
      </c>
      <c r="F66" s="164">
        <f>E66*$L$24</f>
        <v>78072.34</v>
      </c>
      <c r="G66" s="163">
        <v>2</v>
      </c>
      <c r="H66" s="164">
        <f>G66*$L$24</f>
        <v>78072.34</v>
      </c>
      <c r="I66" s="163">
        <v>2</v>
      </c>
      <c r="J66" s="164">
        <f>I66*$L$24</f>
        <v>78072.34</v>
      </c>
      <c r="K66" s="163">
        <v>2</v>
      </c>
      <c r="L66" s="164">
        <f>K66*$L$24</f>
        <v>78072.34</v>
      </c>
      <c r="M66" s="163">
        <v>2</v>
      </c>
      <c r="N66" s="164">
        <f>M66*$L$24*1.5</f>
        <v>117108.51</v>
      </c>
      <c r="O66" s="163">
        <v>2</v>
      </c>
      <c r="P66" s="164">
        <f>O66*$L$24</f>
        <v>78072.34</v>
      </c>
      <c r="Q66" s="163">
        <v>2</v>
      </c>
      <c r="R66" s="164">
        <f>Q66*$L$24</f>
        <v>78072.34</v>
      </c>
      <c r="S66" s="163">
        <v>2</v>
      </c>
      <c r="T66" s="164">
        <f>S66*$L$24</f>
        <v>78072.34</v>
      </c>
      <c r="U66" s="163">
        <v>2</v>
      </c>
      <c r="V66" s="164">
        <f>U66*$L$24</f>
        <v>78072.34</v>
      </c>
      <c r="W66" s="163">
        <v>2</v>
      </c>
      <c r="X66" s="164">
        <f>W66*$L$24</f>
        <v>78072.34</v>
      </c>
      <c r="Y66" s="163">
        <v>2</v>
      </c>
      <c r="Z66" s="164">
        <f>Y66*$L$24*1.5</f>
        <v>117108.51</v>
      </c>
      <c r="AA66" s="280">
        <f t="shared" si="40"/>
        <v>1014940.4199999998</v>
      </c>
    </row>
    <row r="67" spans="2:29" x14ac:dyDescent="0.25">
      <c r="B67" s="279"/>
      <c r="C67" s="163">
        <v>1</v>
      </c>
      <c r="D67" s="164">
        <f>C67*$L$25</f>
        <v>19527.37</v>
      </c>
      <c r="E67" s="163">
        <v>1</v>
      </c>
      <c r="F67" s="164">
        <f>E67*$L$25</f>
        <v>19527.37</v>
      </c>
      <c r="G67" s="163">
        <v>1</v>
      </c>
      <c r="H67" s="164">
        <f>G67*$L$25</f>
        <v>19527.37</v>
      </c>
      <c r="I67" s="163">
        <v>1</v>
      </c>
      <c r="J67" s="164">
        <f>I67*$L$25</f>
        <v>19527.37</v>
      </c>
      <c r="K67" s="163">
        <v>1</v>
      </c>
      <c r="L67" s="164">
        <f>K67*$L$25</f>
        <v>19527.37</v>
      </c>
      <c r="M67" s="163">
        <v>1</v>
      </c>
      <c r="N67" s="164">
        <f>M67*$L$25*1.5</f>
        <v>29291.055</v>
      </c>
      <c r="O67" s="163">
        <v>1</v>
      </c>
      <c r="P67" s="164">
        <f>O67*$L$25</f>
        <v>19527.37</v>
      </c>
      <c r="Q67" s="163">
        <v>1</v>
      </c>
      <c r="R67" s="164">
        <f>Q67*$L$25</f>
        <v>19527.37</v>
      </c>
      <c r="S67" s="163">
        <v>1</v>
      </c>
      <c r="T67" s="164">
        <f>S67*$L$25</f>
        <v>19527.37</v>
      </c>
      <c r="U67" s="163">
        <v>1</v>
      </c>
      <c r="V67" s="164">
        <f>U67*$L$25</f>
        <v>19527.37</v>
      </c>
      <c r="W67" s="163">
        <v>1</v>
      </c>
      <c r="X67" s="164">
        <f>W67*$L$25</f>
        <v>19527.37</v>
      </c>
      <c r="Y67" s="163">
        <v>1</v>
      </c>
      <c r="Z67" s="164">
        <f>Y67*$L$25*1.5</f>
        <v>29291.055</v>
      </c>
      <c r="AA67" s="280">
        <f t="shared" si="40"/>
        <v>253855.80999999997</v>
      </c>
    </row>
    <row r="68" spans="2:29" x14ac:dyDescent="0.25">
      <c r="B68" s="279"/>
      <c r="C68" s="163">
        <v>0</v>
      </c>
      <c r="D68" s="164">
        <f>C68*D20</f>
        <v>0</v>
      </c>
      <c r="E68" s="163">
        <v>0</v>
      </c>
      <c r="F68" s="164">
        <f>E68*F20</f>
        <v>0</v>
      </c>
      <c r="G68" s="163">
        <v>0</v>
      </c>
      <c r="H68" s="164">
        <f>G68*H20</f>
        <v>0</v>
      </c>
      <c r="I68" s="163">
        <v>0</v>
      </c>
      <c r="J68" s="164">
        <f>I68*J20</f>
        <v>0</v>
      </c>
      <c r="K68" s="267">
        <v>1</v>
      </c>
      <c r="L68" s="164">
        <f>K68*$L$20</f>
        <v>63422.17</v>
      </c>
      <c r="M68" s="163">
        <v>1</v>
      </c>
      <c r="N68" s="164">
        <f>M68*$L$20*(1+2/12)</f>
        <v>73992.531666666662</v>
      </c>
      <c r="O68" s="163">
        <v>1</v>
      </c>
      <c r="P68" s="164">
        <f>O68*$L$20</f>
        <v>63422.17</v>
      </c>
      <c r="Q68" s="163">
        <v>1</v>
      </c>
      <c r="R68" s="164">
        <f>Q68*$L$20</f>
        <v>63422.17</v>
      </c>
      <c r="S68" s="163">
        <v>1</v>
      </c>
      <c r="T68" s="164">
        <f>S68*$L$20</f>
        <v>63422.17</v>
      </c>
      <c r="U68" s="163">
        <v>1</v>
      </c>
      <c r="V68" s="164">
        <f>U68*$L$20</f>
        <v>63422.17</v>
      </c>
      <c r="W68" s="163">
        <v>1</v>
      </c>
      <c r="X68" s="164">
        <f>W68*$L$20</f>
        <v>63422.17</v>
      </c>
      <c r="Y68" s="163">
        <v>1</v>
      </c>
      <c r="Z68" s="164">
        <f>Y68*$L$20*(1+6/12)</f>
        <v>95133.255000000005</v>
      </c>
      <c r="AA68" s="280">
        <f t="shared" si="40"/>
        <v>549658.80666666664</v>
      </c>
    </row>
    <row r="69" spans="2:29" ht="15.75" x14ac:dyDescent="0.25">
      <c r="B69" s="286" t="s">
        <v>146</v>
      </c>
      <c r="C69" s="34">
        <f t="shared" ref="C69:Z69" si="41">SUM(C58:C68)</f>
        <v>12</v>
      </c>
      <c r="D69" s="266">
        <f t="shared" si="41"/>
        <v>607434.23999999987</v>
      </c>
      <c r="E69" s="34">
        <f t="shared" si="41"/>
        <v>12</v>
      </c>
      <c r="F69" s="266">
        <f t="shared" si="41"/>
        <v>607434.23999999987</v>
      </c>
      <c r="G69" s="34">
        <f t="shared" si="41"/>
        <v>12</v>
      </c>
      <c r="H69" s="266">
        <f t="shared" si="41"/>
        <v>607434.23999999987</v>
      </c>
      <c r="I69" s="34">
        <f t="shared" si="41"/>
        <v>12</v>
      </c>
      <c r="J69" s="266">
        <f t="shared" si="41"/>
        <v>607434.23999999987</v>
      </c>
      <c r="K69" s="34">
        <f t="shared" si="41"/>
        <v>13</v>
      </c>
      <c r="L69" s="266">
        <f t="shared" si="41"/>
        <v>670856.40999999992</v>
      </c>
      <c r="M69" s="34">
        <f t="shared" si="41"/>
        <v>13</v>
      </c>
      <c r="N69" s="266">
        <f t="shared" si="41"/>
        <v>985143.89166666672</v>
      </c>
      <c r="O69" s="34">
        <f t="shared" si="41"/>
        <v>13</v>
      </c>
      <c r="P69" s="266">
        <f t="shared" si="41"/>
        <v>670856.40999999992</v>
      </c>
      <c r="Q69" s="34">
        <f t="shared" si="41"/>
        <v>13</v>
      </c>
      <c r="R69" s="266">
        <f t="shared" si="41"/>
        <v>670856.40999999992</v>
      </c>
      <c r="S69" s="34">
        <f t="shared" si="41"/>
        <v>13</v>
      </c>
      <c r="T69" s="266">
        <f t="shared" si="41"/>
        <v>670856.40999999992</v>
      </c>
      <c r="U69" s="34">
        <f t="shared" si="41"/>
        <v>13</v>
      </c>
      <c r="V69" s="266">
        <f t="shared" si="41"/>
        <v>670856.40999999992</v>
      </c>
      <c r="W69" s="34">
        <f t="shared" si="41"/>
        <v>13</v>
      </c>
      <c r="X69" s="266">
        <f t="shared" si="41"/>
        <v>670856.40999999992</v>
      </c>
      <c r="Y69" s="34">
        <f t="shared" si="41"/>
        <v>13</v>
      </c>
      <c r="Z69" s="266">
        <f t="shared" si="41"/>
        <v>1006284.6150000001</v>
      </c>
      <c r="AA69" s="287">
        <f>Z69+X69+V69+T69+R69+P69+N69+L69+J69+H69+F69+D69</f>
        <v>8446303.9266666677</v>
      </c>
    </row>
    <row r="70" spans="2:29" ht="15.75" thickBot="1" x14ac:dyDescent="0.3">
      <c r="B70" s="288"/>
      <c r="C70" s="289"/>
      <c r="D70" s="289"/>
      <c r="E70" s="289"/>
      <c r="F70" s="289"/>
      <c r="G70" s="289"/>
      <c r="H70" s="289"/>
      <c r="I70" s="289"/>
      <c r="J70" s="289"/>
      <c r="K70" s="289"/>
      <c r="L70" s="289"/>
      <c r="M70" s="289"/>
      <c r="N70" s="289"/>
      <c r="O70" s="289"/>
      <c r="P70" s="289"/>
      <c r="Q70" s="289"/>
      <c r="R70" s="289"/>
      <c r="S70" s="289"/>
      <c r="T70" s="289"/>
      <c r="U70" s="289"/>
      <c r="V70" s="289"/>
      <c r="W70" s="289"/>
      <c r="X70" s="289"/>
      <c r="Y70" s="289"/>
      <c r="Z70" s="289"/>
      <c r="AA70" s="290"/>
    </row>
    <row r="71" spans="2:29" ht="15.75" thickBot="1" x14ac:dyDescent="0.3"/>
    <row r="72" spans="2:29" ht="27" thickBot="1" x14ac:dyDescent="0.45">
      <c r="B72" s="714" t="s">
        <v>148</v>
      </c>
      <c r="C72" s="715"/>
      <c r="D72" s="715"/>
      <c r="E72" s="715"/>
      <c r="F72" s="715"/>
      <c r="G72" s="715"/>
      <c r="H72" s="715"/>
      <c r="I72" s="715"/>
      <c r="J72" s="715"/>
      <c r="K72" s="715"/>
      <c r="L72" s="715"/>
      <c r="M72" s="715"/>
      <c r="N72" s="715"/>
      <c r="O72" s="715"/>
      <c r="P72" s="715"/>
      <c r="Q72" s="715"/>
      <c r="R72" s="715"/>
      <c r="S72" s="715"/>
      <c r="T72" s="715"/>
      <c r="U72" s="715"/>
      <c r="V72" s="715"/>
      <c r="W72" s="715"/>
      <c r="X72" s="715"/>
      <c r="Y72" s="715"/>
      <c r="Z72" s="715"/>
      <c r="AA72" s="716"/>
    </row>
    <row r="73" spans="2:29" ht="15.75" x14ac:dyDescent="0.25">
      <c r="B73" s="727" t="s">
        <v>131</v>
      </c>
      <c r="C73" s="729" t="s">
        <v>40</v>
      </c>
      <c r="D73" s="729"/>
      <c r="E73" s="729" t="s">
        <v>41</v>
      </c>
      <c r="F73" s="729"/>
      <c r="G73" s="729" t="s">
        <v>42</v>
      </c>
      <c r="H73" s="729"/>
      <c r="I73" s="729" t="s">
        <v>43</v>
      </c>
      <c r="J73" s="729"/>
      <c r="K73" s="729" t="s">
        <v>44</v>
      </c>
      <c r="L73" s="729"/>
      <c r="M73" s="729" t="s">
        <v>143</v>
      </c>
      <c r="N73" s="729"/>
      <c r="O73" s="729" t="s">
        <v>46</v>
      </c>
      <c r="P73" s="729"/>
      <c r="Q73" s="729" t="s">
        <v>47</v>
      </c>
      <c r="R73" s="729"/>
      <c r="S73" s="729" t="s">
        <v>48</v>
      </c>
      <c r="T73" s="729"/>
      <c r="U73" s="729" t="s">
        <v>49</v>
      </c>
      <c r="V73" s="729"/>
      <c r="W73" s="729" t="s">
        <v>50</v>
      </c>
      <c r="X73" s="729"/>
      <c r="Y73" s="729" t="s">
        <v>144</v>
      </c>
      <c r="Z73" s="729"/>
      <c r="AA73" s="725" t="s">
        <v>84</v>
      </c>
    </row>
    <row r="74" spans="2:29" ht="15.75" x14ac:dyDescent="0.25">
      <c r="B74" s="728"/>
      <c r="C74" s="265" t="s">
        <v>60</v>
      </c>
      <c r="D74" s="265" t="s">
        <v>71</v>
      </c>
      <c r="E74" s="265" t="s">
        <v>60</v>
      </c>
      <c r="F74" s="265" t="s">
        <v>71</v>
      </c>
      <c r="G74" s="265" t="s">
        <v>60</v>
      </c>
      <c r="H74" s="265" t="s">
        <v>71</v>
      </c>
      <c r="I74" s="265" t="s">
        <v>60</v>
      </c>
      <c r="J74" s="265" t="s">
        <v>71</v>
      </c>
      <c r="K74" s="265" t="s">
        <v>60</v>
      </c>
      <c r="L74" s="265" t="s">
        <v>71</v>
      </c>
      <c r="M74" s="265" t="s">
        <v>60</v>
      </c>
      <c r="N74" s="265" t="s">
        <v>71</v>
      </c>
      <c r="O74" s="265" t="s">
        <v>60</v>
      </c>
      <c r="P74" s="265" t="s">
        <v>71</v>
      </c>
      <c r="Q74" s="265" t="s">
        <v>60</v>
      </c>
      <c r="R74" s="265" t="s">
        <v>71</v>
      </c>
      <c r="S74" s="265" t="s">
        <v>60</v>
      </c>
      <c r="T74" s="265" t="s">
        <v>71</v>
      </c>
      <c r="U74" s="265" t="s">
        <v>60</v>
      </c>
      <c r="V74" s="265" t="s">
        <v>71</v>
      </c>
      <c r="W74" s="265" t="s">
        <v>60</v>
      </c>
      <c r="X74" s="265" t="s">
        <v>71</v>
      </c>
      <c r="Y74" s="265" t="s">
        <v>60</v>
      </c>
      <c r="Z74" s="265" t="s">
        <v>71</v>
      </c>
      <c r="AA74" s="726"/>
    </row>
    <row r="75" spans="2:29" x14ac:dyDescent="0.25">
      <c r="B75" s="279"/>
      <c r="C75" s="163">
        <v>1</v>
      </c>
      <c r="D75" s="164">
        <f>C75*$L$14</f>
        <v>97562.57</v>
      </c>
      <c r="E75" s="163">
        <v>1</v>
      </c>
      <c r="F75" s="164">
        <f>E75*$L$14</f>
        <v>97562.57</v>
      </c>
      <c r="G75" s="163">
        <v>1</v>
      </c>
      <c r="H75" s="164">
        <f>G75*$L$14</f>
        <v>97562.57</v>
      </c>
      <c r="I75" s="163">
        <v>1</v>
      </c>
      <c r="J75" s="164">
        <f>I75*$L$14</f>
        <v>97562.57</v>
      </c>
      <c r="K75" s="163">
        <v>1</v>
      </c>
      <c r="L75" s="164">
        <f>K75*$L$14</f>
        <v>97562.57</v>
      </c>
      <c r="M75" s="163">
        <v>1</v>
      </c>
      <c r="N75" s="164">
        <f>M75*$L$14*1.5</f>
        <v>146343.85500000001</v>
      </c>
      <c r="O75" s="163">
        <v>1</v>
      </c>
      <c r="P75" s="164">
        <f>O75*$L$14</f>
        <v>97562.57</v>
      </c>
      <c r="Q75" s="163">
        <v>1</v>
      </c>
      <c r="R75" s="164">
        <f>Q75*$L$14</f>
        <v>97562.57</v>
      </c>
      <c r="S75" s="163">
        <v>1</v>
      </c>
      <c r="T75" s="164">
        <f>S75*$L$14</f>
        <v>97562.57</v>
      </c>
      <c r="U75" s="163">
        <v>1</v>
      </c>
      <c r="V75" s="164">
        <f>U75*$L$14</f>
        <v>97562.57</v>
      </c>
      <c r="W75" s="163">
        <v>1</v>
      </c>
      <c r="X75" s="164">
        <f>W75*$L$14</f>
        <v>97562.57</v>
      </c>
      <c r="Y75" s="163">
        <v>1</v>
      </c>
      <c r="Z75" s="164">
        <f>Y75*$L$14*1.5</f>
        <v>146343.85500000001</v>
      </c>
      <c r="AA75" s="280">
        <f>D75+F75+H75+J75+L75+N75+P75+R75+T75+V75+X75+Z75</f>
        <v>1268313.4100000004</v>
      </c>
    </row>
    <row r="76" spans="2:29" x14ac:dyDescent="0.25">
      <c r="B76" s="281"/>
      <c r="C76" s="163">
        <v>1</v>
      </c>
      <c r="D76" s="164">
        <f>C76*$L$15</f>
        <v>73176.570000000007</v>
      </c>
      <c r="E76" s="163">
        <v>1</v>
      </c>
      <c r="F76" s="164">
        <f>E76*$L$15</f>
        <v>73176.570000000007</v>
      </c>
      <c r="G76" s="163">
        <v>1</v>
      </c>
      <c r="H76" s="164">
        <f>G76*$L$15</f>
        <v>73176.570000000007</v>
      </c>
      <c r="I76" s="163">
        <v>1</v>
      </c>
      <c r="J76" s="164">
        <f>I76*$L$15</f>
        <v>73176.570000000007</v>
      </c>
      <c r="K76" s="163">
        <v>1</v>
      </c>
      <c r="L76" s="164">
        <f>K76*$L$15</f>
        <v>73176.570000000007</v>
      </c>
      <c r="M76" s="163">
        <v>1</v>
      </c>
      <c r="N76" s="164">
        <f>M76*$L$15*1.5</f>
        <v>109764.85500000001</v>
      </c>
      <c r="O76" s="163">
        <v>1</v>
      </c>
      <c r="P76" s="164">
        <f>O76*$L$15</f>
        <v>73176.570000000007</v>
      </c>
      <c r="Q76" s="163">
        <v>1</v>
      </c>
      <c r="R76" s="164">
        <f>Q76*$L$15</f>
        <v>73176.570000000007</v>
      </c>
      <c r="S76" s="163">
        <v>1</v>
      </c>
      <c r="T76" s="164">
        <f>S76*$L$15</f>
        <v>73176.570000000007</v>
      </c>
      <c r="U76" s="163">
        <v>1</v>
      </c>
      <c r="V76" s="164">
        <f>U76*$L$15</f>
        <v>73176.570000000007</v>
      </c>
      <c r="W76" s="163">
        <v>1</v>
      </c>
      <c r="X76" s="164">
        <f>W76*$L$15</f>
        <v>73176.570000000007</v>
      </c>
      <c r="Y76" s="163">
        <v>1</v>
      </c>
      <c r="Z76" s="164">
        <f>Y76*$L$15*1.5</f>
        <v>109764.85500000001</v>
      </c>
      <c r="AA76" s="280">
        <f t="shared" ref="AA76:AA85" si="42">D76+F76+H76+J76+L76+N76+P76+R76+T76+V76+X76+Z76</f>
        <v>951295.41000000038</v>
      </c>
    </row>
    <row r="77" spans="2:29" x14ac:dyDescent="0.25">
      <c r="B77" s="281"/>
      <c r="C77" s="163">
        <v>1</v>
      </c>
      <c r="D77" s="164">
        <f>C77*$L$27</f>
        <v>63422.17</v>
      </c>
      <c r="E77" s="163">
        <v>1</v>
      </c>
      <c r="F77" s="164">
        <f>E77*$L$27</f>
        <v>63422.17</v>
      </c>
      <c r="G77" s="163">
        <v>1</v>
      </c>
      <c r="H77" s="164">
        <f>G77*$L$27</f>
        <v>63422.17</v>
      </c>
      <c r="I77" s="163">
        <v>1</v>
      </c>
      <c r="J77" s="164">
        <f>I77*$L$27</f>
        <v>63422.17</v>
      </c>
      <c r="K77" s="163">
        <v>1</v>
      </c>
      <c r="L77" s="164">
        <f>K77*$L$27</f>
        <v>63422.17</v>
      </c>
      <c r="M77" s="163">
        <v>1</v>
      </c>
      <c r="N77" s="164">
        <f>M77*$L$27*1.5</f>
        <v>95133.255000000005</v>
      </c>
      <c r="O77" s="163">
        <v>1</v>
      </c>
      <c r="P77" s="164">
        <f>O77*$L$27</f>
        <v>63422.17</v>
      </c>
      <c r="Q77" s="163">
        <v>1</v>
      </c>
      <c r="R77" s="164">
        <f>Q77*$L$27</f>
        <v>63422.17</v>
      </c>
      <c r="S77" s="163">
        <v>1</v>
      </c>
      <c r="T77" s="164">
        <f>S77*$L$27</f>
        <v>63422.17</v>
      </c>
      <c r="U77" s="163">
        <v>1</v>
      </c>
      <c r="V77" s="164">
        <f>U77*$L$27</f>
        <v>63422.17</v>
      </c>
      <c r="W77" s="163">
        <v>1</v>
      </c>
      <c r="X77" s="164">
        <f>W77*$L$27</f>
        <v>63422.17</v>
      </c>
      <c r="Y77" s="163">
        <v>1</v>
      </c>
      <c r="Z77" s="164">
        <f>Y77*$L$27*1.5</f>
        <v>95133.255000000005</v>
      </c>
      <c r="AA77" s="280">
        <f t="shared" si="42"/>
        <v>824488.21000000008</v>
      </c>
    </row>
    <row r="78" spans="2:29" x14ac:dyDescent="0.25">
      <c r="B78" s="281"/>
      <c r="C78" s="163">
        <v>1</v>
      </c>
      <c r="D78" s="164">
        <f>C78*$L$28</f>
        <v>51229.17</v>
      </c>
      <c r="E78" s="163">
        <v>1</v>
      </c>
      <c r="F78" s="164">
        <f>E78*$L$28</f>
        <v>51229.17</v>
      </c>
      <c r="G78" s="163">
        <v>1</v>
      </c>
      <c r="H78" s="164">
        <f>G78*$L$28</f>
        <v>51229.17</v>
      </c>
      <c r="I78" s="163">
        <v>1</v>
      </c>
      <c r="J78" s="164">
        <f>I78*$L$28</f>
        <v>51229.17</v>
      </c>
      <c r="K78" s="163">
        <v>1</v>
      </c>
      <c r="L78" s="164">
        <f>K78*$L$28</f>
        <v>51229.17</v>
      </c>
      <c r="M78" s="163">
        <v>1</v>
      </c>
      <c r="N78" s="164">
        <f>$L$28*M78*(1+6/12)</f>
        <v>76843.755000000005</v>
      </c>
      <c r="O78" s="163">
        <v>1</v>
      </c>
      <c r="P78" s="164">
        <f>O78*$L$28</f>
        <v>51229.17</v>
      </c>
      <c r="Q78" s="163">
        <v>1</v>
      </c>
      <c r="R78" s="164">
        <f>Q78*$L$28</f>
        <v>51229.17</v>
      </c>
      <c r="S78" s="163">
        <v>1</v>
      </c>
      <c r="T78" s="164">
        <f>S78*$L$28</f>
        <v>51229.17</v>
      </c>
      <c r="U78" s="163">
        <v>1</v>
      </c>
      <c r="V78" s="164">
        <f>U78*$L$28</f>
        <v>51229.17</v>
      </c>
      <c r="W78" s="163">
        <v>1</v>
      </c>
      <c r="X78" s="164">
        <f>$L$28*W78</f>
        <v>51229.17</v>
      </c>
      <c r="Y78" s="163">
        <v>1</v>
      </c>
      <c r="Z78" s="164">
        <f>$L$28*Y78*(1+6/12)</f>
        <v>76843.755000000005</v>
      </c>
      <c r="AA78" s="280">
        <f t="shared" si="42"/>
        <v>665979.21</v>
      </c>
    </row>
    <row r="79" spans="2:29" x14ac:dyDescent="0.25">
      <c r="B79" s="281"/>
      <c r="C79" s="163">
        <v>1</v>
      </c>
      <c r="D79" s="164">
        <f>C79*$L$30</f>
        <v>58544.97</v>
      </c>
      <c r="E79" s="163">
        <v>1</v>
      </c>
      <c r="F79" s="164">
        <f>E79*$L$30</f>
        <v>58544.97</v>
      </c>
      <c r="G79" s="163">
        <v>1</v>
      </c>
      <c r="H79" s="164">
        <f>G79*$L$30</f>
        <v>58544.97</v>
      </c>
      <c r="I79" s="163">
        <v>1</v>
      </c>
      <c r="J79" s="164">
        <f>I79*$L$30</f>
        <v>58544.97</v>
      </c>
      <c r="K79" s="163">
        <v>1</v>
      </c>
      <c r="L79" s="164">
        <f>K79*$L$30</f>
        <v>58544.97</v>
      </c>
      <c r="M79" s="163">
        <v>1</v>
      </c>
      <c r="N79" s="164">
        <f>M79*$L$30*1.5</f>
        <v>87817.455000000002</v>
      </c>
      <c r="O79" s="163">
        <v>1</v>
      </c>
      <c r="P79" s="164">
        <f>O79*$L$30</f>
        <v>58544.97</v>
      </c>
      <c r="Q79" s="163">
        <v>1</v>
      </c>
      <c r="R79" s="164">
        <f>Q79*$L$30</f>
        <v>58544.97</v>
      </c>
      <c r="S79" s="163">
        <v>1</v>
      </c>
      <c r="T79" s="164">
        <f>S79*$L$30</f>
        <v>58544.97</v>
      </c>
      <c r="U79" s="163">
        <v>1</v>
      </c>
      <c r="V79" s="164">
        <f>U79*$L$30</f>
        <v>58544.97</v>
      </c>
      <c r="W79" s="163">
        <v>1</v>
      </c>
      <c r="X79" s="164">
        <f>W79*$L$30</f>
        <v>58544.97</v>
      </c>
      <c r="Y79" s="163">
        <v>1</v>
      </c>
      <c r="Z79" s="164">
        <f>Y79*$L$30*1.5</f>
        <v>87817.455000000002</v>
      </c>
      <c r="AA79" s="280">
        <f t="shared" si="42"/>
        <v>761084.60999999987</v>
      </c>
    </row>
    <row r="80" spans="2:29" x14ac:dyDescent="0.25">
      <c r="B80" s="281"/>
      <c r="C80" s="267">
        <v>2</v>
      </c>
      <c r="D80" s="164">
        <f>C80*$L$31</f>
        <v>97581.14</v>
      </c>
      <c r="E80" s="163">
        <v>2</v>
      </c>
      <c r="F80" s="164">
        <f>E80*$L$31</f>
        <v>97581.14</v>
      </c>
      <c r="G80" s="163">
        <v>2</v>
      </c>
      <c r="H80" s="164">
        <f>G80*$L$31</f>
        <v>97581.14</v>
      </c>
      <c r="I80" s="163">
        <v>2</v>
      </c>
      <c r="J80" s="164">
        <f>I80*$L$31</f>
        <v>97581.14</v>
      </c>
      <c r="K80" s="163">
        <v>2</v>
      </c>
      <c r="L80" s="164">
        <f>K80*$L$31</f>
        <v>97581.14</v>
      </c>
      <c r="M80" s="163">
        <v>2</v>
      </c>
      <c r="N80" s="164">
        <f>M80*$L$31*1.5</f>
        <v>146371.71</v>
      </c>
      <c r="O80" s="163">
        <v>2</v>
      </c>
      <c r="P80" s="164">
        <f>O80*$L$31</f>
        <v>97581.14</v>
      </c>
      <c r="Q80" s="163">
        <v>2</v>
      </c>
      <c r="R80" s="164">
        <f>Q80*$L$31</f>
        <v>97581.14</v>
      </c>
      <c r="S80" s="163">
        <v>2</v>
      </c>
      <c r="T80" s="164">
        <f>S80*$L$31</f>
        <v>97581.14</v>
      </c>
      <c r="U80" s="163">
        <v>2</v>
      </c>
      <c r="V80" s="164">
        <f>U80*$L$31</f>
        <v>97581.14</v>
      </c>
      <c r="W80" s="163">
        <v>2</v>
      </c>
      <c r="X80" s="164">
        <f>W80*$L$31</f>
        <v>97581.14</v>
      </c>
      <c r="Y80" s="163">
        <v>2</v>
      </c>
      <c r="Z80" s="164">
        <f>Y80*$L$31*1.5</f>
        <v>146371.71</v>
      </c>
      <c r="AA80" s="280">
        <f t="shared" si="42"/>
        <v>1268554.82</v>
      </c>
      <c r="AC80" s="35"/>
    </row>
    <row r="81" spans="2:27" x14ac:dyDescent="0.25">
      <c r="B81" s="281"/>
      <c r="C81" s="163">
        <v>1</v>
      </c>
      <c r="D81" s="164">
        <f>C81*$L$23</f>
        <v>39036.17</v>
      </c>
      <c r="E81" s="163">
        <v>1</v>
      </c>
      <c r="F81" s="164">
        <f>E81*$L$23</f>
        <v>39036.17</v>
      </c>
      <c r="G81" s="163">
        <v>1</v>
      </c>
      <c r="H81" s="164">
        <f>G81*$L$23</f>
        <v>39036.17</v>
      </c>
      <c r="I81" s="163">
        <v>1</v>
      </c>
      <c r="J81" s="164">
        <f>I81*$L$23</f>
        <v>39036.17</v>
      </c>
      <c r="K81" s="163">
        <v>1</v>
      </c>
      <c r="L81" s="164">
        <f>K81*$L$23</f>
        <v>39036.17</v>
      </c>
      <c r="M81" s="163">
        <v>1</v>
      </c>
      <c r="N81" s="164">
        <f>M81*$L$23*1.5</f>
        <v>58554.254999999997</v>
      </c>
      <c r="O81" s="163">
        <v>1</v>
      </c>
      <c r="P81" s="164">
        <f>O81*$L$23</f>
        <v>39036.17</v>
      </c>
      <c r="Q81" s="163">
        <v>1</v>
      </c>
      <c r="R81" s="164">
        <f>Q81*$L$23</f>
        <v>39036.17</v>
      </c>
      <c r="S81" s="163">
        <v>1</v>
      </c>
      <c r="T81" s="164">
        <f>S81*$L$23</f>
        <v>39036.17</v>
      </c>
      <c r="U81" s="163">
        <v>1</v>
      </c>
      <c r="V81" s="164">
        <f>U81*$L$23</f>
        <v>39036.17</v>
      </c>
      <c r="W81" s="163">
        <v>1</v>
      </c>
      <c r="X81" s="164">
        <f>W81*$L$23</f>
        <v>39036.17</v>
      </c>
      <c r="Y81" s="163">
        <v>1</v>
      </c>
      <c r="Z81" s="164">
        <f>Y81*$L$23*1.5</f>
        <v>58554.254999999997</v>
      </c>
      <c r="AA81" s="280">
        <f t="shared" si="42"/>
        <v>507470.2099999999</v>
      </c>
    </row>
    <row r="82" spans="2:27" x14ac:dyDescent="0.25">
      <c r="B82" s="281"/>
      <c r="C82" s="163">
        <v>2</v>
      </c>
      <c r="D82" s="164">
        <f>C82*$L$26</f>
        <v>78072.34</v>
      </c>
      <c r="E82" s="163">
        <v>2</v>
      </c>
      <c r="F82" s="164">
        <f>E82*$L$26</f>
        <v>78072.34</v>
      </c>
      <c r="G82" s="163">
        <v>2</v>
      </c>
      <c r="H82" s="164">
        <f>G82*$L$26</f>
        <v>78072.34</v>
      </c>
      <c r="I82" s="163">
        <v>2</v>
      </c>
      <c r="J82" s="164">
        <f>I82*$L$26</f>
        <v>78072.34</v>
      </c>
      <c r="K82" s="163">
        <v>2</v>
      </c>
      <c r="L82" s="164">
        <f>K82*$L$26</f>
        <v>78072.34</v>
      </c>
      <c r="M82" s="163">
        <v>2</v>
      </c>
      <c r="N82" s="164">
        <f>M82*$L$26*1.5</f>
        <v>117108.51</v>
      </c>
      <c r="O82" s="163">
        <v>2</v>
      </c>
      <c r="P82" s="164">
        <f>O82*$L$26</f>
        <v>78072.34</v>
      </c>
      <c r="Q82" s="163">
        <v>2</v>
      </c>
      <c r="R82" s="164">
        <f>Q82*$L$26</f>
        <v>78072.34</v>
      </c>
      <c r="S82" s="267">
        <v>3</v>
      </c>
      <c r="T82" s="164">
        <f>S82*$L$26</f>
        <v>117108.51</v>
      </c>
      <c r="U82" s="163">
        <v>3</v>
      </c>
      <c r="V82" s="164">
        <f>U82*$L$26</f>
        <v>117108.51</v>
      </c>
      <c r="W82" s="163">
        <v>3</v>
      </c>
      <c r="X82" s="164">
        <f>W82*$L$26</f>
        <v>117108.51</v>
      </c>
      <c r="Y82" s="163">
        <v>3</v>
      </c>
      <c r="Z82" s="164">
        <f>Y82*$L$26*1.5- (2/6)*$L$26</f>
        <v>162650.70833333331</v>
      </c>
      <c r="AA82" s="280">
        <f t="shared" si="42"/>
        <v>1177591.1283333332</v>
      </c>
    </row>
    <row r="83" spans="2:27" x14ac:dyDescent="0.25">
      <c r="B83" s="281"/>
      <c r="C83" s="163">
        <v>2</v>
      </c>
      <c r="D83" s="164">
        <f>C83*$L$24</f>
        <v>78072.34</v>
      </c>
      <c r="E83" s="163">
        <v>2</v>
      </c>
      <c r="F83" s="164">
        <f>E83*$L$24</f>
        <v>78072.34</v>
      </c>
      <c r="G83" s="163">
        <v>2</v>
      </c>
      <c r="H83" s="164">
        <f>G83*$L$24</f>
        <v>78072.34</v>
      </c>
      <c r="I83" s="163">
        <v>2</v>
      </c>
      <c r="J83" s="164">
        <f>I83*$L$24</f>
        <v>78072.34</v>
      </c>
      <c r="K83" s="163">
        <v>2</v>
      </c>
      <c r="L83" s="164">
        <f>K83*$L$24</f>
        <v>78072.34</v>
      </c>
      <c r="M83" s="163">
        <v>2</v>
      </c>
      <c r="N83" s="164">
        <f>M83*$L$24*1.5</f>
        <v>117108.51</v>
      </c>
      <c r="O83" s="163">
        <v>2</v>
      </c>
      <c r="P83" s="164">
        <f>O83*$L$24</f>
        <v>78072.34</v>
      </c>
      <c r="Q83" s="163">
        <v>2</v>
      </c>
      <c r="R83" s="164">
        <f>Q83*$L$24</f>
        <v>78072.34</v>
      </c>
      <c r="S83" s="267">
        <v>3</v>
      </c>
      <c r="T83" s="164">
        <f>S83*$L$24</f>
        <v>117108.51</v>
      </c>
      <c r="U83" s="163">
        <v>3</v>
      </c>
      <c r="V83" s="164">
        <f>U83*$L$24</f>
        <v>117108.51</v>
      </c>
      <c r="W83" s="163">
        <v>3</v>
      </c>
      <c r="X83" s="164">
        <f>W83*$L$24</f>
        <v>117108.51</v>
      </c>
      <c r="Y83" s="163">
        <v>3</v>
      </c>
      <c r="Z83" s="164">
        <f>Y83*$L$24*1.5 - (2/6)*$L$24</f>
        <v>162650.70833333331</v>
      </c>
      <c r="AA83" s="280">
        <f t="shared" si="42"/>
        <v>1177591.1283333332</v>
      </c>
    </row>
    <row r="84" spans="2:27" x14ac:dyDescent="0.25">
      <c r="B84" s="279"/>
      <c r="C84" s="163">
        <v>1</v>
      </c>
      <c r="D84" s="164">
        <f>C84*$L$25</f>
        <v>19527.37</v>
      </c>
      <c r="E84" s="163">
        <v>1</v>
      </c>
      <c r="F84" s="164">
        <f>E84*$L$25</f>
        <v>19527.37</v>
      </c>
      <c r="G84" s="163">
        <v>1</v>
      </c>
      <c r="H84" s="164">
        <f>G84*$L$25</f>
        <v>19527.37</v>
      </c>
      <c r="I84" s="163">
        <v>1</v>
      </c>
      <c r="J84" s="164">
        <f>I84*$L$25</f>
        <v>19527.37</v>
      </c>
      <c r="K84" s="163">
        <v>1</v>
      </c>
      <c r="L84" s="164">
        <f>K84*$L$25</f>
        <v>19527.37</v>
      </c>
      <c r="M84" s="163">
        <v>1</v>
      </c>
      <c r="N84" s="164">
        <f>M84*$L$25*1.5</f>
        <v>29291.055</v>
      </c>
      <c r="O84" s="163">
        <v>1</v>
      </c>
      <c r="P84" s="164">
        <f>O84*$L$25</f>
        <v>19527.37</v>
      </c>
      <c r="Q84" s="163">
        <v>1</v>
      </c>
      <c r="R84" s="164">
        <f>Q84*$L$25</f>
        <v>19527.37</v>
      </c>
      <c r="S84" s="163">
        <v>1</v>
      </c>
      <c r="T84" s="164">
        <f>S84*$L$25</f>
        <v>19527.37</v>
      </c>
      <c r="U84" s="163">
        <v>1</v>
      </c>
      <c r="V84" s="164">
        <f>U84*$L$25</f>
        <v>19527.37</v>
      </c>
      <c r="W84" s="163">
        <v>1</v>
      </c>
      <c r="X84" s="164">
        <f>W84*$L$25</f>
        <v>19527.37</v>
      </c>
      <c r="Y84" s="163">
        <v>1</v>
      </c>
      <c r="Z84" s="164">
        <f>Y84*$L$25*1.5</f>
        <v>29291.055</v>
      </c>
      <c r="AA84" s="280">
        <f t="shared" si="42"/>
        <v>253855.80999999997</v>
      </c>
    </row>
    <row r="85" spans="2:27" x14ac:dyDescent="0.25">
      <c r="B85" s="279"/>
      <c r="C85" s="163">
        <v>1</v>
      </c>
      <c r="D85" s="164">
        <f>C85*$L$20</f>
        <v>63422.17</v>
      </c>
      <c r="E85" s="163">
        <v>1</v>
      </c>
      <c r="F85" s="164">
        <f>E85*$L$20</f>
        <v>63422.17</v>
      </c>
      <c r="G85" s="163">
        <v>1</v>
      </c>
      <c r="H85" s="164">
        <f>G85*$L$20</f>
        <v>63422.17</v>
      </c>
      <c r="I85" s="163">
        <v>1</v>
      </c>
      <c r="J85" s="164">
        <f>I85*$L$20</f>
        <v>63422.17</v>
      </c>
      <c r="K85" s="163">
        <v>1</v>
      </c>
      <c r="L85" s="164">
        <f>K85*$L$20</f>
        <v>63422.17</v>
      </c>
      <c r="M85" s="163">
        <v>1</v>
      </c>
      <c r="N85" s="164">
        <f>M85*$L$20*(1+6/12)</f>
        <v>95133.255000000005</v>
      </c>
      <c r="O85" s="163">
        <v>1</v>
      </c>
      <c r="P85" s="164">
        <f>O85*$L$20</f>
        <v>63422.17</v>
      </c>
      <c r="Q85" s="163">
        <v>1</v>
      </c>
      <c r="R85" s="164">
        <f>Q85*$L$20</f>
        <v>63422.17</v>
      </c>
      <c r="S85" s="163">
        <v>1</v>
      </c>
      <c r="T85" s="164">
        <f>S85*$L$20</f>
        <v>63422.17</v>
      </c>
      <c r="U85" s="163">
        <v>1</v>
      </c>
      <c r="V85" s="164">
        <f>U85*$L$20</f>
        <v>63422.17</v>
      </c>
      <c r="W85" s="163">
        <v>1</v>
      </c>
      <c r="X85" s="164">
        <f>W85*$L$20</f>
        <v>63422.17</v>
      </c>
      <c r="Y85" s="163">
        <v>1</v>
      </c>
      <c r="Z85" s="164">
        <f>Y85*$L$20*(1+6/12)</f>
        <v>95133.255000000005</v>
      </c>
      <c r="AA85" s="280">
        <f t="shared" si="42"/>
        <v>824488.21000000008</v>
      </c>
    </row>
    <row r="86" spans="2:27" x14ac:dyDescent="0.25">
      <c r="B86" s="279"/>
      <c r="C86" s="163">
        <v>0</v>
      </c>
      <c r="D86" s="164">
        <f>C86*$L$29</f>
        <v>0</v>
      </c>
      <c r="E86" s="267">
        <v>1</v>
      </c>
      <c r="F86" s="164">
        <f>E86*$L$29</f>
        <v>48790.57</v>
      </c>
      <c r="G86" s="163">
        <v>1</v>
      </c>
      <c r="H86" s="164">
        <f>G86*$L$29</f>
        <v>48790.57</v>
      </c>
      <c r="I86" s="163">
        <v>1</v>
      </c>
      <c r="J86" s="164">
        <f>I86*$L$29</f>
        <v>48790.57</v>
      </c>
      <c r="K86" s="163">
        <v>1</v>
      </c>
      <c r="L86" s="164">
        <f>K86*$L$29</f>
        <v>48790.57</v>
      </c>
      <c r="M86" s="163">
        <v>1</v>
      </c>
      <c r="N86" s="164">
        <f>M86*$L$29*(1+5/12)</f>
        <v>69119.974166666667</v>
      </c>
      <c r="O86" s="163">
        <v>1</v>
      </c>
      <c r="P86" s="164">
        <f>O86*$L$29</f>
        <v>48790.57</v>
      </c>
      <c r="Q86" s="163">
        <v>1</v>
      </c>
      <c r="R86" s="164">
        <f>Q86*$L$29</f>
        <v>48790.57</v>
      </c>
      <c r="S86" s="163">
        <v>1</v>
      </c>
      <c r="T86" s="164">
        <f>S86*$L$29</f>
        <v>48790.57</v>
      </c>
      <c r="U86" s="163">
        <v>1</v>
      </c>
      <c r="V86" s="164">
        <f>U86*$L$29</f>
        <v>48790.57</v>
      </c>
      <c r="W86" s="163">
        <v>1</v>
      </c>
      <c r="X86" s="164">
        <f>W86*$L$29</f>
        <v>48790.57</v>
      </c>
      <c r="Y86" s="163">
        <v>1</v>
      </c>
      <c r="Z86" s="164">
        <f>Y86*$L$29*(1+6/12)</f>
        <v>73185.854999999996</v>
      </c>
      <c r="AA86" s="280">
        <f>D86+F86+H86+J86+L86+N86+P86+R86+T86+V86+X86+Z86</f>
        <v>581420.95916666673</v>
      </c>
    </row>
    <row r="87" spans="2:27" ht="16.5" thickBot="1" x14ac:dyDescent="0.3">
      <c r="B87" s="282" t="s">
        <v>146</v>
      </c>
      <c r="C87" s="283">
        <f>SUM(C75:C86)</f>
        <v>14</v>
      </c>
      <c r="D87" s="284">
        <f t="shared" ref="D87:Z87" si="43">SUM(D75:D86)</f>
        <v>719646.98</v>
      </c>
      <c r="E87" s="283">
        <f t="shared" si="43"/>
        <v>15</v>
      </c>
      <c r="F87" s="284">
        <f t="shared" si="43"/>
        <v>768437.54999999993</v>
      </c>
      <c r="G87" s="283">
        <f t="shared" si="43"/>
        <v>15</v>
      </c>
      <c r="H87" s="284">
        <f t="shared" si="43"/>
        <v>768437.54999999993</v>
      </c>
      <c r="I87" s="283">
        <f t="shared" si="43"/>
        <v>15</v>
      </c>
      <c r="J87" s="284">
        <f t="shared" si="43"/>
        <v>768437.54999999993</v>
      </c>
      <c r="K87" s="283">
        <f t="shared" si="43"/>
        <v>15</v>
      </c>
      <c r="L87" s="284">
        <f t="shared" si="43"/>
        <v>768437.54999999993</v>
      </c>
      <c r="M87" s="283">
        <f t="shared" si="43"/>
        <v>15</v>
      </c>
      <c r="N87" s="284">
        <f t="shared" si="43"/>
        <v>1148590.4441666668</v>
      </c>
      <c r="O87" s="283">
        <f t="shared" si="43"/>
        <v>15</v>
      </c>
      <c r="P87" s="284">
        <f t="shared" si="43"/>
        <v>768437.54999999993</v>
      </c>
      <c r="Q87" s="283">
        <f t="shared" si="43"/>
        <v>15</v>
      </c>
      <c r="R87" s="284">
        <f t="shared" si="43"/>
        <v>768437.54999999993</v>
      </c>
      <c r="S87" s="283">
        <f t="shared" si="43"/>
        <v>17</v>
      </c>
      <c r="T87" s="284">
        <f t="shared" si="43"/>
        <v>846509.8899999999</v>
      </c>
      <c r="U87" s="283">
        <f t="shared" si="43"/>
        <v>17</v>
      </c>
      <c r="V87" s="284">
        <f t="shared" si="43"/>
        <v>846509.8899999999</v>
      </c>
      <c r="W87" s="283">
        <f t="shared" si="43"/>
        <v>17</v>
      </c>
      <c r="X87" s="284">
        <f t="shared" si="43"/>
        <v>846509.8899999999</v>
      </c>
      <c r="Y87" s="283">
        <f t="shared" si="43"/>
        <v>17</v>
      </c>
      <c r="Z87" s="284">
        <f t="shared" si="43"/>
        <v>1243740.7216666667</v>
      </c>
      <c r="AA87" s="285">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75" customFormat="1" ht="58.5" customHeight="1" x14ac:dyDescent="0.25">
      <c r="A1" s="477"/>
      <c r="B1" s="477"/>
      <c r="C1" s="477"/>
      <c r="D1" s="477"/>
      <c r="E1" s="477"/>
      <c r="F1" s="480" t="s">
        <v>7</v>
      </c>
      <c r="G1" s="481"/>
      <c r="H1" s="481"/>
      <c r="I1" s="477"/>
      <c r="J1" s="477"/>
      <c r="K1" s="477"/>
      <c r="L1" s="477"/>
      <c r="M1" s="477"/>
      <c r="N1" s="477"/>
      <c r="O1" s="477"/>
    </row>
    <row r="2" spans="1:15" ht="15.75" thickBot="1" x14ac:dyDescent="0.3"/>
    <row r="3" spans="1:15" ht="27" thickBot="1" x14ac:dyDescent="0.45">
      <c r="B3" s="691" t="s">
        <v>35</v>
      </c>
      <c r="C3" s="692"/>
      <c r="D3" s="693"/>
    </row>
    <row r="4" spans="1:15" x14ac:dyDescent="0.25">
      <c r="B4" s="34">
        <v>2019</v>
      </c>
      <c r="C4" s="34">
        <v>2020</v>
      </c>
      <c r="D4" s="34">
        <v>2021</v>
      </c>
    </row>
    <row r="5" spans="1:15" x14ac:dyDescent="0.25">
      <c r="B5" s="40">
        <f>Hipótesis!C24</f>
        <v>0.02</v>
      </c>
      <c r="C5" s="40">
        <f>Hipótesis!C25</f>
        <v>0.05</v>
      </c>
      <c r="D5" s="40">
        <f>Hipótesis!C26</f>
        <v>7.0000000000000007E-2</v>
      </c>
    </row>
    <row r="6" spans="1:15" x14ac:dyDescent="0.25">
      <c r="B6" s="33">
        <f>Hipótesis!D24</f>
        <v>121458400</v>
      </c>
      <c r="C6" s="33">
        <f>Hipótesis!D25</f>
        <v>303646000</v>
      </c>
      <c r="D6" s="33">
        <f>Hipótesis!D26</f>
        <v>425104400.00000006</v>
      </c>
    </row>
    <row r="7" spans="1:15" ht="15.75" thickBot="1" x14ac:dyDescent="0.3">
      <c r="B7" s="162"/>
      <c r="C7" s="162"/>
      <c r="D7" s="162"/>
    </row>
    <row r="8" spans="1:15" ht="27" thickBot="1" x14ac:dyDescent="0.45">
      <c r="B8" s="691" t="s">
        <v>152</v>
      </c>
      <c r="C8" s="692"/>
      <c r="D8" s="693"/>
    </row>
    <row r="9" spans="1:15" x14ac:dyDescent="0.25">
      <c r="B9" s="34">
        <v>2019</v>
      </c>
      <c r="C9" s="34">
        <v>2020</v>
      </c>
      <c r="D9" s="34">
        <v>2021</v>
      </c>
    </row>
    <row r="10" spans="1:15" x14ac:dyDescent="0.25">
      <c r="A10" s="269" t="s">
        <v>149</v>
      </c>
      <c r="B10" s="268">
        <f>'Costos fijos'!$G$5</f>
        <v>2343935.7000000002</v>
      </c>
      <c r="C10" s="268">
        <f>'Costos fijos'!$H$5</f>
        <v>2614351.9749999996</v>
      </c>
      <c r="D10" s="268">
        <f>'Costos fijos'!$I$5</f>
        <v>2971977.4835000001</v>
      </c>
    </row>
    <row r="11" spans="1:15" x14ac:dyDescent="0.25">
      <c r="A11" s="269" t="s">
        <v>150</v>
      </c>
      <c r="B11" s="268" t="e">
        <f>'Costos variables'!$H$6</f>
        <v>#REF!</v>
      </c>
      <c r="C11" s="268" t="e">
        <f>'Costos variables'!$I$6</f>
        <v>#REF!</v>
      </c>
      <c r="D11" s="268" t="e">
        <f>'Costos variables'!$J$6</f>
        <v>#REF!</v>
      </c>
    </row>
    <row r="12" spans="1:15" x14ac:dyDescent="0.25">
      <c r="A12" s="269" t="s">
        <v>151</v>
      </c>
      <c r="B12" s="268">
        <f>'Costos RRHH'!$H$6</f>
        <v>7341662.4450000012</v>
      </c>
      <c r="C12" s="268">
        <f>'Costos RRHH'!$I$6</f>
        <v>8446303.9266666677</v>
      </c>
      <c r="D12" s="268">
        <f>'Costos RRHH'!$J$6</f>
        <v>10262133.115833335</v>
      </c>
    </row>
    <row r="13" spans="1:15" x14ac:dyDescent="0.25">
      <c r="A13" s="269" t="s">
        <v>152</v>
      </c>
      <c r="B13" s="270" t="e">
        <f t="shared" ref="B13:D13" si="0">SUM(B9:B12)</f>
        <v>#REF!</v>
      </c>
      <c r="C13" s="270" t="e">
        <f t="shared" si="0"/>
        <v>#REF!</v>
      </c>
      <c r="D13" s="270" t="e">
        <f t="shared" si="0"/>
        <v>#REF!</v>
      </c>
    </row>
    <row r="14" spans="1:15" x14ac:dyDescent="0.25">
      <c r="A14" s="269" t="s">
        <v>153</v>
      </c>
      <c r="B14" s="268">
        <f>$B$6</f>
        <v>121458400</v>
      </c>
      <c r="C14" s="268">
        <f>$C$6</f>
        <v>303646000</v>
      </c>
      <c r="D14" s="268">
        <f>$D$6</f>
        <v>425104400.00000006</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2020-09-02T01:03:55Z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