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ico\Documents\GitHub\CareMonitor-NicolasRubino\SAP\"/>
    </mc:Choice>
  </mc:AlternateContent>
  <bookViews>
    <workbookView xWindow="-120" yWindow="-120" windowWidth="29040" windowHeight="15840" tabRatio="829" firstSheet="8" activeTab="15"/>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 name="Presupuesto Financiero" sheetId="32" r:id="rId12"/>
    <sheet name="Matriz Riesgos" sheetId="33" r:id="rId13"/>
    <sheet name="Escenario 1" sheetId="34" r:id="rId14"/>
    <sheet name="Escenario 2" sheetId="35" r:id="rId15"/>
    <sheet name="Escenario 3" sheetId="36" r:id="rId16"/>
    <sheet name="Plan de Contingencia" sheetId="37" r:id="rId17"/>
  </sheets>
  <externalReferences>
    <externalReference r:id="rId18"/>
  </externalReference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 i="36" l="1"/>
  <c r="L6" i="36"/>
  <c r="F8" i="36" s="1"/>
  <c r="M21" i="36"/>
  <c r="G17" i="36" s="1"/>
  <c r="L21" i="36"/>
  <c r="F17" i="36" s="1"/>
  <c r="K21" i="36"/>
  <c r="J21" i="36"/>
  <c r="H21" i="36"/>
  <c r="E17" i="36"/>
  <c r="D17" i="36"/>
  <c r="D18" i="36" s="1"/>
  <c r="M16" i="36"/>
  <c r="L16" i="36"/>
  <c r="K16" i="36"/>
  <c r="E15" i="36"/>
  <c r="M12" i="36"/>
  <c r="G11" i="36" s="1"/>
  <c r="L12" i="36"/>
  <c r="K12" i="36"/>
  <c r="M11" i="36"/>
  <c r="L11" i="36"/>
  <c r="F10" i="36" s="1"/>
  <c r="K11" i="36"/>
  <c r="E10" i="36" s="1"/>
  <c r="F11" i="36"/>
  <c r="E11" i="36"/>
  <c r="M10" i="36"/>
  <c r="L10" i="36"/>
  <c r="K10" i="36"/>
  <c r="E9" i="36" s="1"/>
  <c r="G10" i="36"/>
  <c r="G9" i="36"/>
  <c r="F9" i="36"/>
  <c r="E8" i="36"/>
  <c r="E12" i="36" s="1"/>
  <c r="G8" i="36"/>
  <c r="G12" i="36" s="1"/>
  <c r="K6" i="36"/>
  <c r="M5" i="36"/>
  <c r="L5" i="36"/>
  <c r="K5" i="36"/>
  <c r="M6" i="35"/>
  <c r="L6" i="35"/>
  <c r="M21" i="35"/>
  <c r="L21" i="35"/>
  <c r="K21" i="35"/>
  <c r="H21" i="35" s="1"/>
  <c r="J21" i="35"/>
  <c r="G17" i="35"/>
  <c r="F17" i="35"/>
  <c r="E17" i="35"/>
  <c r="D17" i="35"/>
  <c r="D18" i="35" s="1"/>
  <c r="E15" i="35"/>
  <c r="M16" i="35"/>
  <c r="L16" i="35"/>
  <c r="K16" i="35"/>
  <c r="E11" i="35"/>
  <c r="M12" i="35"/>
  <c r="G11" i="35" s="1"/>
  <c r="L12" i="35"/>
  <c r="F11" i="35" s="1"/>
  <c r="K12" i="35"/>
  <c r="E8" i="35"/>
  <c r="M11" i="35"/>
  <c r="G10" i="35" s="1"/>
  <c r="L11" i="35"/>
  <c r="F10" i="35" s="1"/>
  <c r="K11" i="35"/>
  <c r="E10" i="35" s="1"/>
  <c r="M10" i="35"/>
  <c r="G9" i="35" s="1"/>
  <c r="L10" i="35"/>
  <c r="F9" i="35" s="1"/>
  <c r="K10" i="35"/>
  <c r="E9" i="35" s="1"/>
  <c r="G8" i="35"/>
  <c r="G12" i="35" s="1"/>
  <c r="F8" i="35"/>
  <c r="K6" i="35"/>
  <c r="M5" i="35"/>
  <c r="L5" i="35"/>
  <c r="K5" i="35"/>
  <c r="L6" i="34"/>
  <c r="F8" i="34" s="1"/>
  <c r="M6" i="34"/>
  <c r="G8" i="34" s="1"/>
  <c r="M21" i="34"/>
  <c r="L21" i="34"/>
  <c r="K21" i="34"/>
  <c r="H21" i="34" s="1"/>
  <c r="J21" i="34"/>
  <c r="G17" i="34"/>
  <c r="F17" i="34"/>
  <c r="E17" i="34"/>
  <c r="D17" i="34"/>
  <c r="D18" i="34" s="1"/>
  <c r="E15" i="34"/>
  <c r="M16" i="34"/>
  <c r="L16" i="34"/>
  <c r="K16" i="34"/>
  <c r="G11" i="34"/>
  <c r="M12" i="34"/>
  <c r="L12" i="34"/>
  <c r="F11" i="34" s="1"/>
  <c r="K12" i="34"/>
  <c r="E11" i="34" s="1"/>
  <c r="M11" i="34"/>
  <c r="G10" i="34" s="1"/>
  <c r="L11" i="34"/>
  <c r="F10" i="34" s="1"/>
  <c r="K11" i="34"/>
  <c r="E10" i="34" s="1"/>
  <c r="M10" i="34"/>
  <c r="G9" i="34" s="1"/>
  <c r="L10" i="34"/>
  <c r="F9" i="34" s="1"/>
  <c r="K10" i="34"/>
  <c r="E9" i="34" s="1"/>
  <c r="K6" i="34"/>
  <c r="E8" i="34" s="1"/>
  <c r="M5" i="34"/>
  <c r="L5" i="34"/>
  <c r="K5" i="34"/>
  <c r="I28" i="32"/>
  <c r="G14" i="36" l="1"/>
  <c r="E16" i="36"/>
  <c r="E18" i="36" s="1"/>
  <c r="E14" i="36"/>
  <c r="F15" i="36" s="1"/>
  <c r="F12" i="36"/>
  <c r="G14" i="35"/>
  <c r="F12" i="35"/>
  <c r="E12" i="35"/>
  <c r="E12" i="34"/>
  <c r="F12" i="34"/>
  <c r="G12" i="34"/>
  <c r="F16" i="36" l="1"/>
  <c r="F18" i="36" s="1"/>
  <c r="F14" i="36"/>
  <c r="G15" i="36" s="1"/>
  <c r="G16" i="36" s="1"/>
  <c r="G18" i="36" s="1"/>
  <c r="E16" i="35"/>
  <c r="E18" i="35" s="1"/>
  <c r="E14" i="35"/>
  <c r="F15" i="35" s="1"/>
  <c r="F14" i="35"/>
  <c r="G15" i="35" s="1"/>
  <c r="G16" i="35" s="1"/>
  <c r="G18" i="35" s="1"/>
  <c r="F16" i="35"/>
  <c r="F18" i="35" s="1"/>
  <c r="G14" i="34"/>
  <c r="F14" i="34"/>
  <c r="G15" i="34" s="1"/>
  <c r="G16" i="34" s="1"/>
  <c r="G18" i="34" s="1"/>
  <c r="F16" i="34"/>
  <c r="F18" i="34" s="1"/>
  <c r="E16" i="34"/>
  <c r="E18" i="34" s="1"/>
  <c r="E14" i="34"/>
  <c r="F15" i="34" s="1"/>
  <c r="H22" i="36" l="1"/>
  <c r="H22" i="35"/>
  <c r="H22" i="34"/>
  <c r="M21" i="31" l="1"/>
  <c r="G29" i="31"/>
  <c r="M29" i="31" s="1"/>
  <c r="H16" i="31"/>
  <c r="G17" i="31"/>
  <c r="K17" i="31" s="1"/>
  <c r="D5" i="29"/>
  <c r="C5" i="29"/>
  <c r="B5" i="29"/>
  <c r="D10" i="29"/>
  <c r="C10" i="29"/>
  <c r="I5" i="22"/>
  <c r="H5" i="22"/>
  <c r="H63" i="22"/>
  <c r="G63" i="22"/>
  <c r="F63" i="22"/>
  <c r="E63" i="22"/>
  <c r="D63" i="22"/>
  <c r="C63" i="22"/>
  <c r="B63" i="22"/>
  <c r="M62" i="22"/>
  <c r="L62" i="22"/>
  <c r="K62" i="22"/>
  <c r="J62" i="22"/>
  <c r="I62" i="22"/>
  <c r="M57" i="22"/>
  <c r="L57" i="22"/>
  <c r="K57" i="22"/>
  <c r="J57" i="22"/>
  <c r="I57" i="22"/>
  <c r="M55" i="22"/>
  <c r="L55" i="22"/>
  <c r="K55" i="22"/>
  <c r="J55" i="22"/>
  <c r="I55" i="22"/>
  <c r="M54" i="22"/>
  <c r="L54" i="22"/>
  <c r="K54" i="22"/>
  <c r="J54" i="22"/>
  <c r="I54" i="22"/>
  <c r="M53" i="22"/>
  <c r="L53" i="22"/>
  <c r="K53" i="22"/>
  <c r="J53" i="22"/>
  <c r="I53" i="22"/>
  <c r="H48" i="22"/>
  <c r="G48" i="22"/>
  <c r="F48" i="22"/>
  <c r="E48" i="22"/>
  <c r="D48" i="22"/>
  <c r="C48" i="22"/>
  <c r="B48" i="22"/>
  <c r="M47" i="22"/>
  <c r="L47" i="22"/>
  <c r="K47" i="22"/>
  <c r="J47" i="22"/>
  <c r="I47" i="22"/>
  <c r="M42" i="22"/>
  <c r="L42" i="22"/>
  <c r="K42" i="22"/>
  <c r="J42" i="22"/>
  <c r="I42" i="22"/>
  <c r="M40" i="22"/>
  <c r="L40" i="22"/>
  <c r="K40" i="22"/>
  <c r="J40" i="22"/>
  <c r="I40" i="22"/>
  <c r="M39" i="22"/>
  <c r="L39" i="22"/>
  <c r="K39" i="22"/>
  <c r="J39" i="22"/>
  <c r="I39" i="22"/>
  <c r="M38" i="22"/>
  <c r="M48" i="22" s="1"/>
  <c r="L38" i="22"/>
  <c r="K38" i="22"/>
  <c r="J38" i="22"/>
  <c r="I38" i="22"/>
  <c r="M32" i="22"/>
  <c r="L32" i="22"/>
  <c r="K32" i="22"/>
  <c r="J32" i="22"/>
  <c r="I32" i="22"/>
  <c r="M25" i="22"/>
  <c r="L25" i="22"/>
  <c r="K25" i="22"/>
  <c r="J25" i="22"/>
  <c r="I25" i="22"/>
  <c r="I24" i="22"/>
  <c r="J24" i="22"/>
  <c r="K24" i="22"/>
  <c r="L24" i="22"/>
  <c r="M24" i="22"/>
  <c r="M23" i="22"/>
  <c r="L23" i="22"/>
  <c r="K23" i="22"/>
  <c r="J23" i="22"/>
  <c r="I23" i="22"/>
  <c r="E19" i="32"/>
  <c r="G11" i="31"/>
  <c r="G14" i="31"/>
  <c r="G15" i="31"/>
  <c r="M16" i="31" s="1"/>
  <c r="G19" i="31"/>
  <c r="G20" i="31"/>
  <c r="G23" i="31"/>
  <c r="G26" i="31"/>
  <c r="H30" i="31"/>
  <c r="K29" i="31" l="1"/>
  <c r="L29" i="31"/>
  <c r="M17" i="31"/>
  <c r="L16" i="31"/>
  <c r="L17" i="31"/>
  <c r="I63" i="22"/>
  <c r="K63" i="22"/>
  <c r="M63" i="22"/>
  <c r="J48" i="22"/>
  <c r="J63" i="22"/>
  <c r="L63" i="22"/>
  <c r="K48" i="22"/>
  <c r="I48" i="22"/>
  <c r="L48" i="22"/>
  <c r="N48" i="22"/>
  <c r="N63" i="22" l="1"/>
  <c r="I27" i="31" l="1"/>
  <c r="M27" i="31" s="1"/>
  <c r="I24" i="31"/>
  <c r="M24" i="31" s="1"/>
  <c r="I21" i="31"/>
  <c r="J13" i="31"/>
  <c r="I12" i="31"/>
  <c r="E46" i="30"/>
  <c r="E45" i="30"/>
  <c r="E44" i="30"/>
  <c r="E43" i="30"/>
  <c r="E42" i="30"/>
  <c r="E41" i="30"/>
  <c r="E40" i="30"/>
  <c r="E39" i="30"/>
  <c r="E38" i="30"/>
  <c r="E14" i="32"/>
  <c r="M11" i="32"/>
  <c r="G14" i="32" s="1"/>
  <c r="L11" i="32"/>
  <c r="F14" i="32" s="1"/>
  <c r="K11" i="32"/>
  <c r="M6" i="32"/>
  <c r="L6" i="32"/>
  <c r="F12" i="32" s="1"/>
  <c r="K6" i="32"/>
  <c r="E12" i="32" s="1"/>
  <c r="M5" i="32"/>
  <c r="L5" i="32"/>
  <c r="K5" i="32"/>
  <c r="G12" i="32"/>
  <c r="E47" i="30" l="1"/>
  <c r="H5" i="30" s="1"/>
  <c r="L21" i="32" s="1"/>
  <c r="M30" i="31" l="1"/>
  <c r="J18" i="31"/>
  <c r="M14" i="31"/>
  <c r="J22" i="31"/>
  <c r="K20" i="31"/>
  <c r="L30" i="31" l="1"/>
  <c r="M20" i="31"/>
  <c r="L14" i="31"/>
  <c r="K14" i="31"/>
  <c r="L20" i="31"/>
  <c r="J28" i="31" l="1"/>
  <c r="M26" i="31"/>
  <c r="J25" i="31"/>
  <c r="L23" i="31"/>
  <c r="M19" i="31"/>
  <c r="K15" i="31"/>
  <c r="M12" i="31"/>
  <c r="M11" i="31"/>
  <c r="D5" i="31"/>
  <c r="C5" i="31"/>
  <c r="B5" i="31"/>
  <c r="M18" i="31" l="1"/>
  <c r="K19" i="31"/>
  <c r="K23" i="31"/>
  <c r="M23" i="31"/>
  <c r="L15" i="31"/>
  <c r="K26" i="31"/>
  <c r="K11" i="31"/>
  <c r="M15" i="31"/>
  <c r="L19" i="31"/>
  <c r="L26" i="31"/>
  <c r="L11" i="31"/>
  <c r="K31" i="31" l="1"/>
  <c r="F5" i="31" s="1"/>
  <c r="K16" i="32" s="1"/>
  <c r="L31" i="31"/>
  <c r="G5" i="31" s="1"/>
  <c r="L16" i="32" s="1"/>
  <c r="M31" i="31"/>
  <c r="H5" i="31" s="1"/>
  <c r="M16" i="32" s="1"/>
  <c r="E59" i="30" l="1"/>
  <c r="E58" i="30"/>
  <c r="E57" i="30"/>
  <c r="E56" i="30"/>
  <c r="E55" i="30"/>
  <c r="E54" i="30"/>
  <c r="E53" i="30"/>
  <c r="E52" i="30"/>
  <c r="E51" i="30"/>
  <c r="E33" i="30"/>
  <c r="E32" i="30"/>
  <c r="E31" i="30"/>
  <c r="E30" i="30"/>
  <c r="E29" i="30"/>
  <c r="E28" i="30"/>
  <c r="E27" i="30"/>
  <c r="E26" i="30"/>
  <c r="E25" i="30"/>
  <c r="E19" i="30"/>
  <c r="E15" i="30"/>
  <c r="E14" i="30"/>
  <c r="E17" i="30"/>
  <c r="E12" i="30"/>
  <c r="E13" i="30"/>
  <c r="D5" i="30"/>
  <c r="C5" i="30"/>
  <c r="B5" i="30"/>
  <c r="E18" i="30"/>
  <c r="E16" i="30"/>
  <c r="E11" i="30"/>
  <c r="E34" i="30" l="1"/>
  <c r="G5" i="30" s="1"/>
  <c r="E60" i="30"/>
  <c r="I5" i="30" s="1"/>
  <c r="M21" i="32" s="1"/>
  <c r="G21" i="32" s="1"/>
  <c r="E21" i="30"/>
  <c r="F5" i="30" s="1"/>
  <c r="J21" i="32" s="1"/>
  <c r="D21" i="32" s="1"/>
  <c r="D22" i="32" s="1"/>
  <c r="F21" i="32" l="1"/>
  <c r="K21" i="32"/>
  <c r="E21" i="32" s="1"/>
  <c r="I27" i="32"/>
  <c r="D6" i="28" l="1"/>
  <c r="C6" i="28"/>
  <c r="B6" i="28"/>
  <c r="Y85" i="28" l="1"/>
  <c r="W85" i="28"/>
  <c r="U85" i="28"/>
  <c r="S85" i="28"/>
  <c r="Q85" i="28"/>
  <c r="O85" i="28"/>
  <c r="M85" i="28"/>
  <c r="K85" i="28"/>
  <c r="I85" i="28"/>
  <c r="G85" i="28"/>
  <c r="E85" i="28"/>
  <c r="C85" i="28"/>
  <c r="Y62" i="28"/>
  <c r="W62" i="28"/>
  <c r="U62" i="28"/>
  <c r="S62" i="28"/>
  <c r="Q62" i="28"/>
  <c r="O62" i="28"/>
  <c r="M62" i="28"/>
  <c r="K62" i="28"/>
  <c r="I62" i="28"/>
  <c r="G62" i="28"/>
  <c r="E62" i="28"/>
  <c r="C62"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48" i="28"/>
  <c r="W48" i="28"/>
  <c r="U48" i="28"/>
  <c r="S48" i="28"/>
  <c r="Q48" i="28"/>
  <c r="O48" i="28"/>
  <c r="M48" i="28"/>
  <c r="K48" i="28"/>
  <c r="I48" i="28"/>
  <c r="G48" i="28"/>
  <c r="E48" i="28"/>
  <c r="C48"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L28" i="28" s="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K18" i="28"/>
  <c r="L18" i="28" s="1"/>
  <c r="K35" i="28"/>
  <c r="L35" i="28" s="1"/>
  <c r="K16" i="28"/>
  <c r="L16" i="28" s="1"/>
  <c r="K19" i="28"/>
  <c r="L19" i="28" s="1"/>
  <c r="K21" i="28"/>
  <c r="L21" i="28" s="1"/>
  <c r="K23" i="28"/>
  <c r="L23" i="28" s="1"/>
  <c r="B107" i="20"/>
  <c r="B108" i="20" s="1"/>
  <c r="Z81" i="28" l="1"/>
  <c r="N81" i="28"/>
  <c r="X81" i="28"/>
  <c r="V81" i="28"/>
  <c r="T81" i="28"/>
  <c r="R81" i="28"/>
  <c r="P81" i="28"/>
  <c r="L81" i="28"/>
  <c r="J81" i="28"/>
  <c r="H81" i="28"/>
  <c r="F81" i="28"/>
  <c r="D81" i="28"/>
  <c r="Z84" i="28"/>
  <c r="N84" i="28"/>
  <c r="X84" i="28"/>
  <c r="V84" i="28"/>
  <c r="T84" i="28"/>
  <c r="R84" i="28"/>
  <c r="P84" i="28"/>
  <c r="L84" i="28"/>
  <c r="J84" i="28"/>
  <c r="H84" i="28"/>
  <c r="F84" i="28"/>
  <c r="D84" i="28"/>
  <c r="D78" i="28"/>
  <c r="Z78" i="28"/>
  <c r="N78" i="28"/>
  <c r="X78" i="28"/>
  <c r="V78" i="28"/>
  <c r="T78" i="28"/>
  <c r="R78" i="28"/>
  <c r="P78" i="28"/>
  <c r="L78" i="28"/>
  <c r="J78" i="28"/>
  <c r="H78" i="28"/>
  <c r="F78" i="28"/>
  <c r="Z83" i="28"/>
  <c r="N83" i="28"/>
  <c r="X83" i="28"/>
  <c r="V83" i="28"/>
  <c r="T83" i="28"/>
  <c r="R83" i="28"/>
  <c r="P83" i="28"/>
  <c r="L83" i="28"/>
  <c r="J83" i="28"/>
  <c r="H83" i="28"/>
  <c r="F83" i="28"/>
  <c r="D83" i="28"/>
  <c r="V76" i="28"/>
  <c r="P76" i="28"/>
  <c r="X76" i="28"/>
  <c r="F76" i="28"/>
  <c r="T76" i="28"/>
  <c r="J76" i="28"/>
  <c r="L76" i="28"/>
  <c r="R76" i="28"/>
  <c r="Z76" i="28"/>
  <c r="N76" i="28"/>
  <c r="H76" i="28"/>
  <c r="D76" i="28"/>
  <c r="Z80" i="28"/>
  <c r="N80" i="28"/>
  <c r="X80" i="28"/>
  <c r="V80" i="28"/>
  <c r="T80" i="28"/>
  <c r="R80" i="28"/>
  <c r="P80" i="28"/>
  <c r="L80" i="28"/>
  <c r="J80" i="28"/>
  <c r="H80" i="28"/>
  <c r="F80" i="28"/>
  <c r="D80" i="28"/>
  <c r="T77" i="28"/>
  <c r="L77" i="28"/>
  <c r="F77" i="28"/>
  <c r="J77" i="28"/>
  <c r="N77" i="28"/>
  <c r="Z77" i="28"/>
  <c r="V77" i="28"/>
  <c r="X77" i="28"/>
  <c r="P77" i="28"/>
  <c r="H77" i="28"/>
  <c r="D77" i="28"/>
  <c r="R77" i="28"/>
  <c r="Z82" i="28"/>
  <c r="N82" i="28"/>
  <c r="X82" i="28"/>
  <c r="V82" i="28"/>
  <c r="T82" i="28"/>
  <c r="R82" i="28"/>
  <c r="P82" i="28"/>
  <c r="L82" i="28"/>
  <c r="J82" i="28"/>
  <c r="H82" i="28"/>
  <c r="F82" i="28"/>
  <c r="D82" i="28"/>
  <c r="Z79" i="28"/>
  <c r="N79" i="28"/>
  <c r="X79" i="28"/>
  <c r="V79" i="28"/>
  <c r="T79" i="28"/>
  <c r="R79" i="28"/>
  <c r="P79" i="28"/>
  <c r="L79" i="28"/>
  <c r="J79" i="28"/>
  <c r="H79" i="28"/>
  <c r="F79" i="28"/>
  <c r="D79" i="28"/>
  <c r="R75" i="28"/>
  <c r="D75" i="28"/>
  <c r="X75" i="28"/>
  <c r="V75" i="28"/>
  <c r="N75" i="28"/>
  <c r="F75" i="28"/>
  <c r="Z75" i="28"/>
  <c r="H75" i="28"/>
  <c r="T75" i="28"/>
  <c r="P75" i="28"/>
  <c r="J75" i="28"/>
  <c r="L75" i="28"/>
  <c r="Z74" i="28"/>
  <c r="X74" i="28"/>
  <c r="V74" i="28"/>
  <c r="T74" i="28"/>
  <c r="R74" i="28"/>
  <c r="P74" i="28"/>
  <c r="N74" i="28"/>
  <c r="L74" i="28"/>
  <c r="D74" i="28"/>
  <c r="J74" i="28"/>
  <c r="H74" i="28"/>
  <c r="F74" i="28"/>
  <c r="Z70" i="28"/>
  <c r="X70" i="28"/>
  <c r="V70" i="28"/>
  <c r="T70" i="28"/>
  <c r="D70" i="28"/>
  <c r="R70" i="28"/>
  <c r="P70" i="28"/>
  <c r="N70" i="28"/>
  <c r="J70" i="28"/>
  <c r="L70" i="28"/>
  <c r="H70" i="28"/>
  <c r="F70" i="28"/>
  <c r="Z72" i="28"/>
  <c r="X72" i="28"/>
  <c r="V72" i="28"/>
  <c r="T72" i="28"/>
  <c r="R72" i="28"/>
  <c r="P72" i="28"/>
  <c r="N72" i="28"/>
  <c r="L72" i="28"/>
  <c r="J72" i="28"/>
  <c r="D72" i="28"/>
  <c r="H72" i="28"/>
  <c r="F72" i="28"/>
  <c r="Z68" i="28"/>
  <c r="X68" i="28"/>
  <c r="V68" i="28"/>
  <c r="T68" i="28"/>
  <c r="R68" i="28"/>
  <c r="P68" i="28"/>
  <c r="D68" i="28"/>
  <c r="N68" i="28"/>
  <c r="L68" i="28"/>
  <c r="J68" i="28"/>
  <c r="H68" i="28"/>
  <c r="F68" i="28"/>
  <c r="Z73" i="28"/>
  <c r="D73" i="28"/>
  <c r="X73" i="28"/>
  <c r="V73" i="28"/>
  <c r="T73" i="28"/>
  <c r="R73" i="28"/>
  <c r="P73" i="28"/>
  <c r="N73" i="28"/>
  <c r="L73" i="28"/>
  <c r="J73" i="28"/>
  <c r="H73" i="28"/>
  <c r="F73" i="28"/>
  <c r="Z71" i="28"/>
  <c r="X71" i="28"/>
  <c r="V71" i="28"/>
  <c r="D71" i="28"/>
  <c r="T71" i="28"/>
  <c r="R71" i="28"/>
  <c r="P71" i="28"/>
  <c r="N71" i="28"/>
  <c r="L71" i="28"/>
  <c r="J71" i="28"/>
  <c r="H71" i="28"/>
  <c r="F71" i="28"/>
  <c r="Z69" i="28"/>
  <c r="X69" i="28"/>
  <c r="V69" i="28"/>
  <c r="T69" i="28"/>
  <c r="R69" i="28"/>
  <c r="P69" i="28"/>
  <c r="N69" i="28"/>
  <c r="L69" i="28"/>
  <c r="J69" i="28"/>
  <c r="H69" i="28"/>
  <c r="F69" i="28"/>
  <c r="D69" i="28"/>
  <c r="X60" i="28"/>
  <c r="R60" i="28"/>
  <c r="J60" i="28"/>
  <c r="Z60" i="28"/>
  <c r="D60" i="28"/>
  <c r="V60" i="28"/>
  <c r="P60" i="28"/>
  <c r="H60" i="28"/>
  <c r="N60" i="28"/>
  <c r="T60" i="28"/>
  <c r="L60" i="28"/>
  <c r="F60" i="28"/>
  <c r="Z61" i="28"/>
  <c r="D61" i="28"/>
  <c r="V61" i="28"/>
  <c r="P61" i="28"/>
  <c r="H61" i="28"/>
  <c r="N61" i="28"/>
  <c r="T61" i="28"/>
  <c r="L61" i="28"/>
  <c r="F61" i="28"/>
  <c r="X61" i="28"/>
  <c r="R61" i="28"/>
  <c r="J61" i="28"/>
  <c r="Z55" i="28"/>
  <c r="X55" i="28"/>
  <c r="V55" i="28"/>
  <c r="T55" i="28"/>
  <c r="R55" i="28"/>
  <c r="D55" i="28"/>
  <c r="P55" i="28"/>
  <c r="N55" i="28"/>
  <c r="L55" i="28"/>
  <c r="J55" i="28"/>
  <c r="H55" i="28"/>
  <c r="F55" i="28"/>
  <c r="Z59" i="28"/>
  <c r="D59" i="28"/>
  <c r="X59" i="28"/>
  <c r="V59" i="28"/>
  <c r="T59" i="28"/>
  <c r="R59" i="28"/>
  <c r="P59" i="28"/>
  <c r="N59" i="28"/>
  <c r="L59" i="28"/>
  <c r="J59" i="28"/>
  <c r="H59" i="28"/>
  <c r="F59" i="28"/>
  <c r="Z56" i="28"/>
  <c r="X56" i="28"/>
  <c r="V56" i="28"/>
  <c r="H56" i="28"/>
  <c r="F56" i="28"/>
  <c r="T56" i="28"/>
  <c r="D56" i="28"/>
  <c r="R56" i="28"/>
  <c r="P56" i="28"/>
  <c r="N56" i="28"/>
  <c r="J56" i="28"/>
  <c r="L56" i="28"/>
  <c r="Z58" i="28"/>
  <c r="H58" i="28"/>
  <c r="X58" i="28"/>
  <c r="V58" i="28"/>
  <c r="T58" i="28"/>
  <c r="N58" i="28"/>
  <c r="R58" i="28"/>
  <c r="J58" i="28"/>
  <c r="P58" i="28"/>
  <c r="D58" i="28"/>
  <c r="L58" i="28"/>
  <c r="F58" i="28"/>
  <c r="Z57" i="28"/>
  <c r="D57" i="28"/>
  <c r="X57" i="28"/>
  <c r="V57" i="28"/>
  <c r="T57" i="28"/>
  <c r="N57" i="28"/>
  <c r="J57" i="28"/>
  <c r="H57" i="28"/>
  <c r="R57" i="28"/>
  <c r="P57" i="28"/>
  <c r="F57" i="28"/>
  <c r="L57" i="28"/>
  <c r="R47" i="28"/>
  <c r="F47" i="28"/>
  <c r="Z47" i="28"/>
  <c r="X47" i="28"/>
  <c r="L47" i="28"/>
  <c r="H47" i="28"/>
  <c r="V47" i="28"/>
  <c r="T47" i="28"/>
  <c r="N47" i="28"/>
  <c r="J47" i="28"/>
  <c r="P47" i="28"/>
  <c r="D47" i="28"/>
  <c r="V45" i="28"/>
  <c r="J45" i="28"/>
  <c r="R45" i="28"/>
  <c r="F45" i="28"/>
  <c r="P45" i="28"/>
  <c r="N45" i="28"/>
  <c r="Z45" i="28"/>
  <c r="X45" i="28"/>
  <c r="L45" i="28"/>
  <c r="T45" i="28"/>
  <c r="H45" i="28"/>
  <c r="D45" i="28"/>
  <c r="P43" i="28"/>
  <c r="D43" i="28"/>
  <c r="T43" i="28"/>
  <c r="N43" i="28"/>
  <c r="H43" i="28"/>
  <c r="V43" i="28"/>
  <c r="J43" i="28"/>
  <c r="R43" i="28"/>
  <c r="F43" i="28"/>
  <c r="Z43" i="28"/>
  <c r="X43" i="28"/>
  <c r="L43" i="28"/>
  <c r="V46" i="28"/>
  <c r="R46" i="28"/>
  <c r="F46" i="28"/>
  <c r="N46" i="28"/>
  <c r="Z46" i="28"/>
  <c r="X46" i="28"/>
  <c r="L46" i="28"/>
  <c r="T46" i="28"/>
  <c r="H46" i="28"/>
  <c r="J46" i="28"/>
  <c r="P46" i="28"/>
  <c r="D46" i="28"/>
  <c r="N44" i="28"/>
  <c r="D44" i="28"/>
  <c r="V44" i="28"/>
  <c r="J44" i="28"/>
  <c r="R44" i="28"/>
  <c r="F44" i="28"/>
  <c r="T44" i="28"/>
  <c r="H44" i="28"/>
  <c r="Z44" i="28"/>
  <c r="X44" i="28"/>
  <c r="L44" i="28"/>
  <c r="P44" i="28"/>
  <c r="C30" i="27"/>
  <c r="C38" i="27" s="1"/>
  <c r="C40" i="27" s="1"/>
  <c r="D30" i="27"/>
  <c r="D38" i="27" s="1"/>
  <c r="D40" i="27" s="1"/>
  <c r="E30" i="27"/>
  <c r="E38" i="27" s="1"/>
  <c r="E40" i="27" s="1"/>
  <c r="F30" i="27"/>
  <c r="F38" i="27" s="1"/>
  <c r="F40" i="27" s="1"/>
  <c r="G30" i="27"/>
  <c r="G38" i="27" s="1"/>
  <c r="G40" i="27" s="1"/>
  <c r="H30" i="27"/>
  <c r="H38" i="27" s="1"/>
  <c r="H40" i="27" s="1"/>
  <c r="I30" i="27"/>
  <c r="I32" i="27" s="1"/>
  <c r="J30" i="27"/>
  <c r="J32" i="27" s="1"/>
  <c r="K30" i="27"/>
  <c r="K32" i="27" s="1"/>
  <c r="L30" i="27"/>
  <c r="L32" i="27" s="1"/>
  <c r="M30" i="27"/>
  <c r="M32" i="27" s="1"/>
  <c r="B30" i="27"/>
  <c r="B32" i="27" s="1"/>
  <c r="D32" i="27"/>
  <c r="M23" i="27"/>
  <c r="L23" i="27"/>
  <c r="K23" i="27"/>
  <c r="J23" i="27"/>
  <c r="I23" i="27"/>
  <c r="H23" i="27"/>
  <c r="G23" i="27"/>
  <c r="F23" i="27"/>
  <c r="E23" i="27"/>
  <c r="D23" i="27"/>
  <c r="C23" i="27"/>
  <c r="B23" i="27"/>
  <c r="M27" i="22"/>
  <c r="L27" i="22"/>
  <c r="K27" i="22"/>
  <c r="J27" i="22"/>
  <c r="I27" i="22"/>
  <c r="H33" i="22"/>
  <c r="G33" i="22"/>
  <c r="F33" i="22"/>
  <c r="E33" i="22"/>
  <c r="D33" i="22"/>
  <c r="C33" i="22"/>
  <c r="B33" i="22"/>
  <c r="E32" i="27" l="1"/>
  <c r="AA79" i="28"/>
  <c r="AA82" i="28"/>
  <c r="AA80" i="28"/>
  <c r="AA76" i="28"/>
  <c r="AA83" i="28"/>
  <c r="AA84" i="28"/>
  <c r="H32" i="27"/>
  <c r="AA77" i="28"/>
  <c r="AA81" i="28"/>
  <c r="AA72" i="28"/>
  <c r="AA74" i="28"/>
  <c r="AA73" i="28"/>
  <c r="AA75" i="28"/>
  <c r="AA78" i="28"/>
  <c r="AA71" i="28"/>
  <c r="AA60" i="28"/>
  <c r="AA61" i="28"/>
  <c r="V48" i="28"/>
  <c r="AA69" i="28"/>
  <c r="AA57" i="28"/>
  <c r="AA70" i="28"/>
  <c r="AA56" i="28"/>
  <c r="AA45" i="28"/>
  <c r="AA44" i="28"/>
  <c r="AA47" i="28"/>
  <c r="AA55" i="28"/>
  <c r="AA43" i="28"/>
  <c r="AA68" i="28"/>
  <c r="AA59" i="28"/>
  <c r="X62" i="28"/>
  <c r="V85" i="28"/>
  <c r="H62" i="28"/>
  <c r="J48" i="28"/>
  <c r="L62" i="28"/>
  <c r="N48" i="28"/>
  <c r="X48" i="28"/>
  <c r="L48" i="28"/>
  <c r="H48" i="28"/>
  <c r="J85" i="28"/>
  <c r="T48" i="28"/>
  <c r="F48" i="28"/>
  <c r="T85" i="28"/>
  <c r="F85" i="28"/>
  <c r="D48" i="28"/>
  <c r="F62" i="28"/>
  <c r="R85" i="28"/>
  <c r="D85" i="28"/>
  <c r="H85" i="28"/>
  <c r="Z62" i="28"/>
  <c r="J62" i="28"/>
  <c r="R48" i="28"/>
  <c r="N85" i="28"/>
  <c r="N62" i="28"/>
  <c r="P85" i="28"/>
  <c r="AA46" i="28"/>
  <c r="D62" i="28"/>
  <c r="P48" i="28"/>
  <c r="AA58" i="28"/>
  <c r="Z85" i="28"/>
  <c r="X85" i="28"/>
  <c r="P62" i="28"/>
  <c r="R62" i="28"/>
  <c r="L85" i="28"/>
  <c r="V62" i="28"/>
  <c r="Z48" i="28"/>
  <c r="T62" i="28"/>
  <c r="G32" i="27"/>
  <c r="B38" i="27"/>
  <c r="B40" i="27" s="1"/>
  <c r="M38" i="27"/>
  <c r="M40" i="27" s="1"/>
  <c r="M33" i="22"/>
  <c r="L38" i="27"/>
  <c r="L40" i="27" s="1"/>
  <c r="K38" i="27"/>
  <c r="K40" i="27" s="1"/>
  <c r="J38" i="27"/>
  <c r="J40" i="27" s="1"/>
  <c r="F32" i="27"/>
  <c r="K33" i="22"/>
  <c r="I38" i="27"/>
  <c r="I40" i="27" s="1"/>
  <c r="C32" i="27"/>
  <c r="N23" i="27"/>
  <c r="I33" i="22"/>
  <c r="J33" i="22"/>
  <c r="L33" i="22"/>
  <c r="N33" i="22" l="1"/>
  <c r="G5" i="22" s="1"/>
  <c r="K10" i="32" s="1"/>
  <c r="E13" i="32" s="1"/>
  <c r="B10" i="29"/>
  <c r="H6" i="27"/>
  <c r="B11" i="29"/>
  <c r="N32" i="27"/>
  <c r="N40" i="27"/>
  <c r="AA48" i="28"/>
  <c r="AA85" i="28"/>
  <c r="AA62" i="28"/>
  <c r="H6" i="28" l="1"/>
  <c r="K12" i="32" s="1"/>
  <c r="E15" i="32" s="1"/>
  <c r="E16" i="32" s="1"/>
  <c r="B12" i="29"/>
  <c r="I6" i="28"/>
  <c r="L12" i="32" s="1"/>
  <c r="F15" i="32" s="1"/>
  <c r="C12" i="29"/>
  <c r="J6" i="28"/>
  <c r="M12" i="32" s="1"/>
  <c r="G15" i="32" s="1"/>
  <c r="D12" i="29"/>
  <c r="I6" i="27"/>
  <c r="C11" i="29"/>
  <c r="B13" i="29"/>
  <c r="J6" i="27"/>
  <c r="D11" i="29"/>
  <c r="L10" i="32"/>
  <c r="F13" i="3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F16" i="32" l="1"/>
  <c r="F18" i="32" s="1"/>
  <c r="G19" i="32" s="1"/>
  <c r="E20" i="32"/>
  <c r="E22" i="32" s="1"/>
  <c r="E18" i="32"/>
  <c r="F19" i="32" s="1"/>
  <c r="C13" i="29"/>
  <c r="B154" i="20"/>
  <c r="B155" i="20" s="1"/>
  <c r="D117" i="20"/>
  <c r="E18" i="26" s="1"/>
  <c r="D118" i="20"/>
  <c r="E19" i="26" s="1"/>
  <c r="F20" i="32" l="1"/>
  <c r="F22" i="32" s="1"/>
  <c r="M10" i="32"/>
  <c r="G13" i="32" s="1"/>
  <c r="G16" i="32" s="1"/>
  <c r="D13" i="29"/>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G18" i="32" l="1"/>
  <c r="G20" i="32"/>
  <c r="G22" i="32" s="1"/>
  <c r="AL116" i="20"/>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C6" i="31" s="1"/>
  <c r="D24" i="3"/>
  <c r="B6" i="31" s="1"/>
  <c r="D26" i="3"/>
  <c r="D6" i="31" s="1"/>
  <c r="D6" i="30" l="1"/>
  <c r="D6" i="29"/>
  <c r="D14" i="29" s="1"/>
  <c r="D7" i="28"/>
  <c r="B6" i="30"/>
  <c r="B6" i="29"/>
  <c r="B14" i="29" s="1"/>
  <c r="B7" i="28"/>
  <c r="C7" i="27"/>
  <c r="C6" i="30"/>
  <c r="C6" i="29"/>
  <c r="C14" i="29" s="1"/>
  <c r="C7" i="28"/>
  <c r="S117" i="20"/>
  <c r="U117" i="20"/>
  <c r="D6" i="22"/>
  <c r="U118" i="20"/>
  <c r="S118" i="20"/>
  <c r="V116" i="20"/>
  <c r="X116" i="20"/>
  <c r="B7" i="27"/>
  <c r="C6" i="22"/>
  <c r="D7" i="27"/>
  <c r="E6" i="22"/>
  <c r="S119" i="20" l="1"/>
  <c r="V117" i="20"/>
  <c r="X117" i="20"/>
  <c r="X118" i="20"/>
  <c r="V118" i="20"/>
  <c r="Y116" i="20"/>
  <c r="AA116" i="20"/>
  <c r="V119" i="20" l="1"/>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<sst xmlns="http://schemas.openxmlformats.org/spreadsheetml/2006/main" count="946" uniqueCount="268">
  <si>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</si>
  <si>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</si>
  <si>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</si>
  <si>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</si>
  <si>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</si>
  <si>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</si>
  <si>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</si>
  <si>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</si>
  <si>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</si>
  <si>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</si>
  <si>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</si>
  <si>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</si>
  <si>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</si>
  <si>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</si>
  <si>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</si>
  <si>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</si>
  <si>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</si>
  <si>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</si>
  <si>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</si>
  <si>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</si>
  <si>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</si>
  <si>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</si>
  <si>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</si>
  <si>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</si>
  <si>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</si>
  <si>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</si>
  <si>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</si>
  <si>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</si>
  <si>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</si>
  <si>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</si>
  <si>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</si>
  <si>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</si>
  <si>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</si>
  <si>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</si>
  <si>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</si>
  <si>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</si>
  <si>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</si>
  <si>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</si>
  <si>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</si>
  <si>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</si>
  <si>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</si>
  <si>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</si>
  <si>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</si>
  <si>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</si>
  <si>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</si>
  <si>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</si>
  <si>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</si>
  <si>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</si>
  <si>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</si>
  <si>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</si>
  <si>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</si>
  <si>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</si>
  <si>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</si>
  <si>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</si>
  <si>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</si>
  <si>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</si>
  <si>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</si>
  <si>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</si>
  <si>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</si>
  <si>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</si>
  <si>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</si>
  <si>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</si>
  <si>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</si>
  <si>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</si>
  <si>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</si>
  <si>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</si>
  <si>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</si>
  <si>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</si>
  <si>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</si>
  <si>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</si>
  <si>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</si>
  <si>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</si>
  <si>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</si>
  <si>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</si>
  <si>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</si>
  <si>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</si>
  <si>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</si>
  <si>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</si>
  <si>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</si>
  <si>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</si>
  <si>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</si>
  <si>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</si>
  <si>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</si>
  <si>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</si>
  <si>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</si>
  <si>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</si>
  <si>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</si>
  <si>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</si>
  <si>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</si>
  <si>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</si>
  <si>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</si>
  <si>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</si>
  <si>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</si>
  <si>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</si>
  <si>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</si>
  <si>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</si>
  <si>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</si>
  <si>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</si>
  <si>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</si>
  <si>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</si>
  <si>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</si>
  <si>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</si>
  <si>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</si>
  <si>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</si>
  <si>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</si>
  <si>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</si>
  <si>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</si>
  <si>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</si>
  <si>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</si>
  <si>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</si>
  <si>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</si>
  <si>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</si>
  <si>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</si>
  <si>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</si>
  <si>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</si>
  <si>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</si>
  <si>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</si>
  <si>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</si>
  <si>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</si>
  <si>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</si>
  <si>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</si>
  <si>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</si>
  <si>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</si>
  <si>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</si>
  <si>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</si>
  <si>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</si>
  <si>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</si>
  <si>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</si>
  <si>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</si>
  <si>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</si>
  <si>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</si>
  <si>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</si>
  <si>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</si>
  <si>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</si>
  <si>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</si>
  <si>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</si>
  <si>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</si>
  <si>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</si>
  <si>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</si>
  <si>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</si>
  <si>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</si>
  <si>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</si>
  <si>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</si>
  <si>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</si>
  <si>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</si>
  <si>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</si>
  <si>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</si>
  <si>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</si>
  <si>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</si>
  <si>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</si>
  <si>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</si>
  <si>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</si>
  <si>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</si>
  <si>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</si>
  <si>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</si>
  <si>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</si>
  <si>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</si>
  <si>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</si>
  <si>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</si>
  <si>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</si>
  <si>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</si>
  <si>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</si>
  <si>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</si>
  <si>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</si>
  <si>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</si>
  <si>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</si>
  <si>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</si>
  <si>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</si>
  <si>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</si>
  <si>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</si>
  <si>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</si>
  <si>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</si>
  <si>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</si>
  <si>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</si>
  <si>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</si>
  <si>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</si>
  <si>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</si>
  <si>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</si>
  <si>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</si>
  <si>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</si>
  <si>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</si>
  <si>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</si>
  <si>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</si>
  <si>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</si>
  <si>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</si>
  <si>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</si>
  <si>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</si>
  <si>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</si>
  <si>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</si>
  <si>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</si>
  <si>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</si>
  <si>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</si>
  <si>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 Año 2022</t>
  </si>
  <si>
    <t>Presupuesto financiero</t>
  </si>
  <si>
    <t>Costos</t>
  </si>
  <si>
    <t>Costos fijos</t>
  </si>
  <si>
    <t>Ejercicio</t>
  </si>
  <si>
    <t>Inicio</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</si>
  <si>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</si>
  <si>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</si>
  <si>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</si>
  <si>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</si>
  <si>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</si>
  <si>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</si>
  <si>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</si>
  <si>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</si>
  <si>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</si>
  <si>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</si>
  <si>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</si>
  <si>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http://www2.cedom.gob.ar/es/legislacion/normas/leyes/ley2972.html</t>
  </si>
  <si>
    <t>Inversión inicial</t>
  </si>
  <si>
    <t>Inversión - Año 2020</t>
  </si>
  <si>
    <t>Inicial</t>
  </si>
  <si>
    <t>Inv. Inicial</t>
  </si>
  <si>
    <t>Si simulamos un plazo fijo en pesos a 365 días en el banco nación, la tasa de interés nos da un 33,06%. Mercadopago tiene su proprio "Plazo Fijo", el cual tiene una tasa del 19,3%. Por eso seteamos la Tasa de Corte un poco superior.</t>
  </si>
  <si>
    <t>Hosting</t>
  </si>
  <si>
    <t>Honorarios por servicios de Analista de Marketing</t>
  </si>
  <si>
    <t>Honorarios por servicios de Servicios Medicos</t>
  </si>
  <si>
    <t>Honorarios por servicios de Servicios Asistenciales</t>
  </si>
  <si>
    <t>Presupuesto Financiero</t>
  </si>
  <si>
    <t>Matriz de riesgos</t>
  </si>
  <si>
    <t>N</t>
  </si>
  <si>
    <t>Riesgo</t>
  </si>
  <si>
    <t>Efecto</t>
  </si>
  <si>
    <t>Probabilidad</t>
  </si>
  <si>
    <t>Impacto</t>
  </si>
  <si>
    <t>Los clientes se atrasan algunos días o meses en pagar</t>
  </si>
  <si>
    <t>MEDIA</t>
  </si>
  <si>
    <t>MEDIO</t>
  </si>
  <si>
    <t>Las ventas caen un 10% el segundo y 10% el tercer año</t>
  </si>
  <si>
    <t>ALTA</t>
  </si>
  <si>
    <t>Las ventas caen un 5% el segundo y 5% el tercer año</t>
  </si>
  <si>
    <t>Crisis económica global</t>
  </si>
  <si>
    <t>Caen un 8% las subscripciones</t>
  </si>
  <si>
    <t>Aumento de costos fijos</t>
  </si>
  <si>
    <t>Aumentan costos fijos un 10% en total del segundo y tercer año</t>
  </si>
  <si>
    <t>Se reduce un 10% el ingreso por ventas total</t>
  </si>
  <si>
    <t>ALTO</t>
  </si>
  <si>
    <t>Caen las ventas un 5% por falta de organiazción entre los vendedores</t>
  </si>
  <si>
    <t>BAJA</t>
  </si>
  <si>
    <t>Devaluación del peso Argentino</t>
  </si>
  <si>
    <t>Aumenta 15% el costo pagado por los servicios cloud y los sueldos del área IT</t>
  </si>
  <si>
    <t>Migración de servicio cloud por inestabilidades constantes en el servicio contratado en el tercer año</t>
  </si>
  <si>
    <t>Pérdida de 8% de ingresos anuales por bajas en subscripciones en el tercer año</t>
  </si>
  <si>
    <t>Nuevos impuestos que afecten a la actividad IT</t>
  </si>
  <si>
    <t>Aumento de 10% del costo variable total</t>
  </si>
  <si>
    <t>Reglamentaciónes nuevas en normas de seguridad que implican mucho trabajo de desarrollo</t>
  </si>
  <si>
    <t>Incremento del 20% en los costos operativos anuales por tercerización del desarrollo.</t>
  </si>
  <si>
    <t>Hay una desviación del 20% menos en la proyección de subscripciónes esperada para el segundo año</t>
  </si>
  <si>
    <t>Hay diferencia del 15% del ingreso por subscripciónes del segundo año</t>
  </si>
  <si>
    <t>Caen un 5% las ventas y se incrementan un 12% los costos variables por tercerización de ventas para suplir recursos</t>
  </si>
  <si>
    <t>Se reduce un 5% el ingreso por ventas total</t>
  </si>
  <si>
    <t>Políticas del nuevo gobierno de turno que eliminan el subsidio para el Polo Tecnológico</t>
  </si>
  <si>
    <t>Aumento en los servicios más ingresos brutos de hasta 50% en total</t>
  </si>
  <si>
    <t>Se pierde el equivalente entre 250 y 300 subscripciones por 1 año, que corresponde al 6% del ingreso anual.</t>
  </si>
  <si>
    <t>Un competidor indirecto nuevo empieza a absorver clientes del mercado meta</t>
  </si>
  <si>
    <t>Un competidor directo nuevo empieza a absorver clientes del mercado meta</t>
  </si>
  <si>
    <t>Suscripciones Full-Care hacen downgrade de suscripcion al mas barato (Initial-Care) en el tercer año</t>
  </si>
  <si>
    <t>Renuncia el Gerente Comercial el tercer año</t>
  </si>
  <si>
    <t>Suscripciones Medium-Care hacen downgrade de suscripcion al mas barato (Initial-Care) en el tercer año</t>
  </si>
  <si>
    <t>Se accidenta el Supervisor de Ventas en el segundo año y faltan por 6 meses promedio.</t>
  </si>
  <si>
    <t>Escenario 1</t>
  </si>
  <si>
    <t>Escenario 2</t>
  </si>
  <si>
    <r>
      <rPr>
        <b/>
        <sz val="11"/>
        <color theme="1"/>
        <rFont val="Calibri"/>
        <family val="2"/>
        <scheme val="minor"/>
      </rPr>
      <t>Descripcion:</t>
    </r>
    <r>
      <rPr>
        <sz val="11"/>
        <color theme="1"/>
        <rFont val="Calibri"/>
        <family val="2"/>
        <scheme val="minor"/>
      </rPr>
      <t xml:space="preserve"> Se migra el servicio cloud por inestabilidades constantes en el servicio contratado, se pierde un 8% del ingreso total del tercer año por perdida de suscripciones, el negocio sigue siendo viable ya que la TIR queda del 72%</t>
    </r>
  </si>
  <si>
    <r>
      <rPr>
        <b/>
        <sz val="11"/>
        <color theme="1"/>
        <rFont val="Calibri"/>
        <family val="2"/>
        <scheme val="minor"/>
      </rPr>
      <t xml:space="preserve">Descripcion: </t>
    </r>
    <r>
      <rPr>
        <sz val="11"/>
        <color theme="1"/>
        <rFont val="Calibri"/>
        <family val="2"/>
        <scheme val="minor"/>
      </rPr>
      <t>Las ventas caen un 5% el segundo año y un 5% el tercer año debido al ingreso de un nuevo competidor al mercado, sin afectar la viabilidad del negocio</t>
    </r>
  </si>
  <si>
    <t>Escenario 3</t>
  </si>
  <si>
    <r>
      <rPr>
        <b/>
        <sz val="11"/>
        <color theme="1"/>
        <rFont val="Calibri"/>
        <family val="2"/>
        <scheme val="minor"/>
      </rPr>
      <t>Descripcion:</t>
    </r>
    <r>
      <rPr>
        <sz val="11"/>
        <color theme="1"/>
        <rFont val="Calibri"/>
        <family val="2"/>
        <scheme val="minor"/>
      </rPr>
      <t xml:space="preserve"> Hay una desviacion del 20% menos en la proyeccion de suscripciones esperadas para el segundo año, por lo que cae un 20% del estimado de facturacion anual para ese año, podemos observar que si no se realiza ninguna accion para el tercer año, el negocio no es viable, con un TIR del 19%</t>
    </r>
  </si>
  <si>
    <t>Plan de contingencia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</si>
</sst>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4" formatCode="_-* #,##0.00\ &quot;€&quot;_-;\-* #,##0.00\ &quot;€&quot;_-;_-* &quot;-&quot;??\ &quot;€&quot;_-;_-@_-"/>
    <numFmt numFmtId="43" formatCode="_-* #,##0.00\ _€_-;\-* #,##0.00\ _€_-;_-* &quot;-&quot;??\ _€_-;_-@_-"/>
    <numFmt numFmtId="164" formatCode="_-&quot;$&quot;\ * #,##0.00_-;\-&quot;$&quot;\ * #,##0.00_-;_-&quot;$&quot;\ * &quot;-&quot;??_-;_-@_-"/>
    <numFmt numFmtId="165" formatCode="General_)"/>
    <numFmt numFmtId="166" formatCode="_-* #,##0\ _€_-;\-* #,##0\ _€_-;_-* &quot;-&quot;??\ _€_-;_-@_-"/>
    <numFmt numFmtId="167" formatCode="_ [$$-2C0A]\ * #,##0.00_ ;_ [$$-2C0A]\ * \-#,##0.00_ ;_ [$$-2C0A]\ * &quot;-&quot;??_ ;_ @_ "/>
    <numFmt numFmtId="168" formatCode="&quot;$&quot;\ #,##0.00"/>
    <numFmt numFmtId="169" formatCode="_ &quot;$&quot;\ * #,##0.00_ ;_ &quot;$&quot;\ * \-#,##0.00_ ;_ &quot;$&quot;\ * &quot;-&quot;??_ ;_ @_ "/>
    <numFmt numFmtId="170" formatCode="_ [$€-2]\ * #,##0.00_ ;_ [$€-2]\ * \-#,##0.00_ ;_ [$€-2]\ * &quot;-&quot;??_ "/>
    <numFmt numFmtId="171" formatCode="_-&quot;$&quot;* #,##0.00_-;\-&quot;$&quot;* #,##0.00_-;_-&quot;$&quot;* &quot;-&quot;??_-;_-@_-"/>
    <numFmt numFmtId="172" formatCode="[$$-2C0A]\ #,##0.00"/>
    <numFmt numFmtId="173" formatCode="[$$-2C0A]\ #,##0"/>
    <numFmt numFmtId="174" formatCode="0_ ;\-0\ "/>
    <numFmt numFmtId="175" formatCode="_-[$$-2C0A]\ * #,##0.00_-;\-[$$-2C0A]\ * #,##0.00_-;_-[$$-2C0A]\ * &quot;-&quot;??_-;_-@_-"/>
    <numFmt numFmtId="176" formatCode="&quot;$&quot;#,##0.00"/>
    <numFmt numFmtId="177" formatCode="&quot;$&quot;#,##0;[Red]\-&quot;$&quot;#,##0"/>
    <numFmt numFmtId="178" formatCode="&quot;$&quot;\ #,##0.00;[Red]\-&quot;$&quot;\ #,##0.00"/>
  </numFmts>
  <fonts count="39"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
      <sz val="11"/>
      <color rgb="FFFF0000"/>
      <name val="Calibri"/>
      <family val="2"/>
      <scheme val="minor"/>
    </font>
    <font>
      <b/>
      <sz val="20"/>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s>
  <borders count="1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s>
  <cellStyleXfs count="26">
    <xf numFmtId="0" fontId="0" fillId="0" borderId="0"/>
    <xf numFmtId="0" fontId="3"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5" fontId="16" fillId="0" borderId="0"/>
    <xf numFmtId="165" fontId="16" fillId="0" borderId="0"/>
    <xf numFmtId="164"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69" fontId="9" fillId="0" borderId="0" applyFont="0" applyFill="0" applyBorder="0" applyAlignment="0" applyProtection="0"/>
    <xf numFmtId="170"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1"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69" fontId="9" fillId="0" borderId="0" applyFont="0" applyFill="0" applyBorder="0" applyAlignment="0" applyProtection="0"/>
    <xf numFmtId="9" fontId="9" fillId="0" borderId="0" applyFont="0" applyFill="0" applyBorder="0" applyAlignment="0" applyProtection="0"/>
    <xf numFmtId="171" fontId="9" fillId="0" borderId="0" applyFont="0" applyFill="0" applyBorder="0" applyAlignment="0" applyProtection="0"/>
  </cellStyleXfs>
  <cellXfs count="715">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8" fontId="0" fillId="2" borderId="1" xfId="0" applyNumberFormat="1" applyFont="1" applyFill="1" applyBorder="1" applyAlignment="1">
      <alignment horizontal="center"/>
    </xf>
    <xf numFmtId="168"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6" fontId="0" fillId="2" borderId="0" xfId="0" applyNumberFormat="1" applyFill="1"/>
    <xf numFmtId="168" fontId="0" fillId="2" borderId="0" xfId="0" applyNumberFormat="1" applyFill="1" applyBorder="1"/>
    <xf numFmtId="164" fontId="0" fillId="2" borderId="0" xfId="0" applyNumberFormat="1" applyFill="1"/>
    <xf numFmtId="9" fontId="0" fillId="2" borderId="37" xfId="0" applyNumberFormat="1" applyFont="1" applyFill="1" applyBorder="1" applyAlignment="1">
      <alignment horizontal="center"/>
    </xf>
    <xf numFmtId="168" fontId="0" fillId="2" borderId="30" xfId="0" applyNumberFormat="1" applyFont="1" applyFill="1" applyBorder="1" applyAlignment="1">
      <alignment horizontal="center"/>
    </xf>
    <xf numFmtId="168" fontId="0" fillId="2" borderId="31" xfId="0" applyNumberFormat="1" applyFont="1" applyFill="1" applyBorder="1" applyAlignment="1">
      <alignment horizontal="center"/>
    </xf>
    <xf numFmtId="168"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4"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43" fontId="11" fillId="5" borderId="25" xfId="2" applyFont="1" applyFill="1" applyBorder="1" applyAlignment="1">
      <alignment horizontal="left" wrapText="1"/>
    </xf>
    <xf numFmtId="164" fontId="0" fillId="5" borderId="26" xfId="0" applyNumberFormat="1" applyFill="1" applyBorder="1" applyAlignment="1">
      <alignment wrapText="1"/>
    </xf>
    <xf numFmtId="164" fontId="0" fillId="5" borderId="41" xfId="0" applyNumberFormat="1" applyFill="1" applyBorder="1" applyAlignment="1">
      <alignment wrapText="1"/>
    </xf>
    <xf numFmtId="43" fontId="11" fillId="3" borderId="25" xfId="2" applyFont="1" applyFill="1" applyBorder="1" applyAlignment="1">
      <alignment horizontal="left" wrapText="1"/>
    </xf>
    <xf numFmtId="164" fontId="0" fillId="3" borderId="26" xfId="0" applyNumberFormat="1" applyFill="1" applyBorder="1" applyAlignment="1">
      <alignment wrapText="1"/>
    </xf>
    <xf numFmtId="164"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8"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8"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4"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4"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4"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6" fontId="6" fillId="2" borderId="76" xfId="2" applyNumberFormat="1" applyFont="1" applyFill="1" applyBorder="1" applyAlignment="1">
      <alignment horizontal="left" vertical="top" wrapText="1"/>
    </xf>
    <xf numFmtId="166" fontId="6" fillId="2" borderId="77" xfId="2" applyNumberFormat="1" applyFont="1" applyFill="1" applyBorder="1" applyAlignment="1">
      <alignment horizontal="left" vertical="top" wrapText="1"/>
    </xf>
    <xf numFmtId="164"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6" fontId="0" fillId="6" borderId="54" xfId="2" applyNumberFormat="1" applyFont="1" applyFill="1" applyBorder="1" applyAlignment="1">
      <alignment horizontal="center" vertical="center"/>
    </xf>
    <xf numFmtId="166"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4" fontId="10" fillId="2" borderId="18" xfId="0" applyNumberFormat="1" applyFont="1" applyFill="1" applyBorder="1"/>
    <xf numFmtId="166"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8" fontId="0" fillId="0" borderId="0" xfId="0" applyNumberFormat="1" applyFill="1" applyBorder="1"/>
    <xf numFmtId="166" fontId="0" fillId="5" borderId="39" xfId="2" applyNumberFormat="1" applyFont="1" applyFill="1" applyBorder="1" applyAlignment="1">
      <alignment vertical="center"/>
    </xf>
    <xf numFmtId="164" fontId="0" fillId="5" borderId="47" xfId="6" applyFont="1" applyFill="1" applyBorder="1" applyAlignment="1">
      <alignment vertical="center"/>
    </xf>
    <xf numFmtId="164" fontId="0" fillId="6" borderId="47" xfId="6" applyFont="1" applyFill="1" applyBorder="1" applyAlignment="1">
      <alignment vertical="center"/>
    </xf>
    <xf numFmtId="164" fontId="0" fillId="3" borderId="47" xfId="6" applyFont="1" applyFill="1" applyBorder="1" applyAlignment="1">
      <alignment vertical="center"/>
    </xf>
    <xf numFmtId="43" fontId="8" fillId="5" borderId="54" xfId="2" applyFont="1" applyFill="1" applyBorder="1" applyAlignment="1">
      <alignment vertical="center"/>
    </xf>
    <xf numFmtId="43" fontId="8" fillId="6" borderId="54" xfId="2" applyFont="1" applyFill="1" applyBorder="1" applyAlignment="1">
      <alignment vertical="center"/>
    </xf>
    <xf numFmtId="43"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2"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3" fontId="25" fillId="0" borderId="42" xfId="0" applyNumberFormat="1" applyFont="1" applyFill="1" applyBorder="1" applyAlignment="1">
      <alignment horizontal="center" vertical="center"/>
    </xf>
    <xf numFmtId="173" fontId="25" fillId="0" borderId="42" xfId="0" applyNumberFormat="1" applyFont="1" applyFill="1" applyBorder="1" applyAlignment="1">
      <alignment horizontal="center" wrapText="1"/>
    </xf>
    <xf numFmtId="173" fontId="25" fillId="0" borderId="49" xfId="0" applyNumberFormat="1" applyFont="1" applyFill="1" applyBorder="1" applyAlignment="1">
      <alignment horizontal="center" vertical="center"/>
    </xf>
    <xf numFmtId="166" fontId="0" fillId="6" borderId="45" xfId="2" applyNumberFormat="1" applyFont="1" applyFill="1" applyBorder="1" applyAlignment="1">
      <alignment vertical="center"/>
    </xf>
    <xf numFmtId="166" fontId="0" fillId="3" borderId="45" xfId="2" applyNumberFormat="1" applyFont="1" applyFill="1" applyBorder="1" applyAlignment="1">
      <alignment vertical="center"/>
    </xf>
    <xf numFmtId="166"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4" fontId="0" fillId="5" borderId="0" xfId="6" applyFont="1" applyFill="1" applyBorder="1" applyAlignment="1">
      <alignment vertical="center"/>
    </xf>
    <xf numFmtId="43" fontId="20" fillId="4" borderId="90" xfId="2" applyFont="1" applyFill="1" applyBorder="1" applyAlignment="1">
      <alignment horizontal="center" vertical="center"/>
    </xf>
    <xf numFmtId="164"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3" fontId="25" fillId="0" borderId="0" xfId="0" applyNumberFormat="1" applyFont="1" applyFill="1" applyBorder="1" applyAlignment="1">
      <alignment horizontal="center" vertical="center"/>
    </xf>
    <xf numFmtId="166" fontId="10" fillId="7" borderId="36" xfId="0" applyNumberFormat="1" applyFont="1" applyFill="1" applyBorder="1"/>
    <xf numFmtId="164" fontId="10" fillId="2" borderId="33" xfId="6" applyFont="1" applyFill="1" applyBorder="1"/>
    <xf numFmtId="166" fontId="0" fillId="5" borderId="26" xfId="0" applyNumberFormat="1" applyFill="1" applyBorder="1" applyAlignment="1">
      <alignment vertical="center"/>
    </xf>
    <xf numFmtId="164" fontId="0" fillId="3" borderId="18" xfId="6" applyFont="1" applyFill="1" applyBorder="1" applyAlignment="1">
      <alignment vertical="center"/>
    </xf>
    <xf numFmtId="1" fontId="0" fillId="5" borderId="20" xfId="0" applyNumberFormat="1" applyFill="1" applyBorder="1" applyAlignment="1">
      <alignment vertical="center"/>
    </xf>
    <xf numFmtId="166" fontId="0" fillId="6" borderId="1" xfId="0" applyNumberFormat="1" applyFill="1" applyBorder="1" applyAlignment="1">
      <alignment vertical="center"/>
    </xf>
    <xf numFmtId="166" fontId="0" fillId="5" borderId="41" xfId="0" applyNumberFormat="1" applyFill="1" applyBorder="1" applyAlignment="1">
      <alignment vertical="center"/>
    </xf>
    <xf numFmtId="166" fontId="0" fillId="6" borderId="37" xfId="0" applyNumberFormat="1" applyFill="1" applyBorder="1" applyAlignment="1">
      <alignment vertical="center"/>
    </xf>
    <xf numFmtId="166" fontId="0" fillId="3" borderId="38" xfId="0" applyNumberFormat="1" applyFill="1" applyBorder="1" applyAlignment="1">
      <alignment vertical="center"/>
    </xf>
    <xf numFmtId="1" fontId="0" fillId="5" borderId="20" xfId="6" applyNumberFormat="1" applyFont="1" applyFill="1" applyBorder="1" applyAlignment="1">
      <alignment vertical="center"/>
    </xf>
    <xf numFmtId="174" fontId="0" fillId="5" borderId="25" xfId="6" applyNumberFormat="1" applyFont="1" applyFill="1" applyBorder="1" applyAlignment="1">
      <alignment vertical="center"/>
    </xf>
    <xf numFmtId="164" fontId="0" fillId="5" borderId="41" xfId="6" applyFont="1" applyFill="1" applyBorder="1" applyAlignment="1">
      <alignment vertical="center"/>
    </xf>
    <xf numFmtId="164" fontId="0" fillId="6" borderId="37" xfId="6" applyFont="1" applyFill="1" applyBorder="1" applyAlignment="1">
      <alignment vertical="center"/>
    </xf>
    <xf numFmtId="164" fontId="0" fillId="3" borderId="38" xfId="6" applyFont="1" applyFill="1" applyBorder="1" applyAlignment="1">
      <alignment vertical="center"/>
    </xf>
    <xf numFmtId="174" fontId="0" fillId="5" borderId="20" xfId="6" applyNumberFormat="1" applyFont="1" applyFill="1" applyBorder="1" applyAlignment="1">
      <alignment vertical="center"/>
    </xf>
    <xf numFmtId="164" fontId="0" fillId="5" borderId="53" xfId="6" applyFont="1" applyFill="1" applyBorder="1" applyAlignment="1">
      <alignment vertical="center"/>
    </xf>
    <xf numFmtId="164" fontId="0" fillId="6" borderId="91" xfId="6" applyFont="1" applyFill="1" applyBorder="1" applyAlignment="1">
      <alignment horizontal="center" vertical="center"/>
    </xf>
    <xf numFmtId="164" fontId="0" fillId="3" borderId="91" xfId="6" applyFont="1" applyFill="1" applyBorder="1" applyAlignment="1">
      <alignment horizontal="center" vertical="center"/>
    </xf>
    <xf numFmtId="174" fontId="0" fillId="6" borderId="28" xfId="6" applyNumberFormat="1" applyFont="1" applyFill="1" applyBorder="1" applyAlignment="1">
      <alignment vertical="center"/>
    </xf>
    <xf numFmtId="174"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4" fontId="0" fillId="3" borderId="30" xfId="6" applyNumberFormat="1" applyFont="1" applyFill="1" applyBorder="1" applyAlignment="1">
      <alignment vertical="center"/>
    </xf>
    <xf numFmtId="166" fontId="0" fillId="3" borderId="31" xfId="0" applyNumberFormat="1" applyFill="1" applyBorder="1" applyAlignment="1">
      <alignment vertical="center"/>
    </xf>
    <xf numFmtId="174"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4" fontId="10" fillId="7" borderId="10" xfId="0" applyNumberFormat="1" applyFont="1" applyFill="1" applyBorder="1"/>
    <xf numFmtId="164"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4" fontId="0" fillId="6" borderId="25" xfId="6" applyNumberFormat="1" applyFont="1" applyFill="1" applyBorder="1" applyAlignment="1">
      <alignment vertical="center"/>
    </xf>
    <xf numFmtId="166" fontId="0" fillId="6" borderId="26" xfId="0" applyNumberFormat="1" applyFill="1" applyBorder="1" applyAlignment="1">
      <alignment vertical="center"/>
    </xf>
    <xf numFmtId="174" fontId="0" fillId="3" borderId="25" xfId="6" applyNumberFormat="1" applyFont="1" applyFill="1" applyBorder="1" applyAlignment="1">
      <alignment vertical="center"/>
    </xf>
    <xf numFmtId="166"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43" fontId="11" fillId="6" borderId="25" xfId="2" applyFont="1" applyFill="1" applyBorder="1" applyAlignment="1">
      <alignment horizontal="left" wrapText="1"/>
    </xf>
    <xf numFmtId="164" fontId="0" fillId="6" borderId="26" xfId="0" applyNumberFormat="1" applyFill="1" applyBorder="1" applyAlignment="1">
      <alignment wrapText="1"/>
    </xf>
    <xf numFmtId="164" fontId="0" fillId="6" borderId="41" xfId="0" applyNumberFormat="1" applyFill="1" applyBorder="1" applyAlignment="1">
      <alignment wrapText="1"/>
    </xf>
    <xf numFmtId="43" fontId="11" fillId="4" borderId="39" xfId="2" applyFont="1" applyFill="1" applyBorder="1" applyAlignment="1">
      <alignment horizontal="center" wrapText="1"/>
    </xf>
    <xf numFmtId="43" fontId="20" fillId="4" borderId="23" xfId="2" applyFont="1" applyFill="1" applyBorder="1" applyAlignment="1">
      <alignment horizontal="center" vertical="center" wrapText="1"/>
    </xf>
    <xf numFmtId="43" fontId="20" fillId="4" borderId="40" xfId="2" applyFont="1" applyFill="1" applyBorder="1" applyAlignment="1">
      <alignment horizontal="center" vertical="center" wrapText="1"/>
    </xf>
    <xf numFmtId="0" fontId="10" fillId="4" borderId="30" xfId="0" applyFont="1" applyFill="1" applyBorder="1" applyAlignment="1">
      <alignment wrapText="1"/>
    </xf>
    <xf numFmtId="164" fontId="10" fillId="4" borderId="31" xfId="0" applyNumberFormat="1" applyFont="1" applyFill="1" applyBorder="1" applyAlignment="1">
      <alignment wrapText="1"/>
    </xf>
    <xf numFmtId="164" fontId="10" fillId="4" borderId="38" xfId="0" applyNumberFormat="1" applyFont="1" applyFill="1" applyBorder="1" applyAlignment="1">
      <alignment wrapText="1"/>
    </xf>
    <xf numFmtId="0" fontId="10" fillId="4" borderId="1" xfId="0" applyFont="1" applyFill="1" applyBorder="1" applyAlignment="1">
      <alignment horizontal="center"/>
    </xf>
    <xf numFmtId="174"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4"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4" fontId="0" fillId="5" borderId="51" xfId="6" applyNumberFormat="1" applyFont="1" applyFill="1" applyBorder="1" applyAlignment="1">
      <alignment vertical="center"/>
    </xf>
    <xf numFmtId="166" fontId="0" fillId="5" borderId="3" xfId="0" applyNumberFormat="1" applyFill="1" applyBorder="1" applyAlignment="1">
      <alignment vertical="center"/>
    </xf>
    <xf numFmtId="174"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2"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8"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3"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5" fontId="0" fillId="0" borderId="2" xfId="0" applyNumberFormat="1" applyBorder="1" applyAlignment="1">
      <alignment horizontal="center" vertical="center"/>
    </xf>
    <xf numFmtId="175" fontId="0" fillId="2" borderId="52" xfId="0" applyNumberFormat="1" applyFill="1" applyBorder="1" applyAlignment="1">
      <alignment horizontal="center" vertical="center"/>
    </xf>
    <xf numFmtId="175" fontId="0" fillId="2" borderId="23" xfId="0" applyNumberFormat="1" applyFill="1" applyBorder="1" applyAlignment="1">
      <alignment horizontal="center" vertical="center"/>
    </xf>
    <xf numFmtId="175"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5" fontId="8" fillId="0" borderId="2" xfId="0" applyNumberFormat="1" applyFont="1" applyBorder="1" applyAlignment="1">
      <alignment horizontal="center" vertical="center"/>
    </xf>
    <xf numFmtId="175" fontId="8" fillId="0" borderId="28" xfId="0" applyNumberFormat="1" applyFont="1" applyBorder="1" applyAlignment="1">
      <alignment horizontal="center" vertical="center"/>
    </xf>
    <xf numFmtId="175" fontId="8" fillId="2" borderId="52" xfId="0" applyNumberFormat="1" applyFont="1" applyFill="1" applyBorder="1" applyAlignment="1">
      <alignment horizontal="center" vertical="center"/>
    </xf>
    <xf numFmtId="175" fontId="8" fillId="2" borderId="23" xfId="0" applyNumberFormat="1" applyFont="1" applyFill="1" applyBorder="1" applyAlignment="1">
      <alignment horizontal="center" vertical="center"/>
    </xf>
    <xf numFmtId="175" fontId="8" fillId="0" borderId="57" xfId="0" applyNumberFormat="1" applyFont="1" applyBorder="1" applyAlignment="1">
      <alignment horizontal="center" vertical="center"/>
    </xf>
    <xf numFmtId="175" fontId="8" fillId="2" borderId="3" xfId="0" applyNumberFormat="1" applyFont="1" applyFill="1" applyBorder="1" applyAlignment="1">
      <alignment horizontal="center" vertical="center"/>
    </xf>
    <xf numFmtId="175" fontId="8" fillId="11" borderId="22" xfId="0" applyNumberFormat="1" applyFont="1" applyFill="1" applyBorder="1"/>
    <xf numFmtId="175"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10" borderId="1" xfId="0" applyFont="1" applyFill="1" applyBorder="1"/>
    <xf numFmtId="175" fontId="11" fillId="10" borderId="56" xfId="0" applyNumberFormat="1" applyFont="1" applyFill="1" applyBorder="1"/>
    <xf numFmtId="0" fontId="26" fillId="9" borderId="1" xfId="0" applyFont="1" applyFill="1" applyBorder="1"/>
    <xf numFmtId="175" fontId="26" fillId="9" borderId="56" xfId="0" applyNumberFormat="1" applyFont="1" applyFill="1" applyBorder="1"/>
    <xf numFmtId="0" fontId="22" fillId="2" borderId="0" xfId="0" applyFont="1" applyFill="1" applyBorder="1" applyAlignment="1">
      <alignment vertical="top" wrapText="1"/>
    </xf>
    <xf numFmtId="43"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4" fontId="0" fillId="3" borderId="92" xfId="6" applyNumberFormat="1" applyFont="1" applyFill="1" applyBorder="1" applyAlignment="1">
      <alignment vertical="center"/>
    </xf>
    <xf numFmtId="166" fontId="0" fillId="3" borderId="93" xfId="0" applyNumberFormat="1" applyFill="1" applyBorder="1" applyAlignment="1">
      <alignment vertical="center"/>
    </xf>
    <xf numFmtId="164"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8" fontId="0" fillId="2" borderId="30" xfId="0" applyNumberFormat="1" applyFill="1" applyBorder="1" applyAlignment="1">
      <alignment horizontal="center"/>
    </xf>
    <xf numFmtId="168" fontId="0" fillId="2" borderId="31" xfId="0" applyNumberFormat="1" applyFill="1" applyBorder="1" applyAlignment="1">
      <alignment horizontal="center"/>
    </xf>
    <xf numFmtId="168" fontId="0" fillId="2" borderId="38" xfId="0" applyNumberFormat="1" applyFill="1" applyBorder="1" applyAlignment="1">
      <alignment horizontal="center"/>
    </xf>
    <xf numFmtId="168" fontId="0" fillId="2" borderId="1" xfId="0" applyNumberFormat="1" applyFill="1" applyBorder="1" applyAlignment="1">
      <alignment horizontal="center"/>
    </xf>
    <xf numFmtId="168"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4" fontId="0" fillId="0" borderId="18" xfId="6" applyFont="1" applyBorder="1" applyAlignment="1">
      <alignment horizontal="left" vertical="center"/>
    </xf>
    <xf numFmtId="164" fontId="0" fillId="0" borderId="99" xfId="6" applyFont="1" applyBorder="1" applyAlignment="1">
      <alignment horizontal="center"/>
    </xf>
    <xf numFmtId="164" fontId="0" fillId="0" borderId="93" xfId="6" applyFont="1" applyBorder="1" applyAlignment="1">
      <alignment horizontal="center"/>
    </xf>
    <xf numFmtId="164" fontId="0" fillId="0" borderId="100" xfId="6" applyFont="1" applyBorder="1" applyAlignment="1">
      <alignment horizontal="center"/>
    </xf>
    <xf numFmtId="164" fontId="0" fillId="0" borderId="45" xfId="6" applyFont="1" applyBorder="1" applyAlignment="1">
      <alignment horizontal="center"/>
    </xf>
    <xf numFmtId="164" fontId="0" fillId="2" borderId="41" xfId="6" applyFont="1" applyFill="1" applyBorder="1"/>
    <xf numFmtId="164" fontId="0" fillId="0" borderId="26" xfId="6" applyFont="1" applyBorder="1" applyAlignment="1">
      <alignment horizontal="center"/>
    </xf>
    <xf numFmtId="164" fontId="0" fillId="0" borderId="19" xfId="6" applyFont="1" applyBorder="1" applyAlignment="1">
      <alignment horizontal="center"/>
    </xf>
    <xf numFmtId="164" fontId="0" fillId="0" borderId="48" xfId="6" applyFont="1" applyBorder="1" applyAlignment="1">
      <alignment horizontal="center"/>
    </xf>
    <xf numFmtId="164" fontId="0" fillId="2" borderId="37" xfId="6" applyFont="1" applyFill="1" applyBorder="1"/>
    <xf numFmtId="164" fontId="0" fillId="0" borderId="1" xfId="6" applyFont="1" applyBorder="1" applyAlignment="1">
      <alignment horizontal="center"/>
    </xf>
    <xf numFmtId="164" fontId="0" fillId="0" borderId="21" xfId="6" applyFont="1" applyBorder="1" applyAlignment="1">
      <alignment horizontal="center"/>
    </xf>
    <xf numFmtId="164" fontId="0" fillId="0" borderId="49" xfId="6" applyFont="1" applyBorder="1" applyAlignment="1">
      <alignment horizontal="center"/>
    </xf>
    <xf numFmtId="164" fontId="0" fillId="2" borderId="38" xfId="6" applyFont="1" applyFill="1" applyBorder="1"/>
    <xf numFmtId="164" fontId="0" fillId="0" borderId="31" xfId="6" applyFont="1" applyBorder="1" applyAlignment="1">
      <alignment horizontal="center"/>
    </xf>
    <xf numFmtId="164" fontId="0" fillId="0" borderId="34" xfId="6" applyFont="1" applyBorder="1" applyAlignment="1">
      <alignment horizontal="center"/>
    </xf>
    <xf numFmtId="164" fontId="0" fillId="0" borderId="50" xfId="6" applyFont="1" applyBorder="1" applyAlignment="1">
      <alignment horizontal="center"/>
    </xf>
    <xf numFmtId="164"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6" fontId="0" fillId="0" borderId="1" xfId="0" applyNumberFormat="1" applyBorder="1" applyAlignment="1">
      <alignment horizontal="center"/>
    </xf>
    <xf numFmtId="0" fontId="0" fillId="2" borderId="28" xfId="0" applyFill="1" applyBorder="1"/>
    <xf numFmtId="168"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4" fontId="10" fillId="4" borderId="45" xfId="6" applyFont="1" applyFill="1" applyBorder="1"/>
    <xf numFmtId="164" fontId="10" fillId="4" borderId="48" xfId="6" applyFont="1" applyFill="1" applyBorder="1"/>
    <xf numFmtId="164" fontId="10" fillId="4" borderId="49" xfId="6" applyFont="1" applyFill="1" applyBorder="1"/>
    <xf numFmtId="164"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6" fontId="10" fillId="4" borderId="31" xfId="0" applyNumberFormat="1" applyFont="1" applyFill="1" applyBorder="1" applyAlignment="1">
      <alignment horizontal="center"/>
    </xf>
    <xf numFmtId="168" fontId="0" fillId="4" borderId="37" xfId="0" applyNumberFormat="1" applyFill="1" applyBorder="1"/>
    <xf numFmtId="164" fontId="0" fillId="0" borderId="52" xfId="6" applyFont="1" applyBorder="1" applyAlignment="1">
      <alignment horizontal="center"/>
    </xf>
    <xf numFmtId="164" fontId="0" fillId="0" borderId="24" xfId="6" applyFont="1" applyBorder="1" applyAlignment="1">
      <alignment horizontal="center"/>
    </xf>
    <xf numFmtId="164" fontId="0" fillId="0" borderId="98" xfId="6" applyFont="1" applyBorder="1" applyAlignment="1">
      <alignment horizontal="center"/>
    </xf>
    <xf numFmtId="164" fontId="10" fillId="4" borderId="98" xfId="6" applyFont="1" applyFill="1" applyBorder="1"/>
    <xf numFmtId="164" fontId="0" fillId="2" borderId="94" xfId="6" applyFont="1" applyFill="1" applyBorder="1"/>
    <xf numFmtId="164"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4"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4" fontId="0" fillId="2" borderId="19" xfId="6" applyFont="1" applyFill="1" applyBorder="1"/>
    <xf numFmtId="164" fontId="0" fillId="2" borderId="21" xfId="6" applyFont="1" applyFill="1" applyBorder="1"/>
    <xf numFmtId="164" fontId="0" fillId="2" borderId="24" xfId="6" applyFont="1" applyFill="1" applyBorder="1"/>
    <xf numFmtId="164" fontId="0" fillId="0" borderId="25" xfId="6" applyFont="1" applyBorder="1" applyAlignment="1">
      <alignment horizontal="center"/>
    </xf>
    <xf numFmtId="164" fontId="0" fillId="0" borderId="28" xfId="6" applyFont="1" applyBorder="1" applyAlignment="1">
      <alignment horizontal="center"/>
    </xf>
    <xf numFmtId="164" fontId="0" fillId="0" borderId="97" xfId="6" applyFont="1" applyBorder="1" applyAlignment="1">
      <alignment horizontal="center"/>
    </xf>
    <xf numFmtId="164" fontId="0" fillId="0" borderId="30" xfId="6" applyFont="1" applyBorder="1" applyAlignment="1">
      <alignment horizontal="center"/>
    </xf>
    <xf numFmtId="164" fontId="0" fillId="0" borderId="54" xfId="6" applyFont="1" applyBorder="1" applyAlignment="1">
      <alignment horizontal="center"/>
    </xf>
    <xf numFmtId="164" fontId="0" fillId="0" borderId="55" xfId="6" applyFont="1" applyBorder="1" applyAlignment="1">
      <alignment horizontal="center"/>
    </xf>
    <xf numFmtId="164" fontId="0" fillId="0" borderId="91" xfId="6" applyFont="1" applyBorder="1" applyAlignment="1">
      <alignment horizontal="center"/>
    </xf>
    <xf numFmtId="164" fontId="0" fillId="0" borderId="4" xfId="6" applyFont="1" applyBorder="1" applyAlignment="1">
      <alignment horizontal="center"/>
    </xf>
    <xf numFmtId="164" fontId="0" fillId="0" borderId="16" xfId="6" applyFont="1" applyBorder="1" applyAlignment="1">
      <alignment horizontal="center"/>
    </xf>
    <xf numFmtId="0" fontId="0" fillId="2" borderId="56" xfId="0" applyFill="1" applyBorder="1"/>
    <xf numFmtId="0" fontId="0" fillId="6" borderId="28" xfId="0" applyFill="1" applyBorder="1"/>
    <xf numFmtId="0" fontId="0" fillId="6" borderId="1" xfId="0" applyFill="1" applyBorder="1" applyAlignment="1">
      <alignment horizontal="center"/>
    </xf>
    <xf numFmtId="176"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6" fontId="10" fillId="2" borderId="0" xfId="0" applyNumberFormat="1" applyFont="1" applyFill="1" applyBorder="1" applyAlignment="1">
      <alignment horizontal="center"/>
    </xf>
    <xf numFmtId="168" fontId="10" fillId="2" borderId="0" xfId="0" applyNumberFormat="1" applyFont="1" applyFill="1" applyBorder="1"/>
    <xf numFmtId="10" fontId="0" fillId="2" borderId="1" xfId="0" applyNumberFormat="1" applyFill="1" applyBorder="1" applyAlignment="1">
      <alignment horizontal="center"/>
    </xf>
    <xf numFmtId="168" fontId="0" fillId="2" borderId="1" xfId="0" applyNumberFormat="1" applyFont="1" applyFill="1" applyBorder="1" applyAlignment="1">
      <alignment horizontal="right"/>
    </xf>
    <xf numFmtId="168" fontId="10" fillId="13" borderId="1" xfId="0" applyNumberFormat="1" applyFont="1" applyFill="1" applyBorder="1" applyAlignment="1">
      <alignment horizontal="right"/>
    </xf>
    <xf numFmtId="0" fontId="10" fillId="9" borderId="1" xfId="0" applyFont="1" applyFill="1" applyBorder="1" applyAlignment="1">
      <alignment horizontal="left"/>
    </xf>
    <xf numFmtId="168" fontId="10" fillId="0" borderId="1" xfId="0" applyNumberFormat="1" applyFont="1" applyFill="1" applyBorder="1" applyAlignment="1">
      <alignment horizontal="right"/>
    </xf>
    <xf numFmtId="168" fontId="0" fillId="0" borderId="30" xfId="0" applyNumberFormat="1" applyBorder="1" applyAlignment="1">
      <alignment horizontal="center"/>
    </xf>
    <xf numFmtId="168" fontId="0" fillId="0" borderId="31" xfId="0" applyNumberFormat="1" applyBorder="1" applyAlignment="1">
      <alignment horizontal="center"/>
    </xf>
    <xf numFmtId="168" fontId="0" fillId="0" borderId="38" xfId="0" applyNumberFormat="1" applyBorder="1" applyAlignment="1">
      <alignment horizontal="center"/>
    </xf>
    <xf numFmtId="168"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8" fontId="10" fillId="13" borderId="6" xfId="0" applyNumberFormat="1" applyFont="1" applyFill="1" applyBorder="1" applyAlignment="1">
      <alignment horizontal="center"/>
    </xf>
    <xf numFmtId="168" fontId="0" fillId="0" borderId="37" xfId="0" applyNumberFormat="1" applyBorder="1" applyAlignment="1">
      <alignment horizontal="center"/>
    </xf>
    <xf numFmtId="168"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8" fontId="0" fillId="0" borderId="52" xfId="0" applyNumberFormat="1" applyBorder="1" applyAlignment="1">
      <alignment horizontal="center"/>
    </xf>
    <xf numFmtId="0" fontId="0" fillId="6" borderId="28" xfId="0" applyFill="1" applyBorder="1" applyAlignment="1">
      <alignment vertical="center"/>
    </xf>
    <xf numFmtId="168" fontId="0" fillId="6" borderId="1" xfId="0" applyNumberFormat="1" applyFill="1" applyBorder="1" applyAlignment="1">
      <alignment horizontal="center"/>
    </xf>
    <xf numFmtId="168"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8" fontId="0" fillId="6" borderId="31" xfId="0" applyNumberFormat="1" applyFill="1" applyBorder="1" applyAlignment="1">
      <alignment horizontal="center"/>
    </xf>
    <xf numFmtId="168"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8" fontId="0" fillId="13" borderId="26" xfId="0" applyNumberFormat="1" applyFill="1" applyBorder="1"/>
    <xf numFmtId="168"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8" fontId="0" fillId="13" borderId="28" xfId="0" applyNumberFormat="1" applyFill="1" applyBorder="1" applyAlignment="1">
      <alignment horizontal="center"/>
    </xf>
    <xf numFmtId="168" fontId="0" fillId="14" borderId="1" xfId="0" applyNumberFormat="1" applyFill="1" applyBorder="1" applyAlignment="1">
      <alignment horizontal="center"/>
    </xf>
    <xf numFmtId="168" fontId="0" fillId="13" borderId="28" xfId="0" applyNumberFormat="1" applyFill="1" applyBorder="1"/>
    <xf numFmtId="168" fontId="0" fillId="13" borderId="1" xfId="0" applyNumberFormat="1" applyFill="1" applyBorder="1"/>
    <xf numFmtId="168" fontId="0" fillId="13" borderId="37" xfId="0" applyNumberFormat="1" applyFill="1" applyBorder="1"/>
    <xf numFmtId="168" fontId="0" fillId="14" borderId="28" xfId="0" applyNumberFormat="1" applyFill="1" applyBorder="1" applyAlignment="1">
      <alignment horizontal="center"/>
    </xf>
    <xf numFmtId="168" fontId="0" fillId="13" borderId="1" xfId="0" applyNumberFormat="1" applyFill="1" applyBorder="1" applyAlignment="1">
      <alignment horizontal="center"/>
    </xf>
    <xf numFmtId="168" fontId="0" fillId="14" borderId="1" xfId="0" applyNumberFormat="1" applyFill="1" applyBorder="1"/>
    <xf numFmtId="168" fontId="0" fillId="14" borderId="31" xfId="0" applyNumberFormat="1" applyFill="1" applyBorder="1" applyAlignment="1">
      <alignment horizontal="center"/>
    </xf>
    <xf numFmtId="168" fontId="0" fillId="13" borderId="38" xfId="0" applyNumberFormat="1" applyFill="1" applyBorder="1"/>
    <xf numFmtId="0" fontId="0" fillId="0" borderId="34" xfId="0" applyBorder="1" applyAlignment="1">
      <alignment horizontal="center"/>
    </xf>
    <xf numFmtId="168" fontId="11" fillId="13" borderId="99" xfId="0" applyNumberFormat="1" applyFont="1" applyFill="1" applyBorder="1"/>
    <xf numFmtId="168" fontId="11" fillId="13" borderId="93" xfId="0" applyNumberFormat="1" applyFont="1" applyFill="1" applyBorder="1"/>
    <xf numFmtId="168" fontId="11" fillId="13" borderId="18" xfId="0" applyNumberFormat="1" applyFont="1" applyFill="1" applyBorder="1"/>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8" fontId="0" fillId="0" borderId="1" xfId="0" applyNumberFormat="1" applyFill="1" applyBorder="1" applyAlignment="1">
      <alignment horizontal="center"/>
    </xf>
    <xf numFmtId="168" fontId="0" fillId="13" borderId="29" xfId="0" applyNumberFormat="1" applyFill="1" applyBorder="1"/>
    <xf numFmtId="0" fontId="0" fillId="0" borderId="32" xfId="0" applyFill="1" applyBorder="1" applyAlignment="1">
      <alignment horizontal="center"/>
    </xf>
    <xf numFmtId="168"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168" fontId="0" fillId="14" borderId="52" xfId="0" applyNumberFormat="1" applyFill="1" applyBorder="1"/>
    <xf numFmtId="168" fontId="0" fillId="13" borderId="2" xfId="0" applyNumberFormat="1" applyFill="1" applyBorder="1"/>
    <xf numFmtId="168" fontId="0" fillId="13" borderId="30" xfId="0" applyNumberFormat="1" applyFill="1" applyBorder="1" applyAlignment="1">
      <alignment horizontal="center"/>
    </xf>
    <xf numFmtId="168" fontId="0" fillId="13" borderId="31" xfId="0" applyNumberFormat="1" applyFill="1" applyBorder="1"/>
    <xf numFmtId="168" fontId="0" fillId="14" borderId="23" xfId="0" applyNumberFormat="1" applyFill="1" applyBorder="1" applyAlignment="1">
      <alignment horizontal="center"/>
    </xf>
    <xf numFmtId="0" fontId="13" fillId="2" borderId="0" xfId="0" applyFont="1" applyFill="1"/>
    <xf numFmtId="0" fontId="10" fillId="10" borderId="21" xfId="0" applyFont="1" applyFill="1" applyBorder="1"/>
    <xf numFmtId="168" fontId="0" fillId="2" borderId="28" xfId="0" applyNumberFormat="1" applyFill="1" applyBorder="1" applyAlignment="1">
      <alignment horizontal="center"/>
    </xf>
    <xf numFmtId="168" fontId="0" fillId="2" borderId="37" xfId="0" applyNumberFormat="1" applyFill="1" applyBorder="1" applyAlignment="1">
      <alignment horizontal="center"/>
    </xf>
    <xf numFmtId="0" fontId="10" fillId="9" borderId="99" xfId="0" applyFont="1" applyFill="1" applyBorder="1" applyAlignment="1">
      <alignment horizontal="center"/>
    </xf>
    <xf numFmtId="0" fontId="10" fillId="9" borderId="93" xfId="0" applyFont="1" applyFill="1" applyBorder="1" applyAlignment="1">
      <alignment horizontal="center"/>
    </xf>
    <xf numFmtId="0" fontId="10" fillId="9" borderId="18" xfId="0" applyFont="1" applyFill="1" applyBorder="1" applyAlignment="1">
      <alignment horizontal="center"/>
    </xf>
    <xf numFmtId="168" fontId="0" fillId="0" borderId="3" xfId="0" applyNumberFormat="1" applyBorder="1" applyAlignment="1">
      <alignment horizontal="center"/>
    </xf>
    <xf numFmtId="168" fontId="0" fillId="0" borderId="94" xfId="0" applyNumberFormat="1" applyBorder="1" applyAlignment="1">
      <alignment horizontal="center"/>
    </xf>
    <xf numFmtId="0" fontId="0" fillId="0" borderId="37" xfId="0" applyBorder="1"/>
    <xf numFmtId="0" fontId="0" fillId="0" borderId="29" xfId="0" applyBorder="1"/>
    <xf numFmtId="168" fontId="0" fillId="13" borderId="93" xfId="0" applyNumberFormat="1" applyFill="1" applyBorder="1" applyAlignment="1">
      <alignment horizontal="center"/>
    </xf>
    <xf numFmtId="168" fontId="0" fillId="13" borderId="18" xfId="0" applyNumberFormat="1" applyFill="1" applyBorder="1" applyAlignment="1">
      <alignment horizontal="center"/>
    </xf>
    <xf numFmtId="168" fontId="0" fillId="0" borderId="29" xfId="0" applyNumberFormat="1" applyBorder="1" applyAlignment="1">
      <alignment horizontal="center"/>
    </xf>
    <xf numFmtId="168" fontId="0" fillId="0" borderId="105" xfId="0" applyNumberFormat="1" applyBorder="1" applyAlignment="1">
      <alignment horizontal="center"/>
    </xf>
    <xf numFmtId="168" fontId="0" fillId="0" borderId="23" xfId="0" applyNumberFormat="1" applyBorder="1" applyAlignment="1">
      <alignment horizontal="center"/>
    </xf>
    <xf numFmtId="168" fontId="0" fillId="0" borderId="40" xfId="0" applyNumberFormat="1" applyBorder="1" applyAlignment="1">
      <alignment horizontal="center"/>
    </xf>
    <xf numFmtId="168" fontId="10" fillId="13" borderId="25" xfId="0" applyNumberFormat="1" applyFont="1" applyFill="1" applyBorder="1"/>
    <xf numFmtId="9" fontId="10" fillId="6" borderId="41" xfId="0" applyNumberFormat="1" applyFont="1" applyFill="1" applyBorder="1" applyAlignment="1">
      <alignment horizontal="center"/>
    </xf>
    <xf numFmtId="168" fontId="10" fillId="13" borderId="28" xfId="0" applyNumberFormat="1" applyFont="1" applyFill="1" applyBorder="1"/>
    <xf numFmtId="177" fontId="10" fillId="6" borderId="37" xfId="0" applyNumberFormat="1" applyFont="1" applyFill="1" applyBorder="1" applyAlignment="1">
      <alignment horizontal="center"/>
    </xf>
    <xf numFmtId="168" fontId="10" fillId="13" borderId="30" xfId="0" applyNumberFormat="1" applyFont="1" applyFill="1" applyBorder="1"/>
    <xf numFmtId="9" fontId="10" fillId="6" borderId="38" xfId="0" applyNumberFormat="1" applyFont="1" applyFill="1" applyBorder="1" applyAlignment="1">
      <alignment horizontal="center"/>
    </xf>
    <xf numFmtId="164" fontId="10" fillId="2" borderId="0" xfId="6" applyFont="1" applyFill="1" applyBorder="1" applyAlignment="1">
      <alignment horizontal="center"/>
    </xf>
    <xf numFmtId="178" fontId="0" fillId="2" borderId="0" xfId="0" applyNumberFormat="1" applyFill="1"/>
    <xf numFmtId="0" fontId="10" fillId="9" borderId="41" xfId="0" applyFont="1" applyFill="1" applyBorder="1" applyAlignment="1">
      <alignment horizontal="center"/>
    </xf>
    <xf numFmtId="168" fontId="10" fillId="2" borderId="0" xfId="0" applyNumberFormat="1" applyFont="1" applyFill="1" applyBorder="1" applyAlignment="1">
      <alignment horizontal="center"/>
    </xf>
    <xf numFmtId="168" fontId="0" fillId="14" borderId="2" xfId="0" applyNumberFormat="1" applyFill="1" applyBorder="1"/>
    <xf numFmtId="168" fontId="0" fillId="13" borderId="20" xfId="0" applyNumberFormat="1" applyFill="1" applyBorder="1"/>
    <xf numFmtId="168" fontId="0" fillId="14" borderId="57" xfId="0" applyNumberFormat="1" applyFill="1" applyBorder="1"/>
    <xf numFmtId="168" fontId="0" fillId="13" borderId="46" xfId="0" applyNumberFormat="1" applyFill="1" applyBorder="1"/>
    <xf numFmtId="0" fontId="10" fillId="9" borderId="102" xfId="0" applyFont="1" applyFill="1" applyBorder="1" applyAlignment="1">
      <alignment horizontal="center" vertical="center"/>
    </xf>
    <xf numFmtId="0" fontId="10" fillId="9" borderId="97" xfId="0" applyFont="1" applyFill="1" applyBorder="1" applyAlignment="1">
      <alignment horizontal="center" vertical="center"/>
    </xf>
    <xf numFmtId="0" fontId="10" fillId="9" borderId="52" xfId="0" applyFont="1" applyFill="1" applyBorder="1" applyAlignment="1">
      <alignment horizontal="center" vertical="center"/>
    </xf>
    <xf numFmtId="0" fontId="10" fillId="9" borderId="29" xfId="0" applyFont="1" applyFill="1" applyBorder="1" applyAlignment="1">
      <alignment horizontal="center" vertical="center"/>
    </xf>
    <xf numFmtId="0" fontId="10" fillId="9" borderId="46" xfId="0" applyFont="1" applyFill="1" applyBorder="1" applyAlignment="1">
      <alignment horizontal="center" vertical="center"/>
    </xf>
    <xf numFmtId="168" fontId="0" fillId="14" borderId="37" xfId="0" applyNumberFormat="1" applyFill="1" applyBorder="1" applyAlignment="1">
      <alignment horizontal="center"/>
    </xf>
    <xf numFmtId="168" fontId="0" fillId="13" borderId="37" xfId="0" applyNumberFormat="1" applyFill="1" applyBorder="1" applyAlignment="1">
      <alignment horizontal="center"/>
    </xf>
    <xf numFmtId="168" fontId="0" fillId="14" borderId="38" xfId="0" applyNumberFormat="1" applyFill="1" applyBorder="1" applyAlignment="1">
      <alignment horizontal="center"/>
    </xf>
    <xf numFmtId="168" fontId="0" fillId="14" borderId="105" xfId="0" applyNumberFormat="1" applyFill="1" applyBorder="1"/>
    <xf numFmtId="168" fontId="0" fillId="14" borderId="22" xfId="0" applyNumberFormat="1" applyFill="1" applyBorder="1"/>
    <xf numFmtId="168" fontId="0" fillId="14" borderId="37" xfId="0" applyNumberFormat="1" applyFill="1" applyBorder="1"/>
    <xf numFmtId="168" fontId="0" fillId="14" borderId="29" xfId="0" applyNumberFormat="1" applyFill="1" applyBorder="1"/>
    <xf numFmtId="0" fontId="10" fillId="4" borderId="19" xfId="0" applyFont="1" applyFill="1" applyBorder="1" applyAlignment="1">
      <alignment horizontal="center"/>
    </xf>
    <xf numFmtId="168" fontId="0" fillId="0" borderId="34" xfId="0" applyNumberFormat="1" applyBorder="1" applyAlignment="1">
      <alignment horizontal="center"/>
    </xf>
    <xf numFmtId="0" fontId="37" fillId="2" borderId="0" xfId="0" applyFont="1" applyFill="1"/>
    <xf numFmtId="0" fontId="38" fillId="2" borderId="0" xfId="0" applyFont="1" applyFill="1" applyBorder="1" applyAlignment="1"/>
    <xf numFmtId="172" fontId="0" fillId="0" borderId="56" xfId="0" applyNumberFormat="1" applyBorder="1" applyAlignment="1">
      <alignment horizontal="center"/>
    </xf>
    <xf numFmtId="172" fontId="0" fillId="0" borderId="2" xfId="0" applyNumberFormat="1" applyBorder="1" applyAlignment="1">
      <alignment horizontal="center"/>
    </xf>
    <xf numFmtId="172" fontId="0" fillId="0" borderId="57" xfId="0" applyNumberFormat="1" applyBorder="1" applyAlignment="1">
      <alignment horizontal="center"/>
    </xf>
    <xf numFmtId="172" fontId="0" fillId="13" borderId="99" xfId="0" applyNumberFormat="1" applyFill="1" applyBorder="1" applyAlignment="1">
      <alignment horizontal="center"/>
    </xf>
    <xf numFmtId="0" fontId="11" fillId="11" borderId="1" xfId="0" applyFont="1" applyFill="1" applyBorder="1" applyAlignment="1">
      <alignment horizontal="left" vertical="top" wrapText="1"/>
    </xf>
    <xf numFmtId="0" fontId="0" fillId="2" borderId="28" xfId="0" applyFill="1" applyBorder="1" applyAlignment="1">
      <alignment vertical="center"/>
    </xf>
    <xf numFmtId="0" fontId="0" fillId="2" borderId="1" xfId="0" applyFill="1" applyBorder="1" applyAlignment="1">
      <alignment horizontal="center"/>
    </xf>
    <xf numFmtId="0" fontId="0" fillId="2" borderId="30" xfId="0" applyFill="1" applyBorder="1" applyAlignment="1">
      <alignment vertical="center"/>
    </xf>
    <xf numFmtId="0" fontId="0" fillId="2" borderId="31" xfId="0" applyFill="1" applyBorder="1" applyAlignment="1">
      <alignment horizontal="center"/>
    </xf>
    <xf numFmtId="168" fontId="0" fillId="14" borderId="39" xfId="0" applyNumberFormat="1" applyFill="1" applyBorder="1" applyAlignment="1">
      <alignment horizontal="center"/>
    </xf>
    <xf numFmtId="168" fontId="0" fillId="14" borderId="46" xfId="0" applyNumberFormat="1" applyFill="1" applyBorder="1"/>
    <xf numFmtId="0" fontId="13" fillId="10" borderId="92" xfId="0" applyFont="1" applyFill="1"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7" fontId="11" fillId="5" borderId="23" xfId="0" applyNumberFormat="1" applyFont="1" applyFill="1" applyBorder="1" applyAlignment="1">
      <alignment horizontal="center" vertical="center"/>
    </xf>
    <xf numFmtId="167" fontId="11" fillId="5" borderId="32" xfId="0" applyNumberFormat="1" applyFont="1" applyFill="1" applyBorder="1" applyAlignment="1">
      <alignment horizontal="center" vertical="center"/>
    </xf>
    <xf numFmtId="167" fontId="11" fillId="6" borderId="55" xfId="0" applyNumberFormat="1" applyFont="1" applyFill="1" applyBorder="1" applyAlignment="1">
      <alignment horizontal="center" vertical="center"/>
    </xf>
    <xf numFmtId="167" fontId="11" fillId="6" borderId="23" xfId="0" applyNumberFormat="1" applyFont="1" applyFill="1" applyBorder="1" applyAlignment="1">
      <alignment horizontal="center" vertical="center"/>
    </xf>
    <xf numFmtId="167" fontId="11" fillId="6" borderId="32" xfId="0" applyNumberFormat="1" applyFont="1" applyFill="1" applyBorder="1" applyAlignment="1">
      <alignment horizontal="center" vertical="center"/>
    </xf>
    <xf numFmtId="167" fontId="11" fillId="3" borderId="55" xfId="0" applyNumberFormat="1" applyFont="1" applyFill="1" applyBorder="1" applyAlignment="1">
      <alignment horizontal="center" vertical="center"/>
    </xf>
    <xf numFmtId="167" fontId="11" fillId="3" borderId="23" xfId="0" applyNumberFormat="1" applyFont="1" applyFill="1" applyBorder="1" applyAlignment="1">
      <alignment horizontal="center" vertical="center"/>
    </xf>
    <xf numFmtId="167" fontId="11" fillId="3" borderId="67" xfId="0" applyNumberFormat="1" applyFont="1" applyFill="1" applyBorder="1" applyAlignment="1">
      <alignment horizontal="center" vertic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0" fillId="2" borderId="0" xfId="0" applyFill="1" applyAlignment="1">
      <alignment horizont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7" xfId="0" applyFont="1" applyFill="1" applyBorder="1" applyAlignment="1">
      <alignment horizontal="left"/>
    </xf>
    <xf numFmtId="0" fontId="26" fillId="0" borderId="4"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168" fontId="10" fillId="0" borderId="4" xfId="0" applyNumberFormat="1" applyFont="1" applyFill="1" applyBorder="1" applyAlignment="1">
      <alignment horizontal="center" vertical="center" wrapText="1"/>
    </xf>
    <xf numFmtId="168" fontId="10" fillId="0" borderId="6" xfId="0" applyNumberFormat="1"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43" fontId="20" fillId="4" borderId="28" xfId="2" applyFont="1" applyFill="1" applyBorder="1" applyAlignment="1">
      <alignment horizontal="center" vertical="center"/>
    </xf>
    <xf numFmtId="43" fontId="20" fillId="4" borderId="30" xfId="2" applyFont="1" applyFill="1" applyBorder="1" applyAlignment="1">
      <alignment horizontal="center" vertical="center"/>
    </xf>
    <xf numFmtId="43" fontId="20" fillId="4" borderId="21" xfId="2" applyFont="1" applyFill="1" applyBorder="1" applyAlignment="1">
      <alignment horizontal="center" vertical="center"/>
    </xf>
    <xf numFmtId="43" fontId="20" fillId="4" borderId="34"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43" fontId="20" fillId="4" borderId="19" xfId="2" applyFont="1" applyFill="1" applyBorder="1" applyAlignment="1">
      <alignment horizontal="center" vertical="center"/>
    </xf>
    <xf numFmtId="43" fontId="20" fillId="4" borderId="53" xfId="2" applyFont="1" applyFill="1" applyBorder="1" applyAlignment="1">
      <alignment horizontal="center" vertical="center"/>
    </xf>
    <xf numFmtId="43" fontId="20" fillId="4" borderId="24" xfId="2" applyFont="1" applyFill="1" applyBorder="1" applyAlignment="1">
      <alignment horizontal="center" vertical="center"/>
    </xf>
    <xf numFmtId="43" fontId="20" fillId="4" borderId="35" xfId="2" applyFont="1" applyFill="1" applyBorder="1" applyAlignment="1">
      <alignment horizontal="center" vertical="center"/>
    </xf>
    <xf numFmtId="43" fontId="20" fillId="4" borderId="17" xfId="2" applyFont="1" applyFill="1" applyBorder="1" applyAlignment="1">
      <alignment horizontal="center" vertical="center"/>
    </xf>
    <xf numFmtId="0" fontId="26" fillId="0" borderId="5"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2" borderId="0" xfId="0" applyFont="1" applyFill="1" applyBorder="1" applyAlignment="1">
      <alignment horizontal="center" vertical="center"/>
    </xf>
    <xf numFmtId="43" fontId="20" fillId="4" borderId="27" xfId="2" applyFont="1" applyFill="1" applyBorder="1" applyAlignment="1">
      <alignment horizontal="center" vertical="center"/>
    </xf>
    <xf numFmtId="0" fontId="18" fillId="9" borderId="8" xfId="0" applyFont="1" applyFill="1" applyBorder="1" applyAlignment="1">
      <alignment horizontal="left"/>
    </xf>
    <xf numFmtId="0" fontId="18" fillId="9" borderId="9" xfId="0" applyFont="1" applyFill="1" applyBorder="1" applyAlignment="1">
      <alignment horizontal="left"/>
    </xf>
    <xf numFmtId="43" fontId="20" fillId="4" borderId="37" xfId="2" applyFont="1" applyFill="1" applyBorder="1" applyAlignment="1">
      <alignment horizontal="center" vertical="center"/>
    </xf>
    <xf numFmtId="43" fontId="20" fillId="4" borderId="38" xfId="2" applyFont="1" applyFill="1" applyBorder="1" applyAlignment="1">
      <alignment horizontal="center" vertical="center"/>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1" fillId="4" borderId="3" xfId="0" applyFont="1" applyFill="1" applyBorder="1" applyAlignment="1">
      <alignment horizontal="center" vertical="center"/>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xf>
    <xf numFmtId="0" fontId="0" fillId="0" borderId="39" xfId="0" applyBorder="1" applyAlignment="1">
      <alignment horizontal="center" vertical="center"/>
    </xf>
    <xf numFmtId="0" fontId="0" fillId="0" borderId="36" xfId="0" applyBorder="1" applyAlignment="1">
      <alignment horizontal="center" vertical="center"/>
    </xf>
    <xf numFmtId="0" fontId="11" fillId="15" borderId="92" xfId="0" applyFont="1" applyFill="1" applyBorder="1" applyAlignment="1">
      <alignment horizontal="right"/>
    </xf>
    <xf numFmtId="0" fontId="11" fillId="15" borderId="93" xfId="0" applyFont="1" applyFill="1" applyBorder="1" applyAlignment="1">
      <alignment horizontal="right"/>
    </xf>
    <xf numFmtId="0" fontId="11" fillId="15" borderId="32" xfId="0" applyFont="1" applyFill="1" applyBorder="1" applyAlignment="1">
      <alignment horizontal="right"/>
    </xf>
    <xf numFmtId="0" fontId="10" fillId="9" borderId="35"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27" xfId="0" applyFont="1" applyFill="1"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25"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55" xfId="0" applyFont="1" applyFill="1" applyBorder="1" applyAlignment="1">
      <alignment horizontal="center" vertical="center"/>
    </xf>
    <xf numFmtId="0" fontId="10" fillId="9" borderId="32"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34"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41" xfId="0" applyFont="1" applyFill="1" applyBorder="1" applyAlignment="1">
      <alignment horizontal="center" vertical="center"/>
    </xf>
    <xf numFmtId="0" fontId="0" fillId="0" borderId="39" xfId="0" applyBorder="1" applyAlignment="1">
      <alignment horizontal="left"/>
    </xf>
    <xf numFmtId="0" fontId="0" fillId="0" borderId="40" xfId="0" applyBorder="1" applyAlignment="1">
      <alignment horizontal="left"/>
    </xf>
    <xf numFmtId="0" fontId="0" fillId="13" borderId="15" xfId="0" applyFill="1" applyBorder="1" applyAlignment="1">
      <alignment horizontal="left"/>
    </xf>
    <xf numFmtId="0" fontId="0" fillId="13" borderId="7" xfId="0" applyFill="1" applyBorder="1" applyAlignment="1">
      <alignment horizontal="left"/>
    </xf>
    <xf numFmtId="0" fontId="0" fillId="2" borderId="12"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06"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97" xfId="0" applyBorder="1" applyAlignment="1">
      <alignment horizontal="left"/>
    </xf>
    <xf numFmtId="0" fontId="0" fillId="0" borderId="29"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3" fillId="10" borderId="18" xfId="0" applyFont="1" applyFill="1" applyBorder="1" applyAlignment="1">
      <alignment horizontal="left"/>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4" borderId="1" xfId="0" applyFont="1" applyFill="1" applyBorder="1" applyAlignment="1">
      <alignment vertical="top" wrapText="1"/>
    </xf>
    <xf numFmtId="0" fontId="0" fillId="4" borderId="1" xfId="0" applyFont="1" applyFill="1" applyBorder="1" applyAlignment="1">
      <alignment vertical="top"/>
    </xf>
    <xf numFmtId="0" fontId="26" fillId="10" borderId="1" xfId="0" applyFont="1" applyFill="1" applyBorder="1" applyAlignment="1">
      <alignment horizontal="center" vertical="top" wrapText="1"/>
    </xf>
    <xf numFmtId="0" fontId="26" fillId="10" borderId="1" xfId="0" applyFont="1" applyFill="1" applyBorder="1" applyAlignment="1">
      <alignment vertical="top" wrapText="1"/>
    </xf>
    <xf numFmtId="0" fontId="0" fillId="10" borderId="1" xfId="0" applyFont="1" applyFill="1" applyBorder="1" applyAlignment="1">
      <alignment vertical="top" wrapText="1"/>
    </xf>
    <xf numFmtId="0" fontId="25" fillId="10" borderId="1" xfId="0" applyFont="1" applyFill="1" applyBorder="1" applyAlignment="1">
      <alignment vertical="top" wrapText="1"/>
    </xf>
    <xf numFmtId="0" fontId="0" fillId="10" borderId="21" xfId="0" applyFont="1" applyFill="1" applyBorder="1" applyAlignment="1">
      <alignment vertical="top" wrapText="1"/>
    </xf>
    <xf numFmtId="0" fontId="26" fillId="10" borderId="1" xfId="0" applyFont="1" applyFill="1" applyBorder="1" applyAlignment="1">
      <alignment horizontal="center" vertical="center" wrapText="1"/>
    </xf>
    <xf numFmtId="0" fontId="14" fillId="10" borderId="0" xfId="0" applyFont="1" applyFill="1" applyAlignment="1">
      <alignment horizontal="center" vertical="center"/>
    </xf>
    <xf numFmtId="0" fontId="15" fillId="10" borderId="0" xfId="0" applyFont="1" applyFill="1" applyAlignment="1">
      <alignment horizontal="center" vertical="center"/>
    </xf>
    <xf numFmtId="0" fontId="0" fillId="2" borderId="12" xfId="0" applyFill="1" applyBorder="1" applyAlignment="1">
      <alignment horizontal="center" vertical="top"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4"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0" xfId="0" applyFill="1" applyBorder="1" applyAlignment="1">
      <alignment vertical="top" wrapText="1"/>
    </xf>
    <xf numFmtId="168" fontId="0" fillId="8" borderId="1" xfId="0" applyNumberFormat="1" applyFill="1" applyBorder="1" applyAlignment="1">
      <alignment horizontal="center"/>
    </xf>
    <xf numFmtId="168" fontId="0" fillId="8" borderId="3" xfId="0" applyNumberFormat="1" applyFill="1" applyBorder="1" applyAlignment="1">
      <alignment horizontal="center"/>
    </xf>
    <xf numFmtId="168" fontId="0" fillId="8" borderId="94" xfId="0" applyNumberFormat="1" applyFill="1" applyBorder="1" applyAlignment="1">
      <alignment horizontal="center"/>
    </xf>
    <xf numFmtId="9" fontId="10" fillId="8" borderId="38" xfId="0" applyNumberFormat="1" applyFont="1" applyFill="1" applyBorder="1" applyAlignment="1">
      <alignment horizontal="center"/>
    </xf>
    <xf numFmtId="168" fontId="0" fillId="0" borderId="3" xfId="0" applyNumberFormat="1" applyFill="1" applyBorder="1" applyAlignment="1">
      <alignment horizontal="center"/>
    </xf>
    <xf numFmtId="0" fontId="13" fillId="10" borderId="100" xfId="0" applyFont="1" applyFill="1" applyBorder="1" applyAlignment="1"/>
    <xf numFmtId="0" fontId="13" fillId="10" borderId="16" xfId="0" applyFont="1" applyFill="1" applyBorder="1" applyAlignment="1"/>
    <xf numFmtId="0" fontId="13" fillId="10" borderId="7" xfId="0" applyFont="1" applyFill="1" applyBorder="1" applyAlignment="1"/>
    <xf numFmtId="0" fontId="7" fillId="9" borderId="59" xfId="0" applyFont="1" applyFill="1" applyBorder="1" applyAlignment="1">
      <alignment horizontal="center"/>
    </xf>
    <xf numFmtId="0" fontId="0" fillId="0" borderId="0" xfId="0" applyFill="1" applyBorder="1"/>
    <xf numFmtId="0" fontId="6" fillId="9" borderId="107" xfId="1" applyFont="1" applyFill="1" applyBorder="1" applyAlignment="1">
      <alignment horizontal="center" vertical="center"/>
    </xf>
    <xf numFmtId="0" fontId="6" fillId="9" borderId="108" xfId="1" applyFont="1" applyFill="1" applyBorder="1" applyAlignment="1">
      <alignment horizontal="center" vertical="center"/>
    </xf>
    <xf numFmtId="0" fontId="6" fillId="9" borderId="109" xfId="1" applyFont="1" applyFill="1" applyBorder="1" applyAlignment="1">
      <alignment horizontal="center" vertical="center"/>
    </xf>
  </cellXfs>
  <cellStyles count="26">
    <cellStyle name="Euro" xfId="11"/>
    <cellStyle name="Hipervínculo" xfId="1" builtinId="8"/>
    <cellStyle name="Hipervínculo 2" xfId="14"/>
    <cellStyle name="Hipervínculo 3" xfId="17"/>
    <cellStyle name="Hipervínculo 4" xfId="16"/>
    <cellStyle name="Hipervínculo 5" xfId="20"/>
    <cellStyle name="Hyperlink 2" xfId="12"/>
    <cellStyle name="Millares" xfId="2" builtinId="3"/>
    <cellStyle name="Moneda" xfId="6" builtinId="4"/>
    <cellStyle name="Moneda 2" xfId="10"/>
    <cellStyle name="Moneda 2 2" xfId="23"/>
    <cellStyle name="Moneda 3" xfId="19"/>
    <cellStyle name="Moneda 3 2" xfId="25"/>
    <cellStyle name="Moneda 4" xfId="22"/>
    <cellStyle name="Moneda 5" xfId="8"/>
    <cellStyle name="Normal" xfId="0" builtinId="0"/>
    <cellStyle name="Normal 2" xfId="13"/>
    <cellStyle name="Normal 2 14" xfId="4"/>
    <cellStyle name="Normal 2 15" xfId="5"/>
    <cellStyle name="Normal 3" xfId="18"/>
    <cellStyle name="Normal 4" xfId="9"/>
    <cellStyle name="Normal 5" xfId="21"/>
    <cellStyle name="Normal 6" xfId="7"/>
    <cellStyle name="Porcentaje" xfId="3" builtinId="5"/>
    <cellStyle name="Porcentaje 2" xfId="15"/>
    <cellStyle name="Porcentaje 3" xfId="2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ingresos'!$E$16</c:f>
              <c:strCache>
                <c:ptCount val="1"/>
                <c:pt idx="0">
                  <c:v>Ingresos 2022</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EA85-40A9-9793-B381DA40BF8B}"/>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'[1]Mod. egresos'!$B$9:$D$9</c:f>
              <c:numCache>
                <c:formatCode>General</c:formatCode>
                <c:ptCount val="3"/>
                <c:pt idx="0">
                  <c:v>2019</c:v>
                </c:pt>
                <c:pt idx="1">
                  <c:v>2020</c:v>
                </c:pt>
                <c:pt idx="2">
                  <c:v>2021</c:v>
                </c:pt>
              </c:numCache>
            </c:numRef>
          </c:cat>
          <c:val>
            <c:numRef>
              <c:f>'Mod. egresos'!$B$10:$D$10</c:f>
              <c:numCache>
                <c:formatCode>"$"\ #,##0.00</c:formatCode>
                <c:ptCount val="3"/>
                <c:pt idx="0">
                  <c:v>6685587.5999999987</c:v>
                </c:pt>
                <c:pt idx="1">
                  <c:v>6685587.5999999987</c:v>
                </c:pt>
                <c:pt idx="2">
                  <c:v>6685587.5999999987</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'[1]Mod. egresos'!$B$9:$D$9</c:f>
              <c:numCache>
                <c:formatCode>General</c:formatCode>
                <c:ptCount val="3"/>
                <c:pt idx="0">
                  <c:v>2019</c:v>
                </c:pt>
                <c:pt idx="1">
                  <c:v>2020</c:v>
                </c:pt>
                <c:pt idx="2">
                  <c:v>2021</c:v>
                </c:pt>
              </c:numCache>
            </c:numRef>
          </c:cat>
          <c:val>
            <c:numRef>
              <c:f>'Mod. egresos'!$B$11:$D$11</c:f>
              <c:numCache>
                <c:formatCode>"$"\ #,##0.00</c:formatCode>
                <c:ptCount val="3"/>
                <c:pt idx="0">
                  <c:v>230628.36</c:v>
                </c:pt>
                <c:pt idx="1">
                  <c:v>248350.20000000004</c:v>
                </c:pt>
                <c:pt idx="2">
                  <c:v>270133.44</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'[1]Mod. egresos'!$B$9:$D$9</c:f>
              <c:numCache>
                <c:formatCode>General</c:formatCode>
                <c:ptCount val="3"/>
                <c:pt idx="0">
                  <c:v>2019</c:v>
                </c:pt>
                <c:pt idx="1">
                  <c:v>2020</c:v>
                </c:pt>
                <c:pt idx="2">
                  <c:v>2021</c:v>
                </c:pt>
              </c:numCache>
            </c:numRef>
          </c:cat>
          <c:val>
            <c:numRef>
              <c:f>'Mod. egresos'!$B$12:$D$12</c:f>
              <c:numCache>
                <c:formatCode>"$"\ #,##0.00</c:formatCode>
                <c:ptCount val="3"/>
                <c:pt idx="0">
                  <c:v>9749696.4500000011</c:v>
                </c:pt>
                <c:pt idx="1">
                  <c:v>10859538.039999999</c:v>
                </c:pt>
                <c:pt idx="2">
                  <c:v>20689881.93999999</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17795496.839999996</c:v>
                </c:pt>
                <c:pt idx="2">
                  <c:v>27647624.979999989</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53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17795496.839999996</c:v>
                </c:pt>
                <c:pt idx="2">
                  <c:v>27647624.979999989</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'[1]Mod. egresos'!$B$9:$D$9</c:f>
              <c:numCache>
                <c:formatCode>General</c:formatCode>
                <c:ptCount val="3"/>
                <c:pt idx="0">
                  <c:v>2019</c:v>
                </c:pt>
                <c:pt idx="1">
                  <c:v>2020</c:v>
                </c:pt>
                <c:pt idx="2">
                  <c:v>2021</c:v>
                </c:pt>
              </c:numCache>
            </c:numRef>
          </c:cat>
          <c:val>
            <c:numRef>
              <c:f>'Mod. egresos'!$B$14:$D$14</c:f>
              <c:numCache>
                <c:formatCode>"$"\ #,##0.00</c:formatCode>
                <c:ptCount val="3"/>
                <c:pt idx="0">
                  <c:v>11347620</c:v>
                </c:pt>
                <c:pt idx="1">
                  <c:v>22695240</c:v>
                </c:pt>
                <c:pt idx="2">
                  <c:v>45390480</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092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ingresos'!$C$16</c:f>
              <c:strCache>
                <c:ptCount val="1"/>
                <c:pt idx="0">
                  <c:v>Ingresos 2020</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ingresos'!$D$16</c:f>
              <c:strCache>
                <c:ptCount val="1"/>
                <c:pt idx="0">
                  <c:v>Ingresos 2021</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8374-4368-97F6-BBDA83FD1D3E}"/>
                </c:ext>
              </c:extLst>
            </c:dLbl>
            <c:dLbl>
              <c:idx val="1"/>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374-4368-97F6-BBDA83FD1D3E}"/>
                </c:ext>
              </c:extLst>
            </c:dLbl>
            <c:dLbl>
              <c:idx val="2"/>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EA10895C-6469-4F66-9B8B-086653FCE725}"/>
            </a:ext>
          </a:extLst>
        </xdr:cNvPr>
        <xdr:cNvSpPr/>
      </xdr:nvSpPr>
      <xdr:spPr>
        <a:xfrm>
          <a:off x="0" y="238125"/>
          <a:ext cx="8096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52475" y="238125"/>
          <a:ext cx="1323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628650" y="238125"/>
          <a:ext cx="1171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1514475" y="238125"/>
          <a:ext cx="1933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1514475" y="238125"/>
          <a:ext cx="196215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152400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35718</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321C7A36-5EF7-47AF-ABA8-CDD78384DFDA}"/>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4C10C708-52C2-4FAB-81F4-B8C2B1A7B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4" name="Gráfico 3">
          <a:extLst>
            <a:ext uri="{FF2B5EF4-FFF2-40B4-BE49-F238E27FC236}">
              <a16:creationId xmlns:a16="http://schemas.microsoft.com/office/drawing/2014/main" id="{55872761-E8D1-425E-9C87-A7EDDAFFA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2.cedom.gob.ar/es/legislacion/normas/leyes/ley2972.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8"/>
  <sheetViews>
    <sheetView zoomScale="70" zoomScaleNormal="70" workbookViewId="0"/>
  </sheetViews>
  <sheetFormatPr baseColWidth="10" defaultRowHeight="15" x14ac:dyDescent="0.25"/>
  <cols>
    <col min="2" max="2" width="61.28515625" bestFit="1" customWidth="1"/>
    <col min="3" max="3" width="14.140625" bestFit="1" customWidth="1"/>
    <col min="4" max="4" width="15.5703125" bestFit="1" customWidth="1"/>
    <col min="5" max="5" width="18.7109375" bestFit="1" customWidth="1"/>
    <col min="6" max="6" width="15" bestFit="1" customWidth="1"/>
    <col min="9" max="9" width="13.140625" bestFit="1" customWidth="1"/>
  </cols>
  <sheetData>
    <row r="1" spans="1:26" ht="61.5" x14ac:dyDescent="0.25">
      <c r="A1" s="189"/>
      <c r="B1" s="189"/>
      <c r="C1" s="355" t="s">
        <v>160</v>
      </c>
      <c r="D1" s="189"/>
      <c r="E1" s="189"/>
      <c r="F1" s="191"/>
      <c r="G1" s="191"/>
      <c r="H1" s="191"/>
      <c r="I1" s="189"/>
      <c r="J1" s="189"/>
      <c r="K1" s="189"/>
      <c r="L1" s="189"/>
      <c r="M1" s="189"/>
      <c r="N1" s="189"/>
      <c r="O1" s="189"/>
      <c r="P1" s="189"/>
      <c r="Q1" s="189"/>
      <c r="R1" s="189"/>
      <c r="S1" s="189"/>
      <c r="T1" s="189"/>
      <c r="U1" s="189"/>
      <c r="V1" s="189"/>
      <c r="W1" s="189"/>
      <c r="X1" s="189"/>
      <c r="Y1" s="189"/>
      <c r="Z1" s="189"/>
    </row>
    <row r="2" spans="1:26" ht="15.75" thickBot="1" x14ac:dyDescent="0.3">
      <c r="A2" s="1"/>
      <c r="B2" s="1"/>
      <c r="C2" s="1"/>
      <c r="D2" s="1"/>
      <c r="E2" s="1"/>
      <c r="F2" s="1"/>
      <c r="G2" s="1"/>
      <c r="H2" s="1"/>
      <c r="I2" s="1"/>
      <c r="J2" s="1"/>
      <c r="K2" s="1"/>
      <c r="L2" s="1"/>
      <c r="M2" s="1"/>
      <c r="N2" s="1"/>
      <c r="O2" s="1"/>
      <c r="P2" s="1"/>
      <c r="Q2" s="1"/>
      <c r="R2" s="1"/>
      <c r="S2" s="1"/>
      <c r="T2" s="1"/>
      <c r="U2" s="1"/>
      <c r="V2" s="1"/>
      <c r="W2" s="1"/>
      <c r="X2" s="1"/>
      <c r="Y2" s="1"/>
      <c r="Z2" s="1"/>
    </row>
    <row r="3" spans="1:26" ht="27" thickBot="1" x14ac:dyDescent="0.45">
      <c r="A3" s="1"/>
      <c r="B3" s="586" t="s">
        <v>13</v>
      </c>
      <c r="C3" s="587"/>
      <c r="D3" s="588"/>
      <c r="E3" s="1"/>
      <c r="F3" s="627" t="s">
        <v>160</v>
      </c>
      <c r="G3" s="628"/>
      <c r="H3" s="628"/>
      <c r="I3" s="629"/>
      <c r="J3" s="1"/>
      <c r="K3" s="1"/>
      <c r="L3" s="1"/>
      <c r="M3" s="1"/>
      <c r="N3" s="1"/>
      <c r="O3" s="1"/>
      <c r="P3" s="1"/>
      <c r="Q3" s="1"/>
      <c r="R3" s="1"/>
      <c r="S3" s="1"/>
      <c r="T3" s="1"/>
      <c r="U3" s="1"/>
      <c r="V3" s="1"/>
      <c r="W3" s="1"/>
      <c r="X3" s="1"/>
      <c r="Y3" s="1"/>
      <c r="Z3" s="1"/>
    </row>
    <row r="4" spans="1:26" x14ac:dyDescent="0.25">
      <c r="A4" s="1"/>
      <c r="B4" s="202">
        <v>2020</v>
      </c>
      <c r="C4" s="166">
        <v>2021</v>
      </c>
      <c r="D4" s="203">
        <v>2022</v>
      </c>
      <c r="E4" s="1"/>
      <c r="F4" s="346" t="s">
        <v>161</v>
      </c>
      <c r="G4" s="347">
        <v>2020</v>
      </c>
      <c r="H4" s="438">
        <v>2021</v>
      </c>
      <c r="I4" s="348">
        <v>2022</v>
      </c>
      <c r="J4" s="1"/>
      <c r="K4" s="1"/>
      <c r="L4" s="1"/>
      <c r="M4" s="1"/>
      <c r="N4" s="1"/>
      <c r="O4" s="1"/>
      <c r="P4" s="1"/>
      <c r="Q4" s="1"/>
      <c r="R4" s="1"/>
      <c r="S4" s="1"/>
      <c r="T4" s="1"/>
      <c r="U4" s="1"/>
      <c r="V4" s="1"/>
      <c r="W4" s="1"/>
      <c r="X4" s="1"/>
      <c r="Y4" s="1"/>
      <c r="Z4" s="1"/>
    </row>
    <row r="5" spans="1:26" ht="15.75" thickBot="1" x14ac:dyDescent="0.3">
      <c r="A5" s="1"/>
      <c r="B5" s="225">
        <f>Hipótesis!$C$24</f>
        <v>5.0000000000000001E-3</v>
      </c>
      <c r="C5" s="15">
        <f>Hipótesis!$C$25</f>
        <v>0.01</v>
      </c>
      <c r="D5" s="19">
        <f>Hipótesis!$C$26</f>
        <v>0.02</v>
      </c>
      <c r="E5" s="1"/>
      <c r="F5" s="326">
        <f>$E$21</f>
        <v>1274116</v>
      </c>
      <c r="G5" s="327">
        <f>$E$34</f>
        <v>39198</v>
      </c>
      <c r="H5" s="439">
        <f>E47</f>
        <v>247816</v>
      </c>
      <c r="I5" s="328">
        <f>$E$60</f>
        <v>1245379</v>
      </c>
      <c r="J5" s="1"/>
      <c r="K5" s="1"/>
      <c r="L5" s="1"/>
      <c r="M5" s="1"/>
      <c r="N5" s="1"/>
      <c r="O5" s="1"/>
      <c r="P5" s="1"/>
      <c r="Q5" s="1"/>
      <c r="R5" s="1"/>
      <c r="S5" s="1"/>
      <c r="T5" s="1"/>
      <c r="U5" s="1"/>
      <c r="V5" s="1"/>
      <c r="W5" s="1"/>
      <c r="X5" s="1"/>
      <c r="Y5" s="1"/>
      <c r="Z5" s="1"/>
    </row>
    <row r="6" spans="1:26" ht="15.75" thickBot="1" x14ac:dyDescent="0.3">
      <c r="A6" s="1"/>
      <c r="B6" s="20">
        <f>Hipótesis!$D$24</f>
        <v>11347620</v>
      </c>
      <c r="C6" s="21">
        <f>Hipótesis!$D$25</f>
        <v>22695240</v>
      </c>
      <c r="D6" s="22">
        <f>Hipótesis!$D$26</f>
        <v>45390480</v>
      </c>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27" thickBot="1" x14ac:dyDescent="0.45">
      <c r="A9" s="1"/>
      <c r="B9" s="630" t="s">
        <v>210</v>
      </c>
      <c r="C9" s="631"/>
      <c r="D9" s="631"/>
      <c r="E9" s="631"/>
      <c r="F9" s="1"/>
      <c r="G9" s="1"/>
      <c r="H9" s="1"/>
      <c r="I9" s="1"/>
      <c r="J9" s="1"/>
      <c r="K9" s="1"/>
      <c r="L9" s="1"/>
      <c r="M9" s="1"/>
      <c r="N9" s="1"/>
      <c r="O9" s="1"/>
      <c r="P9" s="1"/>
      <c r="Q9" s="1"/>
      <c r="R9" s="1"/>
      <c r="S9" s="1"/>
      <c r="T9" s="1"/>
      <c r="U9" s="1"/>
      <c r="V9" s="1"/>
      <c r="W9" s="1"/>
      <c r="X9" s="1"/>
      <c r="Y9" s="1"/>
      <c r="Z9" s="1"/>
    </row>
    <row r="10" spans="1:26" ht="15.75" x14ac:dyDescent="0.25">
      <c r="A10" s="1"/>
      <c r="B10" s="349" t="s">
        <v>40</v>
      </c>
      <c r="C10" s="350" t="s">
        <v>37</v>
      </c>
      <c r="D10" s="350" t="s">
        <v>162</v>
      </c>
      <c r="E10" s="350" t="s">
        <v>163</v>
      </c>
      <c r="F10" s="1"/>
      <c r="G10" s="1"/>
      <c r="H10" s="1"/>
      <c r="I10" s="1"/>
      <c r="J10" s="1"/>
      <c r="K10" s="1"/>
      <c r="L10" s="1"/>
      <c r="M10" s="1"/>
      <c r="N10" s="1"/>
      <c r="O10" s="1"/>
      <c r="P10" s="1"/>
      <c r="Q10" s="1"/>
      <c r="R10" s="1"/>
      <c r="S10" s="1"/>
      <c r="T10" s="1"/>
      <c r="U10" s="1"/>
      <c r="V10" s="1"/>
      <c r="W10" s="1"/>
      <c r="X10" s="1"/>
      <c r="Y10" s="1"/>
      <c r="Z10" s="1"/>
    </row>
    <row r="11" spans="1:26" x14ac:dyDescent="0.25">
      <c r="A11" s="1"/>
      <c r="B11" s="263" t="s">
        <v>168</v>
      </c>
      <c r="C11" s="264">
        <v>5</v>
      </c>
      <c r="D11" s="329">
        <v>78799</v>
      </c>
      <c r="E11" s="329">
        <f t="shared" ref="E11:E19" si="0">C11*D11</f>
        <v>393995</v>
      </c>
      <c r="F11" s="335" t="s">
        <v>167</v>
      </c>
      <c r="G11" s="1"/>
      <c r="H11" s="1"/>
      <c r="I11" s="1"/>
      <c r="J11" s="1"/>
      <c r="K11" s="1"/>
      <c r="L11" s="1"/>
      <c r="M11" s="1"/>
      <c r="N11" s="1"/>
      <c r="O11" s="1"/>
      <c r="P11" s="1"/>
      <c r="Q11" s="1"/>
      <c r="R11" s="1"/>
      <c r="S11" s="1"/>
      <c r="T11" s="1"/>
      <c r="U11" s="1"/>
      <c r="V11" s="1"/>
      <c r="W11" s="1"/>
      <c r="X11" s="1"/>
      <c r="Y11" s="1"/>
      <c r="Z11" s="1"/>
    </row>
    <row r="12" spans="1:26" x14ac:dyDescent="0.25">
      <c r="A12" s="1"/>
      <c r="B12" s="263" t="s">
        <v>171</v>
      </c>
      <c r="C12" s="264">
        <v>1</v>
      </c>
      <c r="D12" s="329">
        <v>4099</v>
      </c>
      <c r="E12" s="329">
        <f t="shared" si="0"/>
        <v>4099</v>
      </c>
      <c r="F12" s="335" t="s">
        <v>172</v>
      </c>
      <c r="G12" s="1"/>
      <c r="H12" s="1"/>
      <c r="I12" s="1"/>
      <c r="J12" s="1"/>
      <c r="K12" s="1"/>
      <c r="L12" s="1"/>
      <c r="M12" s="1"/>
      <c r="N12" s="1"/>
      <c r="O12" s="1"/>
      <c r="P12" s="1"/>
      <c r="Q12" s="1"/>
      <c r="R12" s="1"/>
      <c r="S12" s="1"/>
      <c r="T12" s="1"/>
      <c r="U12" s="1"/>
      <c r="V12" s="1"/>
      <c r="W12" s="1"/>
      <c r="X12" s="1"/>
      <c r="Y12" s="1"/>
      <c r="Z12" s="1"/>
    </row>
    <row r="13" spans="1:26" x14ac:dyDescent="0.25">
      <c r="A13" s="1"/>
      <c r="B13" s="263" t="s">
        <v>169</v>
      </c>
      <c r="C13" s="264">
        <v>1</v>
      </c>
      <c r="D13" s="329">
        <v>15298</v>
      </c>
      <c r="E13" s="329">
        <f t="shared" si="0"/>
        <v>15298</v>
      </c>
      <c r="F13" s="335" t="s">
        <v>170</v>
      </c>
      <c r="G13" s="1"/>
      <c r="H13" s="1"/>
      <c r="I13" s="1"/>
      <c r="J13" s="1"/>
      <c r="K13" s="1"/>
      <c r="L13" s="1"/>
      <c r="M13" s="1"/>
      <c r="N13" s="1"/>
      <c r="O13" s="1"/>
      <c r="P13" s="1"/>
      <c r="Q13" s="1"/>
      <c r="R13" s="1"/>
      <c r="S13" s="1"/>
      <c r="T13" s="1"/>
      <c r="U13" s="1"/>
      <c r="V13" s="1"/>
      <c r="W13" s="1"/>
      <c r="X13" s="1"/>
      <c r="Y13" s="1"/>
      <c r="Z13" s="1"/>
    </row>
    <row r="14" spans="1:26" x14ac:dyDescent="0.25">
      <c r="A14" s="1"/>
      <c r="B14" s="263" t="s">
        <v>179</v>
      </c>
      <c r="C14" s="264">
        <v>1</v>
      </c>
      <c r="D14" s="329">
        <v>6299</v>
      </c>
      <c r="E14" s="329">
        <f t="shared" si="0"/>
        <v>6299</v>
      </c>
      <c r="F14" s="335" t="s">
        <v>178</v>
      </c>
      <c r="G14" s="1"/>
      <c r="H14" s="1"/>
      <c r="I14" s="1"/>
      <c r="J14" s="1"/>
      <c r="K14" s="1"/>
      <c r="L14" s="1"/>
      <c r="M14" s="1"/>
      <c r="N14" s="1"/>
      <c r="O14" s="1"/>
      <c r="P14" s="1"/>
      <c r="Q14" s="1"/>
      <c r="R14" s="1"/>
      <c r="S14" s="1"/>
      <c r="T14" s="1"/>
      <c r="U14" s="1"/>
      <c r="V14" s="1"/>
      <c r="W14" s="1"/>
      <c r="X14" s="1"/>
      <c r="Y14" s="1"/>
      <c r="Z14" s="1"/>
    </row>
    <row r="15" spans="1:26" x14ac:dyDescent="0.25">
      <c r="A15" s="1"/>
      <c r="B15" s="263" t="s">
        <v>180</v>
      </c>
      <c r="C15" s="264">
        <v>2</v>
      </c>
      <c r="D15" s="329">
        <v>2490</v>
      </c>
      <c r="E15" s="329">
        <f t="shared" si="0"/>
        <v>4980</v>
      </c>
      <c r="F15" s="335" t="s">
        <v>181</v>
      </c>
      <c r="G15" s="1"/>
      <c r="H15" s="1"/>
      <c r="I15" s="1"/>
      <c r="J15" s="1"/>
      <c r="K15" s="1"/>
      <c r="L15" s="1"/>
      <c r="M15" s="1"/>
      <c r="N15" s="1"/>
      <c r="O15" s="1"/>
      <c r="P15" s="1"/>
      <c r="Q15" s="1"/>
      <c r="R15" s="1"/>
      <c r="S15" s="1"/>
      <c r="T15" s="1"/>
      <c r="U15" s="1"/>
      <c r="V15" s="1"/>
      <c r="W15" s="1"/>
      <c r="X15" s="1"/>
      <c r="Y15" s="1"/>
      <c r="Z15" s="1"/>
    </row>
    <row r="16" spans="1:26" x14ac:dyDescent="0.25">
      <c r="A16" s="1"/>
      <c r="B16" s="263" t="s">
        <v>164</v>
      </c>
      <c r="C16" s="264">
        <v>5</v>
      </c>
      <c r="D16" s="329">
        <v>18609</v>
      </c>
      <c r="E16" s="329">
        <f t="shared" si="0"/>
        <v>93045</v>
      </c>
      <c r="F16" s="335" t="s">
        <v>177</v>
      </c>
      <c r="G16" s="1"/>
      <c r="H16" s="1"/>
      <c r="I16" s="1"/>
      <c r="J16" s="1"/>
      <c r="K16" s="1"/>
      <c r="L16" s="1"/>
      <c r="M16" s="1"/>
      <c r="N16" s="1"/>
      <c r="O16" s="1"/>
      <c r="P16" s="1"/>
      <c r="Q16" s="1"/>
      <c r="R16" s="1"/>
      <c r="S16" s="1"/>
      <c r="T16" s="1"/>
      <c r="U16" s="1"/>
      <c r="V16" s="1"/>
      <c r="W16" s="1"/>
      <c r="X16" s="1"/>
      <c r="Y16" s="1"/>
      <c r="Z16" s="1"/>
    </row>
    <row r="17" spans="1:26" x14ac:dyDescent="0.25">
      <c r="A17" s="1"/>
      <c r="B17" s="263" t="s">
        <v>173</v>
      </c>
      <c r="C17" s="264">
        <v>1</v>
      </c>
      <c r="D17" s="329">
        <v>23900</v>
      </c>
      <c r="E17" s="329">
        <f t="shared" si="0"/>
        <v>23900</v>
      </c>
      <c r="F17" s="335" t="s">
        <v>174</v>
      </c>
      <c r="G17" s="1"/>
      <c r="H17" s="1"/>
      <c r="I17" s="1"/>
      <c r="J17" s="1"/>
      <c r="K17" s="1"/>
      <c r="L17" s="1"/>
      <c r="M17" s="1"/>
      <c r="N17" s="1"/>
      <c r="O17" s="1"/>
      <c r="P17" s="1"/>
      <c r="Q17" s="1"/>
      <c r="R17" s="1"/>
      <c r="S17" s="1"/>
      <c r="T17" s="1"/>
      <c r="U17" s="1"/>
      <c r="V17" s="1"/>
      <c r="W17" s="1"/>
      <c r="X17" s="1"/>
      <c r="Y17" s="1"/>
      <c r="Z17" s="1"/>
    </row>
    <row r="18" spans="1:26" x14ac:dyDescent="0.25">
      <c r="A18" s="1"/>
      <c r="B18" s="263" t="s">
        <v>175</v>
      </c>
      <c r="C18" s="264">
        <v>5</v>
      </c>
      <c r="D18" s="329">
        <v>13500</v>
      </c>
      <c r="E18" s="329">
        <f t="shared" si="0"/>
        <v>67500</v>
      </c>
      <c r="F18" s="335" t="s">
        <v>176</v>
      </c>
      <c r="G18" s="1"/>
      <c r="H18" s="1"/>
      <c r="I18" s="1"/>
      <c r="J18" s="1"/>
      <c r="K18" s="1"/>
      <c r="L18" s="1"/>
      <c r="M18" s="1"/>
      <c r="N18" s="1"/>
      <c r="O18" s="1"/>
      <c r="P18" s="1"/>
      <c r="Q18" s="1"/>
      <c r="R18" s="1"/>
      <c r="S18" s="1"/>
      <c r="T18" s="1"/>
      <c r="U18" s="1"/>
      <c r="V18" s="1"/>
      <c r="W18" s="1"/>
      <c r="X18" s="1"/>
      <c r="Y18" s="1"/>
      <c r="Z18" s="1"/>
    </row>
    <row r="19" spans="1:26" x14ac:dyDescent="0.25">
      <c r="A19" s="1"/>
      <c r="B19" s="336" t="s">
        <v>182</v>
      </c>
      <c r="C19" s="337">
        <v>5</v>
      </c>
      <c r="D19" s="338">
        <v>13000</v>
      </c>
      <c r="E19" s="329">
        <f t="shared" si="0"/>
        <v>65000</v>
      </c>
      <c r="F19" s="335" t="s">
        <v>183</v>
      </c>
      <c r="G19" s="1"/>
      <c r="H19" s="1"/>
      <c r="I19" s="1"/>
      <c r="J19" s="1"/>
      <c r="K19" s="1"/>
      <c r="L19" s="1"/>
      <c r="M19" s="1"/>
      <c r="N19" s="1"/>
      <c r="O19" s="1"/>
      <c r="P19" s="1"/>
      <c r="Q19" s="1"/>
      <c r="R19" s="1"/>
      <c r="S19" s="1"/>
      <c r="T19" s="1"/>
      <c r="U19" s="1"/>
      <c r="V19" s="1"/>
      <c r="W19" s="1"/>
      <c r="X19" s="1"/>
      <c r="Y19" s="1"/>
      <c r="Z19" s="1"/>
    </row>
    <row r="20" spans="1:26" ht="15.75" thickBot="1" x14ac:dyDescent="0.3">
      <c r="A20" s="1"/>
      <c r="B20" s="330" t="s">
        <v>165</v>
      </c>
      <c r="C20" s="331"/>
      <c r="D20" s="327"/>
      <c r="E20" s="329">
        <v>600000</v>
      </c>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623" t="s">
        <v>7</v>
      </c>
      <c r="C21" s="624"/>
      <c r="D21" s="625"/>
      <c r="E21" s="332">
        <f>SUM(E11:E20)</f>
        <v>1274116</v>
      </c>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 thickBot="1" x14ac:dyDescent="0.45">
      <c r="A23" s="1"/>
      <c r="B23" s="586" t="s">
        <v>211</v>
      </c>
      <c r="C23" s="587"/>
      <c r="D23" s="587"/>
      <c r="E23" s="588"/>
      <c r="F23" s="1"/>
      <c r="G23" s="1"/>
      <c r="H23" s="1"/>
      <c r="I23" s="1"/>
      <c r="J23" s="1"/>
      <c r="K23" s="1"/>
      <c r="L23" s="1"/>
      <c r="M23" s="1"/>
      <c r="N23" s="1"/>
      <c r="O23" s="1"/>
      <c r="P23" s="1"/>
      <c r="Q23" s="1"/>
      <c r="R23" s="1"/>
      <c r="S23" s="1"/>
      <c r="T23" s="1"/>
      <c r="U23" s="1"/>
      <c r="V23" s="1"/>
      <c r="W23" s="1"/>
      <c r="X23" s="1"/>
      <c r="Y23" s="1"/>
      <c r="Z23" s="1"/>
    </row>
    <row r="24" spans="1:26" ht="15.75" x14ac:dyDescent="0.25">
      <c r="A24" s="1"/>
      <c r="B24" s="351" t="s">
        <v>40</v>
      </c>
      <c r="C24" s="352" t="s">
        <v>37</v>
      </c>
      <c r="D24" s="352" t="s">
        <v>162</v>
      </c>
      <c r="E24" s="353" t="s">
        <v>163</v>
      </c>
      <c r="F24" s="1"/>
      <c r="G24" s="1"/>
      <c r="H24" s="1"/>
      <c r="I24" s="1"/>
      <c r="J24" s="1"/>
      <c r="K24" s="1"/>
      <c r="L24" s="1"/>
      <c r="M24" s="1"/>
      <c r="N24" s="1"/>
      <c r="O24" s="1"/>
      <c r="P24" s="1"/>
      <c r="Q24" s="1"/>
      <c r="R24" s="1"/>
      <c r="S24" s="1"/>
      <c r="T24" s="1"/>
      <c r="U24" s="1"/>
      <c r="V24" s="1"/>
      <c r="W24" s="1"/>
      <c r="X24" s="1"/>
      <c r="Y24" s="1"/>
      <c r="Z24" s="1"/>
    </row>
    <row r="25" spans="1:26" x14ac:dyDescent="0.25">
      <c r="A25" s="1"/>
      <c r="B25" s="447" t="s">
        <v>168</v>
      </c>
      <c r="C25" s="448">
        <v>0</v>
      </c>
      <c r="D25" s="241">
        <v>78799</v>
      </c>
      <c r="E25" s="398">
        <f t="shared" ref="E25:E33" si="1">C25*D25</f>
        <v>0</v>
      </c>
      <c r="F25" s="1"/>
      <c r="G25" s="1"/>
      <c r="H25" s="1"/>
      <c r="I25" s="1"/>
      <c r="J25" s="1"/>
      <c r="K25" s="1"/>
      <c r="L25" s="1"/>
      <c r="M25" s="1"/>
      <c r="N25" s="1"/>
      <c r="O25" s="1"/>
      <c r="P25" s="1"/>
      <c r="Q25" s="1"/>
      <c r="R25" s="1"/>
      <c r="S25" s="1"/>
      <c r="T25" s="1"/>
      <c r="U25" s="1"/>
      <c r="V25" s="1"/>
      <c r="W25" s="1"/>
      <c r="X25" s="1"/>
      <c r="Y25" s="1"/>
      <c r="Z25" s="1"/>
    </row>
    <row r="26" spans="1:26" x14ac:dyDescent="0.25">
      <c r="A26" s="1"/>
      <c r="B26" s="263" t="s">
        <v>171</v>
      </c>
      <c r="C26" s="264">
        <v>0</v>
      </c>
      <c r="D26" s="329">
        <v>4099</v>
      </c>
      <c r="E26" s="333">
        <f t="shared" si="1"/>
        <v>0</v>
      </c>
      <c r="F26" s="24"/>
      <c r="G26" s="24"/>
      <c r="H26" s="24"/>
      <c r="I26" s="1"/>
      <c r="J26" s="1"/>
      <c r="K26" s="1"/>
      <c r="L26" s="1"/>
      <c r="M26" s="1"/>
      <c r="N26" s="1"/>
      <c r="O26" s="1"/>
      <c r="P26" s="1"/>
      <c r="Q26" s="1"/>
      <c r="R26" s="1"/>
      <c r="S26" s="1"/>
      <c r="T26" s="1"/>
      <c r="U26" s="1"/>
      <c r="V26" s="1"/>
      <c r="W26" s="1"/>
      <c r="X26" s="1"/>
      <c r="Y26" s="1"/>
      <c r="Z26" s="1"/>
    </row>
    <row r="27" spans="1:26" x14ac:dyDescent="0.25">
      <c r="A27" s="1"/>
      <c r="B27" s="339" t="s">
        <v>169</v>
      </c>
      <c r="C27" s="315">
        <v>1</v>
      </c>
      <c r="D27" s="340">
        <v>15298</v>
      </c>
      <c r="E27" s="341">
        <f t="shared" si="1"/>
        <v>15298</v>
      </c>
      <c r="F27" s="24"/>
      <c r="G27" s="24"/>
      <c r="H27" s="24"/>
      <c r="I27" s="1"/>
      <c r="J27" s="1"/>
      <c r="K27" s="1"/>
      <c r="L27" s="1"/>
      <c r="M27" s="1"/>
      <c r="N27" s="1"/>
      <c r="O27" s="1"/>
      <c r="P27" s="1"/>
      <c r="Q27" s="1"/>
      <c r="R27" s="1"/>
      <c r="S27" s="1"/>
      <c r="T27" s="1"/>
      <c r="U27" s="1"/>
      <c r="V27" s="1"/>
      <c r="W27" s="1"/>
      <c r="X27" s="1"/>
      <c r="Y27" s="1"/>
      <c r="Z27" s="1"/>
    </row>
    <row r="28" spans="1:26" x14ac:dyDescent="0.25">
      <c r="A28" s="1"/>
      <c r="B28" s="263" t="s">
        <v>179</v>
      </c>
      <c r="C28" s="264">
        <v>0</v>
      </c>
      <c r="D28" s="329">
        <v>6299</v>
      </c>
      <c r="E28" s="333">
        <f t="shared" si="1"/>
        <v>0</v>
      </c>
      <c r="F28" s="562"/>
      <c r="G28" s="562"/>
      <c r="H28" s="375"/>
      <c r="I28" s="1"/>
      <c r="J28" s="1"/>
      <c r="K28" s="1"/>
      <c r="L28" s="1"/>
      <c r="M28" s="1"/>
      <c r="N28" s="1"/>
      <c r="O28" s="1"/>
      <c r="P28" s="1"/>
      <c r="Q28" s="1"/>
      <c r="R28" s="1"/>
      <c r="S28" s="1"/>
      <c r="T28" s="1"/>
      <c r="U28" s="1"/>
      <c r="V28" s="1"/>
      <c r="W28" s="1"/>
      <c r="X28" s="1"/>
      <c r="Y28" s="1"/>
      <c r="Z28" s="1"/>
    </row>
    <row r="29" spans="1:26" x14ac:dyDescent="0.25">
      <c r="A29" s="1"/>
      <c r="B29" s="263" t="s">
        <v>180</v>
      </c>
      <c r="C29" s="264">
        <v>0</v>
      </c>
      <c r="D29" s="329">
        <v>2490</v>
      </c>
      <c r="E29" s="333">
        <f t="shared" si="1"/>
        <v>0</v>
      </c>
      <c r="F29" s="626"/>
      <c r="G29" s="626"/>
      <c r="H29" s="376"/>
      <c r="I29" s="1"/>
      <c r="J29" s="1"/>
      <c r="K29" s="1"/>
      <c r="L29" s="1"/>
      <c r="M29" s="1"/>
      <c r="N29" s="1"/>
      <c r="O29" s="1"/>
      <c r="P29" s="1"/>
      <c r="Q29" s="1"/>
      <c r="R29" s="1"/>
      <c r="S29" s="1"/>
      <c r="T29" s="1"/>
      <c r="U29" s="1"/>
      <c r="V29" s="1"/>
      <c r="W29" s="1"/>
      <c r="X29" s="1"/>
      <c r="Y29" s="1"/>
      <c r="Z29" s="1"/>
    </row>
    <row r="30" spans="1:26" x14ac:dyDescent="0.25">
      <c r="A30" s="1"/>
      <c r="B30" s="447" t="s">
        <v>164</v>
      </c>
      <c r="C30" s="448">
        <v>0</v>
      </c>
      <c r="D30" s="241">
        <v>18609</v>
      </c>
      <c r="E30" s="398">
        <f t="shared" si="1"/>
        <v>0</v>
      </c>
      <c r="F30" s="562"/>
      <c r="G30" s="562"/>
      <c r="H30" s="375"/>
      <c r="I30" s="1"/>
      <c r="J30" s="1"/>
      <c r="K30" s="1"/>
      <c r="L30" s="1"/>
      <c r="M30" s="1"/>
      <c r="N30" s="1"/>
      <c r="O30" s="1"/>
      <c r="P30" s="1"/>
      <c r="Q30" s="1"/>
      <c r="R30" s="1"/>
      <c r="S30" s="1"/>
      <c r="T30" s="1"/>
      <c r="U30" s="1"/>
      <c r="V30" s="1"/>
      <c r="W30" s="1"/>
      <c r="X30" s="1"/>
      <c r="Y30" s="1"/>
      <c r="Z30" s="1"/>
    </row>
    <row r="31" spans="1:26" x14ac:dyDescent="0.25">
      <c r="A31" s="1"/>
      <c r="B31" s="339" t="s">
        <v>173</v>
      </c>
      <c r="C31" s="315">
        <v>1</v>
      </c>
      <c r="D31" s="340">
        <v>23900</v>
      </c>
      <c r="E31" s="341">
        <f t="shared" si="1"/>
        <v>23900</v>
      </c>
      <c r="F31" s="626"/>
      <c r="G31" s="626"/>
      <c r="H31" s="376"/>
      <c r="I31" s="1"/>
      <c r="J31" s="1"/>
      <c r="K31" s="1"/>
      <c r="L31" s="1"/>
      <c r="M31" s="1"/>
      <c r="N31" s="1"/>
      <c r="O31" s="1"/>
      <c r="P31" s="1"/>
      <c r="Q31" s="1"/>
      <c r="R31" s="1"/>
      <c r="S31" s="1"/>
      <c r="T31" s="1"/>
      <c r="U31" s="1"/>
      <c r="V31" s="1"/>
      <c r="W31" s="1"/>
      <c r="X31" s="1"/>
      <c r="Y31" s="1"/>
      <c r="Z31" s="1"/>
    </row>
    <row r="32" spans="1:26" x14ac:dyDescent="0.25">
      <c r="A32" s="1"/>
      <c r="B32" s="447" t="s">
        <v>175</v>
      </c>
      <c r="C32" s="448">
        <v>0</v>
      </c>
      <c r="D32" s="241">
        <v>13500</v>
      </c>
      <c r="E32" s="398">
        <f t="shared" si="1"/>
        <v>0</v>
      </c>
      <c r="F32" s="626"/>
      <c r="G32" s="626"/>
      <c r="H32" s="376"/>
      <c r="I32" s="1"/>
      <c r="J32" s="1"/>
      <c r="K32" s="1"/>
      <c r="L32" s="1"/>
      <c r="M32" s="1"/>
      <c r="N32" s="1"/>
      <c r="O32" s="1"/>
      <c r="P32" s="1"/>
      <c r="Q32" s="1"/>
      <c r="R32" s="1"/>
      <c r="S32" s="1"/>
      <c r="T32" s="1"/>
      <c r="U32" s="1"/>
      <c r="V32" s="1"/>
      <c r="W32" s="1"/>
      <c r="X32" s="1"/>
      <c r="Y32" s="1"/>
      <c r="Z32" s="1"/>
    </row>
    <row r="33" spans="1:26" ht="15.75" thickBot="1" x14ac:dyDescent="0.3">
      <c r="A33" s="1"/>
      <c r="B33" s="449" t="s">
        <v>182</v>
      </c>
      <c r="C33" s="450">
        <v>0</v>
      </c>
      <c r="D33" s="239">
        <v>13000</v>
      </c>
      <c r="E33" s="240">
        <f t="shared" si="1"/>
        <v>0</v>
      </c>
      <c r="F33" s="626"/>
      <c r="G33" s="626"/>
      <c r="H33" s="376"/>
      <c r="I33" s="1"/>
      <c r="J33" s="1"/>
      <c r="K33" s="1"/>
      <c r="L33" s="1"/>
      <c r="M33" s="1"/>
      <c r="N33" s="1"/>
      <c r="O33" s="1"/>
      <c r="P33" s="1"/>
      <c r="Q33" s="1"/>
      <c r="R33" s="1"/>
      <c r="S33" s="1"/>
      <c r="T33" s="1"/>
      <c r="U33" s="1"/>
      <c r="V33" s="1"/>
      <c r="W33" s="1"/>
      <c r="X33" s="1"/>
      <c r="Y33" s="1"/>
      <c r="Z33" s="1"/>
    </row>
    <row r="34" spans="1:26" ht="15.75" thickBot="1" x14ac:dyDescent="0.3">
      <c r="A34" s="1"/>
      <c r="B34" s="623" t="s">
        <v>7</v>
      </c>
      <c r="C34" s="624"/>
      <c r="D34" s="625"/>
      <c r="E34" s="332">
        <f>SUM(E25:E33)</f>
        <v>39198</v>
      </c>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41"/>
      <c r="C35" s="41"/>
      <c r="D35" s="41"/>
      <c r="E35" s="421"/>
      <c r="F35" s="1"/>
      <c r="G35" s="1"/>
      <c r="H35" s="1"/>
      <c r="I35" s="1"/>
      <c r="J35" s="1"/>
      <c r="K35" s="1"/>
      <c r="L35" s="1"/>
      <c r="M35" s="1"/>
      <c r="N35" s="1"/>
      <c r="O35" s="1"/>
      <c r="P35" s="1"/>
      <c r="Q35" s="1"/>
      <c r="R35" s="1"/>
      <c r="S35" s="1"/>
      <c r="T35" s="1"/>
      <c r="U35" s="1"/>
      <c r="V35" s="1"/>
      <c r="W35" s="1"/>
      <c r="X35" s="1"/>
      <c r="Y35" s="1"/>
      <c r="Z35" s="1"/>
    </row>
    <row r="36" spans="1:26" ht="27" thickBot="1" x14ac:dyDescent="0.45">
      <c r="A36" s="1"/>
      <c r="B36" s="586" t="s">
        <v>166</v>
      </c>
      <c r="C36" s="587"/>
      <c r="D36" s="587"/>
      <c r="E36" s="588"/>
      <c r="F36" s="1"/>
      <c r="G36" s="1"/>
      <c r="H36" s="1"/>
      <c r="I36" s="1"/>
      <c r="J36" s="1"/>
      <c r="K36" s="1"/>
      <c r="L36" s="1"/>
      <c r="M36" s="1"/>
      <c r="N36" s="1"/>
      <c r="O36" s="1"/>
      <c r="P36" s="1"/>
      <c r="Q36" s="1"/>
      <c r="R36" s="1"/>
      <c r="S36" s="1"/>
      <c r="T36" s="1"/>
      <c r="U36" s="1"/>
      <c r="V36" s="1"/>
      <c r="W36" s="1"/>
      <c r="X36" s="1"/>
      <c r="Y36" s="1"/>
      <c r="Z36" s="1"/>
    </row>
    <row r="37" spans="1:26" ht="15.75" x14ac:dyDescent="0.25">
      <c r="A37" s="1"/>
      <c r="B37" s="351" t="s">
        <v>40</v>
      </c>
      <c r="C37" s="352" t="s">
        <v>37</v>
      </c>
      <c r="D37" s="352" t="s">
        <v>162</v>
      </c>
      <c r="E37" s="353" t="s">
        <v>163</v>
      </c>
      <c r="F37" s="1"/>
      <c r="G37" s="1"/>
      <c r="H37" s="1"/>
      <c r="I37" s="1"/>
      <c r="J37" s="1"/>
      <c r="K37" s="1"/>
      <c r="L37" s="1"/>
      <c r="M37" s="1"/>
      <c r="N37" s="1"/>
      <c r="O37" s="1"/>
      <c r="P37" s="1"/>
      <c r="Q37" s="1"/>
      <c r="R37" s="1"/>
      <c r="S37" s="1"/>
      <c r="T37" s="1"/>
      <c r="U37" s="1"/>
      <c r="V37" s="1"/>
      <c r="W37" s="1"/>
      <c r="X37" s="1"/>
      <c r="Y37" s="1"/>
      <c r="Z37" s="1"/>
    </row>
    <row r="38" spans="1:26" x14ac:dyDescent="0.25">
      <c r="A38" s="1"/>
      <c r="B38" s="339" t="s">
        <v>168</v>
      </c>
      <c r="C38" s="315">
        <v>2</v>
      </c>
      <c r="D38" s="340">
        <v>78799</v>
      </c>
      <c r="E38" s="341">
        <f t="shared" ref="E38:E46" si="2">C38*D38</f>
        <v>157598</v>
      </c>
      <c r="F38" s="1"/>
      <c r="G38" s="1"/>
      <c r="H38" s="1"/>
      <c r="I38" s="1"/>
      <c r="J38" s="1"/>
      <c r="K38" s="1"/>
      <c r="L38" s="1"/>
      <c r="M38" s="1"/>
      <c r="N38" s="1"/>
      <c r="O38" s="1"/>
      <c r="P38" s="1"/>
      <c r="Q38" s="1"/>
      <c r="R38" s="1"/>
      <c r="S38" s="1"/>
      <c r="T38" s="1"/>
      <c r="U38" s="1"/>
      <c r="V38" s="1"/>
      <c r="W38" s="1"/>
      <c r="X38" s="1"/>
      <c r="Y38" s="1"/>
      <c r="Z38" s="1"/>
    </row>
    <row r="39" spans="1:26" x14ac:dyDescent="0.25">
      <c r="A39" s="1"/>
      <c r="B39" s="263" t="s">
        <v>171</v>
      </c>
      <c r="C39" s="264">
        <v>0</v>
      </c>
      <c r="D39" s="329">
        <v>4099</v>
      </c>
      <c r="E39" s="333">
        <f t="shared" si="2"/>
        <v>0</v>
      </c>
      <c r="F39" s="1"/>
      <c r="G39" s="1"/>
      <c r="H39" s="1"/>
      <c r="I39" s="1"/>
      <c r="J39" s="1"/>
      <c r="K39" s="1"/>
      <c r="L39" s="1"/>
      <c r="M39" s="1"/>
      <c r="N39" s="1"/>
      <c r="O39" s="1"/>
      <c r="P39" s="1"/>
      <c r="Q39" s="1"/>
      <c r="R39" s="1"/>
      <c r="S39" s="1"/>
      <c r="T39" s="1"/>
      <c r="U39" s="1"/>
      <c r="V39" s="1"/>
      <c r="W39" s="1"/>
      <c r="X39" s="1"/>
      <c r="Y39" s="1"/>
      <c r="Z39" s="1"/>
    </row>
    <row r="40" spans="1:26" x14ac:dyDescent="0.25">
      <c r="A40" s="1"/>
      <c r="B40" s="263" t="s">
        <v>169</v>
      </c>
      <c r="C40" s="264">
        <v>0</v>
      </c>
      <c r="D40" s="329">
        <v>15298</v>
      </c>
      <c r="E40" s="333">
        <f t="shared" si="2"/>
        <v>0</v>
      </c>
      <c r="F40" s="1"/>
      <c r="G40" s="1"/>
      <c r="H40" s="1"/>
      <c r="I40" s="1"/>
      <c r="J40" s="1"/>
      <c r="K40" s="1"/>
      <c r="L40" s="1"/>
      <c r="M40" s="1"/>
      <c r="N40" s="1"/>
      <c r="O40" s="1"/>
      <c r="P40" s="1"/>
      <c r="Q40" s="1"/>
      <c r="R40" s="1"/>
      <c r="S40" s="1"/>
      <c r="T40" s="1"/>
      <c r="U40" s="1"/>
      <c r="V40" s="1"/>
      <c r="W40" s="1"/>
      <c r="X40" s="1"/>
      <c r="Y40" s="1"/>
      <c r="Z40" s="1"/>
    </row>
    <row r="41" spans="1:26" x14ac:dyDescent="0.25">
      <c r="A41" s="1"/>
      <c r="B41" s="263" t="s">
        <v>179</v>
      </c>
      <c r="C41" s="264">
        <v>0</v>
      </c>
      <c r="D41" s="329">
        <v>6299</v>
      </c>
      <c r="E41" s="333">
        <f t="shared" si="2"/>
        <v>0</v>
      </c>
      <c r="F41" s="1"/>
      <c r="G41" s="1"/>
      <c r="H41" s="1"/>
      <c r="I41" s="1"/>
      <c r="J41" s="1"/>
      <c r="K41" s="1"/>
      <c r="L41" s="1"/>
      <c r="M41" s="1"/>
      <c r="N41" s="1"/>
      <c r="O41" s="1"/>
      <c r="P41" s="1"/>
      <c r="Q41" s="1"/>
      <c r="R41" s="1"/>
      <c r="S41" s="1"/>
      <c r="T41" s="1"/>
      <c r="U41" s="1"/>
      <c r="V41" s="1"/>
      <c r="W41" s="1"/>
      <c r="X41" s="1"/>
      <c r="Y41" s="1"/>
      <c r="Z41" s="1"/>
    </row>
    <row r="42" spans="1:26" x14ac:dyDescent="0.25">
      <c r="A42" s="1"/>
      <c r="B42" s="263" t="s">
        <v>180</v>
      </c>
      <c r="C42" s="264">
        <v>0</v>
      </c>
      <c r="D42" s="329">
        <v>2490</v>
      </c>
      <c r="E42" s="333">
        <f t="shared" si="2"/>
        <v>0</v>
      </c>
      <c r="F42" s="1"/>
      <c r="G42" s="1"/>
      <c r="H42" s="1"/>
      <c r="I42" s="1"/>
      <c r="J42" s="1"/>
      <c r="K42" s="1"/>
      <c r="L42" s="1"/>
      <c r="M42" s="1"/>
      <c r="N42" s="1"/>
      <c r="O42" s="1"/>
      <c r="P42" s="1"/>
      <c r="Q42" s="1"/>
      <c r="R42" s="1"/>
      <c r="S42" s="1"/>
      <c r="T42" s="1"/>
      <c r="U42" s="1"/>
      <c r="V42" s="1"/>
      <c r="W42" s="1"/>
      <c r="X42" s="1"/>
      <c r="Y42" s="1"/>
      <c r="Z42" s="1"/>
    </row>
    <row r="43" spans="1:26" x14ac:dyDescent="0.25">
      <c r="A43" s="1"/>
      <c r="B43" s="339" t="s">
        <v>164</v>
      </c>
      <c r="C43" s="315">
        <v>2</v>
      </c>
      <c r="D43" s="340">
        <v>18609</v>
      </c>
      <c r="E43" s="341">
        <f t="shared" si="2"/>
        <v>37218</v>
      </c>
      <c r="F43" s="1"/>
      <c r="G43" s="1"/>
      <c r="H43" s="1"/>
      <c r="I43" s="1"/>
      <c r="J43" s="1"/>
      <c r="K43" s="1"/>
      <c r="L43" s="1"/>
      <c r="M43" s="1"/>
      <c r="N43" s="1"/>
      <c r="O43" s="1"/>
      <c r="P43" s="1"/>
      <c r="Q43" s="1"/>
      <c r="R43" s="1"/>
      <c r="S43" s="1"/>
      <c r="T43" s="1"/>
      <c r="U43" s="1"/>
      <c r="V43" s="1"/>
      <c r="W43" s="1"/>
      <c r="X43" s="1"/>
      <c r="Y43" s="1"/>
      <c r="Z43" s="1"/>
    </row>
    <row r="44" spans="1:26" x14ac:dyDescent="0.25">
      <c r="A44" s="1"/>
      <c r="B44" s="263" t="s">
        <v>173</v>
      </c>
      <c r="C44" s="264">
        <v>0</v>
      </c>
      <c r="D44" s="329">
        <v>23900</v>
      </c>
      <c r="E44" s="333">
        <f t="shared" si="2"/>
        <v>0</v>
      </c>
      <c r="F44" s="1"/>
      <c r="G44" s="1"/>
      <c r="H44" s="1"/>
      <c r="I44" s="1"/>
      <c r="J44" s="1"/>
      <c r="K44" s="1"/>
      <c r="L44" s="1"/>
      <c r="M44" s="1"/>
      <c r="N44" s="1"/>
      <c r="O44" s="1"/>
      <c r="P44" s="1"/>
      <c r="Q44" s="1"/>
      <c r="R44" s="1"/>
      <c r="S44" s="1"/>
      <c r="T44" s="1"/>
      <c r="U44" s="1"/>
      <c r="V44" s="1"/>
      <c r="W44" s="1"/>
      <c r="X44" s="1"/>
      <c r="Y44" s="1"/>
      <c r="Z44" s="1"/>
    </row>
    <row r="45" spans="1:26" x14ac:dyDescent="0.25">
      <c r="A45" s="1"/>
      <c r="B45" s="339" t="s">
        <v>175</v>
      </c>
      <c r="C45" s="315">
        <v>2</v>
      </c>
      <c r="D45" s="340">
        <v>13500</v>
      </c>
      <c r="E45" s="341">
        <f t="shared" si="2"/>
        <v>27000</v>
      </c>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342" t="s">
        <v>182</v>
      </c>
      <c r="C46" s="343">
        <v>2</v>
      </c>
      <c r="D46" s="344">
        <v>13000</v>
      </c>
      <c r="E46" s="345">
        <f t="shared" si="2"/>
        <v>26000</v>
      </c>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623" t="s">
        <v>7</v>
      </c>
      <c r="C47" s="624"/>
      <c r="D47" s="625"/>
      <c r="E47" s="332">
        <f>SUM(E38:E46)</f>
        <v>247816</v>
      </c>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7" thickBot="1" x14ac:dyDescent="0.45">
      <c r="A49" s="1"/>
      <c r="B49" s="586" t="s">
        <v>192</v>
      </c>
      <c r="C49" s="587"/>
      <c r="D49" s="587"/>
      <c r="E49" s="588"/>
      <c r="F49" s="1"/>
      <c r="G49" s="1"/>
      <c r="H49" s="1"/>
      <c r="I49" s="1"/>
      <c r="J49" s="1"/>
      <c r="K49" s="1"/>
      <c r="L49" s="1"/>
      <c r="M49" s="1"/>
      <c r="N49" s="1"/>
      <c r="O49" s="1"/>
      <c r="P49" s="1"/>
      <c r="Q49" s="1"/>
      <c r="R49" s="1"/>
      <c r="S49" s="1"/>
      <c r="T49" s="1"/>
      <c r="U49" s="1"/>
      <c r="V49" s="1"/>
      <c r="W49" s="1"/>
      <c r="X49" s="1"/>
      <c r="Y49" s="1"/>
      <c r="Z49" s="1"/>
    </row>
    <row r="50" spans="1:26" ht="15.75" x14ac:dyDescent="0.25">
      <c r="A50" s="1"/>
      <c r="B50" s="349" t="s">
        <v>40</v>
      </c>
      <c r="C50" s="350" t="s">
        <v>37</v>
      </c>
      <c r="D50" s="350" t="s">
        <v>162</v>
      </c>
      <c r="E50" s="354" t="s">
        <v>163</v>
      </c>
      <c r="F50" s="1"/>
      <c r="G50" s="1"/>
      <c r="H50" s="1"/>
      <c r="I50" s="1"/>
      <c r="J50" s="1"/>
      <c r="K50" s="1"/>
      <c r="L50" s="1"/>
      <c r="M50" s="1"/>
      <c r="N50" s="1"/>
      <c r="O50" s="1"/>
      <c r="P50" s="1"/>
      <c r="Q50" s="1"/>
      <c r="R50" s="1"/>
      <c r="S50" s="1"/>
      <c r="T50" s="1"/>
      <c r="U50" s="1"/>
      <c r="V50" s="1"/>
      <c r="W50" s="1"/>
      <c r="X50" s="1"/>
      <c r="Y50" s="1"/>
      <c r="Z50" s="1"/>
    </row>
    <row r="51" spans="1:26" x14ac:dyDescent="0.25">
      <c r="A51" s="1"/>
      <c r="B51" s="339" t="s">
        <v>168</v>
      </c>
      <c r="C51" s="315">
        <v>10</v>
      </c>
      <c r="D51" s="340">
        <v>78799</v>
      </c>
      <c r="E51" s="341">
        <f t="shared" ref="E51:E59" si="3">C51*D51</f>
        <v>787990</v>
      </c>
      <c r="F51" s="1"/>
      <c r="G51" s="1"/>
      <c r="H51" s="1"/>
      <c r="I51" s="1"/>
      <c r="J51" s="1"/>
      <c r="K51" s="1"/>
      <c r="L51" s="1"/>
      <c r="M51" s="1"/>
      <c r="N51" s="1"/>
      <c r="O51" s="1"/>
      <c r="P51" s="1"/>
      <c r="Q51" s="1"/>
      <c r="R51" s="1"/>
      <c r="S51" s="1"/>
      <c r="T51" s="1"/>
      <c r="U51" s="1"/>
      <c r="V51" s="1"/>
      <c r="W51" s="1"/>
      <c r="X51" s="1"/>
      <c r="Y51" s="1"/>
      <c r="Z51" s="1"/>
    </row>
    <row r="52" spans="1:26" x14ac:dyDescent="0.25">
      <c r="A52" s="1"/>
      <c r="B52" s="263" t="s">
        <v>171</v>
      </c>
      <c r="C52" s="264">
        <v>0</v>
      </c>
      <c r="D52" s="329">
        <v>4099</v>
      </c>
      <c r="E52" s="333">
        <f t="shared" si="3"/>
        <v>0</v>
      </c>
      <c r="F52" s="1"/>
      <c r="G52" s="1"/>
      <c r="H52" s="1"/>
      <c r="I52" s="1"/>
      <c r="J52" s="1"/>
      <c r="K52" s="1"/>
      <c r="L52" s="1"/>
      <c r="M52" s="1"/>
      <c r="N52" s="1"/>
      <c r="O52" s="1"/>
      <c r="P52" s="1"/>
      <c r="Q52" s="1"/>
      <c r="R52" s="1"/>
      <c r="S52" s="1"/>
      <c r="T52" s="1"/>
      <c r="U52" s="1"/>
      <c r="V52" s="1"/>
      <c r="W52" s="1"/>
      <c r="X52" s="1"/>
      <c r="Y52" s="1"/>
      <c r="Z52" s="1"/>
    </row>
    <row r="53" spans="1:26" x14ac:dyDescent="0.25">
      <c r="A53" s="1"/>
      <c r="B53" s="263" t="s">
        <v>169</v>
      </c>
      <c r="C53" s="264">
        <v>0</v>
      </c>
      <c r="D53" s="329">
        <v>15298</v>
      </c>
      <c r="E53" s="333">
        <f t="shared" si="3"/>
        <v>0</v>
      </c>
      <c r="F53" s="1"/>
      <c r="G53" s="1"/>
      <c r="H53" s="1"/>
      <c r="I53" s="1"/>
      <c r="J53" s="1"/>
      <c r="K53" s="1"/>
      <c r="L53" s="1"/>
      <c r="M53" s="1"/>
      <c r="N53" s="1"/>
      <c r="O53" s="1"/>
      <c r="P53" s="1"/>
      <c r="Q53" s="1"/>
      <c r="R53" s="1"/>
      <c r="S53" s="1"/>
      <c r="T53" s="1"/>
      <c r="U53" s="1"/>
      <c r="V53" s="1"/>
      <c r="W53" s="1"/>
      <c r="X53" s="1"/>
      <c r="Y53" s="1"/>
      <c r="Z53" s="1"/>
    </row>
    <row r="54" spans="1:26" x14ac:dyDescent="0.25">
      <c r="A54" s="1"/>
      <c r="B54" s="339" t="s">
        <v>179</v>
      </c>
      <c r="C54" s="315">
        <v>1</v>
      </c>
      <c r="D54" s="340">
        <v>6299</v>
      </c>
      <c r="E54" s="341">
        <f t="shared" si="3"/>
        <v>6299</v>
      </c>
      <c r="F54" s="1"/>
      <c r="G54" s="1"/>
      <c r="H54" s="1"/>
      <c r="I54" s="1"/>
      <c r="J54" s="1"/>
      <c r="K54" s="1"/>
      <c r="L54" s="1"/>
      <c r="M54" s="1"/>
      <c r="N54" s="1"/>
      <c r="O54" s="1"/>
      <c r="P54" s="1"/>
      <c r="Q54" s="1"/>
      <c r="R54" s="1"/>
      <c r="S54" s="1"/>
      <c r="T54" s="1"/>
      <c r="U54" s="1"/>
      <c r="V54" s="1"/>
      <c r="W54" s="1"/>
      <c r="X54" s="1"/>
      <c r="Y54" s="1"/>
      <c r="Z54" s="1"/>
    </row>
    <row r="55" spans="1:26" x14ac:dyDescent="0.25">
      <c r="A55" s="1"/>
      <c r="B55" s="263" t="s">
        <v>180</v>
      </c>
      <c r="C55" s="264">
        <v>0</v>
      </c>
      <c r="D55" s="329">
        <v>2490</v>
      </c>
      <c r="E55" s="333">
        <f t="shared" si="3"/>
        <v>0</v>
      </c>
      <c r="F55" s="1"/>
      <c r="G55" s="1"/>
      <c r="H55" s="1"/>
      <c r="I55" s="1"/>
      <c r="J55" s="1"/>
      <c r="K55" s="1"/>
      <c r="L55" s="1"/>
      <c r="M55" s="1"/>
      <c r="N55" s="1"/>
      <c r="O55" s="1"/>
      <c r="P55" s="1"/>
      <c r="Q55" s="1"/>
      <c r="R55" s="1"/>
      <c r="S55" s="1"/>
      <c r="T55" s="1"/>
      <c r="U55" s="1"/>
      <c r="V55" s="1"/>
      <c r="W55" s="1"/>
      <c r="X55" s="1"/>
      <c r="Y55" s="1"/>
      <c r="Z55" s="1"/>
    </row>
    <row r="56" spans="1:26" x14ac:dyDescent="0.25">
      <c r="A56" s="1"/>
      <c r="B56" s="339" t="s">
        <v>164</v>
      </c>
      <c r="C56" s="315">
        <v>10</v>
      </c>
      <c r="D56" s="340">
        <v>18609</v>
      </c>
      <c r="E56" s="341">
        <f t="shared" si="3"/>
        <v>186090</v>
      </c>
      <c r="F56" s="1"/>
      <c r="G56" s="1"/>
      <c r="H56" s="1"/>
      <c r="I56" s="1"/>
      <c r="J56" s="1"/>
      <c r="K56" s="1"/>
      <c r="L56" s="1"/>
      <c r="M56" s="1"/>
      <c r="N56" s="1"/>
      <c r="O56" s="1"/>
      <c r="P56" s="1"/>
      <c r="Q56" s="1"/>
      <c r="R56" s="1"/>
      <c r="S56" s="1"/>
      <c r="T56" s="1"/>
      <c r="U56" s="1"/>
      <c r="V56" s="1"/>
      <c r="W56" s="1"/>
      <c r="X56" s="1"/>
      <c r="Y56" s="1"/>
      <c r="Z56" s="1"/>
    </row>
    <row r="57" spans="1:26" x14ac:dyDescent="0.25">
      <c r="A57" s="1"/>
      <c r="B57" s="263" t="s">
        <v>173</v>
      </c>
      <c r="C57" s="264">
        <v>0</v>
      </c>
      <c r="D57" s="329">
        <v>23900</v>
      </c>
      <c r="E57" s="333">
        <f t="shared" si="3"/>
        <v>0</v>
      </c>
      <c r="F57" s="1"/>
      <c r="G57" s="1"/>
      <c r="H57" s="1"/>
      <c r="I57" s="1"/>
      <c r="J57" s="1"/>
      <c r="K57" s="1"/>
      <c r="L57" s="1"/>
      <c r="M57" s="1"/>
      <c r="N57" s="1"/>
      <c r="O57" s="1"/>
      <c r="P57" s="1"/>
      <c r="Q57" s="1"/>
      <c r="R57" s="1"/>
      <c r="S57" s="1"/>
      <c r="T57" s="1"/>
      <c r="U57" s="1"/>
      <c r="V57" s="1"/>
      <c r="W57" s="1"/>
      <c r="X57" s="1"/>
      <c r="Y57" s="1"/>
      <c r="Z57" s="1"/>
    </row>
    <row r="58" spans="1:26" x14ac:dyDescent="0.25">
      <c r="A58" s="1"/>
      <c r="B58" s="339" t="s">
        <v>175</v>
      </c>
      <c r="C58" s="315">
        <v>10</v>
      </c>
      <c r="D58" s="340">
        <v>13500</v>
      </c>
      <c r="E58" s="341">
        <f t="shared" si="3"/>
        <v>135000</v>
      </c>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342" t="s">
        <v>182</v>
      </c>
      <c r="C59" s="343">
        <v>10</v>
      </c>
      <c r="D59" s="344">
        <v>13000</v>
      </c>
      <c r="E59" s="345">
        <f t="shared" si="3"/>
        <v>130000</v>
      </c>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623" t="s">
        <v>7</v>
      </c>
      <c r="C60" s="624"/>
      <c r="D60" s="625"/>
      <c r="E60" s="334">
        <f>SUM(E51:E59)</f>
        <v>1245379</v>
      </c>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sheetData>
  <mergeCells count="16">
    <mergeCell ref="F28:G28"/>
    <mergeCell ref="B3:D3"/>
    <mergeCell ref="F3:I3"/>
    <mergeCell ref="B9:E9"/>
    <mergeCell ref="B21:D21"/>
    <mergeCell ref="B23:E23"/>
    <mergeCell ref="B34:D34"/>
    <mergeCell ref="B49:E49"/>
    <mergeCell ref="B60:D60"/>
    <mergeCell ref="F29:G29"/>
    <mergeCell ref="F30:G30"/>
    <mergeCell ref="F31:G31"/>
    <mergeCell ref="F32:G32"/>
    <mergeCell ref="F33:G33"/>
    <mergeCell ref="B36:E36"/>
    <mergeCell ref="B47:D47"/>
  </mergeCells>
  <hyperlinks>
    <hyperlink ref="F11" r:id="rId1" location="searchVariation=62371957696&amp;position=1&amp;type=item&amp;tracking_id=c1baf121-2aa6-4883-89e1-db40e4fe7d07"/>
    <hyperlink ref="F12" r:id="rId2" location="position=3&amp;type=item&amp;tracking_id=7d967ea6-7b08-4e10-9ee9-7a21d479e90e"/>
    <hyperlink ref="F13" r:id="rId3" location="searchVariation=MLA15188002&amp;position=2&amp;type=product&amp;tracking_id=25817417-8ebf-4e85-99ba-e1068ce3b665"/>
    <hyperlink ref="F17" r:id="rId4" location="position=27&amp;type=item&amp;tracking_id=be18e719-23de-4f4d-b152-972266abc3c5"/>
    <hyperlink ref="F18" r:id="rId5" location="position=9&amp;type=item&amp;tracking_id=b86ee509-acb1-4687-9267-b5a79840b449"/>
    <hyperlink ref="F16" r:id="rId6" location="searchVariation=41945510546&amp;position=10&amp;type=item&amp;tracking_id=c8150eb0-81cf-41f2-8b44-92b72af9b976"/>
    <hyperlink ref="F15" r:id="rId7" location="position=1&amp;type=item&amp;tracking_id=0f693c9d-e24f-4bc4-8c47-6db53224454d"/>
    <hyperlink ref="F19" r:id="rId8"/>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4"/>
  <sheetViews>
    <sheetView topLeftCell="A19" workbookViewId="0"/>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7" width="11.7109375" customWidth="1"/>
    <col min="11" max="13" width="13" bestFit="1" customWidth="1"/>
  </cols>
  <sheetData>
    <row r="1" spans="1:24" ht="61.5" x14ac:dyDescent="0.25">
      <c r="A1" s="189"/>
      <c r="B1" s="189"/>
      <c r="C1" s="189"/>
      <c r="D1" s="189"/>
      <c r="E1" s="189"/>
      <c r="F1" s="189"/>
      <c r="G1" s="189"/>
      <c r="H1" s="190" t="s">
        <v>185</v>
      </c>
      <c r="I1" s="191"/>
      <c r="J1" s="189"/>
      <c r="K1" s="189"/>
      <c r="L1" s="189"/>
      <c r="M1" s="189"/>
      <c r="N1" s="189"/>
      <c r="O1" s="189"/>
      <c r="P1" s="189"/>
      <c r="Q1" s="189"/>
      <c r="R1" s="189"/>
      <c r="S1" s="189"/>
      <c r="T1" s="189"/>
      <c r="U1" s="189"/>
      <c r="V1" s="189"/>
      <c r="W1" s="189"/>
      <c r="X1" s="189"/>
    </row>
    <row r="2" spans="1:24" ht="15.75" thickBot="1" x14ac:dyDescent="0.3">
      <c r="A2" s="1"/>
      <c r="B2" s="1"/>
      <c r="C2" s="1"/>
      <c r="D2" s="1"/>
      <c r="E2" s="1"/>
      <c r="F2" s="1"/>
      <c r="G2" s="1"/>
      <c r="H2" s="1"/>
      <c r="I2" s="1"/>
      <c r="J2" s="1"/>
      <c r="K2" s="1"/>
      <c r="L2" s="1"/>
      <c r="M2" s="1"/>
      <c r="N2" s="1"/>
      <c r="O2" s="1"/>
      <c r="P2" s="1"/>
      <c r="Q2" s="1"/>
      <c r="R2" s="1"/>
      <c r="S2" s="1"/>
      <c r="T2" s="1"/>
      <c r="U2" s="1"/>
      <c r="V2" s="1"/>
      <c r="W2" s="1"/>
      <c r="X2" s="1"/>
    </row>
    <row r="3" spans="1:24" ht="27" thickBot="1" x14ac:dyDescent="0.45">
      <c r="A3" s="1"/>
      <c r="B3" s="586" t="s">
        <v>13</v>
      </c>
      <c r="C3" s="587"/>
      <c r="D3" s="588"/>
      <c r="E3" s="14"/>
      <c r="F3" s="627" t="s">
        <v>185</v>
      </c>
      <c r="G3" s="628"/>
      <c r="H3" s="629"/>
      <c r="I3" s="441"/>
      <c r="J3" s="1"/>
      <c r="K3" s="1"/>
      <c r="L3" s="1"/>
      <c r="M3" s="1"/>
      <c r="N3" s="1"/>
      <c r="O3" s="1"/>
      <c r="P3" s="1"/>
      <c r="Q3" s="1"/>
      <c r="R3" s="1"/>
      <c r="S3" s="1"/>
      <c r="T3" s="1"/>
      <c r="U3" s="1"/>
      <c r="V3" s="1"/>
      <c r="W3" s="1"/>
      <c r="X3" s="1"/>
    </row>
    <row r="4" spans="1:24" x14ac:dyDescent="0.25">
      <c r="A4" s="1"/>
      <c r="B4" s="73">
        <v>2020</v>
      </c>
      <c r="C4" s="73">
        <v>2021</v>
      </c>
      <c r="D4" s="73">
        <v>2022</v>
      </c>
      <c r="E4" s="41"/>
      <c r="F4" s="377">
        <v>2020</v>
      </c>
      <c r="G4" s="378">
        <v>2021</v>
      </c>
      <c r="H4" s="379">
        <v>2022</v>
      </c>
      <c r="I4" s="440"/>
      <c r="J4" s="1"/>
      <c r="K4" s="1"/>
      <c r="L4" s="1"/>
      <c r="M4" s="1"/>
      <c r="N4" s="1"/>
      <c r="O4" s="1"/>
      <c r="P4" s="1"/>
      <c r="Q4" s="1"/>
      <c r="R4" s="1"/>
      <c r="S4" s="1"/>
      <c r="T4" s="1"/>
      <c r="U4" s="1"/>
      <c r="V4" s="1"/>
      <c r="W4" s="1"/>
      <c r="X4" s="1"/>
    </row>
    <row r="5" spans="1:24" ht="15.75" thickBot="1" x14ac:dyDescent="0.3">
      <c r="A5" s="1"/>
      <c r="B5" s="15">
        <f>[1]Hipótesis!$C$24</f>
        <v>0.03</v>
      </c>
      <c r="C5" s="15">
        <f>[1]Hipótesis!$C$25</f>
        <v>0.05</v>
      </c>
      <c r="D5" s="15">
        <f>[1]Hipótesis!$C$26</f>
        <v>0.09</v>
      </c>
      <c r="E5" s="45"/>
      <c r="F5" s="326">
        <f>$K$31</f>
        <v>73911.600000000006</v>
      </c>
      <c r="G5" s="327">
        <f>$L$31</f>
        <v>77831.400000000009</v>
      </c>
      <c r="H5" s="328">
        <f>$M$31</f>
        <v>105842.90000000001</v>
      </c>
      <c r="I5" s="440"/>
      <c r="J5" s="1"/>
      <c r="K5" s="1"/>
      <c r="L5" s="1"/>
      <c r="M5" s="1"/>
      <c r="N5" s="1"/>
      <c r="O5" s="1"/>
      <c r="P5" s="1"/>
      <c r="Q5" s="1"/>
      <c r="R5" s="1"/>
      <c r="S5" s="1"/>
      <c r="T5" s="1"/>
      <c r="U5" s="1"/>
      <c r="V5" s="1"/>
      <c r="W5" s="1"/>
      <c r="X5" s="1"/>
    </row>
    <row r="6" spans="1:24" x14ac:dyDescent="0.25">
      <c r="A6" s="1"/>
      <c r="B6" s="12">
        <f>Hipótesis!$D$24</f>
        <v>11347620</v>
      </c>
      <c r="C6" s="12">
        <f>Hipótesis!D25</f>
        <v>22695240</v>
      </c>
      <c r="D6" s="12">
        <f>Hipótesis!D26</f>
        <v>45390480</v>
      </c>
      <c r="E6" s="44"/>
      <c r="F6" s="1"/>
      <c r="G6" s="1"/>
      <c r="H6" s="1"/>
      <c r="I6" s="1"/>
      <c r="J6" s="1"/>
      <c r="K6" s="1"/>
      <c r="L6" s="1"/>
      <c r="M6" s="1"/>
      <c r="N6" s="1"/>
      <c r="O6" s="1"/>
      <c r="P6" s="1"/>
      <c r="Q6" s="1"/>
      <c r="R6" s="1"/>
      <c r="S6" s="1"/>
      <c r="T6" s="1"/>
      <c r="U6" s="1"/>
      <c r="V6" s="1"/>
      <c r="W6" s="1"/>
      <c r="X6" s="1"/>
    </row>
    <row r="7" spans="1:24" ht="15.75" thickBot="1" x14ac:dyDescent="0.3">
      <c r="A7" s="1"/>
      <c r="B7" s="1"/>
      <c r="C7" s="1"/>
      <c r="D7" s="1"/>
      <c r="E7" s="1"/>
      <c r="F7" s="1"/>
      <c r="G7" s="1"/>
      <c r="H7" s="1"/>
      <c r="I7" s="1"/>
      <c r="J7" s="1"/>
      <c r="K7" s="1"/>
      <c r="L7" s="1"/>
      <c r="M7" s="1"/>
      <c r="N7" s="1"/>
      <c r="O7" s="1"/>
      <c r="P7" s="1"/>
      <c r="Q7" s="1"/>
      <c r="R7" s="1"/>
      <c r="S7" s="1"/>
      <c r="T7" s="1"/>
      <c r="U7" s="1"/>
      <c r="V7" s="1"/>
      <c r="W7" s="1"/>
      <c r="X7" s="1"/>
    </row>
    <row r="8" spans="1:24" ht="27" thickBot="1" x14ac:dyDescent="0.45">
      <c r="A8" s="1"/>
      <c r="B8" s="644" t="s">
        <v>185</v>
      </c>
      <c r="C8" s="645"/>
      <c r="D8" s="645"/>
      <c r="E8" s="645"/>
      <c r="F8" s="645"/>
      <c r="G8" s="645"/>
      <c r="H8" s="645"/>
      <c r="I8" s="645"/>
      <c r="J8" s="645"/>
      <c r="K8" s="645"/>
      <c r="L8" s="645"/>
      <c r="M8" s="646"/>
      <c r="N8" s="1"/>
      <c r="O8" s="1"/>
      <c r="P8" s="1"/>
      <c r="Q8" s="1"/>
      <c r="R8" s="1"/>
      <c r="S8" s="1"/>
      <c r="T8" s="1"/>
      <c r="U8" s="1"/>
      <c r="V8" s="1"/>
      <c r="W8" s="1"/>
      <c r="X8" s="1"/>
    </row>
    <row r="9" spans="1:24" x14ac:dyDescent="0.25">
      <c r="A9" s="1"/>
      <c r="B9" s="647" t="s">
        <v>186</v>
      </c>
      <c r="C9" s="649" t="s">
        <v>40</v>
      </c>
      <c r="D9" s="649" t="s">
        <v>37</v>
      </c>
      <c r="E9" s="651" t="s">
        <v>162</v>
      </c>
      <c r="F9" s="653" t="s">
        <v>187</v>
      </c>
      <c r="G9" s="641" t="s">
        <v>188</v>
      </c>
      <c r="H9" s="642"/>
      <c r="I9" s="642"/>
      <c r="J9" s="643"/>
      <c r="K9" s="655" t="s">
        <v>189</v>
      </c>
      <c r="L9" s="649"/>
      <c r="M9" s="656"/>
      <c r="N9" s="1"/>
      <c r="O9" s="1"/>
      <c r="P9" s="1"/>
      <c r="Q9" s="1"/>
      <c r="R9" s="1"/>
      <c r="S9" s="1"/>
      <c r="T9" s="1"/>
      <c r="U9" s="1"/>
      <c r="V9" s="1"/>
      <c r="W9" s="1"/>
      <c r="X9" s="1"/>
    </row>
    <row r="10" spans="1:24" ht="15.75" thickBot="1" x14ac:dyDescent="0.3">
      <c r="A10" s="1"/>
      <c r="B10" s="648"/>
      <c r="C10" s="650"/>
      <c r="D10" s="650"/>
      <c r="E10" s="652"/>
      <c r="F10" s="654"/>
      <c r="G10" s="426" t="s">
        <v>212</v>
      </c>
      <c r="H10" s="427" t="s">
        <v>52</v>
      </c>
      <c r="I10" s="428" t="s">
        <v>53</v>
      </c>
      <c r="J10" s="429" t="s">
        <v>106</v>
      </c>
      <c r="K10" s="430" t="s">
        <v>52</v>
      </c>
      <c r="L10" s="380" t="s">
        <v>53</v>
      </c>
      <c r="M10" s="381" t="s">
        <v>106</v>
      </c>
      <c r="N10" s="1"/>
      <c r="O10" s="1"/>
      <c r="P10" s="1"/>
      <c r="Q10" s="1"/>
      <c r="R10" s="1"/>
      <c r="S10" s="1"/>
      <c r="T10" s="1"/>
      <c r="U10" s="1"/>
      <c r="V10" s="1"/>
      <c r="W10" s="1"/>
      <c r="X10" s="1"/>
    </row>
    <row r="11" spans="1:24" x14ac:dyDescent="0.25">
      <c r="A11" s="1"/>
      <c r="B11" s="632" t="s">
        <v>190</v>
      </c>
      <c r="C11" s="359" t="s">
        <v>168</v>
      </c>
      <c r="D11" s="264">
        <v>5</v>
      </c>
      <c r="E11" s="329">
        <v>78799</v>
      </c>
      <c r="F11" s="356">
        <v>10</v>
      </c>
      <c r="G11" s="361">
        <f>D11*E11</f>
        <v>393995</v>
      </c>
      <c r="H11" s="362">
        <v>0</v>
      </c>
      <c r="I11" s="362">
        <v>0</v>
      </c>
      <c r="J11" s="431">
        <v>0</v>
      </c>
      <c r="K11" s="423">
        <f>$G$11/$F$11</f>
        <v>39399.5</v>
      </c>
      <c r="L11" s="357">
        <f>$G$11/$F$11</f>
        <v>39399.5</v>
      </c>
      <c r="M11" s="358">
        <f>$G$11/$F$11</f>
        <v>39399.5</v>
      </c>
      <c r="N11" s="1"/>
      <c r="O11" s="1"/>
      <c r="P11" s="1"/>
      <c r="Q11" s="1"/>
      <c r="R11" s="1"/>
      <c r="S11" s="1"/>
      <c r="T11" s="1"/>
      <c r="U11" s="1"/>
      <c r="V11" s="1"/>
      <c r="W11" s="1"/>
      <c r="X11" s="1"/>
    </row>
    <row r="12" spans="1:24" x14ac:dyDescent="0.25">
      <c r="A12" s="1"/>
      <c r="B12" s="633"/>
      <c r="C12" s="388" t="s">
        <v>168</v>
      </c>
      <c r="D12" s="382">
        <v>2</v>
      </c>
      <c r="E12" s="383">
        <v>78799</v>
      </c>
      <c r="F12" s="360">
        <v>10</v>
      </c>
      <c r="G12" s="366">
        <v>0</v>
      </c>
      <c r="H12" s="362">
        <v>0</v>
      </c>
      <c r="I12" s="367">
        <f>D12*E12</f>
        <v>157598</v>
      </c>
      <c r="J12" s="431">
        <v>0</v>
      </c>
      <c r="K12" s="422">
        <v>0</v>
      </c>
      <c r="L12" s="368">
        <v>0</v>
      </c>
      <c r="M12" s="365">
        <f>I12/F12</f>
        <v>15759.8</v>
      </c>
      <c r="N12" s="1"/>
      <c r="O12" s="1"/>
      <c r="P12" s="1"/>
      <c r="Q12" s="1"/>
      <c r="R12" s="1"/>
      <c r="S12" s="1"/>
      <c r="T12" s="1"/>
      <c r="U12" s="1"/>
      <c r="V12" s="1"/>
      <c r="W12" s="1"/>
      <c r="X12" s="1"/>
    </row>
    <row r="13" spans="1:24" x14ac:dyDescent="0.25">
      <c r="A13" s="1"/>
      <c r="B13" s="633"/>
      <c r="C13" s="388" t="s">
        <v>168</v>
      </c>
      <c r="D13" s="382">
        <v>10</v>
      </c>
      <c r="E13" s="383">
        <v>78799</v>
      </c>
      <c r="F13" s="360">
        <v>10</v>
      </c>
      <c r="G13" s="366">
        <v>0</v>
      </c>
      <c r="H13" s="362">
        <v>0</v>
      </c>
      <c r="I13" s="362">
        <v>0</v>
      </c>
      <c r="J13" s="432">
        <f>D13*E13</f>
        <v>787990</v>
      </c>
      <c r="K13" s="422">
        <v>0</v>
      </c>
      <c r="L13" s="422">
        <v>0</v>
      </c>
      <c r="M13" s="435">
        <v>0</v>
      </c>
      <c r="N13" s="1"/>
      <c r="O13" s="1"/>
      <c r="P13" s="1"/>
      <c r="Q13" s="1"/>
      <c r="R13" s="1"/>
      <c r="S13" s="1"/>
      <c r="T13" s="1"/>
      <c r="U13" s="1"/>
      <c r="V13" s="1"/>
      <c r="W13" s="1"/>
      <c r="X13" s="1"/>
    </row>
    <row r="14" spans="1:24" x14ac:dyDescent="0.25">
      <c r="A14" s="1"/>
      <c r="B14" s="633"/>
      <c r="C14" s="359" t="s">
        <v>171</v>
      </c>
      <c r="D14" s="264">
        <v>1</v>
      </c>
      <c r="E14" s="329">
        <v>4099</v>
      </c>
      <c r="F14" s="360">
        <v>10</v>
      </c>
      <c r="G14" s="361">
        <f>D14*E14</f>
        <v>4099</v>
      </c>
      <c r="H14" s="362">
        <v>0</v>
      </c>
      <c r="I14" s="362">
        <v>0</v>
      </c>
      <c r="J14" s="431">
        <v>0</v>
      </c>
      <c r="K14" s="391">
        <f>G14/F14</f>
        <v>409.9</v>
      </c>
      <c r="L14" s="363">
        <f>G14/F14</f>
        <v>409.9</v>
      </c>
      <c r="M14" s="363">
        <f>G14/F14</f>
        <v>409.9</v>
      </c>
      <c r="N14" s="1"/>
      <c r="O14" s="1"/>
      <c r="P14" s="1"/>
      <c r="Q14" s="1"/>
      <c r="R14" s="1"/>
      <c r="S14" s="1"/>
      <c r="T14" s="1"/>
      <c r="U14" s="1"/>
      <c r="V14" s="1"/>
      <c r="W14" s="1"/>
      <c r="X14" s="1"/>
    </row>
    <row r="15" spans="1:24" x14ac:dyDescent="0.25">
      <c r="A15" s="1"/>
      <c r="B15" s="633"/>
      <c r="C15" s="359" t="s">
        <v>169</v>
      </c>
      <c r="D15" s="264">
        <v>1</v>
      </c>
      <c r="E15" s="329">
        <v>15298</v>
      </c>
      <c r="F15" s="360">
        <v>10</v>
      </c>
      <c r="G15" s="361">
        <f>D15*E15</f>
        <v>15298</v>
      </c>
      <c r="H15" s="362">
        <v>0</v>
      </c>
      <c r="I15" s="362">
        <v>0</v>
      </c>
      <c r="J15" s="431">
        <v>0</v>
      </c>
      <c r="K15" s="391">
        <f>$G$15/$F$15</f>
        <v>1529.8</v>
      </c>
      <c r="L15" s="364">
        <f>$G$15/$F$15</f>
        <v>1529.8</v>
      </c>
      <c r="M15" s="365">
        <f>$G$15/$F$15</f>
        <v>1529.8</v>
      </c>
      <c r="N15" s="1"/>
      <c r="O15" s="1"/>
      <c r="P15" s="1"/>
      <c r="Q15" s="1"/>
      <c r="R15" s="1"/>
      <c r="S15" s="1"/>
      <c r="T15" s="1"/>
      <c r="U15" s="1"/>
      <c r="V15" s="1"/>
      <c r="W15" s="1"/>
      <c r="X15" s="1"/>
    </row>
    <row r="16" spans="1:24" x14ac:dyDescent="0.25">
      <c r="A16" s="1"/>
      <c r="B16" s="633"/>
      <c r="C16" s="359" t="s">
        <v>169</v>
      </c>
      <c r="D16" s="264">
        <v>1</v>
      </c>
      <c r="E16" s="329">
        <v>15298</v>
      </c>
      <c r="F16" s="360">
        <v>10</v>
      </c>
      <c r="G16" s="366">
        <v>0</v>
      </c>
      <c r="H16" s="361">
        <f>D16*E16</f>
        <v>15298</v>
      </c>
      <c r="I16" s="362">
        <v>0</v>
      </c>
      <c r="J16" s="431">
        <v>0</v>
      </c>
      <c r="K16" s="422">
        <v>0</v>
      </c>
      <c r="L16" s="364">
        <f>$G$15/$F$15</f>
        <v>1529.8</v>
      </c>
      <c r="M16" s="365">
        <f>$G$15/$F$15</f>
        <v>1529.8</v>
      </c>
      <c r="N16" s="1"/>
      <c r="O16" s="1"/>
      <c r="P16" s="1"/>
      <c r="Q16" s="1"/>
      <c r="R16" s="1"/>
      <c r="S16" s="1"/>
      <c r="T16" s="1"/>
      <c r="U16" s="1"/>
      <c r="V16" s="1"/>
      <c r="W16" s="1"/>
      <c r="X16" s="1"/>
    </row>
    <row r="17" spans="1:24" x14ac:dyDescent="0.25">
      <c r="A17" s="1"/>
      <c r="B17" s="633"/>
      <c r="C17" s="359" t="s">
        <v>179</v>
      </c>
      <c r="D17" s="264">
        <v>1</v>
      </c>
      <c r="E17" s="329">
        <v>6299</v>
      </c>
      <c r="F17" s="360">
        <v>10</v>
      </c>
      <c r="G17" s="361">
        <f>D17*E17</f>
        <v>6299</v>
      </c>
      <c r="H17" s="362">
        <v>0</v>
      </c>
      <c r="I17" s="362">
        <v>0</v>
      </c>
      <c r="J17" s="431">
        <v>0</v>
      </c>
      <c r="K17" s="391">
        <f>$G$17/$F$17</f>
        <v>629.9</v>
      </c>
      <c r="L17" s="364">
        <f>$G$17/$F$17</f>
        <v>629.9</v>
      </c>
      <c r="M17" s="365">
        <f>$G$17/$F$17</f>
        <v>629.9</v>
      </c>
      <c r="N17" s="1"/>
      <c r="O17" s="1"/>
      <c r="P17" s="1"/>
      <c r="Q17" s="1"/>
      <c r="R17" s="1"/>
      <c r="S17" s="1"/>
      <c r="T17" s="1"/>
      <c r="U17" s="1"/>
      <c r="V17" s="1"/>
      <c r="W17" s="1"/>
      <c r="X17" s="1"/>
    </row>
    <row r="18" spans="1:24" x14ac:dyDescent="0.25">
      <c r="A18" s="1"/>
      <c r="B18" s="633"/>
      <c r="C18" s="359" t="s">
        <v>179</v>
      </c>
      <c r="D18" s="264">
        <v>1</v>
      </c>
      <c r="E18" s="329">
        <v>6299</v>
      </c>
      <c r="F18" s="360">
        <v>10</v>
      </c>
      <c r="G18" s="366">
        <v>0</v>
      </c>
      <c r="H18" s="362">
        <v>0</v>
      </c>
      <c r="I18" s="362">
        <v>0</v>
      </c>
      <c r="J18" s="432">
        <f>D18*E18</f>
        <v>6299</v>
      </c>
      <c r="K18" s="422">
        <v>0</v>
      </c>
      <c r="L18" s="368">
        <v>0</v>
      </c>
      <c r="M18" s="436">
        <f>$G$17/$F$17</f>
        <v>629.9</v>
      </c>
      <c r="N18" s="1"/>
      <c r="O18" s="1"/>
      <c r="P18" s="1"/>
      <c r="Q18" s="1"/>
      <c r="R18" s="1"/>
      <c r="S18" s="1"/>
      <c r="T18" s="1"/>
      <c r="U18" s="1"/>
      <c r="V18" s="1"/>
      <c r="W18" s="1"/>
      <c r="X18" s="1"/>
    </row>
    <row r="19" spans="1:24" x14ac:dyDescent="0.25">
      <c r="A19" s="1"/>
      <c r="B19" s="633"/>
      <c r="C19" s="359" t="s">
        <v>180</v>
      </c>
      <c r="D19" s="264">
        <v>2</v>
      </c>
      <c r="E19" s="329">
        <v>2490</v>
      </c>
      <c r="F19" s="360">
        <v>10</v>
      </c>
      <c r="G19" s="361">
        <f>D19*E19</f>
        <v>4980</v>
      </c>
      <c r="H19" s="362">
        <v>0</v>
      </c>
      <c r="I19" s="362">
        <v>0</v>
      </c>
      <c r="J19" s="431">
        <v>0</v>
      </c>
      <c r="K19" s="391">
        <f>$G$19/$F$19</f>
        <v>498</v>
      </c>
      <c r="L19" s="364">
        <f>$G$19/$F$19</f>
        <v>498</v>
      </c>
      <c r="M19" s="365">
        <f>$G$19/$F$19</f>
        <v>498</v>
      </c>
      <c r="N19" s="1"/>
      <c r="O19" s="1"/>
      <c r="P19" s="1"/>
      <c r="Q19" s="1"/>
      <c r="R19" s="1"/>
      <c r="S19" s="1"/>
      <c r="T19" s="1"/>
      <c r="U19" s="1"/>
      <c r="V19" s="1"/>
      <c r="W19" s="1"/>
      <c r="X19" s="1"/>
    </row>
    <row r="20" spans="1:24" x14ac:dyDescent="0.25">
      <c r="A20" s="1"/>
      <c r="B20" s="633"/>
      <c r="C20" s="359" t="s">
        <v>182</v>
      </c>
      <c r="D20" s="264">
        <v>5</v>
      </c>
      <c r="E20" s="329">
        <v>13000</v>
      </c>
      <c r="F20" s="360">
        <v>5</v>
      </c>
      <c r="G20" s="361">
        <f>D20*E20</f>
        <v>65000</v>
      </c>
      <c r="H20" s="362">
        <v>0</v>
      </c>
      <c r="I20" s="362">
        <v>0</v>
      </c>
      <c r="J20" s="431">
        <v>0</v>
      </c>
      <c r="K20" s="391">
        <f>$G$20/$F$20</f>
        <v>13000</v>
      </c>
      <c r="L20" s="363">
        <f>$G$20/$F$20</f>
        <v>13000</v>
      </c>
      <c r="M20" s="363">
        <f>$G$20/$F$20</f>
        <v>13000</v>
      </c>
      <c r="N20" s="1"/>
      <c r="O20" s="1"/>
      <c r="P20" s="1"/>
      <c r="Q20" s="1"/>
      <c r="R20" s="1"/>
      <c r="S20" s="1"/>
      <c r="T20" s="1"/>
      <c r="U20" s="1"/>
      <c r="V20" s="1"/>
      <c r="W20" s="1"/>
      <c r="X20" s="1"/>
    </row>
    <row r="21" spans="1:24" x14ac:dyDescent="0.25">
      <c r="A21" s="1"/>
      <c r="B21" s="633"/>
      <c r="C21" s="388" t="s">
        <v>182</v>
      </c>
      <c r="D21" s="382">
        <v>2</v>
      </c>
      <c r="E21" s="383">
        <v>13000</v>
      </c>
      <c r="F21" s="360">
        <v>5</v>
      </c>
      <c r="G21" s="366">
        <v>0</v>
      </c>
      <c r="H21" s="362">
        <v>0</v>
      </c>
      <c r="I21" s="367">
        <f>E21*D21</f>
        <v>26000</v>
      </c>
      <c r="J21" s="431">
        <v>0</v>
      </c>
      <c r="K21" s="424">
        <v>0</v>
      </c>
      <c r="L21" s="390">
        <v>0</v>
      </c>
      <c r="M21" s="384">
        <f>I21/F21</f>
        <v>5200</v>
      </c>
      <c r="N21" s="1"/>
      <c r="O21" s="1"/>
      <c r="P21" s="1"/>
      <c r="Q21" s="1"/>
      <c r="R21" s="1"/>
      <c r="S21" s="1"/>
      <c r="T21" s="1"/>
      <c r="U21" s="1"/>
      <c r="V21" s="1"/>
      <c r="W21" s="1"/>
      <c r="X21" s="1"/>
    </row>
    <row r="22" spans="1:24" ht="15.75" thickBot="1" x14ac:dyDescent="0.3">
      <c r="A22" s="1"/>
      <c r="B22" s="634"/>
      <c r="C22" s="389" t="s">
        <v>182</v>
      </c>
      <c r="D22" s="385">
        <v>10</v>
      </c>
      <c r="E22" s="386">
        <v>13000</v>
      </c>
      <c r="F22" s="387">
        <v>5</v>
      </c>
      <c r="G22" s="366">
        <v>0</v>
      </c>
      <c r="H22" s="362">
        <v>0</v>
      </c>
      <c r="I22" s="394">
        <v>0</v>
      </c>
      <c r="J22" s="367">
        <f>E22*D22</f>
        <v>130000</v>
      </c>
      <c r="K22" s="424">
        <v>0</v>
      </c>
      <c r="L22" s="390">
        <v>0</v>
      </c>
      <c r="M22" s="437">
        <v>0</v>
      </c>
      <c r="N22" s="46"/>
      <c r="O22" s="1"/>
      <c r="P22" s="1"/>
      <c r="Q22" s="1"/>
      <c r="R22" s="1"/>
      <c r="S22" s="1"/>
      <c r="T22" s="1"/>
      <c r="U22" s="1"/>
      <c r="V22" s="1"/>
      <c r="W22" s="1"/>
      <c r="X22" s="1"/>
    </row>
    <row r="23" spans="1:24" x14ac:dyDescent="0.25">
      <c r="A23" s="1"/>
      <c r="B23" s="635" t="s">
        <v>191</v>
      </c>
      <c r="C23" s="263" t="s">
        <v>164</v>
      </c>
      <c r="D23" s="264">
        <v>5</v>
      </c>
      <c r="E23" s="329">
        <v>18609</v>
      </c>
      <c r="F23" s="356">
        <v>10</v>
      </c>
      <c r="G23" s="361">
        <f>D23*E23</f>
        <v>93045</v>
      </c>
      <c r="H23" s="362">
        <v>0</v>
      </c>
      <c r="I23" s="362">
        <v>0</v>
      </c>
      <c r="J23" s="431">
        <v>0</v>
      </c>
      <c r="K23" s="423">
        <f>$G$23/$F$23</f>
        <v>9304.5</v>
      </c>
      <c r="L23" s="357">
        <f>$G$23/$F$23</f>
        <v>9304.5</v>
      </c>
      <c r="M23" s="358">
        <f>$G$23/$F$23</f>
        <v>9304.5</v>
      </c>
      <c r="N23" s="1"/>
      <c r="O23" s="1"/>
      <c r="P23" s="1"/>
      <c r="Q23" s="1"/>
      <c r="R23" s="1"/>
      <c r="S23" s="1"/>
      <c r="T23" s="1"/>
      <c r="U23" s="1"/>
      <c r="V23" s="1"/>
      <c r="W23" s="1"/>
      <c r="X23" s="1"/>
    </row>
    <row r="24" spans="1:24" x14ac:dyDescent="0.25">
      <c r="A24" s="1"/>
      <c r="B24" s="636"/>
      <c r="C24" s="263" t="s">
        <v>164</v>
      </c>
      <c r="D24" s="264">
        <v>2</v>
      </c>
      <c r="E24" s="329">
        <v>18609</v>
      </c>
      <c r="F24" s="360">
        <v>10</v>
      </c>
      <c r="G24" s="366">
        <v>0</v>
      </c>
      <c r="H24" s="362">
        <v>0</v>
      </c>
      <c r="I24" s="367">
        <f>D24*E24</f>
        <v>37218</v>
      </c>
      <c r="J24" s="431">
        <v>0</v>
      </c>
      <c r="K24" s="434">
        <v>0</v>
      </c>
      <c r="L24" s="362">
        <v>0</v>
      </c>
      <c r="M24" s="367">
        <f>I24/F24</f>
        <v>3721.8</v>
      </c>
      <c r="N24" s="1"/>
      <c r="O24" s="1"/>
      <c r="P24" s="1"/>
      <c r="Q24" s="1"/>
      <c r="R24" s="1"/>
      <c r="S24" s="1"/>
      <c r="T24" s="1"/>
      <c r="U24" s="1"/>
      <c r="V24" s="1"/>
      <c r="W24" s="1"/>
      <c r="X24" s="1"/>
    </row>
    <row r="25" spans="1:24" x14ac:dyDescent="0.25">
      <c r="A25" s="1"/>
      <c r="B25" s="636"/>
      <c r="C25" s="263" t="s">
        <v>164</v>
      </c>
      <c r="D25" s="264">
        <v>10</v>
      </c>
      <c r="E25" s="329">
        <v>18609</v>
      </c>
      <c r="F25" s="360">
        <v>10</v>
      </c>
      <c r="G25" s="366">
        <v>0</v>
      </c>
      <c r="H25" s="362">
        <v>0</v>
      </c>
      <c r="I25" s="394">
        <v>0</v>
      </c>
      <c r="J25" s="367">
        <f>D25*E25</f>
        <v>186090</v>
      </c>
      <c r="K25" s="422">
        <v>0</v>
      </c>
      <c r="L25" s="368">
        <v>0</v>
      </c>
      <c r="M25" s="436">
        <v>0</v>
      </c>
      <c r="N25" s="1"/>
      <c r="O25" s="1"/>
      <c r="P25" s="1"/>
      <c r="Q25" s="1"/>
      <c r="R25" s="1"/>
      <c r="S25" s="1"/>
      <c r="T25" s="1"/>
      <c r="U25" s="1"/>
      <c r="V25" s="1"/>
      <c r="W25" s="1"/>
      <c r="X25" s="1"/>
    </row>
    <row r="26" spans="1:24" x14ac:dyDescent="0.25">
      <c r="A26" s="1"/>
      <c r="B26" s="636"/>
      <c r="C26" s="263" t="s">
        <v>175</v>
      </c>
      <c r="D26" s="264">
        <v>5</v>
      </c>
      <c r="E26" s="329">
        <v>13500</v>
      </c>
      <c r="F26" s="360">
        <v>10</v>
      </c>
      <c r="G26" s="361">
        <f>D26*E26</f>
        <v>67500</v>
      </c>
      <c r="H26" s="362">
        <v>0</v>
      </c>
      <c r="I26" s="362">
        <v>0</v>
      </c>
      <c r="J26" s="431">
        <v>0</v>
      </c>
      <c r="K26" s="391">
        <f>$G$26/$F$26</f>
        <v>6750</v>
      </c>
      <c r="L26" s="364">
        <f>$G$26/$F$26</f>
        <v>6750</v>
      </c>
      <c r="M26" s="365">
        <f>$G$26/$F$26</f>
        <v>6750</v>
      </c>
      <c r="N26" s="1"/>
      <c r="O26" s="1"/>
      <c r="P26" s="1"/>
      <c r="Q26" s="1"/>
      <c r="R26" s="1"/>
      <c r="S26" s="1"/>
      <c r="T26" s="1"/>
      <c r="U26" s="1"/>
      <c r="V26" s="1"/>
      <c r="W26" s="1"/>
      <c r="X26" s="1"/>
    </row>
    <row r="27" spans="1:24" x14ac:dyDescent="0.25">
      <c r="A27" s="1"/>
      <c r="B27" s="636"/>
      <c r="C27" s="263" t="s">
        <v>175</v>
      </c>
      <c r="D27" s="264">
        <v>2</v>
      </c>
      <c r="E27" s="329">
        <v>13500</v>
      </c>
      <c r="F27" s="360">
        <v>10</v>
      </c>
      <c r="G27" s="366">
        <v>0</v>
      </c>
      <c r="H27" s="362">
        <v>0</v>
      </c>
      <c r="I27" s="367">
        <f>D27*E27</f>
        <v>27000</v>
      </c>
      <c r="J27" s="431">
        <v>0</v>
      </c>
      <c r="K27" s="422">
        <v>0</v>
      </c>
      <c r="L27" s="368">
        <v>0</v>
      </c>
      <c r="M27" s="365">
        <f>I27/F27</f>
        <v>2700</v>
      </c>
      <c r="N27" s="1"/>
      <c r="O27" s="1"/>
      <c r="P27" s="1"/>
      <c r="Q27" s="1"/>
      <c r="R27" s="1"/>
      <c r="S27" s="1"/>
      <c r="T27" s="1"/>
      <c r="U27" s="1"/>
      <c r="V27" s="1"/>
      <c r="W27" s="1"/>
      <c r="X27" s="1"/>
    </row>
    <row r="28" spans="1:24" x14ac:dyDescent="0.25">
      <c r="A28" s="1"/>
      <c r="B28" s="636"/>
      <c r="C28" s="263" t="s">
        <v>175</v>
      </c>
      <c r="D28" s="264">
        <v>10</v>
      </c>
      <c r="E28" s="329">
        <v>13500</v>
      </c>
      <c r="F28" s="360">
        <v>10</v>
      </c>
      <c r="G28" s="366">
        <v>0</v>
      </c>
      <c r="H28" s="362">
        <v>0</v>
      </c>
      <c r="I28" s="394">
        <v>0</v>
      </c>
      <c r="J28" s="367">
        <f>D28*E28</f>
        <v>135000</v>
      </c>
      <c r="K28" s="422">
        <v>0</v>
      </c>
      <c r="L28" s="368">
        <v>0</v>
      </c>
      <c r="M28" s="436">
        <v>0</v>
      </c>
      <c r="N28" s="1"/>
      <c r="O28" s="1"/>
      <c r="P28" s="1"/>
      <c r="Q28" s="1"/>
      <c r="R28" s="1"/>
      <c r="S28" s="1"/>
      <c r="T28" s="1"/>
      <c r="U28" s="1"/>
      <c r="V28" s="1"/>
      <c r="W28" s="1"/>
      <c r="X28" s="1"/>
    </row>
    <row r="29" spans="1:24" ht="15.75" thickBot="1" x14ac:dyDescent="0.3">
      <c r="A29" s="1"/>
      <c r="B29" s="636"/>
      <c r="C29" s="263" t="s">
        <v>173</v>
      </c>
      <c r="D29" s="264">
        <v>1</v>
      </c>
      <c r="E29" s="329">
        <v>23900</v>
      </c>
      <c r="F29" s="371">
        <v>10</v>
      </c>
      <c r="G29" s="392">
        <f>D29*E29</f>
        <v>23900</v>
      </c>
      <c r="H29" s="369">
        <v>0</v>
      </c>
      <c r="I29" s="369">
        <v>0</v>
      </c>
      <c r="J29" s="433">
        <v>0</v>
      </c>
      <c r="K29" s="425">
        <f>G29/F29</f>
        <v>2390</v>
      </c>
      <c r="L29" s="393">
        <f>G29/F29</f>
        <v>2390</v>
      </c>
      <c r="M29" s="370">
        <f>G29/F29</f>
        <v>2390</v>
      </c>
      <c r="N29" s="1"/>
      <c r="O29" s="1"/>
      <c r="P29" s="1"/>
      <c r="Q29" s="1"/>
      <c r="R29" s="1"/>
      <c r="S29" s="1"/>
      <c r="T29" s="1"/>
      <c r="U29" s="1"/>
      <c r="V29" s="1"/>
      <c r="W29" s="1"/>
      <c r="X29" s="1"/>
    </row>
    <row r="30" spans="1:24" ht="15.75" thickBot="1" x14ac:dyDescent="0.3">
      <c r="A30" s="1"/>
      <c r="B30" s="637"/>
      <c r="C30" s="263" t="s">
        <v>173</v>
      </c>
      <c r="D30" s="264">
        <v>1</v>
      </c>
      <c r="E30" s="329">
        <v>23900</v>
      </c>
      <c r="F30" s="371">
        <v>10</v>
      </c>
      <c r="G30" s="451">
        <v>0</v>
      </c>
      <c r="H30" s="392">
        <f>D30*E30</f>
        <v>23900</v>
      </c>
      <c r="I30" s="369">
        <v>0</v>
      </c>
      <c r="J30" s="433">
        <v>0</v>
      </c>
      <c r="K30" s="452">
        <v>0</v>
      </c>
      <c r="L30" s="393">
        <f>H30/F30</f>
        <v>2390</v>
      </c>
      <c r="M30" s="370">
        <f>H30/F30</f>
        <v>2390</v>
      </c>
      <c r="N30" s="1"/>
      <c r="O30" s="1"/>
      <c r="P30" s="1"/>
      <c r="Q30" s="1"/>
      <c r="R30" s="1"/>
      <c r="S30" s="1"/>
      <c r="T30" s="1"/>
      <c r="U30" s="1"/>
      <c r="V30" s="1"/>
      <c r="W30" s="1"/>
      <c r="X30" s="1"/>
    </row>
    <row r="31" spans="1:24" ht="16.5" thickBot="1" x14ac:dyDescent="0.3">
      <c r="A31" s="1"/>
      <c r="B31" s="638" t="s">
        <v>140</v>
      </c>
      <c r="C31" s="639"/>
      <c r="D31" s="639"/>
      <c r="E31" s="639"/>
      <c r="F31" s="639"/>
      <c r="G31" s="640"/>
      <c r="H31" s="640"/>
      <c r="I31" s="640"/>
      <c r="J31" s="640"/>
      <c r="K31" s="372">
        <f>SUM(K11:K30)</f>
        <v>73911.600000000006</v>
      </c>
      <c r="L31" s="373">
        <f>SUM(L11:L30)</f>
        <v>77831.400000000009</v>
      </c>
      <c r="M31" s="374">
        <f>SUM(M11:M30)</f>
        <v>105842.90000000001</v>
      </c>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sheetData>
  <mergeCells count="13">
    <mergeCell ref="B11:B22"/>
    <mergeCell ref="B23:B30"/>
    <mergeCell ref="B31:J31"/>
    <mergeCell ref="G9:J9"/>
    <mergeCell ref="F3:H3"/>
    <mergeCell ref="B3:D3"/>
    <mergeCell ref="B8:M8"/>
    <mergeCell ref="B9:B10"/>
    <mergeCell ref="C9:C10"/>
    <mergeCell ref="D9:D10"/>
    <mergeCell ref="E9:E10"/>
    <mergeCell ref="F9:F10"/>
    <mergeCell ref="K9:M9"/>
  </mergeCells>
  <pageMargins left="0.7" right="0.7" top="0.75" bottom="0.75" header="0.3" footer="0.3"/>
  <pageSetup paperSize="256" orientation="portrait" horizontalDpi="203" verticalDpi="20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topLeftCell="A10" workbookViewId="0">
      <selection activeCell="F5" sqref="A5:F6"/>
    </sheetView>
  </sheetViews>
  <sheetFormatPr baseColWidth="10" defaultRowHeight="15" x14ac:dyDescent="0.25"/>
  <cols>
    <col min="3" max="3" width="25" customWidth="1"/>
    <col min="4" max="4" width="13.85546875" bestFit="1" customWidth="1"/>
    <col min="5" max="5" width="26.7109375" customWidth="1"/>
    <col min="6" max="7" width="15.140625" bestFit="1" customWidth="1"/>
    <col min="8" max="8" width="15.140625" customWidth="1"/>
    <col min="10" max="10" width="15.28515625" bestFit="1" customWidth="1"/>
    <col min="11" max="12" width="15.140625" bestFit="1" customWidth="1"/>
    <col min="13" max="13" width="21" customWidth="1"/>
  </cols>
  <sheetData>
    <row r="1" spans="1:35" ht="61.5" x14ac:dyDescent="0.25">
      <c r="A1" s="189"/>
      <c r="B1" s="189"/>
      <c r="C1" s="189"/>
      <c r="D1" s="189"/>
      <c r="E1" s="190" t="s">
        <v>193</v>
      </c>
      <c r="F1" s="191"/>
      <c r="G1" s="191"/>
      <c r="H1" s="189"/>
      <c r="I1" s="189"/>
      <c r="J1" s="189"/>
      <c r="K1" s="189"/>
      <c r="L1" s="189"/>
      <c r="M1" s="189"/>
      <c r="N1" s="189"/>
      <c r="O1" s="189"/>
      <c r="P1" s="189"/>
      <c r="Q1" s="189"/>
      <c r="R1" s="189"/>
      <c r="S1" s="189"/>
      <c r="T1" s="189"/>
      <c r="U1" s="189"/>
      <c r="V1" s="189"/>
      <c r="W1" s="189"/>
      <c r="X1" s="189"/>
      <c r="Y1" s="189"/>
      <c r="Z1" s="189"/>
      <c r="AA1" s="189"/>
      <c r="AB1" s="189"/>
      <c r="AC1" s="1"/>
      <c r="AD1" s="1"/>
      <c r="AE1" s="1"/>
      <c r="AF1" s="1"/>
      <c r="AG1" s="1"/>
      <c r="AH1" s="1"/>
      <c r="AI1" s="1"/>
    </row>
    <row r="2" spans="1:3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27" thickBot="1" x14ac:dyDescent="0.45">
      <c r="A3" s="1"/>
      <c r="B3" s="1"/>
      <c r="C3" s="1"/>
      <c r="D3" s="1"/>
      <c r="E3" s="1"/>
      <c r="F3" s="1"/>
      <c r="G3" s="1"/>
      <c r="H3" s="395"/>
      <c r="I3" s="1"/>
      <c r="J3" s="1"/>
      <c r="K3" s="586" t="s">
        <v>13</v>
      </c>
      <c r="L3" s="587"/>
      <c r="M3" s="588"/>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235"/>
      <c r="I4" s="1"/>
      <c r="J4" s="1"/>
      <c r="K4" s="73">
        <v>2020</v>
      </c>
      <c r="L4" s="73">
        <v>2021</v>
      </c>
      <c r="M4" s="420">
        <v>2022</v>
      </c>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241">
        <f>Hipótesis!$D$24</f>
        <v>11347620</v>
      </c>
      <c r="L6" s="241">
        <f>Hipótesis!$D$25</f>
        <v>22695240</v>
      </c>
      <c r="M6" s="241">
        <f>Hipótesis!$D$26</f>
        <v>45390480</v>
      </c>
      <c r="N6" s="1"/>
      <c r="O6" s="1"/>
      <c r="P6" s="1"/>
      <c r="Q6" s="1"/>
      <c r="R6" s="1"/>
      <c r="S6" s="1"/>
      <c r="T6" s="1"/>
      <c r="U6" s="1"/>
      <c r="V6" s="1"/>
      <c r="W6" s="1"/>
      <c r="X6" s="1"/>
      <c r="Y6" s="1"/>
      <c r="Z6" s="1"/>
      <c r="AA6" s="1"/>
      <c r="AB6" s="1"/>
      <c r="AC6" s="1"/>
      <c r="AD6" s="1"/>
      <c r="AE6" s="1"/>
      <c r="AF6" s="1"/>
      <c r="AG6" s="1"/>
      <c r="AH6" s="1"/>
      <c r="AI6" s="1"/>
    </row>
    <row r="7" spans="1:35" ht="15.75" thickBo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27" thickBot="1" x14ac:dyDescent="0.45">
      <c r="A8" s="1"/>
      <c r="B8" s="1"/>
      <c r="C8" s="1"/>
      <c r="D8" s="1"/>
      <c r="E8" s="1"/>
      <c r="F8" s="1"/>
      <c r="G8" s="1"/>
      <c r="H8" s="395"/>
      <c r="I8" s="1"/>
      <c r="J8" s="1"/>
      <c r="K8" s="586" t="s">
        <v>194</v>
      </c>
      <c r="L8" s="587"/>
      <c r="M8" s="588"/>
      <c r="N8" s="1"/>
      <c r="O8" s="1"/>
      <c r="P8" s="1"/>
      <c r="Q8" s="1"/>
      <c r="R8" s="1"/>
      <c r="S8" s="1"/>
      <c r="T8" s="1"/>
      <c r="U8" s="1"/>
      <c r="V8" s="1"/>
      <c r="W8" s="1"/>
      <c r="X8" s="1"/>
      <c r="Y8" s="1"/>
      <c r="Z8" s="1"/>
      <c r="AA8" s="1"/>
      <c r="AB8" s="1"/>
      <c r="AC8" s="1"/>
      <c r="AD8" s="1"/>
      <c r="AE8" s="1"/>
      <c r="AF8" s="1"/>
      <c r="AG8" s="1"/>
      <c r="AH8" s="1"/>
      <c r="AI8" s="1"/>
    </row>
    <row r="9" spans="1:35" ht="15.75" thickBot="1" x14ac:dyDescent="0.3">
      <c r="A9" s="1"/>
      <c r="B9" s="1"/>
      <c r="C9" s="1"/>
      <c r="D9" s="1"/>
      <c r="E9" s="1"/>
      <c r="F9" s="1"/>
      <c r="G9" s="1"/>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row>
    <row r="10" spans="1:35" ht="27" thickBot="1" x14ac:dyDescent="0.45">
      <c r="A10" s="1"/>
      <c r="B10" s="630" t="s">
        <v>193</v>
      </c>
      <c r="C10" s="631"/>
      <c r="D10" s="631"/>
      <c r="E10" s="631"/>
      <c r="F10" s="631"/>
      <c r="G10" s="680"/>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row>
    <row r="11" spans="1:35" ht="15.75" thickBot="1" x14ac:dyDescent="0.3">
      <c r="A11" s="1"/>
      <c r="B11" s="681" t="s">
        <v>196</v>
      </c>
      <c r="C11" s="682"/>
      <c r="D11" s="399" t="s">
        <v>197</v>
      </c>
      <c r="E11" s="400">
        <v>2020</v>
      </c>
      <c r="F11" s="400">
        <v>2021</v>
      </c>
      <c r="G11" s="401">
        <v>2022</v>
      </c>
      <c r="H11" s="1"/>
      <c r="I11" s="1"/>
      <c r="J11" s="396" t="s">
        <v>157</v>
      </c>
      <c r="K11" s="397">
        <f>'Costos variables'!$H$6</f>
        <v>230628.36</v>
      </c>
      <c r="L11" s="241">
        <f>'Costos variables'!$I$6</f>
        <v>248350.20000000004</v>
      </c>
      <c r="M11" s="398">
        <f>'Costos variables'!$J$6</f>
        <v>270133.44</v>
      </c>
      <c r="N11" s="1"/>
      <c r="O11" s="1"/>
      <c r="P11" s="1"/>
      <c r="Q11" s="1"/>
      <c r="R11" s="1"/>
      <c r="S11" s="1"/>
      <c r="T11" s="1"/>
      <c r="U11" s="1"/>
      <c r="V11" s="1"/>
      <c r="W11" s="1"/>
      <c r="X11" s="1"/>
      <c r="Y11" s="1"/>
      <c r="Z11" s="1"/>
      <c r="AA11" s="1"/>
      <c r="AB11" s="1"/>
      <c r="AC11" s="1"/>
      <c r="AD11" s="1"/>
      <c r="AE11" s="1"/>
      <c r="AF11" s="1"/>
      <c r="AG11" s="1"/>
      <c r="AH11" s="1"/>
      <c r="AI11" s="1"/>
    </row>
    <row r="12" spans="1:35" ht="15.75" thickBot="1" x14ac:dyDescent="0.3">
      <c r="A12" s="1"/>
      <c r="B12" s="683" t="s">
        <v>17</v>
      </c>
      <c r="C12" s="684"/>
      <c r="D12" s="442">
        <v>0</v>
      </c>
      <c r="E12" s="402">
        <f>K6</f>
        <v>11347620</v>
      </c>
      <c r="F12" s="402">
        <f>L6</f>
        <v>22695240</v>
      </c>
      <c r="G12" s="403">
        <f>M6</f>
        <v>45390480</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row>
    <row r="13" spans="1:35" ht="15.75" thickBot="1" x14ac:dyDescent="0.3">
      <c r="A13" s="1"/>
      <c r="B13" s="678" t="s">
        <v>198</v>
      </c>
      <c r="C13" s="404" t="s">
        <v>195</v>
      </c>
      <c r="D13" s="443">
        <v>0</v>
      </c>
      <c r="E13" s="329">
        <f t="shared" ref="E13:G15" si="0">K10</f>
        <v>6685587.5999999987</v>
      </c>
      <c r="F13" s="329">
        <f t="shared" si="0"/>
        <v>6685587.5999999987</v>
      </c>
      <c r="G13" s="333">
        <f t="shared" si="0"/>
        <v>6685587.5999999987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27" thickBot="1" x14ac:dyDescent="0.45">
      <c r="A14" s="1"/>
      <c r="B14" s="678"/>
      <c r="C14" s="404" t="s">
        <v>157</v>
      </c>
      <c r="D14" s="443">
        <v>0</v>
      </c>
      <c r="E14" s="329">
        <f>K11</f>
        <v>230628.36</v>
      </c>
      <c r="F14" s="329">
        <f t="shared" si="0"/>
        <v>248350.20000000004</v>
      </c>
      <c r="G14" s="329">
        <f t="shared" si="0"/>
        <v>270133.44</v>
      </c>
      <c r="H14" s="1"/>
      <c r="I14" s="1"/>
      <c r="J14" s="1"/>
      <c r="K14" s="586" t="s">
        <v>185</v>
      </c>
      <c r="L14" s="587"/>
      <c r="M14" s="588"/>
      <c r="N14" s="1"/>
      <c r="O14" s="1"/>
      <c r="P14" s="1"/>
      <c r="Q14" s="1"/>
      <c r="R14" s="1"/>
      <c r="S14" s="1"/>
      <c r="T14" s="1"/>
      <c r="U14" s="1"/>
      <c r="V14" s="1"/>
      <c r="W14" s="1"/>
      <c r="X14" s="1"/>
      <c r="Y14" s="1"/>
      <c r="Z14" s="1"/>
      <c r="AA14" s="1"/>
      <c r="AB14" s="1"/>
      <c r="AC14" s="1"/>
      <c r="AD14" s="1"/>
      <c r="AE14" s="1"/>
      <c r="AF14" s="1"/>
      <c r="AG14" s="1"/>
      <c r="AH14" s="1"/>
      <c r="AI14" s="1"/>
    </row>
    <row r="15" spans="1:35" ht="15.75" thickBot="1" x14ac:dyDescent="0.3">
      <c r="A15" s="1"/>
      <c r="B15" s="679"/>
      <c r="C15" s="405" t="s">
        <v>158</v>
      </c>
      <c r="D15" s="444">
        <v>0</v>
      </c>
      <c r="E15" s="338">
        <f t="shared" si="0"/>
        <v>9749696.4500000011</v>
      </c>
      <c r="F15" s="338">
        <f t="shared" si="0"/>
        <v>10859538.039999999</v>
      </c>
      <c r="G15" s="338">
        <f t="shared" si="0"/>
        <v>20689881.93999999</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row>
    <row r="16" spans="1:35" ht="15.75" thickBot="1" x14ac:dyDescent="0.3">
      <c r="A16" s="1"/>
      <c r="B16" s="670" t="s">
        <v>199</v>
      </c>
      <c r="C16" s="671"/>
      <c r="D16" s="445">
        <v>0</v>
      </c>
      <c r="E16" s="406">
        <f>E12-E13-E14-E15</f>
        <v>-5318292.41</v>
      </c>
      <c r="F16" s="406">
        <f t="shared" ref="F16:G16" si="1">F12-F13-F14-F15</f>
        <v>4901764.1600000039</v>
      </c>
      <c r="G16" s="407">
        <f t="shared" si="1"/>
        <v>17744877.020000011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row>
    <row r="17" spans="1:35" ht="15.75" thickBot="1" x14ac:dyDescent="0.3">
      <c r="A17" s="1"/>
      <c r="B17" s="672" t="s">
        <v>200</v>
      </c>
      <c r="C17" s="673"/>
      <c r="D17" s="442">
        <v>0</v>
      </c>
      <c r="E17" s="402">
        <v>0</v>
      </c>
      <c r="F17" s="402">
        <v>0</v>
      </c>
      <c r="G17" s="403">
        <v>0</v>
      </c>
      <c r="H17" s="335" t="s">
        <v>209</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hidden="1" thickBot="1" x14ac:dyDescent="0.3">
      <c r="A18" s="1"/>
      <c r="B18" s="674" t="s">
        <v>201</v>
      </c>
      <c r="C18" s="675"/>
      <c r="D18" s="443">
        <v>0</v>
      </c>
      <c r="E18" s="329">
        <f>E16-E17-K16</f>
        <v>-5392204.0099999998</v>
      </c>
      <c r="F18" s="329">
        <f>F16-F17-L16</f>
        <v>4823932.7600000035</v>
      </c>
      <c r="G18" s="333">
        <f>G16-G17-M16</f>
        <v>17639034.120000012</v>
      </c>
      <c r="H18" s="1"/>
      <c r="I18" s="1"/>
      <c r="N18" s="1"/>
      <c r="O18" s="1"/>
      <c r="P18" s="1"/>
      <c r="Q18" s="1"/>
      <c r="R18" s="1"/>
      <c r="S18" s="1"/>
      <c r="T18" s="1"/>
      <c r="U18" s="1"/>
      <c r="V18" s="1"/>
      <c r="W18" s="1"/>
      <c r="X18" s="1"/>
      <c r="Y18" s="1"/>
      <c r="Z18" s="1"/>
      <c r="AA18" s="1"/>
      <c r="AB18" s="1"/>
      <c r="AC18" s="1"/>
      <c r="AD18" s="1"/>
      <c r="AE18" s="1"/>
      <c r="AF18" s="1"/>
      <c r="AG18" s="1"/>
      <c r="AH18" s="1"/>
      <c r="AI18" s="1"/>
    </row>
    <row r="19" spans="1:35" ht="27" thickBot="1" x14ac:dyDescent="0.45">
      <c r="A19" s="1"/>
      <c r="B19" s="676" t="s">
        <v>202</v>
      </c>
      <c r="C19" s="677"/>
      <c r="D19" s="444">
        <v>0</v>
      </c>
      <c r="E19" s="408">
        <f t="shared" ref="E19:F19" si="2">D18*0.35</f>
        <v>0</v>
      </c>
      <c r="F19" s="408">
        <f t="shared" si="2"/>
        <v>-1887271.4034999998</v>
      </c>
      <c r="G19" s="408">
        <f>F18*0.35</f>
        <v>1688376.4660000012</v>
      </c>
      <c r="H19" s="1"/>
      <c r="I19" s="1"/>
      <c r="J19" s="627" t="s">
        <v>160</v>
      </c>
      <c r="K19" s="628"/>
      <c r="L19" s="628"/>
      <c r="M19" s="629"/>
      <c r="N19" s="1"/>
      <c r="O19" s="1"/>
      <c r="P19" s="1"/>
      <c r="Q19" s="1"/>
      <c r="R19" s="1"/>
      <c r="S19" s="1"/>
      <c r="T19" s="1"/>
      <c r="U19" s="1"/>
      <c r="V19" s="1"/>
      <c r="W19" s="1"/>
      <c r="X19" s="1"/>
      <c r="Y19" s="1"/>
      <c r="Z19" s="1"/>
      <c r="AA19" s="1"/>
      <c r="AB19" s="1"/>
      <c r="AC19" s="1"/>
      <c r="AD19" s="1"/>
      <c r="AE19" s="1"/>
      <c r="AF19" s="1"/>
      <c r="AG19" s="1"/>
      <c r="AH19" s="1"/>
      <c r="AI19" s="1"/>
    </row>
    <row r="20" spans="1:35" ht="15.75" thickBot="1" x14ac:dyDescent="0.3">
      <c r="A20" s="1"/>
      <c r="B20" s="670" t="s">
        <v>203</v>
      </c>
      <c r="C20" s="671"/>
      <c r="D20" s="445">
        <v>0</v>
      </c>
      <c r="E20" s="406">
        <f>E16-E17-E19</f>
        <v>-5318292.41</v>
      </c>
      <c r="F20" s="406">
        <f>F16-F17-F19</f>
        <v>6789035.5635000039</v>
      </c>
      <c r="G20" s="407">
        <f>G16-G17-G19</f>
        <v>16056500.554000009</v>
      </c>
      <c r="H20" s="1"/>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row>
    <row r="21" spans="1:35" ht="15.75" thickBot="1" x14ac:dyDescent="0.3">
      <c r="A21" s="1"/>
      <c r="B21" s="657" t="s">
        <v>204</v>
      </c>
      <c r="C21" s="658"/>
      <c r="D21" s="409">
        <f>-J21</f>
        <v>-1274116</v>
      </c>
      <c r="E21" s="410">
        <f>-K21</f>
        <v>-39198</v>
      </c>
      <c r="F21" s="410">
        <f>-L21</f>
        <v>-247816</v>
      </c>
      <c r="G21" s="411">
        <f>-M21</f>
        <v>-1245379</v>
      </c>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row>
    <row r="22" spans="1:35" ht="15.75" thickBot="1" x14ac:dyDescent="0.3">
      <c r="A22" s="1"/>
      <c r="B22" s="659" t="s">
        <v>205</v>
      </c>
      <c r="C22" s="660"/>
      <c r="D22" s="406">
        <f>D20+D21</f>
        <v>-1274116</v>
      </c>
      <c r="E22" s="406">
        <f>E20+E21</f>
        <v>-5357490.41</v>
      </c>
      <c r="F22" s="406">
        <f t="shared" ref="F22:G22" si="3">F20+F21</f>
        <v>6541219.5635000039</v>
      </c>
      <c r="G22" s="407">
        <f t="shared" si="3"/>
        <v>14811121.554000009</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661" t="s">
        <v>214</v>
      </c>
      <c r="C26" s="662"/>
      <c r="D26" s="662"/>
      <c r="E26" s="663"/>
      <c r="F26" s="1"/>
      <c r="G26" s="1"/>
      <c r="H26" s="412" t="s">
        <v>206</v>
      </c>
      <c r="I26" s="413">
        <v>0.55000000000000004</v>
      </c>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664"/>
      <c r="C27" s="665"/>
      <c r="D27" s="665"/>
      <c r="E27" s="666"/>
      <c r="F27" s="1"/>
      <c r="G27" s="1"/>
      <c r="H27" s="414" t="s">
        <v>207</v>
      </c>
      <c r="I27" s="415">
        <f>NPV(I26,K21,L21:M21)</f>
        <v>462869.18733845785</v>
      </c>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5.75" thickBot="1" x14ac:dyDescent="0.3">
      <c r="A28" s="1"/>
      <c r="B28" s="667"/>
      <c r="C28" s="668"/>
      <c r="D28" s="668"/>
      <c r="E28" s="669"/>
      <c r="F28" s="1"/>
      <c r="G28" s="1"/>
      <c r="H28" s="416" t="s">
        <v>208</v>
      </c>
      <c r="I28" s="417">
        <f>IRR(D22:G22,I26)</f>
        <v>0.86913936535822223</v>
      </c>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418"/>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418"/>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3"/>
      <c r="E36" s="13"/>
      <c r="F36" s="13"/>
      <c r="G36" s="13"/>
      <c r="H36" s="1"/>
      <c r="I36" s="18"/>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8"/>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419"/>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sheetData>
  <mergeCells count="16">
    <mergeCell ref="B13:B15"/>
    <mergeCell ref="K14:M14"/>
    <mergeCell ref="K3:M3"/>
    <mergeCell ref="K8:M8"/>
    <mergeCell ref="B10:G10"/>
    <mergeCell ref="B11:C11"/>
    <mergeCell ref="B12:C12"/>
    <mergeCell ref="B21:C21"/>
    <mergeCell ref="B22:C22"/>
    <mergeCell ref="B26:E28"/>
    <mergeCell ref="J19:M19"/>
    <mergeCell ref="B16:C16"/>
    <mergeCell ref="B17:C17"/>
    <mergeCell ref="B18:C18"/>
    <mergeCell ref="B19:C19"/>
    <mergeCell ref="B20:C20"/>
  </mergeCells>
  <hyperlinks>
    <hyperlink ref="H17" r:id="rId1"/>
  </hyperlinks>
  <pageMargins left="0.7" right="0.7" top="0.75" bottom="0.75" header="0.3" footer="0.3"/>
  <pageSetup paperSize="9" orientation="portrait" horizontalDpi="300" verticalDpi="3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8"/>
  <sheetViews>
    <sheetView workbookViewId="0">
      <selection activeCell="G10" sqref="G10"/>
    </sheetView>
  </sheetViews>
  <sheetFormatPr baseColWidth="10" defaultRowHeight="15" x14ac:dyDescent="0.25"/>
  <cols>
    <col min="3" max="3" width="21.85546875" bestFit="1" customWidth="1"/>
    <col min="4" max="4" width="52.140625" bestFit="1" customWidth="1"/>
    <col min="5" max="5" width="16.7109375" customWidth="1"/>
  </cols>
  <sheetData>
    <row r="1" spans="1:57" ht="61.5" x14ac:dyDescent="0.25">
      <c r="A1" s="189"/>
      <c r="B1" s="189"/>
      <c r="C1" s="189"/>
      <c r="D1" s="190" t="s">
        <v>220</v>
      </c>
      <c r="E1" s="189"/>
      <c r="F1" s="189"/>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row>
    <row r="3" spans="1:57" x14ac:dyDescent="0.25">
      <c r="B3" s="687" t="s">
        <v>221</v>
      </c>
      <c r="C3" s="688" t="s">
        <v>222</v>
      </c>
      <c r="D3" s="688" t="s">
        <v>223</v>
      </c>
      <c r="E3" s="688" t="s">
        <v>224</v>
      </c>
      <c r="F3" s="688" t="s">
        <v>225</v>
      </c>
    </row>
    <row r="4" spans="1:57" ht="45" x14ac:dyDescent="0.25">
      <c r="B4" s="692">
        <v>1</v>
      </c>
      <c r="C4" s="685" t="s">
        <v>226</v>
      </c>
      <c r="D4" s="685" t="s">
        <v>254</v>
      </c>
      <c r="E4" s="685" t="s">
        <v>227</v>
      </c>
      <c r="F4" s="685" t="s">
        <v>228</v>
      </c>
    </row>
    <row r="5" spans="1:57" ht="75" x14ac:dyDescent="0.25">
      <c r="B5" s="692">
        <v>2</v>
      </c>
      <c r="C5" s="685" t="s">
        <v>255</v>
      </c>
      <c r="D5" s="685" t="s">
        <v>229</v>
      </c>
      <c r="E5" s="685" t="s">
        <v>230</v>
      </c>
      <c r="F5" s="685" t="s">
        <v>228</v>
      </c>
    </row>
    <row r="6" spans="1:57" ht="60" x14ac:dyDescent="0.25">
      <c r="B6" s="692">
        <v>3</v>
      </c>
      <c r="C6" s="689" t="s">
        <v>256</v>
      </c>
      <c r="D6" s="690" t="s">
        <v>231</v>
      </c>
      <c r="E6" s="689" t="s">
        <v>230</v>
      </c>
      <c r="F6" s="691" t="s">
        <v>228</v>
      </c>
    </row>
    <row r="7" spans="1:57" x14ac:dyDescent="0.25">
      <c r="B7" s="692">
        <v>4</v>
      </c>
      <c r="C7" s="686" t="s">
        <v>232</v>
      </c>
      <c r="D7" s="686" t="s">
        <v>233</v>
      </c>
      <c r="E7" s="686" t="s">
        <v>227</v>
      </c>
      <c r="F7" s="686" t="s">
        <v>228</v>
      </c>
    </row>
    <row r="8" spans="1:57" ht="30" x14ac:dyDescent="0.25">
      <c r="B8" s="692">
        <v>5</v>
      </c>
      <c r="C8" s="685" t="s">
        <v>234</v>
      </c>
      <c r="D8" s="685" t="s">
        <v>235</v>
      </c>
      <c r="E8" s="685" t="s">
        <v>230</v>
      </c>
      <c r="F8" s="685" t="s">
        <v>228</v>
      </c>
    </row>
    <row r="9" spans="1:57" ht="75" x14ac:dyDescent="0.25">
      <c r="B9" s="692">
        <v>6</v>
      </c>
      <c r="C9" s="685" t="s">
        <v>257</v>
      </c>
      <c r="D9" s="685" t="s">
        <v>236</v>
      </c>
      <c r="E9" s="685" t="s">
        <v>227</v>
      </c>
      <c r="F9" s="685" t="s">
        <v>237</v>
      </c>
    </row>
    <row r="10" spans="1:57" ht="30" x14ac:dyDescent="0.25">
      <c r="B10" s="692">
        <v>7</v>
      </c>
      <c r="C10" s="685" t="s">
        <v>258</v>
      </c>
      <c r="D10" s="685" t="s">
        <v>238</v>
      </c>
      <c r="E10" s="685" t="s">
        <v>239</v>
      </c>
      <c r="F10" s="685" t="s">
        <v>228</v>
      </c>
    </row>
    <row r="11" spans="1:57" ht="30" x14ac:dyDescent="0.25">
      <c r="B11" s="692">
        <v>8</v>
      </c>
      <c r="C11" s="685" t="s">
        <v>240</v>
      </c>
      <c r="D11" s="685" t="s">
        <v>241</v>
      </c>
      <c r="E11" s="685" t="s">
        <v>237</v>
      </c>
      <c r="F11" s="685" t="s">
        <v>228</v>
      </c>
    </row>
    <row r="12" spans="1:57" ht="85.5" x14ac:dyDescent="0.25">
      <c r="B12" s="692">
        <v>9</v>
      </c>
      <c r="C12" s="690" t="s">
        <v>242</v>
      </c>
      <c r="D12" s="690" t="s">
        <v>243</v>
      </c>
      <c r="E12" s="689" t="s">
        <v>228</v>
      </c>
      <c r="F12" s="689" t="s">
        <v>237</v>
      </c>
    </row>
    <row r="13" spans="1:57" ht="30" x14ac:dyDescent="0.25">
      <c r="B13" s="692">
        <v>10</v>
      </c>
      <c r="C13" s="685" t="s">
        <v>244</v>
      </c>
      <c r="D13" s="685" t="s">
        <v>245</v>
      </c>
      <c r="E13" s="685" t="s">
        <v>228</v>
      </c>
      <c r="F13" s="685" t="s">
        <v>228</v>
      </c>
    </row>
    <row r="14" spans="1:57" ht="75" x14ac:dyDescent="0.25">
      <c r="B14" s="692">
        <v>11</v>
      </c>
      <c r="C14" s="685" t="s">
        <v>246</v>
      </c>
      <c r="D14" s="685" t="s">
        <v>247</v>
      </c>
      <c r="E14" s="685" t="s">
        <v>228</v>
      </c>
      <c r="F14" s="685" t="s">
        <v>237</v>
      </c>
    </row>
    <row r="15" spans="1:57" ht="85.5" x14ac:dyDescent="0.25">
      <c r="B15" s="692">
        <v>12</v>
      </c>
      <c r="C15" s="690" t="s">
        <v>248</v>
      </c>
      <c r="D15" s="690" t="s">
        <v>249</v>
      </c>
      <c r="E15" s="689" t="s">
        <v>227</v>
      </c>
      <c r="F15" s="689" t="s">
        <v>237</v>
      </c>
    </row>
    <row r="16" spans="1:57" ht="75" x14ac:dyDescent="0.25">
      <c r="B16" s="692">
        <v>13</v>
      </c>
      <c r="C16" s="685" t="s">
        <v>260</v>
      </c>
      <c r="D16" s="685" t="s">
        <v>250</v>
      </c>
      <c r="E16" s="685" t="s">
        <v>239</v>
      </c>
      <c r="F16" s="685" t="s">
        <v>228</v>
      </c>
    </row>
    <row r="17" spans="2:6" ht="75" x14ac:dyDescent="0.25">
      <c r="B17" s="692">
        <v>14</v>
      </c>
      <c r="C17" s="685" t="s">
        <v>259</v>
      </c>
      <c r="D17" s="685" t="s">
        <v>251</v>
      </c>
      <c r="E17" s="685" t="s">
        <v>239</v>
      </c>
      <c r="F17" s="685" t="s">
        <v>228</v>
      </c>
    </row>
    <row r="18" spans="2:6" ht="75" x14ac:dyDescent="0.25">
      <c r="B18" s="692">
        <v>15</v>
      </c>
      <c r="C18" s="685" t="s">
        <v>252</v>
      </c>
      <c r="D18" s="685" t="s">
        <v>253</v>
      </c>
      <c r="E18" s="685" t="s">
        <v>239</v>
      </c>
      <c r="F18" s="685" t="s">
        <v>239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workbookViewId="0">
      <selection activeCell="H21" sqref="H21"/>
    </sheetView>
  </sheetViews>
  <sheetFormatPr baseColWidth="10" defaultRowHeight="15" x14ac:dyDescent="0.25"/>
  <cols>
    <col min="3" max="3" width="22.7109375" customWidth="1"/>
    <col min="4" max="4" width="13.85546875" bestFit="1" customWidth="1"/>
    <col min="5" max="7" width="14.85546875" bestFit="1" customWidth="1"/>
    <col min="10" max="10" width="15.28515625" bestFit="1" customWidth="1"/>
    <col min="11" max="13" width="14.140625" bestFit="1" customWidth="1"/>
  </cols>
  <sheetData>
    <row r="1" spans="1:31" ht="61.5" x14ac:dyDescent="0.25">
      <c r="A1" s="189"/>
      <c r="B1" s="189"/>
      <c r="C1" s="189"/>
      <c r="D1" s="189"/>
      <c r="E1" s="189"/>
      <c r="F1" s="189"/>
      <c r="G1" s="693" t="s">
        <v>261</v>
      </c>
      <c r="H1" s="694"/>
      <c r="I1" s="694"/>
      <c r="J1" s="189"/>
      <c r="K1" s="189"/>
      <c r="L1" s="189"/>
      <c r="M1" s="189"/>
      <c r="N1" s="189"/>
      <c r="O1" s="189"/>
      <c r="P1" s="189"/>
      <c r="Q1" s="189"/>
      <c r="R1" s="189"/>
      <c r="S1" s="189"/>
      <c r="T1" s="189"/>
      <c r="U1" s="189"/>
      <c r="V1" s="189"/>
      <c r="W1" s="189"/>
      <c r="X1" s="189"/>
      <c r="Y1" s="189"/>
      <c r="Z1" s="189"/>
      <c r="AA1" s="189"/>
      <c r="AB1" s="189"/>
      <c r="AC1" s="189"/>
      <c r="AD1" s="189"/>
      <c r="AE1" s="189"/>
    </row>
    <row r="2" spans="1:31" ht="15.75" thickBot="1" x14ac:dyDescent="0.3">
      <c r="A2" s="1"/>
      <c r="B2" s="1"/>
      <c r="C2" s="1"/>
      <c r="D2" s="1"/>
      <c r="E2" s="1"/>
      <c r="F2" s="1"/>
      <c r="G2" s="1"/>
      <c r="H2" s="1"/>
      <c r="I2" s="1"/>
      <c r="J2" s="1"/>
      <c r="K2" s="1"/>
      <c r="L2" s="1"/>
      <c r="M2" s="1"/>
      <c r="N2" s="1"/>
      <c r="O2" s="1"/>
      <c r="P2" s="1"/>
      <c r="Q2" s="1"/>
      <c r="R2" s="1"/>
      <c r="S2" s="1"/>
      <c r="T2" s="1"/>
      <c r="U2" s="1"/>
      <c r="V2" s="1"/>
      <c r="W2" s="1"/>
      <c r="X2" s="1"/>
    </row>
    <row r="3" spans="1:31" ht="27" customHeight="1" thickBot="1" x14ac:dyDescent="0.45">
      <c r="A3" s="1"/>
      <c r="B3" s="695" t="s">
        <v>264</v>
      </c>
      <c r="C3" s="696"/>
      <c r="D3" s="696"/>
      <c r="E3" s="696"/>
      <c r="F3" s="696"/>
      <c r="G3" s="697"/>
      <c r="H3" s="395"/>
      <c r="I3" s="1"/>
      <c r="J3" s="1"/>
      <c r="K3" s="586" t="s">
        <v>13</v>
      </c>
      <c r="L3" s="587"/>
      <c r="M3" s="588"/>
      <c r="N3" s="1"/>
      <c r="O3" s="1"/>
      <c r="P3" s="1"/>
      <c r="Q3" s="1"/>
      <c r="R3" s="1"/>
      <c r="S3" s="1"/>
      <c r="T3" s="1"/>
      <c r="U3" s="1"/>
      <c r="V3" s="1"/>
      <c r="W3" s="1"/>
      <c r="X3" s="1"/>
    </row>
    <row r="4" spans="1:31" ht="15.75" thickBot="1" x14ac:dyDescent="0.3">
      <c r="A4" s="1"/>
      <c r="B4" s="698"/>
      <c r="C4" s="699"/>
      <c r="D4" s="699"/>
      <c r="E4" s="699"/>
      <c r="F4" s="699"/>
      <c r="G4" s="700"/>
      <c r="H4" s="235"/>
      <c r="I4" s="1"/>
      <c r="J4" s="1"/>
      <c r="K4" s="73">
        <v>2020</v>
      </c>
      <c r="L4" s="73">
        <v>2021</v>
      </c>
      <c r="M4" s="420">
        <v>2022</v>
      </c>
      <c r="N4" s="1"/>
      <c r="O4" s="1"/>
      <c r="P4" s="1"/>
      <c r="Q4" s="1"/>
      <c r="R4" s="1"/>
      <c r="S4" s="1"/>
      <c r="T4" s="1"/>
      <c r="U4" s="1"/>
      <c r="V4" s="1"/>
      <c r="W4" s="1"/>
      <c r="X4" s="1"/>
    </row>
    <row r="5" spans="1:31" ht="15.75" thickBot="1" x14ac:dyDescent="0.3">
      <c r="A5" s="1"/>
      <c r="B5" s="701"/>
      <c r="C5" s="701"/>
      <c r="D5" s="701"/>
      <c r="E5" s="701"/>
      <c r="F5" s="701"/>
      <c r="G5" s="701"/>
      <c r="H5" s="242"/>
      <c r="I5" s="1"/>
      <c r="J5" s="1"/>
      <c r="K5" s="321">
        <f>Hipótesis!$C$24</f>
        <v>5.0000000000000001E-3</v>
      </c>
      <c r="L5" s="236">
        <f>Hipótesis!$C$25</f>
        <v>0.01</v>
      </c>
      <c r="M5" s="236">
        <f>Hipótesis!$C$26</f>
        <v>0.02</v>
      </c>
      <c r="N5" s="1"/>
      <c r="O5" s="1"/>
      <c r="P5" s="1"/>
      <c r="Q5" s="1"/>
      <c r="R5" s="1"/>
      <c r="S5" s="1"/>
      <c r="T5" s="1"/>
      <c r="U5" s="1"/>
      <c r="V5" s="1"/>
      <c r="W5" s="1"/>
      <c r="X5" s="1"/>
    </row>
    <row r="6" spans="1:31" ht="27" thickBot="1" x14ac:dyDescent="0.45">
      <c r="A6" s="1"/>
      <c r="B6" s="453" t="s">
        <v>193</v>
      </c>
      <c r="C6" s="707"/>
      <c r="D6" s="708"/>
      <c r="E6" s="708"/>
      <c r="F6" s="708"/>
      <c r="G6" s="709"/>
      <c r="H6" s="1"/>
      <c r="I6" s="1"/>
      <c r="J6" s="1"/>
      <c r="K6" s="241">
        <f>Hipótesis!$D$24</f>
        <v>11347620</v>
      </c>
      <c r="L6" s="702">
        <f>(Hipótesis!$D$25)*0.95</f>
        <v>21560478</v>
      </c>
      <c r="M6" s="702">
        <f>(Hipótesis!$D$26)*0.95</f>
        <v>43120956</v>
      </c>
      <c r="N6" s="1"/>
      <c r="O6" s="1"/>
      <c r="P6" s="1"/>
      <c r="Q6" s="1"/>
      <c r="R6" s="1"/>
      <c r="S6" s="1"/>
      <c r="T6" s="1"/>
      <c r="U6" s="1"/>
      <c r="V6" s="1"/>
      <c r="W6" s="1"/>
      <c r="X6" s="1"/>
    </row>
    <row r="7" spans="1:31"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row>
    <row r="8" spans="1:31" ht="27" thickBot="1" x14ac:dyDescent="0.45">
      <c r="A8" s="1"/>
      <c r="B8" s="458" t="s">
        <v>17</v>
      </c>
      <c r="C8" s="459"/>
      <c r="D8" s="442">
        <v>0</v>
      </c>
      <c r="E8" s="402">
        <f>K6</f>
        <v>11347620</v>
      </c>
      <c r="F8" s="703">
        <f>L6</f>
        <v>21560478</v>
      </c>
      <c r="G8" s="704">
        <f>M6</f>
        <v>43120956</v>
      </c>
      <c r="H8" s="395"/>
      <c r="I8" s="1"/>
      <c r="J8" s="1"/>
      <c r="K8" s="586" t="s">
        <v>194</v>
      </c>
      <c r="L8" s="587"/>
      <c r="M8" s="588"/>
      <c r="N8" s="1"/>
      <c r="O8" s="1"/>
      <c r="P8" s="1"/>
      <c r="Q8" s="1"/>
      <c r="R8" s="1"/>
      <c r="S8" s="1"/>
      <c r="T8" s="1"/>
      <c r="U8" s="1"/>
      <c r="V8" s="1"/>
      <c r="W8" s="1"/>
      <c r="X8" s="1"/>
    </row>
    <row r="9" spans="1:31" x14ac:dyDescent="0.25">
      <c r="A9" s="1"/>
      <c r="B9" s="454" t="s">
        <v>198</v>
      </c>
      <c r="C9" s="404" t="s">
        <v>195</v>
      </c>
      <c r="D9" s="443">
        <v>0</v>
      </c>
      <c r="E9" s="329">
        <f>K10</f>
        <v>6685587.5999999987</v>
      </c>
      <c r="F9" s="329">
        <f>L10</f>
        <v>6685587.5999999987</v>
      </c>
      <c r="G9" s="333">
        <f>M10</f>
        <v>6685587.5999999987</v>
      </c>
      <c r="H9" s="235"/>
      <c r="I9" s="1"/>
      <c r="J9" s="1"/>
      <c r="K9" s="72">
        <v>2020</v>
      </c>
      <c r="L9" s="73">
        <v>2021</v>
      </c>
      <c r="M9" s="420">
        <v>2022</v>
      </c>
      <c r="N9" s="1"/>
      <c r="O9" s="1"/>
      <c r="P9" s="1"/>
      <c r="Q9" s="1"/>
      <c r="R9" s="1"/>
      <c r="S9" s="1"/>
      <c r="T9" s="1"/>
      <c r="U9" s="1"/>
      <c r="V9" s="1"/>
      <c r="W9" s="1"/>
      <c r="X9" s="1"/>
    </row>
    <row r="10" spans="1:31" x14ac:dyDescent="0.25">
      <c r="A10" s="1"/>
      <c r="B10" s="454"/>
      <c r="C10" s="404" t="s">
        <v>157</v>
      </c>
      <c r="D10" s="443">
        <v>0</v>
      </c>
      <c r="E10" s="329">
        <f>K11</f>
        <v>230628.36</v>
      </c>
      <c r="F10" s="329">
        <f>L11</f>
        <v>248350.20000000004</v>
      </c>
      <c r="G10" s="329">
        <f>M11</f>
        <v>270133.44</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row>
    <row r="11" spans="1:31" ht="15.75" thickBot="1" x14ac:dyDescent="0.3">
      <c r="A11" s="1"/>
      <c r="B11" s="455"/>
      <c r="C11" s="405" t="s">
        <v>158</v>
      </c>
      <c r="D11" s="444">
        <v>0</v>
      </c>
      <c r="E11" s="338">
        <f>K12</f>
        <v>9749696.4500000011</v>
      </c>
      <c r="F11" s="338">
        <f>L12</f>
        <v>10859538.039999999</v>
      </c>
      <c r="G11" s="338">
        <f>M12</f>
        <v>20689881.93999999</v>
      </c>
      <c r="H11" s="1"/>
      <c r="I11" s="1"/>
      <c r="J11" s="396" t="s">
        <v>157</v>
      </c>
      <c r="K11" s="397">
        <f>'Costos variables'!$H$6</f>
        <v>230628.36</v>
      </c>
      <c r="L11" s="241">
        <f>'Costos variables'!$I$6</f>
        <v>248350.20000000004</v>
      </c>
      <c r="M11" s="398">
        <f>'Costos variables'!$J$6</f>
        <v>270133.44</v>
      </c>
      <c r="N11" s="1"/>
      <c r="O11" s="1"/>
      <c r="P11" s="1"/>
      <c r="Q11" s="1"/>
      <c r="R11" s="1"/>
      <c r="S11" s="1"/>
      <c r="T11" s="1"/>
      <c r="U11" s="1"/>
      <c r="V11" s="1"/>
      <c r="W11" s="1"/>
      <c r="X11" s="1"/>
    </row>
    <row r="12" spans="1:31" ht="15.75" thickBot="1" x14ac:dyDescent="0.3">
      <c r="A12" s="1"/>
      <c r="B12" s="460" t="s">
        <v>199</v>
      </c>
      <c r="C12" s="461"/>
      <c r="D12" s="445">
        <v>0</v>
      </c>
      <c r="E12" s="406">
        <f>E8-E9-E10-E11</f>
        <v>-5318292.41</v>
      </c>
      <c r="F12" s="406">
        <f t="shared" ref="F12:G12" si="0">F8-F9-F10-F11</f>
        <v>3767002.1600000039</v>
      </c>
      <c r="G12" s="407">
        <f t="shared" si="0"/>
        <v>15475353.020000011</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row>
    <row r="13" spans="1:31"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row>
    <row r="14" spans="1:31" ht="27" thickBot="1" x14ac:dyDescent="0.45">
      <c r="A14" s="1"/>
      <c r="B14" s="464" t="s">
        <v>201</v>
      </c>
      <c r="C14" s="465"/>
      <c r="D14" s="443">
        <v>0</v>
      </c>
      <c r="E14" s="329">
        <f>E12-E13-K16</f>
        <v>-5392204.0099999998</v>
      </c>
      <c r="F14" s="329">
        <f>F12-F13-L16</f>
        <v>3689170.760000004</v>
      </c>
      <c r="G14" s="333">
        <f>G12-G13-M16</f>
        <v>15369510.12000001</v>
      </c>
      <c r="H14" s="1"/>
      <c r="I14" s="1"/>
      <c r="J14" s="1"/>
      <c r="K14" s="586" t="s">
        <v>185</v>
      </c>
      <c r="L14" s="587"/>
      <c r="M14" s="588"/>
      <c r="N14" s="1"/>
      <c r="O14" s="1"/>
      <c r="P14" s="1"/>
      <c r="Q14" s="1"/>
      <c r="R14" s="1"/>
      <c r="S14" s="1"/>
      <c r="T14" s="1"/>
      <c r="U14" s="1"/>
      <c r="V14" s="1"/>
      <c r="W14" s="1"/>
      <c r="X14" s="1"/>
    </row>
    <row r="15" spans="1:31" ht="15.75" thickBot="1" x14ac:dyDescent="0.3">
      <c r="A15" s="1"/>
      <c r="B15" s="676" t="s">
        <v>202</v>
      </c>
      <c r="C15" s="677"/>
      <c r="D15" s="444">
        <v>0</v>
      </c>
      <c r="E15" s="408">
        <f t="shared" ref="E15:F15" si="1">D14*0.35</f>
        <v>0</v>
      </c>
      <c r="F15" s="408">
        <f t="shared" si="1"/>
        <v>-1887271.4034999998</v>
      </c>
      <c r="G15" s="408">
        <f>F14*0.35</f>
        <v>1291209.7660000012</v>
      </c>
      <c r="H15" s="1"/>
      <c r="I15" s="1"/>
      <c r="J15" s="1"/>
      <c r="K15" s="377">
        <v>2020</v>
      </c>
      <c r="L15" s="378">
        <v>2021</v>
      </c>
      <c r="M15" s="420">
        <v>2022</v>
      </c>
      <c r="N15" s="1"/>
      <c r="O15" s="1"/>
      <c r="P15" s="1"/>
      <c r="Q15" s="1"/>
      <c r="R15" s="1"/>
      <c r="S15" s="1"/>
      <c r="T15" s="1"/>
      <c r="U15" s="1"/>
      <c r="V15" s="1"/>
      <c r="W15" s="1"/>
      <c r="X15" s="1"/>
    </row>
    <row r="16" spans="1:31" ht="15.75" thickBot="1" x14ac:dyDescent="0.3">
      <c r="A16" s="1"/>
      <c r="B16" s="670" t="s">
        <v>203</v>
      </c>
      <c r="C16" s="671"/>
      <c r="D16" s="445">
        <v>0</v>
      </c>
      <c r="E16" s="406">
        <f>E12-E13-E15</f>
        <v>-5318292.41</v>
      </c>
      <c r="F16" s="406">
        <f>F12-F13-F15</f>
        <v>5654273.5635000039</v>
      </c>
      <c r="G16" s="407">
        <f>G12-G13-G15</f>
        <v>14184143.25400001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row>
    <row r="17" spans="1:24" ht="15.75" thickBot="1" x14ac:dyDescent="0.3">
      <c r="A17" s="1"/>
      <c r="B17" s="657" t="s">
        <v>204</v>
      </c>
      <c r="C17" s="658"/>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row>
    <row r="18" spans="1:24" ht="15.75" thickBot="1" x14ac:dyDescent="0.3">
      <c r="A18" s="1"/>
      <c r="B18" s="659" t="s">
        <v>205</v>
      </c>
      <c r="C18" s="660"/>
      <c r="D18" s="406">
        <f>D16+D17</f>
        <v>-1274116</v>
      </c>
      <c r="E18" s="406">
        <f>E16+E17</f>
        <v>-5357490.41</v>
      </c>
      <c r="F18" s="406">
        <f t="shared" ref="F18:G18" si="2">F16+F17</f>
        <v>5406457.5635000039</v>
      </c>
      <c r="G18" s="407">
        <f t="shared" si="2"/>
        <v>12938764.25400001</v>
      </c>
      <c r="H18" s="1"/>
      <c r="I18" s="1"/>
      <c r="N18" s="1"/>
      <c r="O18" s="1"/>
      <c r="P18" s="1"/>
      <c r="Q18" s="1"/>
      <c r="R18" s="1"/>
      <c r="S18" s="1"/>
      <c r="T18" s="1"/>
      <c r="U18" s="1"/>
      <c r="V18" s="1"/>
      <c r="W18" s="1"/>
      <c r="X18" s="1"/>
    </row>
    <row r="19" spans="1:24" ht="27" thickBot="1" x14ac:dyDescent="0.45">
      <c r="A19" s="1"/>
      <c r="B19" s="1"/>
      <c r="C19" s="1"/>
      <c r="D19" s="1"/>
      <c r="E19" s="1"/>
      <c r="F19" s="1"/>
      <c r="H19" s="1"/>
      <c r="I19" s="1"/>
      <c r="J19" s="627" t="s">
        <v>160</v>
      </c>
      <c r="K19" s="628"/>
      <c r="L19" s="628"/>
      <c r="M19" s="629"/>
      <c r="N19" s="1"/>
      <c r="O19" s="1"/>
      <c r="P19" s="1"/>
      <c r="Q19" s="1"/>
      <c r="R19" s="1"/>
      <c r="S19" s="1"/>
      <c r="T19" s="1"/>
      <c r="U19" s="1"/>
      <c r="V19" s="1"/>
      <c r="W19" s="1"/>
      <c r="X19" s="1"/>
    </row>
    <row r="20" spans="1:24"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row>
    <row r="21" spans="1:24"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row>
    <row r="22" spans="1:24" ht="15.75" thickBot="1" x14ac:dyDescent="0.3">
      <c r="A22" s="1"/>
      <c r="B22" s="1"/>
      <c r="C22" s="1"/>
      <c r="D22" s="1"/>
      <c r="E22" s="1"/>
      <c r="F22" s="1"/>
      <c r="G22" s="416" t="s">
        <v>208</v>
      </c>
      <c r="H22" s="705">
        <f>IRR(D18:G18,H20)</f>
        <v>0.71608801288178703</v>
      </c>
      <c r="J22" s="1"/>
      <c r="K22" s="1"/>
      <c r="L22" s="1"/>
      <c r="M22" s="1"/>
      <c r="N22" s="1"/>
      <c r="O22" s="1"/>
      <c r="P22" s="1"/>
      <c r="Q22" s="1"/>
      <c r="R22" s="1"/>
      <c r="S22" s="1"/>
      <c r="T22" s="1"/>
      <c r="U22" s="1"/>
      <c r="V22" s="1"/>
      <c r="W22" s="1"/>
      <c r="X22" s="1"/>
    </row>
    <row r="23" spans="1:24" x14ac:dyDescent="0.25">
      <c r="A23" s="1"/>
      <c r="B23" s="1"/>
      <c r="C23" s="1"/>
      <c r="D23" s="1"/>
      <c r="E23" s="1"/>
      <c r="F23" s="1"/>
      <c r="H23" s="1"/>
      <c r="I23" s="1"/>
      <c r="J23" s="1"/>
      <c r="K23" s="1"/>
      <c r="L23" s="1"/>
      <c r="M23" s="1"/>
      <c r="N23" s="1"/>
      <c r="O23" s="1"/>
      <c r="P23" s="1"/>
      <c r="Q23" s="1"/>
      <c r="R23" s="1"/>
      <c r="S23" s="1"/>
      <c r="T23" s="1"/>
      <c r="U23" s="1"/>
      <c r="V23" s="1"/>
      <c r="W23" s="1"/>
      <c r="X23" s="1"/>
    </row>
    <row r="24" spans="1:24" x14ac:dyDescent="0.25">
      <c r="A24" s="1"/>
      <c r="B24" s="24"/>
      <c r="C24" s="24"/>
      <c r="D24" s="24"/>
      <c r="E24" s="24"/>
      <c r="F24" s="1"/>
      <c r="G24" s="1"/>
      <c r="H24" s="1"/>
      <c r="I24" s="1"/>
      <c r="J24" s="1"/>
      <c r="K24" s="1"/>
      <c r="L24" s="1"/>
      <c r="M24" s="1"/>
      <c r="N24" s="1"/>
      <c r="O24" s="1"/>
      <c r="P24" s="1"/>
      <c r="Q24" s="1"/>
      <c r="R24" s="1"/>
      <c r="S24" s="1"/>
      <c r="T24" s="1"/>
      <c r="U24" s="1"/>
      <c r="V24" s="1"/>
      <c r="W24" s="1"/>
      <c r="X24" s="1"/>
    </row>
    <row r="25" spans="1:24" x14ac:dyDescent="0.25">
      <c r="A25" s="1"/>
      <c r="B25" s="24"/>
      <c r="C25" s="24"/>
      <c r="D25" s="24"/>
      <c r="E25" s="24"/>
      <c r="F25" s="1"/>
      <c r="G25" s="1"/>
      <c r="H25" s="1"/>
      <c r="I25" s="1"/>
      <c r="J25" s="1"/>
      <c r="K25" s="1"/>
      <c r="L25" s="1"/>
      <c r="M25" s="1"/>
      <c r="N25" s="1"/>
      <c r="O25" s="1"/>
      <c r="P25" s="1"/>
      <c r="Q25" s="1"/>
      <c r="R25" s="1"/>
      <c r="S25" s="1"/>
      <c r="T25" s="1"/>
      <c r="U25" s="1"/>
      <c r="V25" s="1"/>
      <c r="W25" s="1"/>
      <c r="X25" s="1"/>
    </row>
    <row r="26" spans="1:24" x14ac:dyDescent="0.25">
      <c r="A26" s="1"/>
      <c r="B26" s="665"/>
      <c r="C26" s="665"/>
      <c r="D26" s="665"/>
      <c r="E26" s="665"/>
      <c r="F26" s="1"/>
      <c r="G26" s="1"/>
      <c r="H26" s="1"/>
      <c r="I26" s="1"/>
      <c r="J26" s="1"/>
      <c r="K26" s="1"/>
      <c r="L26" s="1"/>
      <c r="M26" s="1"/>
      <c r="N26" s="1"/>
      <c r="O26" s="1"/>
      <c r="P26" s="1"/>
      <c r="Q26" s="1"/>
      <c r="R26" s="1"/>
      <c r="S26" s="1"/>
      <c r="T26" s="1"/>
      <c r="U26" s="1"/>
      <c r="V26" s="1"/>
      <c r="W26" s="1"/>
      <c r="X26" s="1"/>
    </row>
    <row r="27" spans="1:24" x14ac:dyDescent="0.25">
      <c r="A27" s="1"/>
      <c r="B27" s="665"/>
      <c r="C27" s="665"/>
      <c r="D27" s="665"/>
      <c r="E27" s="665"/>
      <c r="F27" s="1"/>
      <c r="G27" s="1"/>
      <c r="H27" s="1"/>
      <c r="I27" s="1"/>
      <c r="J27" s="1"/>
      <c r="K27" s="1"/>
      <c r="L27" s="1"/>
      <c r="M27" s="1"/>
      <c r="N27" s="1"/>
      <c r="O27" s="1"/>
      <c r="P27" s="1"/>
      <c r="Q27" s="1"/>
      <c r="R27" s="1"/>
      <c r="S27" s="1"/>
      <c r="T27" s="1"/>
      <c r="U27" s="1"/>
      <c r="V27" s="1"/>
      <c r="W27" s="1"/>
      <c r="X27" s="1"/>
    </row>
    <row r="28" spans="1:24" x14ac:dyDescent="0.25">
      <c r="A28" s="1"/>
      <c r="B28" s="665"/>
      <c r="C28" s="665"/>
      <c r="D28" s="665"/>
      <c r="E28" s="665"/>
      <c r="F28" s="1"/>
      <c r="G28" s="1"/>
      <c r="H28" s="1"/>
      <c r="I28" s="1"/>
      <c r="J28" s="1"/>
      <c r="K28" s="1"/>
      <c r="L28" s="1"/>
      <c r="M28" s="1"/>
      <c r="N28" s="1"/>
      <c r="O28" s="1"/>
      <c r="P28" s="1"/>
      <c r="Q28" s="1"/>
      <c r="R28" s="1"/>
      <c r="S28" s="1"/>
      <c r="T28" s="1"/>
      <c r="U28" s="1"/>
      <c r="V28" s="1"/>
      <c r="W28" s="1"/>
      <c r="X28" s="1"/>
    </row>
    <row r="29" spans="1:24"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O40" s="1"/>
      <c r="P40" s="1"/>
      <c r="Q40" s="1"/>
      <c r="R40" s="1"/>
      <c r="S40" s="1"/>
      <c r="T40" s="1"/>
      <c r="U40" s="1"/>
      <c r="V40" s="1"/>
      <c r="W40" s="1"/>
      <c r="X40" s="1"/>
    </row>
    <row r="41" spans="1:24" x14ac:dyDescent="0.25">
      <c r="O41" s="1"/>
      <c r="P41" s="1"/>
      <c r="Q41" s="1"/>
      <c r="R41" s="1"/>
      <c r="S41" s="1"/>
      <c r="T41" s="1"/>
      <c r="U41" s="1"/>
      <c r="V41" s="1"/>
      <c r="W41" s="1"/>
      <c r="X41" s="1"/>
    </row>
  </sheetData>
  <mergeCells count="11">
    <mergeCell ref="J19:M19"/>
    <mergeCell ref="B16:C16"/>
    <mergeCell ref="B17:C17"/>
    <mergeCell ref="B18:C18"/>
    <mergeCell ref="B26:E28"/>
    <mergeCell ref="B3:G4"/>
    <mergeCell ref="K3:M3"/>
    <mergeCell ref="K8:M8"/>
    <mergeCell ref="K14:M14"/>
    <mergeCell ref="B15:C15"/>
    <mergeCell ref="G1:I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workbookViewId="0"/>
  </sheetViews>
  <sheetFormatPr baseColWidth="10" defaultRowHeight="15" x14ac:dyDescent="0.25"/>
  <cols>
    <col min="3" max="3" width="23.140625" customWidth="1"/>
    <col min="4" max="4" width="13.85546875" bestFit="1" customWidth="1"/>
    <col min="5" max="7" width="14.140625" bestFit="1" customWidth="1"/>
    <col min="10" max="10" width="15.28515625" bestFit="1" customWidth="1"/>
    <col min="11" max="12" width="14.140625" bestFit="1" customWidth="1"/>
    <col min="13" max="13" width="19" customWidth="1"/>
  </cols>
  <sheetData>
    <row r="1" spans="1:28" ht="61.5" x14ac:dyDescent="0.25">
      <c r="A1" s="189"/>
      <c r="B1" s="189"/>
      <c r="C1" s="189"/>
      <c r="D1" s="189"/>
      <c r="E1" s="189"/>
      <c r="F1" s="189"/>
      <c r="G1" s="693" t="s">
        <v>262</v>
      </c>
      <c r="H1" s="694"/>
      <c r="I1" s="694"/>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695" t="s">
        <v>263</v>
      </c>
      <c r="C3" s="696"/>
      <c r="D3" s="696"/>
      <c r="E3" s="696"/>
      <c r="F3" s="696"/>
      <c r="G3" s="697"/>
      <c r="H3" s="395"/>
      <c r="I3" s="1"/>
      <c r="J3" s="1"/>
      <c r="K3" s="586" t="s">
        <v>13</v>
      </c>
      <c r="L3" s="587"/>
      <c r="M3" s="588"/>
      <c r="N3" s="1"/>
      <c r="O3" s="1"/>
      <c r="P3" s="1"/>
      <c r="Q3" s="1"/>
      <c r="R3" s="1"/>
      <c r="S3" s="1"/>
      <c r="T3" s="1"/>
      <c r="U3" s="1"/>
      <c r="V3" s="1"/>
      <c r="W3" s="1"/>
      <c r="X3" s="1"/>
      <c r="Y3" s="1"/>
      <c r="Z3" s="1"/>
      <c r="AA3" s="1"/>
      <c r="AB3" s="1"/>
    </row>
    <row r="4" spans="1:28" ht="15.75" thickBot="1" x14ac:dyDescent="0.3">
      <c r="A4" s="1"/>
      <c r="B4" s="698"/>
      <c r="C4" s="699"/>
      <c r="D4" s="699"/>
      <c r="E4" s="699"/>
      <c r="F4" s="699"/>
      <c r="G4" s="700"/>
      <c r="H4" s="235"/>
      <c r="I4" s="1"/>
      <c r="J4" s="1"/>
      <c r="K4" s="73">
        <v>2020</v>
      </c>
      <c r="L4" s="73">
        <v>2021</v>
      </c>
      <c r="M4" s="420">
        <v>2022</v>
      </c>
      <c r="N4" s="1"/>
      <c r="O4" s="1"/>
      <c r="P4" s="1"/>
      <c r="Q4" s="1"/>
      <c r="R4" s="1"/>
      <c r="S4" s="1"/>
      <c r="T4" s="1"/>
      <c r="U4" s="1"/>
      <c r="V4" s="1"/>
      <c r="W4" s="1"/>
      <c r="X4" s="1"/>
      <c r="Y4" s="1"/>
      <c r="Z4" s="1"/>
      <c r="AA4" s="1"/>
      <c r="AB4" s="1"/>
    </row>
    <row r="5" spans="1:28" ht="15.75" thickBot="1" x14ac:dyDescent="0.3">
      <c r="A5" s="1"/>
      <c r="B5" s="701"/>
      <c r="C5" s="701"/>
      <c r="D5" s="701"/>
      <c r="E5" s="701"/>
      <c r="F5" s="701"/>
      <c r="G5" s="701"/>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row>
    <row r="6" spans="1:28" ht="27" thickBot="1" x14ac:dyDescent="0.45">
      <c r="A6" s="1"/>
      <c r="B6" s="586" t="s">
        <v>193</v>
      </c>
      <c r="C6" s="587"/>
      <c r="D6" s="587"/>
      <c r="E6" s="587"/>
      <c r="F6" s="587"/>
      <c r="G6" s="588"/>
      <c r="H6" s="1"/>
      <c r="I6" s="1"/>
      <c r="J6" s="1"/>
      <c r="K6" s="241">
        <f>Hipótesis!$D$24</f>
        <v>11347620</v>
      </c>
      <c r="L6" s="383">
        <f>Hipótesis!$D$25</f>
        <v>22695240</v>
      </c>
      <c r="M6" s="702">
        <f>(Hipótesis!$D$26)*0.92</f>
        <v>41759241.600000001</v>
      </c>
      <c r="N6" s="1"/>
      <c r="O6" s="1"/>
      <c r="P6" s="1"/>
      <c r="Q6" s="1"/>
      <c r="R6" s="1"/>
      <c r="S6" s="1"/>
      <c r="T6" s="1"/>
      <c r="U6" s="1"/>
      <c r="V6" s="1"/>
      <c r="W6" s="1"/>
      <c r="X6" s="1"/>
      <c r="Y6" s="1"/>
      <c r="Z6" s="1"/>
      <c r="AA6" s="1"/>
      <c r="AB6" s="1"/>
    </row>
    <row r="7" spans="1:28"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row>
    <row r="8" spans="1:28" ht="27" thickBot="1" x14ac:dyDescent="0.45">
      <c r="A8" s="1"/>
      <c r="B8" s="458" t="s">
        <v>17</v>
      </c>
      <c r="C8" s="459"/>
      <c r="D8" s="442">
        <v>0</v>
      </c>
      <c r="E8" s="402">
        <f>K6</f>
        <v>11347620</v>
      </c>
      <c r="F8" s="706">
        <f>L6</f>
        <v>22695240</v>
      </c>
      <c r="G8" s="704">
        <f>M6</f>
        <v>41759241.600000001</v>
      </c>
      <c r="H8" s="395"/>
      <c r="I8" s="1"/>
      <c r="J8" s="1"/>
      <c r="K8" s="586" t="s">
        <v>194</v>
      </c>
      <c r="L8" s="587"/>
      <c r="M8" s="588"/>
      <c r="N8" s="1"/>
      <c r="O8" s="1"/>
      <c r="P8" s="1"/>
      <c r="Q8" s="1"/>
      <c r="R8" s="1"/>
      <c r="S8" s="1"/>
      <c r="T8" s="1"/>
      <c r="U8" s="1"/>
      <c r="V8" s="1"/>
      <c r="W8" s="1"/>
      <c r="X8" s="1"/>
      <c r="Y8" s="1"/>
      <c r="Z8" s="1"/>
      <c r="AA8" s="1"/>
      <c r="AB8" s="1"/>
    </row>
    <row r="9" spans="1:28" x14ac:dyDescent="0.25">
      <c r="A9" s="1"/>
      <c r="B9" s="454" t="s">
        <v>198</v>
      </c>
      <c r="C9" s="404" t="s">
        <v>195</v>
      </c>
      <c r="D9" s="443">
        <v>0</v>
      </c>
      <c r="E9" s="329">
        <f>K10</f>
        <v>6685587.5999999987</v>
      </c>
      <c r="F9" s="329">
        <f>L10</f>
        <v>6685587.5999999987</v>
      </c>
      <c r="G9" s="333">
        <f>M10</f>
        <v>6685587.5999999987</v>
      </c>
      <c r="H9" s="235"/>
      <c r="I9" s="1"/>
      <c r="J9" s="1"/>
      <c r="K9" s="72">
        <v>2020</v>
      </c>
      <c r="L9" s="73">
        <v>2021</v>
      </c>
      <c r="M9" s="420">
        <v>2022</v>
      </c>
      <c r="N9" s="1"/>
      <c r="O9" s="1"/>
      <c r="P9" s="1"/>
      <c r="Q9" s="1"/>
      <c r="R9" s="1"/>
      <c r="S9" s="1"/>
      <c r="T9" s="1"/>
      <c r="U9" s="1"/>
      <c r="V9" s="1"/>
      <c r="W9" s="1"/>
      <c r="X9" s="1"/>
      <c r="Y9" s="1"/>
      <c r="Z9" s="1"/>
      <c r="AA9" s="1"/>
      <c r="AB9" s="1"/>
    </row>
    <row r="10" spans="1:28" x14ac:dyDescent="0.25">
      <c r="A10" s="1"/>
      <c r="B10" s="454"/>
      <c r="C10" s="404" t="s">
        <v>157</v>
      </c>
      <c r="D10" s="443">
        <v>0</v>
      </c>
      <c r="E10" s="329">
        <f>K11</f>
        <v>230628.36</v>
      </c>
      <c r="F10" s="329">
        <f>L11</f>
        <v>248350.20000000004</v>
      </c>
      <c r="G10" s="329">
        <f>M11</f>
        <v>270133.44</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row>
    <row r="11" spans="1:28" ht="15.75" thickBot="1" x14ac:dyDescent="0.3">
      <c r="A11" s="1"/>
      <c r="B11" s="455"/>
      <c r="C11" s="405" t="s">
        <v>158</v>
      </c>
      <c r="D11" s="444">
        <v>0</v>
      </c>
      <c r="E11" s="338">
        <f>K12</f>
        <v>9749696.4500000011</v>
      </c>
      <c r="F11" s="338">
        <f>L12</f>
        <v>10859538.039999999</v>
      </c>
      <c r="G11" s="338">
        <f>M12</f>
        <v>20689881.93999999</v>
      </c>
      <c r="H11" s="1"/>
      <c r="I11" s="1"/>
      <c r="J11" s="396" t="s">
        <v>157</v>
      </c>
      <c r="K11" s="397">
        <f>'Costos variables'!$H$6</f>
        <v>230628.36</v>
      </c>
      <c r="L11" s="241">
        <f>'Costos variables'!$I$6</f>
        <v>248350.20000000004</v>
      </c>
      <c r="M11" s="398">
        <f>'Costos variables'!$J$6</f>
        <v>270133.44</v>
      </c>
      <c r="N11" s="1"/>
      <c r="O11" s="1"/>
      <c r="P11" s="1"/>
      <c r="Q11" s="1"/>
      <c r="R11" s="1"/>
      <c r="S11" s="1"/>
      <c r="T11" s="1"/>
      <c r="U11" s="1"/>
      <c r="V11" s="1"/>
      <c r="W11" s="1"/>
      <c r="X11" s="1"/>
      <c r="Y11" s="1"/>
      <c r="Z11" s="1"/>
      <c r="AA11" s="1"/>
      <c r="AB11" s="1"/>
    </row>
    <row r="12" spans="1:28" ht="15.75" thickBot="1" x14ac:dyDescent="0.3">
      <c r="A12" s="1"/>
      <c r="B12" s="460" t="s">
        <v>199</v>
      </c>
      <c r="C12" s="461"/>
      <c r="D12" s="445">
        <v>0</v>
      </c>
      <c r="E12" s="406">
        <f>E8-E9-E10-E11</f>
        <v>-5318292.41</v>
      </c>
      <c r="F12" s="406">
        <f t="shared" ref="F12:G12" si="0">F8-F9-F10-F11</f>
        <v>4901764.1600000039</v>
      </c>
      <c r="G12" s="407">
        <f t="shared" si="0"/>
        <v>14113638.620000012</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row>
    <row r="13" spans="1:28"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row>
    <row r="14" spans="1:28" ht="27" thickBot="1" x14ac:dyDescent="0.45">
      <c r="A14" s="1"/>
      <c r="B14" s="464" t="s">
        <v>201</v>
      </c>
      <c r="C14" s="465"/>
      <c r="D14" s="443">
        <v>0</v>
      </c>
      <c r="E14" s="329">
        <f>E12-E13-K16</f>
        <v>-5392204.0099999998</v>
      </c>
      <c r="F14" s="329">
        <f>F12-F13-L16</f>
        <v>4823932.7600000035</v>
      </c>
      <c r="G14" s="333">
        <f>G12-G13-M16</f>
        <v>14007795.720000012</v>
      </c>
      <c r="H14" s="1"/>
      <c r="I14" s="1"/>
      <c r="J14" s="1"/>
      <c r="K14" s="586" t="s">
        <v>185</v>
      </c>
      <c r="L14" s="587"/>
      <c r="M14" s="588"/>
      <c r="N14" s="1"/>
      <c r="O14" s="1"/>
      <c r="P14" s="1"/>
      <c r="Q14" s="1"/>
      <c r="R14" s="1"/>
      <c r="S14" s="1"/>
      <c r="T14" s="1"/>
      <c r="U14" s="1"/>
      <c r="V14" s="1"/>
      <c r="W14" s="1"/>
      <c r="X14" s="1"/>
      <c r="Y14" s="1"/>
      <c r="Z14" s="1"/>
      <c r="AA14" s="1"/>
      <c r="AB14" s="1"/>
    </row>
    <row r="15" spans="1:28" ht="15.75" thickBot="1" x14ac:dyDescent="0.3">
      <c r="A15" s="1"/>
      <c r="B15" s="676" t="s">
        <v>202</v>
      </c>
      <c r="C15" s="677"/>
      <c r="D15" s="444">
        <v>0</v>
      </c>
      <c r="E15" s="408">
        <f t="shared" ref="E15:F15" si="1">D14*0.35</f>
        <v>0</v>
      </c>
      <c r="F15" s="408">
        <f t="shared" si="1"/>
        <v>-1887271.4034999998</v>
      </c>
      <c r="G15" s="408">
        <f>F14*0.35</f>
        <v>1688376.4660000012</v>
      </c>
      <c r="H15" s="1"/>
      <c r="I15" s="1"/>
      <c r="J15" s="1"/>
      <c r="K15" s="377">
        <v>2020</v>
      </c>
      <c r="L15" s="378">
        <v>2021</v>
      </c>
      <c r="M15" s="420">
        <v>2022</v>
      </c>
      <c r="N15" s="1"/>
      <c r="O15" s="1"/>
      <c r="P15" s="1"/>
      <c r="Q15" s="1"/>
      <c r="R15" s="1"/>
      <c r="S15" s="1"/>
      <c r="T15" s="1"/>
      <c r="U15" s="1"/>
      <c r="V15" s="1"/>
      <c r="W15" s="1"/>
      <c r="X15" s="1"/>
      <c r="Y15" s="1"/>
      <c r="Z15" s="1"/>
      <c r="AA15" s="1"/>
      <c r="AB15" s="1"/>
    </row>
    <row r="16" spans="1:28" ht="15.75" thickBot="1" x14ac:dyDescent="0.3">
      <c r="A16" s="1"/>
      <c r="B16" s="670" t="s">
        <v>203</v>
      </c>
      <c r="C16" s="671"/>
      <c r="D16" s="445">
        <v>0</v>
      </c>
      <c r="E16" s="406">
        <f>E12-E13-E15</f>
        <v>-5318292.41</v>
      </c>
      <c r="F16" s="406">
        <f>F12-F13-F15</f>
        <v>6789035.5635000039</v>
      </c>
      <c r="G16" s="407">
        <f>G12-G13-G15</f>
        <v>12425262.15400001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row>
    <row r="17" spans="1:28" ht="15.75" thickBot="1" x14ac:dyDescent="0.3">
      <c r="A17" s="1"/>
      <c r="B17" s="657" t="s">
        <v>204</v>
      </c>
      <c r="C17" s="658"/>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row>
    <row r="18" spans="1:28" ht="15.75" thickBot="1" x14ac:dyDescent="0.3">
      <c r="A18" s="1"/>
      <c r="B18" s="659" t="s">
        <v>205</v>
      </c>
      <c r="C18" s="660"/>
      <c r="D18" s="406">
        <f>D16+D17</f>
        <v>-1274116</v>
      </c>
      <c r="E18" s="406">
        <f>E16+E17</f>
        <v>-5357490.41</v>
      </c>
      <c r="F18" s="406">
        <f t="shared" ref="F18:G18" si="2">F16+F17</f>
        <v>6541219.5635000039</v>
      </c>
      <c r="G18" s="407">
        <f t="shared" si="2"/>
        <v>11179883.15400001</v>
      </c>
      <c r="H18" s="1"/>
      <c r="I18" s="1"/>
      <c r="N18" s="1"/>
      <c r="O18" s="1"/>
      <c r="P18" s="1"/>
      <c r="Q18" s="1"/>
      <c r="R18" s="1"/>
      <c r="S18" s="1"/>
      <c r="T18" s="1"/>
      <c r="U18" s="1"/>
      <c r="V18" s="1"/>
      <c r="W18" s="1"/>
      <c r="X18" s="1"/>
      <c r="Y18" s="1"/>
      <c r="Z18" s="1"/>
      <c r="AA18" s="1"/>
      <c r="AB18" s="1"/>
    </row>
    <row r="19" spans="1:28" ht="27" thickBot="1" x14ac:dyDescent="0.45">
      <c r="A19" s="1"/>
      <c r="B19" s="1"/>
      <c r="C19" s="1"/>
      <c r="D19" s="1"/>
      <c r="E19" s="1"/>
      <c r="F19" s="1"/>
      <c r="H19" s="1"/>
      <c r="I19" s="1"/>
      <c r="J19" s="627" t="s">
        <v>160</v>
      </c>
      <c r="K19" s="628"/>
      <c r="L19" s="628"/>
      <c r="M19" s="629"/>
      <c r="N19" s="1"/>
      <c r="O19" s="1"/>
      <c r="P19" s="1"/>
      <c r="Q19" s="1"/>
      <c r="R19" s="1"/>
      <c r="S19" s="1"/>
      <c r="T19" s="1"/>
      <c r="U19" s="1"/>
      <c r="V19" s="1"/>
      <c r="W19" s="1"/>
      <c r="X19" s="1"/>
      <c r="Y19" s="1"/>
      <c r="Z19" s="1"/>
      <c r="AA19" s="1"/>
      <c r="AB19" s="1"/>
    </row>
    <row r="20" spans="1:28"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c r="Y20" s="1"/>
      <c r="Z20" s="1"/>
      <c r="AA20" s="1"/>
      <c r="AB20" s="1"/>
    </row>
    <row r="21" spans="1:28"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row>
    <row r="22" spans="1:28" ht="15.75" thickBot="1" x14ac:dyDescent="0.3">
      <c r="A22" s="1"/>
      <c r="B22" s="1"/>
      <c r="C22" s="1"/>
      <c r="D22" s="1"/>
      <c r="E22" s="1"/>
      <c r="F22" s="1"/>
      <c r="G22" s="416" t="s">
        <v>208</v>
      </c>
      <c r="H22" s="705">
        <f>IRR(D18:G18,H20)</f>
        <v>0.72421167296445699</v>
      </c>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24"/>
      <c r="C24" s="24"/>
      <c r="D24" s="24"/>
      <c r="E24" s="24"/>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24"/>
      <c r="C25" s="24"/>
      <c r="D25" s="24"/>
      <c r="E25" s="24"/>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665"/>
      <c r="C26" s="665"/>
      <c r="D26" s="665"/>
      <c r="E26" s="665"/>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665"/>
      <c r="C27" s="665"/>
      <c r="D27" s="665"/>
      <c r="E27" s="665"/>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665"/>
      <c r="C28" s="665"/>
      <c r="D28" s="665"/>
      <c r="E28" s="665"/>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sheetData>
  <mergeCells count="12">
    <mergeCell ref="B15:C15"/>
    <mergeCell ref="J19:M19"/>
    <mergeCell ref="B16:C16"/>
    <mergeCell ref="B17:C17"/>
    <mergeCell ref="B18:C18"/>
    <mergeCell ref="B26:E28"/>
    <mergeCell ref="K14:M14"/>
    <mergeCell ref="G1:I1"/>
    <mergeCell ref="B3:G4"/>
    <mergeCell ref="K3:M3"/>
    <mergeCell ref="K8:M8"/>
    <mergeCell ref="B6:G6"/>
  </mergeCells>
  <pageMargins left="0.7" right="0.7" top="0.75" bottom="0.75" header="0.3" footer="0.3"/>
  <pageSetup paperSize="256" orientation="portrait" horizontalDpi="203" verticalDpi="20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5"/>
  <sheetViews>
    <sheetView tabSelected="1" workbookViewId="0">
      <selection activeCell="I8" sqref="I8"/>
    </sheetView>
  </sheetViews>
  <sheetFormatPr baseColWidth="10" defaultRowHeight="15" x14ac:dyDescent="0.25"/>
  <cols>
    <col min="4" max="4" width="13.85546875" bestFit="1" customWidth="1"/>
    <col min="5" max="7" width="14.140625" bestFit="1" customWidth="1"/>
    <col min="10" max="10" width="15.28515625" bestFit="1" customWidth="1"/>
    <col min="11" max="12" width="14.140625" bestFit="1" customWidth="1"/>
    <col min="13" max="13" width="20.140625" customWidth="1"/>
  </cols>
  <sheetData>
    <row r="1" spans="1:45" ht="61.5" x14ac:dyDescent="0.25">
      <c r="A1" s="189"/>
      <c r="B1" s="189"/>
      <c r="C1" s="189"/>
      <c r="D1" s="189"/>
      <c r="E1" s="189"/>
      <c r="F1" s="189"/>
      <c r="G1" s="693" t="s">
        <v>265</v>
      </c>
      <c r="H1" s="694"/>
      <c r="I1" s="694"/>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row>
    <row r="2" spans="1:4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45" ht="27" customHeight="1" thickBot="1" x14ac:dyDescent="0.45">
      <c r="A3" s="1"/>
      <c r="B3" s="695" t="s">
        <v>266</v>
      </c>
      <c r="C3" s="696"/>
      <c r="D3" s="696"/>
      <c r="E3" s="696"/>
      <c r="F3" s="696"/>
      <c r="G3" s="696"/>
      <c r="H3" s="696"/>
      <c r="I3" s="697"/>
      <c r="J3" s="1"/>
      <c r="K3" s="586" t="s">
        <v>13</v>
      </c>
      <c r="L3" s="587"/>
      <c r="M3" s="588"/>
      <c r="N3" s="1"/>
      <c r="O3" s="1"/>
      <c r="P3" s="1"/>
      <c r="Q3" s="1"/>
      <c r="R3" s="1"/>
      <c r="S3" s="1"/>
      <c r="T3" s="1"/>
      <c r="U3" s="1"/>
      <c r="V3" s="1"/>
      <c r="W3" s="1"/>
      <c r="X3" s="1"/>
      <c r="Y3" s="1"/>
      <c r="Z3" s="1"/>
      <c r="AA3" s="1"/>
      <c r="AB3" s="1"/>
      <c r="AC3" s="1"/>
      <c r="AD3" s="1"/>
      <c r="AE3" s="1"/>
      <c r="AF3" s="1"/>
      <c r="AG3" s="1"/>
      <c r="AH3" s="1"/>
      <c r="AI3" s="1"/>
      <c r="AJ3" s="1"/>
      <c r="AK3" s="1"/>
      <c r="AL3" s="1"/>
      <c r="AM3" s="1"/>
    </row>
    <row r="4" spans="1:45" ht="15.75" thickBot="1" x14ac:dyDescent="0.3">
      <c r="A4" s="1"/>
      <c r="B4" s="698"/>
      <c r="C4" s="699"/>
      <c r="D4" s="699"/>
      <c r="E4" s="699"/>
      <c r="F4" s="699"/>
      <c r="G4" s="699"/>
      <c r="H4" s="699"/>
      <c r="I4" s="700"/>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row>
    <row r="5" spans="1:45" ht="15.75" thickBot="1" x14ac:dyDescent="0.3">
      <c r="A5" s="1"/>
      <c r="B5" s="701"/>
      <c r="C5" s="701"/>
      <c r="D5" s="701"/>
      <c r="E5" s="701"/>
      <c r="F5" s="701"/>
      <c r="G5" s="701"/>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row>
    <row r="6" spans="1:45" ht="27" thickBot="1" x14ac:dyDescent="0.45">
      <c r="A6" s="1"/>
      <c r="B6" s="586" t="s">
        <v>193</v>
      </c>
      <c r="C6" s="587"/>
      <c r="D6" s="587"/>
      <c r="E6" s="587"/>
      <c r="F6" s="587"/>
      <c r="G6" s="588"/>
      <c r="H6" s="1"/>
      <c r="I6" s="1"/>
      <c r="J6" s="1"/>
      <c r="K6" s="241">
        <f>Hipótesis!$D$24</f>
        <v>11347620</v>
      </c>
      <c r="L6" s="702">
        <f>(Hipótesis!$D$25)*0.8</f>
        <v>18156192</v>
      </c>
      <c r="M6" s="702">
        <f>(Hipótesis!$D$26)*0.8</f>
        <v>36312384</v>
      </c>
      <c r="N6" s="1"/>
      <c r="O6" s="1"/>
      <c r="P6" s="1"/>
      <c r="Q6" s="1"/>
      <c r="R6" s="1"/>
      <c r="S6" s="1"/>
      <c r="T6" s="1"/>
      <c r="U6" s="1"/>
      <c r="V6" s="1"/>
      <c r="W6" s="1"/>
      <c r="X6" s="1"/>
      <c r="Y6" s="1"/>
      <c r="Z6" s="1"/>
      <c r="AA6" s="1"/>
      <c r="AB6" s="1"/>
      <c r="AC6" s="1"/>
      <c r="AD6" s="1"/>
      <c r="AE6" s="1"/>
      <c r="AF6" s="1"/>
      <c r="AG6" s="1"/>
      <c r="AH6" s="1"/>
      <c r="AI6" s="1"/>
      <c r="AJ6" s="1"/>
      <c r="AK6" s="1"/>
      <c r="AL6" s="1"/>
      <c r="AM6" s="1"/>
    </row>
    <row r="7" spans="1:45"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45" ht="27" thickBot="1" x14ac:dyDescent="0.45">
      <c r="A8" s="1"/>
      <c r="B8" s="458" t="s">
        <v>17</v>
      </c>
      <c r="C8" s="459"/>
      <c r="D8" s="442">
        <v>0</v>
      </c>
      <c r="E8" s="402">
        <f>K6</f>
        <v>11347620</v>
      </c>
      <c r="F8" s="703">
        <f>L6</f>
        <v>18156192</v>
      </c>
      <c r="G8" s="704">
        <f>M6</f>
        <v>36312384</v>
      </c>
      <c r="H8" s="395"/>
      <c r="I8" s="1"/>
      <c r="J8" s="1"/>
      <c r="K8" s="586" t="s">
        <v>194</v>
      </c>
      <c r="L8" s="587"/>
      <c r="M8" s="588"/>
      <c r="N8" s="1"/>
      <c r="O8" s="1"/>
      <c r="P8" s="1"/>
      <c r="Q8" s="1"/>
      <c r="R8" s="1"/>
      <c r="S8" s="1"/>
      <c r="T8" s="1"/>
      <c r="U8" s="1"/>
      <c r="V8" s="1"/>
      <c r="W8" s="1"/>
      <c r="X8" s="1"/>
      <c r="Y8" s="1"/>
      <c r="Z8" s="1"/>
      <c r="AA8" s="1"/>
      <c r="AB8" s="1"/>
      <c r="AC8" s="1"/>
      <c r="AD8" s="1"/>
      <c r="AE8" s="1"/>
      <c r="AF8" s="1"/>
      <c r="AG8" s="1"/>
      <c r="AH8" s="1"/>
      <c r="AI8" s="1"/>
      <c r="AJ8" s="1"/>
      <c r="AK8" s="1"/>
      <c r="AL8" s="1"/>
      <c r="AM8" s="1"/>
    </row>
    <row r="9" spans="1:45" x14ac:dyDescent="0.25">
      <c r="A9" s="1"/>
      <c r="B9" s="454" t="s">
        <v>198</v>
      </c>
      <c r="C9" s="404" t="s">
        <v>195</v>
      </c>
      <c r="D9" s="443">
        <v>0</v>
      </c>
      <c r="E9" s="329">
        <f>K10</f>
        <v>6685587.5999999987</v>
      </c>
      <c r="F9" s="329">
        <f>L10</f>
        <v>6685587.5999999987</v>
      </c>
      <c r="G9" s="333">
        <f>M10</f>
        <v>6685587.5999999987</v>
      </c>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c r="AJ9" s="1"/>
      <c r="AK9" s="1"/>
      <c r="AL9" s="1"/>
      <c r="AM9" s="1"/>
    </row>
    <row r="10" spans="1:45" x14ac:dyDescent="0.25">
      <c r="A10" s="1"/>
      <c r="B10" s="454"/>
      <c r="C10" s="404" t="s">
        <v>157</v>
      </c>
      <c r="D10" s="443">
        <v>0</v>
      </c>
      <c r="E10" s="329">
        <f>K11</f>
        <v>230628.36</v>
      </c>
      <c r="F10" s="329">
        <f>L11</f>
        <v>248350.20000000004</v>
      </c>
      <c r="G10" s="329">
        <f>M11</f>
        <v>270133.44</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45" ht="15.75" thickBot="1" x14ac:dyDescent="0.3">
      <c r="A11" s="1"/>
      <c r="B11" s="455"/>
      <c r="C11" s="405" t="s">
        <v>158</v>
      </c>
      <c r="D11" s="444">
        <v>0</v>
      </c>
      <c r="E11" s="338">
        <f>K12</f>
        <v>9749696.4500000011</v>
      </c>
      <c r="F11" s="338">
        <f>L12</f>
        <v>10859538.039999999</v>
      </c>
      <c r="G11" s="338">
        <f>M12</f>
        <v>20689881.93999999</v>
      </c>
      <c r="H11" s="1"/>
      <c r="I11" s="1"/>
      <c r="J11" s="396" t="s">
        <v>157</v>
      </c>
      <c r="K11" s="397">
        <f>'Costos variables'!$H$6</f>
        <v>230628.36</v>
      </c>
      <c r="L11" s="241">
        <f>'Costos variables'!$I$6</f>
        <v>248350.20000000004</v>
      </c>
      <c r="M11" s="398">
        <f>'Costos variables'!$J$6</f>
        <v>270133.44</v>
      </c>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45" ht="15.75" thickBot="1" x14ac:dyDescent="0.3">
      <c r="A12" s="1"/>
      <c r="B12" s="460" t="s">
        <v>199</v>
      </c>
      <c r="C12" s="461"/>
      <c r="D12" s="445">
        <v>0</v>
      </c>
      <c r="E12" s="406">
        <f>E8-E9-E10-E11</f>
        <v>-5318292.41</v>
      </c>
      <c r="F12" s="406">
        <f t="shared" ref="F12:G12" si="0">F8-F9-F10-F11</f>
        <v>362716.16000000387</v>
      </c>
      <c r="G12" s="407">
        <f t="shared" si="0"/>
        <v>8666781.0200000107</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45"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45" ht="27" thickBot="1" x14ac:dyDescent="0.45">
      <c r="A14" s="1"/>
      <c r="B14" s="464" t="s">
        <v>201</v>
      </c>
      <c r="C14" s="465"/>
      <c r="D14" s="443">
        <v>0</v>
      </c>
      <c r="E14" s="329">
        <f>E12-E13-K16</f>
        <v>-5392204.0099999998</v>
      </c>
      <c r="F14" s="329">
        <f>F12-F13-L16</f>
        <v>284884.76000000385</v>
      </c>
      <c r="G14" s="333">
        <f>G12-G13-M16</f>
        <v>8560938.1200000104</v>
      </c>
      <c r="H14" s="1"/>
      <c r="I14" s="1"/>
      <c r="J14" s="1"/>
      <c r="K14" s="586" t="s">
        <v>185</v>
      </c>
      <c r="L14" s="587"/>
      <c r="M14" s="588"/>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45" ht="15.75" thickBot="1" x14ac:dyDescent="0.3">
      <c r="A15" s="1"/>
      <c r="B15" s="676" t="s">
        <v>202</v>
      </c>
      <c r="C15" s="677"/>
      <c r="D15" s="444">
        <v>0</v>
      </c>
      <c r="E15" s="408">
        <f t="shared" ref="E15:F15" si="1">D14*0.35</f>
        <v>0</v>
      </c>
      <c r="F15" s="408">
        <f t="shared" si="1"/>
        <v>-1887271.4034999998</v>
      </c>
      <c r="G15" s="408">
        <f>F14*0.35</f>
        <v>99709.666000001336</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45" ht="15.75" thickBot="1" x14ac:dyDescent="0.3">
      <c r="A16" s="1"/>
      <c r="B16" s="670" t="s">
        <v>203</v>
      </c>
      <c r="C16" s="671"/>
      <c r="D16" s="445">
        <v>0</v>
      </c>
      <c r="E16" s="406">
        <f>E12-E13-E15</f>
        <v>-5318292.41</v>
      </c>
      <c r="F16" s="406">
        <f>F12-F13-F15</f>
        <v>2249987.5635000039</v>
      </c>
      <c r="G16" s="407">
        <f>G12-G13-G15</f>
        <v>8567071.3540000096</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thickBot="1" x14ac:dyDescent="0.3">
      <c r="A17" s="1"/>
      <c r="B17" s="657" t="s">
        <v>204</v>
      </c>
      <c r="C17" s="658"/>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thickBot="1" x14ac:dyDescent="0.3">
      <c r="A18" s="1"/>
      <c r="B18" s="659" t="s">
        <v>205</v>
      </c>
      <c r="C18" s="660"/>
      <c r="D18" s="406">
        <f>D16+D17</f>
        <v>-1274116</v>
      </c>
      <c r="E18" s="406">
        <f>E16+E17</f>
        <v>-5357490.41</v>
      </c>
      <c r="F18" s="406">
        <f t="shared" ref="F18:G18" si="2">F16+F17</f>
        <v>2002171.5635000039</v>
      </c>
      <c r="G18" s="407">
        <f t="shared" si="2"/>
        <v>7321692.3540000096</v>
      </c>
      <c r="H18" s="1"/>
      <c r="I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27" thickBot="1" x14ac:dyDescent="0.45">
      <c r="A19" s="1"/>
      <c r="B19" s="1"/>
      <c r="C19" s="1"/>
      <c r="D19" s="1"/>
      <c r="E19" s="1"/>
      <c r="F19" s="1"/>
      <c r="H19" s="1"/>
      <c r="I19" s="1"/>
      <c r="J19" s="627" t="s">
        <v>160</v>
      </c>
      <c r="K19" s="628"/>
      <c r="L19" s="628"/>
      <c r="M19" s="629"/>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thickBot="1" x14ac:dyDescent="0.3">
      <c r="A22" s="1"/>
      <c r="B22" s="1"/>
      <c r="C22" s="1"/>
      <c r="D22" s="1"/>
      <c r="E22" s="1"/>
      <c r="F22" s="1"/>
      <c r="G22" s="416" t="s">
        <v>208</v>
      </c>
      <c r="H22" s="705">
        <f>IRR(D18:G18,H20)</f>
        <v>0.18816929594982623</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5">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x14ac:dyDescent="0.25">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x14ac:dyDescent="0.25">
      <c r="N25" s="1"/>
      <c r="O25" s="1"/>
      <c r="P25" s="1"/>
      <c r="Q25" s="1"/>
      <c r="R25" s="1"/>
      <c r="S25" s="1"/>
      <c r="T25" s="1"/>
      <c r="U25" s="1"/>
      <c r="V25" s="1"/>
      <c r="W25" s="1"/>
      <c r="X25" s="1"/>
      <c r="Y25" s="1"/>
      <c r="Z25" s="1"/>
      <c r="AA25" s="1"/>
      <c r="AB25" s="1"/>
      <c r="AC25" s="1"/>
      <c r="AD25" s="1"/>
      <c r="AE25" s="1"/>
      <c r="AF25" s="1"/>
      <c r="AG25" s="1"/>
      <c r="AH25" s="1"/>
      <c r="AI25" s="1"/>
      <c r="AJ25" s="1"/>
      <c r="AK25" s="1"/>
      <c r="AL25" s="1"/>
      <c r="AM25" s="1"/>
    </row>
  </sheetData>
  <mergeCells count="11">
    <mergeCell ref="B15:C15"/>
    <mergeCell ref="B16:C16"/>
    <mergeCell ref="B17:C17"/>
    <mergeCell ref="B18:C18"/>
    <mergeCell ref="J19:M19"/>
    <mergeCell ref="B3:I4"/>
    <mergeCell ref="G1:I1"/>
    <mergeCell ref="K3:M3"/>
    <mergeCell ref="B6:G6"/>
    <mergeCell ref="K8:M8"/>
    <mergeCell ref="K14:M1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BT59"/>
  <sheetViews>
    <sheetView workbookViewId="0">
      <selection activeCell="D19" sqref="D19"/>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x14ac:dyDescent="0.25">
      <c r="A1" s="1"/>
      <c r="B1" s="1"/>
      <c r="C1" s="1"/>
      <c r="D1" s="1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5.75" thickBot="1" x14ac:dyDescent="0.3">
      <c r="A2" s="1"/>
      <c r="B2" s="1"/>
      <c r="C2" s="1"/>
      <c r="D2" s="1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21.75" thickBot="1" x14ac:dyDescent="0.4">
      <c r="A3" s="1"/>
      <c r="B3" s="1"/>
      <c r="C3" s="24"/>
      <c r="D3" s="710" t="s">
        <v>6</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5.75" thickBot="1" x14ac:dyDescent="0.3">
      <c r="A4" s="1"/>
      <c r="B4" s="1"/>
      <c r="C4" s="1"/>
      <c r="D4" s="71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712" t="s">
        <v>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713" t="s">
        <v>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713" t="s">
        <v>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24"/>
      <c r="D8" s="713" t="s">
        <v>4</v>
      </c>
      <c r="E8" s="1"/>
      <c r="F8" s="192"/>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713" t="s">
        <v>5</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713" t="s">
        <v>118</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713" t="s">
        <v>154</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713" t="s">
        <v>184</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713" t="s">
        <v>185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713" t="s">
        <v>219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713" t="s">
        <v>220</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713" t="s">
        <v>261</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713" t="s">
        <v>262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713" t="s">
        <v>265</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ht="19.5" thickBot="1" x14ac:dyDescent="0.3">
      <c r="A19" s="1"/>
      <c r="B19" s="1"/>
      <c r="C19" s="24"/>
      <c r="D19" s="714" t="s">
        <v>267</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5" location="Hipótesis!A1" display="Hipótesis"/>
    <hyperlink ref="D6" location="'Proy. Ventas'!A1" display="Proyección de ventas"/>
    <hyperlink ref="D7" location="'Mod. Ingresos'!A1" display="Modelo de ingresos"/>
    <hyperlink ref="D8" location="'Costos Fijos'!A1" display="Estructura de costos fijos"/>
    <hyperlink ref="D9" location="'Costos Variables'!A1" display="Estructura de costos variables"/>
    <hyperlink ref="D10" location="'Costos RRHH'!A1" display="Estructura de costos de RRHH"/>
    <hyperlink ref="D11" location="'Mod. Egresos'!A1" display="Modelo de egresos"/>
    <hyperlink ref="D12" location="'Mod. Inversión'!A1" display="Modelo de inversión"/>
    <hyperlink ref="D13" location="Amortizaciones!A1" display="Amortizaciones"/>
    <hyperlink ref="D14" location="'Presupuesto financiero'!A1" display="Presupuesto Financiero"/>
    <hyperlink ref="D15" location="'Matriz Riesgo'!A1" display="Matriz de riesgos"/>
    <hyperlink ref="D16" location="'Escenario 1'!A1" display="Escenario 1"/>
    <hyperlink ref="D19" location="'Plan de Contingencia'!A1" display="Plan de contingencia"/>
    <hyperlink ref="D17" location="'Escenario 2'!A1" display="Escenario 2"/>
    <hyperlink ref="D18" location="'Escenario 3'!A1" display="Escenario 3"/>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7"/>
  <sheetViews>
    <sheetView zoomScale="80" zoomScaleNormal="80" workbookViewId="0">
      <pane ySplit="1" topLeftCell="A2" activePane="bottomLeft" state="frozen"/>
      <selection pane="bottomLeft" activeCell="B4" sqref="B4:J4"/>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 customFormat="1" ht="58.5" customHeight="1" thickBot="1" x14ac:dyDescent="0.3">
      <c r="A1" s="48"/>
      <c r="E1" s="50" t="s">
        <v>1</v>
      </c>
      <c r="F1" s="51"/>
      <c r="G1" s="51"/>
    </row>
    <row r="2" spans="1:11" ht="15.75" thickBot="1" x14ac:dyDescent="0.3">
      <c r="C2" s="5"/>
    </row>
    <row r="3" spans="1:11" ht="24.75" customHeight="1" thickBot="1" x14ac:dyDescent="0.45">
      <c r="B3" s="487" t="s">
        <v>42</v>
      </c>
      <c r="C3" s="488"/>
      <c r="D3" s="488"/>
      <c r="E3" s="488"/>
      <c r="F3" s="488"/>
      <c r="G3" s="488"/>
      <c r="H3" s="488"/>
      <c r="I3" s="488"/>
      <c r="J3" s="489"/>
    </row>
    <row r="4" spans="1:11" ht="165" customHeight="1" thickBot="1" x14ac:dyDescent="0.3">
      <c r="B4" s="496" t="s">
        <v>56</v>
      </c>
      <c r="C4" s="497"/>
      <c r="D4" s="497"/>
      <c r="E4" s="497"/>
      <c r="F4" s="497"/>
      <c r="G4" s="497"/>
      <c r="H4" s="497"/>
      <c r="I4" s="497"/>
      <c r="J4" s="498"/>
      <c r="K4" s="4"/>
    </row>
    <row r="6" spans="1:11" ht="15.75" thickBot="1" x14ac:dyDescent="0.3"/>
    <row r="7" spans="1:11" ht="27" thickBot="1" x14ac:dyDescent="0.45">
      <c r="B7" s="499" t="s">
        <v>43</v>
      </c>
      <c r="C7" s="500"/>
      <c r="D7" s="500"/>
      <c r="E7" s="500"/>
      <c r="F7" s="500"/>
      <c r="G7" s="500"/>
      <c r="H7" s="500"/>
      <c r="I7" s="500"/>
      <c r="J7" s="501"/>
    </row>
    <row r="8" spans="1:11" ht="73.5" customHeight="1" thickBot="1" x14ac:dyDescent="0.3">
      <c r="B8" s="502" t="s">
        <v>57</v>
      </c>
      <c r="C8" s="503"/>
      <c r="D8" s="503"/>
      <c r="E8" s="503"/>
      <c r="F8" s="503"/>
      <c r="G8" s="503"/>
      <c r="H8" s="503"/>
      <c r="I8" s="503"/>
      <c r="J8" s="504"/>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2" t="s">
        <v>54</v>
      </c>
      <c r="C11" s="63" t="s">
        <v>55</v>
      </c>
      <c r="D11" s="64" t="s">
        <v>16</v>
      </c>
      <c r="E11" s="40"/>
      <c r="F11" s="40"/>
      <c r="G11" s="40"/>
      <c r="H11" s="40"/>
      <c r="I11" s="40"/>
      <c r="J11" s="40"/>
    </row>
    <row r="12" spans="1:11" ht="21" customHeight="1" thickBot="1" x14ac:dyDescent="0.3">
      <c r="B12" s="65">
        <v>756508</v>
      </c>
      <c r="C12" s="66">
        <v>3000</v>
      </c>
      <c r="D12" s="67">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505" t="s">
        <v>44</v>
      </c>
      <c r="C15" s="506"/>
      <c r="D15" s="506"/>
      <c r="E15" s="506"/>
      <c r="F15" s="506"/>
      <c r="G15" s="506"/>
      <c r="H15" s="506"/>
      <c r="I15" s="506"/>
      <c r="J15" s="507"/>
    </row>
    <row r="16" spans="1:11" ht="43.5" customHeight="1" thickBot="1" x14ac:dyDescent="0.3">
      <c r="B16" s="508" t="s">
        <v>115</v>
      </c>
      <c r="C16" s="509"/>
      <c r="D16" s="509"/>
      <c r="E16" s="509"/>
      <c r="F16" s="509"/>
      <c r="G16" s="509"/>
      <c r="H16" s="509"/>
      <c r="I16" s="509"/>
      <c r="J16" s="510"/>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490" t="s">
        <v>41</v>
      </c>
      <c r="C22" s="491"/>
      <c r="D22" s="492"/>
      <c r="E22" s="6"/>
      <c r="F22" s="6"/>
      <c r="G22" s="6"/>
      <c r="H22" s="6"/>
      <c r="I22" s="6"/>
      <c r="J22" s="6"/>
      <c r="K22" s="6"/>
      <c r="L22" s="6"/>
      <c r="M22" s="6"/>
      <c r="N22" s="6"/>
    </row>
    <row r="23" spans="2:14" ht="19.5" thickBot="1" x14ac:dyDescent="0.3">
      <c r="B23" s="59" t="s">
        <v>14</v>
      </c>
      <c r="C23" s="60" t="s">
        <v>15</v>
      </c>
      <c r="D23" s="61" t="s">
        <v>7</v>
      </c>
      <c r="E23" s="6"/>
      <c r="F23" s="6"/>
      <c r="G23" s="6"/>
      <c r="H23" s="6"/>
      <c r="I23" s="6"/>
      <c r="J23" s="6"/>
      <c r="K23" s="6"/>
      <c r="L23" s="6"/>
      <c r="M23" s="6"/>
      <c r="N23" s="6"/>
    </row>
    <row r="24" spans="2:14" ht="15.75" x14ac:dyDescent="0.25">
      <c r="B24" s="52">
        <v>2020</v>
      </c>
      <c r="C24" s="224">
        <v>5.0000000000000001E-3</v>
      </c>
      <c r="D24" s="53">
        <f>C24*$D$12</f>
        <v>11347620</v>
      </c>
      <c r="E24" s="6"/>
      <c r="F24" s="6"/>
      <c r="G24" s="6"/>
      <c r="H24" s="6"/>
      <c r="I24" s="6"/>
      <c r="J24" s="6"/>
      <c r="K24" s="6"/>
      <c r="L24" s="6"/>
      <c r="M24" s="6"/>
      <c r="N24" s="6"/>
    </row>
    <row r="25" spans="2:14" ht="15.75" x14ac:dyDescent="0.25">
      <c r="B25" s="54">
        <v>2021</v>
      </c>
      <c r="C25" s="7">
        <v>0.01</v>
      </c>
      <c r="D25" s="55">
        <f t="shared" ref="D25:D26" si="0">C25*$D$12</f>
        <v>22695240</v>
      </c>
      <c r="E25" s="6"/>
      <c r="F25" s="6"/>
      <c r="G25" s="6"/>
      <c r="H25" s="6"/>
      <c r="I25" s="6"/>
      <c r="J25" s="6"/>
      <c r="K25" s="6"/>
      <c r="L25" s="6"/>
      <c r="M25" s="6"/>
      <c r="N25" s="6"/>
    </row>
    <row r="26" spans="2:14" ht="16.5" thickBot="1" x14ac:dyDescent="0.3">
      <c r="B26" s="56">
        <v>2022</v>
      </c>
      <c r="C26" s="57">
        <v>0.02</v>
      </c>
      <c r="D26" s="58">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487" t="s">
        <v>45</v>
      </c>
      <c r="C33" s="488"/>
      <c r="D33" s="488"/>
      <c r="E33" s="488"/>
      <c r="F33" s="489"/>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487" t="s">
        <v>10</v>
      </c>
      <c r="C35" s="511"/>
      <c r="D35" s="511"/>
      <c r="E35" s="511"/>
      <c r="F35" s="512"/>
    </row>
    <row r="36" spans="1:14" ht="15" customHeight="1" x14ac:dyDescent="0.25">
      <c r="B36" s="493" t="s">
        <v>9</v>
      </c>
      <c r="C36" s="513" t="s">
        <v>65</v>
      </c>
      <c r="D36" s="513"/>
      <c r="E36" s="513"/>
      <c r="F36" s="513"/>
    </row>
    <row r="37" spans="1:14" ht="15" customHeight="1" x14ac:dyDescent="0.25">
      <c r="B37" s="494"/>
      <c r="C37" s="513"/>
      <c r="D37" s="513"/>
      <c r="E37" s="513"/>
      <c r="F37" s="513"/>
    </row>
    <row r="38" spans="1:14" ht="15.75" customHeight="1" x14ac:dyDescent="0.25">
      <c r="B38" s="494"/>
      <c r="C38" s="513"/>
      <c r="D38" s="513"/>
      <c r="E38" s="513"/>
      <c r="F38" s="513"/>
    </row>
    <row r="39" spans="1:14" ht="15" customHeight="1" x14ac:dyDescent="0.25">
      <c r="B39" s="494"/>
      <c r="C39" s="483" t="s">
        <v>63</v>
      </c>
      <c r="D39" s="483"/>
      <c r="E39" s="483"/>
      <c r="F39" s="483"/>
    </row>
    <row r="40" spans="1:14" ht="15" customHeight="1" x14ac:dyDescent="0.25">
      <c r="B40" s="494"/>
      <c r="C40" s="483"/>
      <c r="D40" s="483"/>
      <c r="E40" s="483"/>
      <c r="F40" s="483"/>
    </row>
    <row r="41" spans="1:14" ht="15.75" customHeight="1" x14ac:dyDescent="0.25">
      <c r="B41" s="494"/>
      <c r="C41" s="483"/>
      <c r="D41" s="483"/>
      <c r="E41" s="483"/>
      <c r="F41" s="483"/>
    </row>
    <row r="42" spans="1:14" ht="15" customHeight="1" x14ac:dyDescent="0.25">
      <c r="B42" s="494"/>
      <c r="C42" s="484" t="s">
        <v>64</v>
      </c>
      <c r="D42" s="484"/>
      <c r="E42" s="484"/>
      <c r="F42" s="484"/>
    </row>
    <row r="43" spans="1:14" ht="15" customHeight="1" x14ac:dyDescent="0.25">
      <c r="B43" s="494"/>
      <c r="C43" s="484"/>
      <c r="D43" s="484"/>
      <c r="E43" s="484"/>
      <c r="F43" s="484"/>
    </row>
    <row r="44" spans="1:14" ht="15.75" customHeight="1" thickBot="1" x14ac:dyDescent="0.3">
      <c r="B44" s="495"/>
      <c r="C44" s="484"/>
      <c r="D44" s="484"/>
      <c r="E44" s="484"/>
      <c r="F44" s="484"/>
    </row>
    <row r="46" spans="1:14" ht="15.75" thickBot="1" x14ac:dyDescent="0.3"/>
    <row r="47" spans="1:14" ht="27" thickBot="1" x14ac:dyDescent="0.45">
      <c r="B47" s="485" t="s">
        <v>8</v>
      </c>
      <c r="C47" s="486"/>
    </row>
    <row r="48" spans="1:14" ht="16.5" thickBot="1" x14ac:dyDescent="0.3">
      <c r="B48" s="68" t="s">
        <v>11</v>
      </c>
      <c r="C48" s="69" t="s">
        <v>12</v>
      </c>
    </row>
    <row r="49" spans="2:3" ht="15.75" customHeight="1" x14ac:dyDescent="0.25">
      <c r="B49" s="466" t="s">
        <v>65</v>
      </c>
      <c r="C49" s="475">
        <v>1300</v>
      </c>
    </row>
    <row r="50" spans="2:3" x14ac:dyDescent="0.25">
      <c r="B50" s="467"/>
      <c r="C50" s="475"/>
    </row>
    <row r="51" spans="2:3" ht="15.75" thickBot="1" x14ac:dyDescent="0.3">
      <c r="B51" s="468"/>
      <c r="C51" s="476"/>
    </row>
    <row r="52" spans="2:3" ht="15.75" customHeight="1" x14ac:dyDescent="0.25">
      <c r="B52" s="469" t="s">
        <v>63</v>
      </c>
      <c r="C52" s="477">
        <v>2500</v>
      </c>
    </row>
    <row r="53" spans="2:3" ht="15.75" customHeight="1" x14ac:dyDescent="0.25">
      <c r="B53" s="470"/>
      <c r="C53" s="478"/>
    </row>
    <row r="54" spans="2:3" ht="16.5" customHeight="1" thickBot="1" x14ac:dyDescent="0.3">
      <c r="B54" s="471"/>
      <c r="C54" s="479"/>
    </row>
    <row r="55" spans="2:3" ht="15.75" customHeight="1" x14ac:dyDescent="0.25">
      <c r="B55" s="472" t="s">
        <v>64</v>
      </c>
      <c r="C55" s="480">
        <v>4000</v>
      </c>
    </row>
    <row r="56" spans="2:3" x14ac:dyDescent="0.25">
      <c r="B56" s="473"/>
      <c r="C56" s="481"/>
    </row>
    <row r="57" spans="2:3" ht="15.75" thickBot="1" x14ac:dyDescent="0.3">
      <c r="B57" s="474"/>
      <c r="C57" s="482"/>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55"/>
  <sheetViews>
    <sheetView zoomScale="60" zoomScaleNormal="60" workbookViewId="0">
      <pane xSplit="2" ySplit="1" topLeftCell="C2" activePane="bottomRight" state="frozen"/>
      <selection pane="topRight" activeCell="C1" sqref="C1"/>
      <selection pane="bottomLeft" activeCell="A2" sqref="A2"/>
      <selection pane="bottomRight" activeCell="B8" sqref="B8"/>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7" customFormat="1" ht="58.5" customHeight="1" x14ac:dyDescent="0.25">
      <c r="B1" s="70" t="s">
        <v>2</v>
      </c>
      <c r="I1" s="71"/>
      <c r="J1" s="71"/>
      <c r="K1" s="71"/>
      <c r="L1" s="71"/>
      <c r="M1" s="71"/>
      <c r="N1" s="71"/>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549" t="s">
        <v>13</v>
      </c>
      <c r="C5" s="550"/>
      <c r="D5" s="552"/>
      <c r="E5" s="14"/>
      <c r="F5" s="523" t="s">
        <v>39</v>
      </c>
      <c r="G5" s="524"/>
      <c r="H5" s="524"/>
      <c r="I5" s="525"/>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2">
        <v>2020</v>
      </c>
      <c r="C6" s="73">
        <v>2021</v>
      </c>
      <c r="D6" s="74">
        <v>2022</v>
      </c>
      <c r="E6" s="41"/>
      <c r="F6" s="517" t="s">
        <v>66</v>
      </c>
      <c r="G6" s="518"/>
      <c r="H6" s="518"/>
      <c r="I6" s="519"/>
      <c r="J6" s="222"/>
      <c r="K6" s="222"/>
      <c r="L6" s="222"/>
      <c r="M6" s="222"/>
      <c r="Q6" s="117"/>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25">
        <f>Hipótesis!C24</f>
        <v>5.0000000000000001E-3</v>
      </c>
      <c r="C7" s="15">
        <f>Hipótesis!C25</f>
        <v>0.01</v>
      </c>
      <c r="D7" s="19">
        <f>Hipótesis!C26</f>
        <v>0.02</v>
      </c>
      <c r="E7" s="45"/>
      <c r="F7" s="520"/>
      <c r="G7" s="521"/>
      <c r="H7" s="521"/>
      <c r="I7" s="522"/>
      <c r="J7" s="222"/>
      <c r="K7" s="222"/>
      <c r="L7" s="222"/>
      <c r="M7" s="222"/>
      <c r="Q7" s="117"/>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7"/>
      <c r="J8" s="77"/>
      <c r="K8" s="77"/>
      <c r="L8" s="77"/>
      <c r="M8" s="77"/>
      <c r="N8" s="77"/>
      <c r="O8" s="77"/>
      <c r="P8" s="77"/>
      <c r="Q8" s="77"/>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7"/>
      <c r="J9" s="77"/>
      <c r="K9" s="77"/>
      <c r="L9" s="77"/>
      <c r="M9" s="77"/>
      <c r="N9" s="77"/>
      <c r="O9" s="77"/>
      <c r="P9" s="77"/>
      <c r="Q9" s="77"/>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7"/>
      <c r="J10" s="77"/>
      <c r="K10" s="77"/>
      <c r="L10" s="77"/>
      <c r="M10" s="77"/>
      <c r="N10" s="77"/>
      <c r="O10" s="77"/>
      <c r="P10" s="77"/>
      <c r="Q10" s="77"/>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7"/>
      <c r="E11" s="77"/>
      <c r="F11" s="1"/>
      <c r="G11" s="1"/>
      <c r="H11" s="1"/>
      <c r="I11" s="77"/>
      <c r="J11" s="77"/>
      <c r="K11" s="77"/>
      <c r="M11" s="77"/>
      <c r="N11" s="77"/>
      <c r="O11" s="77"/>
      <c r="P11" s="77"/>
      <c r="Q11" s="77"/>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7"/>
      <c r="J12" s="77"/>
      <c r="K12" s="77"/>
      <c r="L12" s="77"/>
      <c r="M12" s="77"/>
      <c r="N12" s="77"/>
      <c r="O12" s="77"/>
      <c r="P12" s="77"/>
      <c r="Q12" s="77"/>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549" t="s">
        <v>30</v>
      </c>
      <c r="B15" s="550"/>
      <c r="C15" s="550"/>
      <c r="D15" s="550"/>
      <c r="E15" s="550"/>
      <c r="F15" s="550"/>
      <c r="G15" s="550"/>
      <c r="H15" s="551"/>
      <c r="I15" s="551"/>
      <c r="J15" s="551"/>
      <c r="K15" s="551"/>
      <c r="L15" s="550"/>
      <c r="M15" s="550"/>
      <c r="N15" s="550"/>
      <c r="O15" s="550"/>
      <c r="P15" s="550"/>
      <c r="Q15" s="550"/>
      <c r="R15" s="550"/>
      <c r="S15" s="550"/>
      <c r="T15" s="550"/>
      <c r="U15" s="550"/>
      <c r="V15" s="550"/>
      <c r="W15" s="550"/>
      <c r="X15" s="550"/>
      <c r="Y15" s="550"/>
      <c r="Z15" s="550"/>
      <c r="AA15" s="550"/>
      <c r="AB15" s="550"/>
      <c r="AC15" s="550"/>
      <c r="AD15" s="550"/>
      <c r="AE15" s="550"/>
      <c r="AF15" s="550"/>
      <c r="AG15" s="550"/>
      <c r="AH15" s="550"/>
      <c r="AI15" s="550"/>
      <c r="AJ15" s="550"/>
      <c r="AK15" s="550"/>
      <c r="AL15" s="550"/>
      <c r="AM15" s="550"/>
      <c r="AN15" s="552"/>
      <c r="AO15" s="8"/>
      <c r="AP15" s="8"/>
      <c r="AQ15" s="8"/>
      <c r="AR15" s="8"/>
      <c r="AS15" s="8"/>
      <c r="AT15" s="8"/>
      <c r="AU15" s="8"/>
      <c r="AV15" s="8"/>
      <c r="AW15" s="8"/>
      <c r="AX15" s="8"/>
      <c r="AY15" s="8"/>
      <c r="AZ15" s="8"/>
      <c r="BA15" s="8"/>
      <c r="BB15" s="8"/>
      <c r="BC15" s="8"/>
      <c r="BD15" s="8"/>
      <c r="BE15" s="8"/>
      <c r="BF15" s="8"/>
      <c r="BG15" s="8"/>
      <c r="BH15" s="8"/>
      <c r="BI15" s="8"/>
    </row>
    <row r="16" spans="1:61" x14ac:dyDescent="0.25">
      <c r="A16" s="553" t="s">
        <v>11</v>
      </c>
      <c r="B16" s="553" t="s">
        <v>12</v>
      </c>
      <c r="C16" s="556" t="s">
        <v>38</v>
      </c>
      <c r="D16" s="563"/>
      <c r="E16" s="539" t="s">
        <v>18</v>
      </c>
      <c r="F16" s="540"/>
      <c r="G16" s="541"/>
      <c r="H16" s="539" t="s">
        <v>19</v>
      </c>
      <c r="I16" s="540"/>
      <c r="J16" s="541"/>
      <c r="K16" s="539" t="s">
        <v>20</v>
      </c>
      <c r="L16" s="540"/>
      <c r="M16" s="541"/>
      <c r="N16" s="539" t="s">
        <v>21</v>
      </c>
      <c r="O16" s="540"/>
      <c r="P16" s="541"/>
      <c r="Q16" s="539" t="s">
        <v>22</v>
      </c>
      <c r="R16" s="540"/>
      <c r="S16" s="541"/>
      <c r="T16" s="539" t="s">
        <v>23</v>
      </c>
      <c r="U16" s="540"/>
      <c r="V16" s="541"/>
      <c r="W16" s="539" t="s">
        <v>24</v>
      </c>
      <c r="X16" s="540"/>
      <c r="Y16" s="541"/>
      <c r="Z16" s="539" t="s">
        <v>25</v>
      </c>
      <c r="AA16" s="540"/>
      <c r="AB16" s="541"/>
      <c r="AC16" s="539" t="s">
        <v>26</v>
      </c>
      <c r="AD16" s="540"/>
      <c r="AE16" s="541"/>
      <c r="AF16" s="539" t="s">
        <v>27</v>
      </c>
      <c r="AG16" s="540"/>
      <c r="AH16" s="541"/>
      <c r="AI16" s="539" t="s">
        <v>28</v>
      </c>
      <c r="AJ16" s="540"/>
      <c r="AK16" s="541"/>
      <c r="AL16" s="539" t="s">
        <v>29</v>
      </c>
      <c r="AM16" s="540"/>
      <c r="AN16" s="541"/>
      <c r="AO16" s="8"/>
      <c r="AP16" s="8"/>
      <c r="AQ16" s="8"/>
      <c r="AR16" s="8"/>
      <c r="AS16" s="8"/>
      <c r="AT16" s="8"/>
      <c r="AU16" s="8"/>
      <c r="AV16" s="8"/>
      <c r="AW16" s="8"/>
      <c r="AX16" s="8"/>
      <c r="AY16" s="8"/>
      <c r="AZ16" s="8"/>
      <c r="BA16" s="8"/>
      <c r="BB16" s="8"/>
      <c r="BC16" s="8"/>
      <c r="BD16" s="8"/>
      <c r="BE16" s="8"/>
      <c r="BF16" s="8"/>
      <c r="BG16" s="8"/>
      <c r="BH16" s="8"/>
      <c r="BI16" s="8"/>
    </row>
    <row r="17" spans="1:61" x14ac:dyDescent="0.25">
      <c r="A17" s="554"/>
      <c r="B17" s="554"/>
      <c r="C17" s="542" t="s">
        <v>37</v>
      </c>
      <c r="D17" s="566" t="s">
        <v>17</v>
      </c>
      <c r="E17" s="546">
        <v>0.02</v>
      </c>
      <c r="F17" s="547"/>
      <c r="G17" s="548"/>
      <c r="H17" s="546">
        <v>0.04</v>
      </c>
      <c r="I17" s="547"/>
      <c r="J17" s="548"/>
      <c r="K17" s="546">
        <v>0.04</v>
      </c>
      <c r="L17" s="547"/>
      <c r="M17" s="548"/>
      <c r="N17" s="546">
        <v>0.05</v>
      </c>
      <c r="O17" s="547"/>
      <c r="P17" s="548"/>
      <c r="Q17" s="546">
        <v>0.06</v>
      </c>
      <c r="R17" s="547"/>
      <c r="S17" s="548"/>
      <c r="T17" s="546">
        <v>0.08</v>
      </c>
      <c r="U17" s="547"/>
      <c r="V17" s="548"/>
      <c r="W17" s="546">
        <v>0.1</v>
      </c>
      <c r="X17" s="547"/>
      <c r="Y17" s="548"/>
      <c r="Z17" s="546">
        <v>0.11</v>
      </c>
      <c r="AA17" s="547"/>
      <c r="AB17" s="548"/>
      <c r="AC17" s="546">
        <v>0.11</v>
      </c>
      <c r="AD17" s="547"/>
      <c r="AE17" s="548"/>
      <c r="AF17" s="546">
        <v>0.12</v>
      </c>
      <c r="AG17" s="547"/>
      <c r="AH17" s="548"/>
      <c r="AI17" s="546">
        <v>0.13</v>
      </c>
      <c r="AJ17" s="547"/>
      <c r="AK17" s="548"/>
      <c r="AL17" s="546">
        <v>0.14000000000000001</v>
      </c>
      <c r="AM17" s="547"/>
      <c r="AN17" s="548"/>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555"/>
      <c r="B18" s="555"/>
      <c r="C18" s="543"/>
      <c r="D18" s="567"/>
      <c r="E18" s="115" t="s">
        <v>116</v>
      </c>
      <c r="F18" s="78" t="s">
        <v>117</v>
      </c>
      <c r="G18" s="113" t="s">
        <v>17</v>
      </c>
      <c r="H18" s="115" t="s">
        <v>116</v>
      </c>
      <c r="I18" s="78" t="s">
        <v>117</v>
      </c>
      <c r="J18" s="79" t="s">
        <v>17</v>
      </c>
      <c r="K18" s="115" t="s">
        <v>116</v>
      </c>
      <c r="L18" s="78" t="s">
        <v>117</v>
      </c>
      <c r="M18" s="79" t="s">
        <v>17</v>
      </c>
      <c r="N18" s="115" t="s">
        <v>116</v>
      </c>
      <c r="O18" s="78" t="s">
        <v>117</v>
      </c>
      <c r="P18" s="79" t="s">
        <v>17</v>
      </c>
      <c r="Q18" s="115" t="s">
        <v>116</v>
      </c>
      <c r="R18" s="78" t="s">
        <v>117</v>
      </c>
      <c r="S18" s="79" t="s">
        <v>17</v>
      </c>
      <c r="T18" s="115" t="s">
        <v>116</v>
      </c>
      <c r="U18" s="78" t="s">
        <v>117</v>
      </c>
      <c r="V18" s="79" t="s">
        <v>17</v>
      </c>
      <c r="W18" s="115" t="s">
        <v>116</v>
      </c>
      <c r="X18" s="78" t="s">
        <v>117</v>
      </c>
      <c r="Y18" s="79" t="s">
        <v>17</v>
      </c>
      <c r="Z18" s="115" t="s">
        <v>116</v>
      </c>
      <c r="AA18" s="78" t="s">
        <v>117</v>
      </c>
      <c r="AB18" s="79" t="s">
        <v>17</v>
      </c>
      <c r="AC18" s="115" t="s">
        <v>116</v>
      </c>
      <c r="AD18" s="78" t="s">
        <v>117</v>
      </c>
      <c r="AE18" s="79" t="s">
        <v>17</v>
      </c>
      <c r="AF18" s="115" t="s">
        <v>116</v>
      </c>
      <c r="AG18" s="78" t="s">
        <v>117</v>
      </c>
      <c r="AH18" s="79" t="s">
        <v>17</v>
      </c>
      <c r="AI18" s="115" t="s">
        <v>116</v>
      </c>
      <c r="AJ18" s="78" t="s">
        <v>117</v>
      </c>
      <c r="AK18" s="79" t="s">
        <v>17</v>
      </c>
      <c r="AL18" s="115" t="s">
        <v>116</v>
      </c>
      <c r="AM18" s="78" t="s">
        <v>117</v>
      </c>
      <c r="AN18" s="79"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0" t="s">
        <v>65</v>
      </c>
      <c r="B19" s="87">
        <f>Hipótesis!C49</f>
        <v>1300</v>
      </c>
      <c r="C19" s="86">
        <v>1973</v>
      </c>
      <c r="D19" s="134">
        <f>B19*C19</f>
        <v>2564900</v>
      </c>
      <c r="E19" s="129">
        <f>C19*E17</f>
        <v>39.46</v>
      </c>
      <c r="F19" s="121">
        <f>E19</f>
        <v>39.46</v>
      </c>
      <c r="G19" s="130">
        <f>F19*B19</f>
        <v>51298</v>
      </c>
      <c r="H19" s="133">
        <f>(C19*H17)</f>
        <v>78.92</v>
      </c>
      <c r="I19" s="121">
        <f>H19 + F19</f>
        <v>118.38</v>
      </c>
      <c r="J19" s="130">
        <f>B19*I19</f>
        <v>153894</v>
      </c>
      <c r="K19" s="133">
        <f>C19*K17</f>
        <v>78.92</v>
      </c>
      <c r="L19" s="121">
        <f>K19+ I19</f>
        <v>197.3</v>
      </c>
      <c r="M19" s="130">
        <f>B19*L19</f>
        <v>256490.00000000003</v>
      </c>
      <c r="N19" s="133">
        <f>C19*N17</f>
        <v>98.65</v>
      </c>
      <c r="O19" s="121">
        <f>N19+L19</f>
        <v>295.95000000000005</v>
      </c>
      <c r="P19" s="130">
        <f>B19*O19</f>
        <v>384735.00000000006</v>
      </c>
      <c r="Q19" s="133">
        <f>C19*Q17</f>
        <v>118.38</v>
      </c>
      <c r="R19" s="121">
        <f>Q19+O19</f>
        <v>414.33000000000004</v>
      </c>
      <c r="S19" s="130">
        <f>B19*R19</f>
        <v>538629</v>
      </c>
      <c r="T19" s="133">
        <f>C19*T17</f>
        <v>157.84</v>
      </c>
      <c r="U19" s="121">
        <f>T19+R19</f>
        <v>572.17000000000007</v>
      </c>
      <c r="V19" s="130">
        <f>B19*U19</f>
        <v>743821.00000000012</v>
      </c>
      <c r="W19" s="133">
        <f>C19*W17</f>
        <v>197.3</v>
      </c>
      <c r="X19" s="121">
        <f>W19+U19</f>
        <v>769.47</v>
      </c>
      <c r="Y19" s="130">
        <f>B19*X19</f>
        <v>1000311</v>
      </c>
      <c r="Z19" s="133">
        <f>C19*Z17</f>
        <v>217.03</v>
      </c>
      <c r="AA19" s="121">
        <f>Z19+X19</f>
        <v>986.5</v>
      </c>
      <c r="AB19" s="130">
        <f>B19*AA19</f>
        <v>1282450</v>
      </c>
      <c r="AC19" s="133">
        <f>C19*AC17</f>
        <v>217.03</v>
      </c>
      <c r="AD19" s="121">
        <f>AC19+AA19</f>
        <v>1203.53</v>
      </c>
      <c r="AE19" s="130">
        <f>B19*AD19</f>
        <v>1564589</v>
      </c>
      <c r="AF19" s="133">
        <f>C19*AF17</f>
        <v>236.76</v>
      </c>
      <c r="AG19" s="121">
        <f>AF19+AD19</f>
        <v>1440.29</v>
      </c>
      <c r="AH19" s="130">
        <f>B19*AG19</f>
        <v>1872377</v>
      </c>
      <c r="AI19" s="128">
        <f>C19*AI17</f>
        <v>256.49</v>
      </c>
      <c r="AJ19" s="121">
        <f>AI19+AG19</f>
        <v>1696.78</v>
      </c>
      <c r="AK19" s="125">
        <f>B19*AJ19</f>
        <v>2205814</v>
      </c>
      <c r="AL19" s="123">
        <f>C19*AL17</f>
        <v>276.22000000000003</v>
      </c>
      <c r="AM19" s="121">
        <f>AL19+AJ19</f>
        <v>1973</v>
      </c>
      <c r="AN19" s="87">
        <f>B19*AM19</f>
        <v>2564900</v>
      </c>
    </row>
    <row r="20" spans="1:61" ht="33" customHeight="1" thickBot="1" x14ac:dyDescent="0.3">
      <c r="A20" s="91" t="s">
        <v>63</v>
      </c>
      <c r="B20" s="88">
        <f>Hipótesis!C52</f>
        <v>2500</v>
      </c>
      <c r="C20" s="75">
        <v>1877</v>
      </c>
      <c r="D20" s="135">
        <f t="shared" ref="D20:D21" si="0">B20*C20</f>
        <v>4692500</v>
      </c>
      <c r="E20" s="137">
        <f>C20*E17</f>
        <v>37.54</v>
      </c>
      <c r="F20" s="124">
        <f t="shared" ref="F20:F21" si="1">E20</f>
        <v>37.54</v>
      </c>
      <c r="G20" s="131">
        <f t="shared" ref="G20" si="2">F20*B20</f>
        <v>93850</v>
      </c>
      <c r="H20" s="138">
        <f>(C20*H17)</f>
        <v>75.08</v>
      </c>
      <c r="I20" s="124">
        <f t="shared" ref="I20:I21" si="3">H20 + F20</f>
        <v>112.62</v>
      </c>
      <c r="J20" s="131">
        <f t="shared" ref="J20" si="4">B20*I20</f>
        <v>281550</v>
      </c>
      <c r="K20" s="138">
        <f>C20*K17</f>
        <v>75.08</v>
      </c>
      <c r="L20" s="124">
        <f t="shared" ref="L20:L21" si="5">K20+ I20</f>
        <v>187.7</v>
      </c>
      <c r="M20" s="131">
        <f t="shared" ref="M20" si="6">B20*L20</f>
        <v>469250</v>
      </c>
      <c r="N20" s="138">
        <f>C20*N17</f>
        <v>93.850000000000009</v>
      </c>
      <c r="O20" s="124">
        <f t="shared" ref="O20:O21" si="7">N20+L20</f>
        <v>281.55</v>
      </c>
      <c r="P20" s="131">
        <f t="shared" ref="P20" si="8">B20*O20</f>
        <v>703875</v>
      </c>
      <c r="Q20" s="138">
        <f>C20*Q17</f>
        <v>112.61999999999999</v>
      </c>
      <c r="R20" s="124">
        <f t="shared" ref="R20:R21" si="9">Q20+O20</f>
        <v>394.17</v>
      </c>
      <c r="S20" s="131">
        <f t="shared" ref="S20" si="10">B20*R20</f>
        <v>985425</v>
      </c>
      <c r="T20" s="138">
        <f>C20*T17</f>
        <v>150.16</v>
      </c>
      <c r="U20" s="124">
        <f t="shared" ref="U20:U21" si="11">T20+R20</f>
        <v>544.33000000000004</v>
      </c>
      <c r="V20" s="131">
        <f t="shared" ref="V20" si="12">B20*U20</f>
        <v>1360825</v>
      </c>
      <c r="W20" s="138">
        <f>C20*W17</f>
        <v>187.70000000000002</v>
      </c>
      <c r="X20" s="124">
        <f t="shared" ref="X20:X21" si="13">W20+U20</f>
        <v>732.03000000000009</v>
      </c>
      <c r="Y20" s="131">
        <f t="shared" ref="Y20" si="14">B20*X20</f>
        <v>1830075.0000000002</v>
      </c>
      <c r="Z20" s="138">
        <f>C20*Z17</f>
        <v>206.47</v>
      </c>
      <c r="AA20" s="124">
        <f t="shared" ref="AA20:AA21" si="15">Z20+X20</f>
        <v>938.50000000000011</v>
      </c>
      <c r="AB20" s="131">
        <f t="shared" ref="AB20" si="16">B20*AA20</f>
        <v>2346250.0000000005</v>
      </c>
      <c r="AC20" s="138">
        <f>C20*AC17</f>
        <v>206.47</v>
      </c>
      <c r="AD20" s="124">
        <f t="shared" ref="AD20:AD21" si="17">AC20+AA20</f>
        <v>1144.97</v>
      </c>
      <c r="AE20" s="131">
        <f t="shared" ref="AE20" si="18">B20*AD20</f>
        <v>2862425</v>
      </c>
      <c r="AF20" s="138">
        <f>C20*AF17</f>
        <v>225.23999999999998</v>
      </c>
      <c r="AG20" s="124">
        <f t="shared" ref="AG20:AG21" si="19">AF20+AD20</f>
        <v>1370.21</v>
      </c>
      <c r="AH20" s="131">
        <f t="shared" ref="AH20" si="20">B20*AG20</f>
        <v>3425525</v>
      </c>
      <c r="AI20" s="139">
        <f>C20*AI17</f>
        <v>244.01000000000002</v>
      </c>
      <c r="AJ20" s="124">
        <f t="shared" ref="AJ20:AJ21" si="21">AI20+AG20</f>
        <v>1614.22</v>
      </c>
      <c r="AK20" s="126">
        <f t="shared" ref="AK20" si="22">B20*AJ20</f>
        <v>4035550</v>
      </c>
      <c r="AL20" s="140">
        <f>C20*AL17</f>
        <v>262.78000000000003</v>
      </c>
      <c r="AM20" s="124">
        <f t="shared" ref="AM20:AM21" si="23">AL20+AJ20</f>
        <v>1877</v>
      </c>
      <c r="AN20" s="88">
        <f t="shared" ref="AN20" si="24">B20*AM20</f>
        <v>4692500</v>
      </c>
    </row>
    <row r="21" spans="1:61" ht="33" customHeight="1" thickBot="1" x14ac:dyDescent="0.3">
      <c r="A21" s="92" t="s">
        <v>64</v>
      </c>
      <c r="B21" s="89">
        <f>Hipótesis!C55</f>
        <v>4000</v>
      </c>
      <c r="C21" s="76">
        <v>1044</v>
      </c>
      <c r="D21" s="136">
        <f t="shared" si="0"/>
        <v>4176000</v>
      </c>
      <c r="E21" s="141">
        <f>C21*E17</f>
        <v>20.88</v>
      </c>
      <c r="F21" s="142">
        <f t="shared" si="1"/>
        <v>20.88</v>
      </c>
      <c r="G21" s="132">
        <f t="shared" ref="G21" si="25">F21*B21</f>
        <v>83520</v>
      </c>
      <c r="H21" s="143">
        <f>(C21*H17)</f>
        <v>41.76</v>
      </c>
      <c r="I21" s="142">
        <f t="shared" si="3"/>
        <v>62.64</v>
      </c>
      <c r="J21" s="132">
        <f t="shared" ref="J21" si="26">B21*I21</f>
        <v>250560</v>
      </c>
      <c r="K21" s="143">
        <f>C21*K17</f>
        <v>41.76</v>
      </c>
      <c r="L21" s="142">
        <f t="shared" si="5"/>
        <v>104.4</v>
      </c>
      <c r="M21" s="132">
        <f t="shared" ref="M21" si="27">B21*L21</f>
        <v>417600</v>
      </c>
      <c r="N21" s="143">
        <f>C21*N17</f>
        <v>52.2</v>
      </c>
      <c r="O21" s="142">
        <f t="shared" si="7"/>
        <v>156.60000000000002</v>
      </c>
      <c r="P21" s="132">
        <f t="shared" ref="P21" si="28">B21*O21</f>
        <v>626400.00000000012</v>
      </c>
      <c r="Q21" s="143">
        <f>C21*Q17</f>
        <v>62.64</v>
      </c>
      <c r="R21" s="142">
        <f t="shared" si="9"/>
        <v>219.24</v>
      </c>
      <c r="S21" s="132">
        <f t="shared" ref="S21" si="29">B21*R21</f>
        <v>876960</v>
      </c>
      <c r="T21" s="143">
        <f>C21*T17</f>
        <v>83.52</v>
      </c>
      <c r="U21" s="142">
        <f t="shared" si="11"/>
        <v>302.76</v>
      </c>
      <c r="V21" s="132">
        <f t="shared" ref="V21" si="30">B21*U21</f>
        <v>1211040</v>
      </c>
      <c r="W21" s="143">
        <f>C21*W17</f>
        <v>104.4</v>
      </c>
      <c r="X21" s="142">
        <f t="shared" si="13"/>
        <v>407.15999999999997</v>
      </c>
      <c r="Y21" s="132">
        <f t="shared" ref="Y21" si="31">B21*X21</f>
        <v>1628639.9999999998</v>
      </c>
      <c r="Z21" s="143">
        <f>C21*Z17</f>
        <v>114.84</v>
      </c>
      <c r="AA21" s="142">
        <f t="shared" si="15"/>
        <v>522</v>
      </c>
      <c r="AB21" s="132">
        <f t="shared" ref="AB21" si="32">B21*AA21</f>
        <v>2088000</v>
      </c>
      <c r="AC21" s="143">
        <f>C21*AC17</f>
        <v>114.84</v>
      </c>
      <c r="AD21" s="142">
        <f t="shared" si="17"/>
        <v>636.84</v>
      </c>
      <c r="AE21" s="132">
        <f t="shared" ref="AE21" si="33">B21*AD21</f>
        <v>2547360</v>
      </c>
      <c r="AF21" s="143">
        <f>C21*AF17</f>
        <v>125.28</v>
      </c>
      <c r="AG21" s="142">
        <f t="shared" si="19"/>
        <v>762.12</v>
      </c>
      <c r="AH21" s="132">
        <f t="shared" ref="AH21" si="34">B21*AG21</f>
        <v>3048480</v>
      </c>
      <c r="AI21" s="144">
        <f>C21*AI17</f>
        <v>135.72</v>
      </c>
      <c r="AJ21" s="142">
        <f t="shared" si="21"/>
        <v>897.84</v>
      </c>
      <c r="AK21" s="127">
        <f t="shared" ref="AK21" si="35">B21*AJ21</f>
        <v>3591360</v>
      </c>
      <c r="AL21" s="145">
        <f>C21*AL17</f>
        <v>146.16000000000003</v>
      </c>
      <c r="AM21" s="142">
        <f t="shared" si="23"/>
        <v>1044</v>
      </c>
      <c r="AN21" s="122">
        <f t="shared" ref="AN21" si="36">B21*AM21</f>
        <v>4176000</v>
      </c>
    </row>
    <row r="22" spans="1:61" ht="16.5" thickBot="1" x14ac:dyDescent="0.3">
      <c r="A22" s="537" t="s">
        <v>46</v>
      </c>
      <c r="B22" s="538"/>
      <c r="C22" s="81">
        <f>SUM(C19:C21)</f>
        <v>4894</v>
      </c>
      <c r="D22" s="80">
        <f>SUM(D19:D21)</f>
        <v>11433400</v>
      </c>
      <c r="E22" s="146"/>
      <c r="F22" s="119"/>
      <c r="G22" s="120">
        <f>SUM(G19:G21)</f>
        <v>228668</v>
      </c>
      <c r="H22" s="147"/>
      <c r="I22" s="119"/>
      <c r="J22" s="120">
        <f>SUM(J19:J21)</f>
        <v>686004</v>
      </c>
      <c r="K22" s="147"/>
      <c r="L22" s="119"/>
      <c r="M22" s="120">
        <f>SUM(M19:M21)</f>
        <v>1143340</v>
      </c>
      <c r="N22" s="147"/>
      <c r="O22" s="119"/>
      <c r="P22" s="120">
        <f>SUM(P19:P21)</f>
        <v>1715010</v>
      </c>
      <c r="Q22" s="147"/>
      <c r="R22" s="119"/>
      <c r="S22" s="120">
        <f>SUM(S19:S21)</f>
        <v>2401014</v>
      </c>
      <c r="T22" s="147"/>
      <c r="U22" s="119"/>
      <c r="V22" s="120">
        <f>SUM(V19:V21)</f>
        <v>3315686</v>
      </c>
      <c r="W22" s="147"/>
      <c r="X22" s="119"/>
      <c r="Y22" s="120">
        <f>SUM(Y19:Y21)</f>
        <v>4459026</v>
      </c>
      <c r="Z22" s="147"/>
      <c r="AA22" s="119"/>
      <c r="AB22" s="120">
        <f>SUM(AB19:AB21)</f>
        <v>5716700</v>
      </c>
      <c r="AC22" s="147"/>
      <c r="AD22" s="119"/>
      <c r="AE22" s="120">
        <f>SUM(AE19:AE21)</f>
        <v>6974374</v>
      </c>
      <c r="AF22" s="147"/>
      <c r="AG22" s="119"/>
      <c r="AH22" s="120">
        <f>SUM(AH19:AH21)</f>
        <v>8346382</v>
      </c>
      <c r="AI22" s="147"/>
      <c r="AJ22" s="119"/>
      <c r="AK22" s="120">
        <f>SUM(AK19:AK21)</f>
        <v>9832724</v>
      </c>
      <c r="AL22" s="147"/>
      <c r="AM22" s="119"/>
      <c r="AN22" s="120">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79"/>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row>
    <row r="26" spans="1:61" ht="16.5" customHeight="1" x14ac:dyDescent="0.35">
      <c r="A26" s="181"/>
      <c r="B26" s="181"/>
      <c r="C26" s="181"/>
      <c r="D26" s="181"/>
      <c r="E26" s="181"/>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row>
    <row r="27" spans="1:61" ht="15.75" customHeight="1" x14ac:dyDescent="0.25">
      <c r="A27" s="181"/>
      <c r="B27" s="181"/>
      <c r="C27" s="41"/>
      <c r="D27" s="41"/>
      <c r="E27" s="41"/>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row>
    <row r="28" spans="1:61" ht="15" customHeight="1" x14ac:dyDescent="0.25">
      <c r="A28" s="178"/>
      <c r="B28" s="178"/>
      <c r="C28" s="155"/>
      <c r="D28" s="184"/>
      <c r="E28" s="184"/>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row>
    <row r="29" spans="1:61" ht="15" customHeight="1" x14ac:dyDescent="0.25">
      <c r="A29" s="178"/>
      <c r="B29" s="178"/>
      <c r="C29" s="155"/>
      <c r="D29" s="186"/>
      <c r="E29" s="186"/>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row>
    <row r="30" spans="1:61" ht="15" customHeight="1" x14ac:dyDescent="0.25">
      <c r="A30" s="178"/>
      <c r="B30" s="178"/>
      <c r="C30" s="155"/>
      <c r="D30" s="186"/>
      <c r="E30" s="186"/>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row>
    <row r="31" spans="1:61" ht="15" customHeight="1" x14ac:dyDescent="0.25">
      <c r="A31" s="178"/>
      <c r="B31" s="178"/>
      <c r="C31" s="155"/>
      <c r="D31" s="186"/>
      <c r="E31" s="186"/>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row>
    <row r="32" spans="1:61" ht="15" customHeight="1" x14ac:dyDescent="0.25">
      <c r="A32" s="178"/>
      <c r="B32" s="178"/>
      <c r="C32" s="155"/>
      <c r="D32" s="186"/>
      <c r="E32" s="186"/>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row>
    <row r="33" spans="1:40" ht="15" customHeight="1" x14ac:dyDescent="0.25">
      <c r="A33" s="178"/>
      <c r="B33" s="178"/>
      <c r="C33" s="155"/>
      <c r="D33" s="186"/>
      <c r="E33" s="186"/>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row>
    <row r="34" spans="1:40" ht="15" customHeight="1" x14ac:dyDescent="0.25">
      <c r="A34" s="178"/>
      <c r="B34" s="178"/>
      <c r="C34" s="155"/>
      <c r="D34" s="186"/>
      <c r="E34" s="186"/>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row>
    <row r="35" spans="1:40" ht="15" customHeight="1" x14ac:dyDescent="0.25">
      <c r="A35" s="178"/>
      <c r="B35" s="178"/>
      <c r="C35" s="155"/>
      <c r="D35" s="186"/>
      <c r="E35" s="186"/>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row>
    <row r="36" spans="1:40" ht="15" customHeight="1" x14ac:dyDescent="0.25">
      <c r="A36" s="178"/>
      <c r="B36" s="178"/>
      <c r="C36" s="155"/>
      <c r="D36" s="186"/>
      <c r="E36" s="186"/>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row>
    <row r="37" spans="1:40" ht="15" customHeight="1" x14ac:dyDescent="0.25">
      <c r="A37" s="178"/>
      <c r="B37" s="178"/>
      <c r="C37" s="155"/>
      <c r="D37" s="186"/>
      <c r="E37" s="186"/>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row>
    <row r="38" spans="1:40" ht="15" customHeight="1" x14ac:dyDescent="0.25">
      <c r="A38" s="178"/>
      <c r="B38" s="178"/>
      <c r="C38" s="155"/>
      <c r="D38" s="186"/>
      <c r="E38" s="186"/>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row>
    <row r="39" spans="1:40" ht="15" customHeight="1" x14ac:dyDescent="0.25">
      <c r="A39" s="178"/>
      <c r="B39" s="178"/>
      <c r="C39" s="155"/>
      <c r="D39" s="186"/>
      <c r="E39" s="186"/>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3"/>
      <c r="AK39" s="183"/>
      <c r="AL39" s="183"/>
      <c r="AM39" s="185"/>
      <c r="AN39" s="185"/>
    </row>
    <row r="40" spans="1:40" ht="15" customHeight="1" x14ac:dyDescent="0.25">
      <c r="A40" s="178"/>
      <c r="B40" s="178"/>
      <c r="C40" s="155"/>
      <c r="D40" s="186"/>
      <c r="E40" s="186"/>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row>
    <row r="41" spans="1:40" ht="15" customHeight="1" x14ac:dyDescent="0.25"/>
    <row r="42" spans="1:40" ht="15" customHeight="1" x14ac:dyDescent="0.25">
      <c r="A42" s="178"/>
      <c r="B42" s="178"/>
      <c r="C42" s="155"/>
      <c r="D42" s="186"/>
      <c r="E42" s="186"/>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row>
    <row r="43" spans="1:40" ht="30" customHeight="1" x14ac:dyDescent="0.25"/>
    <row r="44" spans="1:40" ht="15" customHeight="1" x14ac:dyDescent="0.25">
      <c r="A44" s="178"/>
      <c r="B44" s="178"/>
      <c r="C44" s="155"/>
      <c r="D44" s="186"/>
      <c r="E44" s="186"/>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row>
    <row r="45" spans="1:40" ht="29.25" customHeight="1" x14ac:dyDescent="0.25">
      <c r="A45" s="178"/>
      <c r="B45" s="178"/>
      <c r="C45" s="155"/>
      <c r="D45" s="186"/>
      <c r="E45" s="186"/>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row>
    <row r="46" spans="1:40" ht="15" customHeight="1" x14ac:dyDescent="0.25">
      <c r="A46" s="178"/>
      <c r="B46" s="178"/>
      <c r="C46" s="155"/>
      <c r="D46" s="186"/>
      <c r="E46" s="186"/>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3"/>
      <c r="AK46" s="183"/>
      <c r="AL46" s="183"/>
      <c r="AM46" s="185"/>
      <c r="AN46" s="185"/>
    </row>
    <row r="47" spans="1:40" ht="15" customHeight="1" x14ac:dyDescent="0.25">
      <c r="A47" s="178"/>
      <c r="B47" s="178"/>
      <c r="C47" s="155"/>
      <c r="D47" s="186"/>
      <c r="E47" s="186"/>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row>
    <row r="48" spans="1:40" ht="15" customHeight="1" x14ac:dyDescent="0.25"/>
    <row r="49" spans="1:61" ht="15" customHeight="1" x14ac:dyDescent="0.25">
      <c r="A49" s="178"/>
      <c r="B49" s="178"/>
      <c r="C49" s="155"/>
      <c r="D49" s="186"/>
      <c r="E49" s="186"/>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row>
    <row r="50" spans="1:61" ht="15" customHeight="1" x14ac:dyDescent="0.25">
      <c r="A50" s="178"/>
      <c r="B50" s="178"/>
      <c r="C50" s="155"/>
      <c r="D50" s="186"/>
      <c r="E50" s="186"/>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row>
    <row r="51" spans="1:61" ht="15" customHeight="1" thickBot="1" x14ac:dyDescent="0.3"/>
    <row r="52" spans="1:61" ht="36.75" customHeight="1" thickBot="1" x14ac:dyDescent="0.45">
      <c r="A52" s="526" t="s">
        <v>67</v>
      </c>
      <c r="B52" s="527"/>
      <c r="C52" s="527"/>
      <c r="D52" s="527"/>
      <c r="E52" s="527"/>
      <c r="F52" s="527"/>
      <c r="G52" s="527"/>
      <c r="H52" s="564"/>
      <c r="I52" s="564"/>
      <c r="J52" s="564"/>
      <c r="K52" s="564"/>
      <c r="L52" s="564"/>
      <c r="M52" s="564"/>
      <c r="N52" s="564"/>
      <c r="O52" s="564"/>
      <c r="P52" s="564"/>
      <c r="Q52" s="564"/>
      <c r="R52" s="564"/>
      <c r="S52" s="564"/>
      <c r="T52" s="564"/>
      <c r="U52" s="564"/>
      <c r="V52" s="564"/>
      <c r="W52" s="564"/>
      <c r="X52" s="565"/>
      <c r="Y52" s="149"/>
      <c r="Z52" s="149"/>
      <c r="AA52" s="149"/>
      <c r="AB52" s="149"/>
      <c r="AC52" s="149"/>
      <c r="AD52" s="149"/>
      <c r="AE52" s="149"/>
      <c r="AF52" s="149"/>
      <c r="AG52" s="149"/>
      <c r="AH52" s="149"/>
      <c r="AI52" s="150"/>
      <c r="AJ52" s="149"/>
      <c r="AK52" s="149"/>
      <c r="AL52" s="149"/>
      <c r="AM52" s="149"/>
      <c r="AN52" s="149"/>
    </row>
    <row r="53" spans="1:61" ht="15" customHeight="1" x14ac:dyDescent="0.25">
      <c r="B53" s="558" t="s">
        <v>71</v>
      </c>
      <c r="C53" s="559" t="s">
        <v>72</v>
      </c>
      <c r="D53" s="559" t="s">
        <v>79</v>
      </c>
      <c r="E53" s="559" t="s">
        <v>81</v>
      </c>
      <c r="F53" s="531" t="s">
        <v>84</v>
      </c>
      <c r="G53" s="560" t="s">
        <v>88</v>
      </c>
      <c r="H53" s="531" t="s">
        <v>90</v>
      </c>
      <c r="I53" s="24"/>
      <c r="J53" s="562"/>
      <c r="K53" s="24"/>
      <c r="L53" s="24"/>
      <c r="M53" s="562"/>
      <c r="N53" s="562"/>
      <c r="O53" s="24"/>
      <c r="P53" s="24"/>
      <c r="Q53" s="24"/>
      <c r="R53" s="24"/>
      <c r="S53" s="24"/>
      <c r="T53" s="24"/>
      <c r="U53" s="24"/>
      <c r="V53" s="562"/>
      <c r="W53" s="562"/>
      <c r="X53" s="562"/>
      <c r="Y53" s="24"/>
      <c r="Z53" s="24"/>
      <c r="AA53" s="24"/>
      <c r="AB53" s="24"/>
      <c r="AC53" s="155"/>
      <c r="AD53" s="24"/>
      <c r="AE53" s="24"/>
      <c r="AF53" s="155"/>
      <c r="AG53" s="24"/>
      <c r="AH53" s="24"/>
      <c r="AI53" s="155"/>
      <c r="AJ53" s="183"/>
      <c r="AK53" s="183"/>
      <c r="AL53" s="183"/>
      <c r="AM53" s="185"/>
      <c r="AN53" s="185"/>
    </row>
    <row r="54" spans="1:61" ht="35.25" customHeight="1" thickBot="1" x14ac:dyDescent="0.3">
      <c r="B54" s="530"/>
      <c r="C54" s="532"/>
      <c r="D54" s="532"/>
      <c r="E54" s="532"/>
      <c r="F54" s="532"/>
      <c r="G54" s="561"/>
      <c r="H54" s="532"/>
      <c r="I54" s="24"/>
      <c r="J54" s="562"/>
      <c r="K54" s="24"/>
      <c r="L54" s="24"/>
      <c r="M54" s="562"/>
      <c r="N54" s="562"/>
      <c r="O54" s="24"/>
      <c r="P54" s="24"/>
      <c r="Q54" s="24"/>
      <c r="R54" s="24"/>
      <c r="S54" s="24"/>
      <c r="T54" s="24"/>
      <c r="U54" s="24"/>
      <c r="V54" s="562"/>
      <c r="W54" s="562"/>
      <c r="X54" s="562"/>
      <c r="AA54" s="24"/>
      <c r="AB54" s="24"/>
      <c r="AC54" s="187"/>
      <c r="AD54" s="24"/>
      <c r="AE54" s="24"/>
      <c r="AF54" s="187"/>
      <c r="AG54" s="24"/>
      <c r="AH54" s="24"/>
      <c r="AI54" s="155"/>
      <c r="AJ54" s="183"/>
      <c r="AK54" s="183"/>
      <c r="AL54" s="183"/>
      <c r="AM54" s="185"/>
      <c r="AN54" s="185"/>
    </row>
    <row r="55" spans="1:61" ht="15" customHeight="1" x14ac:dyDescent="0.25">
      <c r="A55" s="100" t="s">
        <v>68</v>
      </c>
      <c r="B55" s="97">
        <v>80</v>
      </c>
      <c r="C55" s="97">
        <v>160</v>
      </c>
      <c r="D55" s="97">
        <v>160</v>
      </c>
      <c r="E55" s="97">
        <v>160</v>
      </c>
      <c r="F55" s="97">
        <v>160</v>
      </c>
      <c r="G55" s="97">
        <v>160</v>
      </c>
      <c r="H55" s="233">
        <v>160</v>
      </c>
      <c r="I55" s="24"/>
      <c r="J55" s="187"/>
      <c r="K55" s="24"/>
      <c r="L55" s="24"/>
      <c r="M55" s="187"/>
      <c r="N55" s="187"/>
      <c r="O55" s="24"/>
      <c r="P55" s="24"/>
      <c r="Q55" s="24"/>
      <c r="R55" s="24"/>
      <c r="S55" s="24"/>
      <c r="T55" s="24"/>
      <c r="U55" s="24"/>
      <c r="V55" s="187"/>
      <c r="W55" s="187"/>
      <c r="X55" s="187"/>
      <c r="Z55" s="514"/>
      <c r="AA55" s="514"/>
      <c r="AB55" s="514"/>
      <c r="AC55" s="188"/>
      <c r="AD55" s="24"/>
      <c r="AE55" s="24"/>
      <c r="AF55" s="188"/>
      <c r="AG55" s="24"/>
      <c r="AH55" s="24"/>
      <c r="AI55" s="187"/>
      <c r="AJ55" s="185"/>
      <c r="AK55" s="185"/>
      <c r="AL55" s="185"/>
      <c r="AM55" s="185"/>
      <c r="AN55" s="185"/>
    </row>
    <row r="56" spans="1:61" ht="15" customHeight="1" x14ac:dyDescent="0.25">
      <c r="A56" s="100" t="s">
        <v>69</v>
      </c>
      <c r="B56" s="107">
        <v>180000</v>
      </c>
      <c r="C56" s="107">
        <v>130000</v>
      </c>
      <c r="D56" s="107">
        <v>100000</v>
      </c>
      <c r="E56" s="107">
        <v>120000</v>
      </c>
      <c r="F56" s="107">
        <v>150000</v>
      </c>
      <c r="G56" s="107">
        <v>55000</v>
      </c>
      <c r="H56" s="109">
        <v>150000</v>
      </c>
      <c r="I56" s="24"/>
      <c r="J56" s="188"/>
      <c r="K56" s="24"/>
      <c r="L56" s="24"/>
      <c r="M56" s="188"/>
      <c r="N56" s="188"/>
      <c r="O56" s="24"/>
      <c r="P56" s="24"/>
      <c r="Q56" s="24"/>
      <c r="R56" s="24"/>
      <c r="S56" s="24"/>
      <c r="T56" s="24"/>
      <c r="U56" s="24"/>
      <c r="V56" s="188"/>
      <c r="W56" s="188"/>
      <c r="X56" s="188"/>
      <c r="Z56" s="514"/>
      <c r="AA56" s="514"/>
      <c r="AB56" s="514"/>
      <c r="AC56" s="187"/>
      <c r="AD56" s="24"/>
      <c r="AE56" s="24"/>
      <c r="AF56" s="187"/>
      <c r="AG56" s="24"/>
      <c r="AH56" s="24"/>
      <c r="AI56" s="188"/>
      <c r="AJ56" s="185"/>
      <c r="AK56" s="185"/>
      <c r="AL56" s="185"/>
      <c r="AM56" s="185"/>
      <c r="AN56" s="185"/>
    </row>
    <row r="57" spans="1:61" ht="15.75" customHeight="1" thickBot="1" x14ac:dyDescent="0.3">
      <c r="A57" s="101" t="s">
        <v>70</v>
      </c>
      <c r="B57" s="98">
        <v>1</v>
      </c>
      <c r="C57" s="98">
        <v>1</v>
      </c>
      <c r="D57" s="98">
        <v>1</v>
      </c>
      <c r="E57" s="98">
        <v>1</v>
      </c>
      <c r="F57" s="98">
        <v>1</v>
      </c>
      <c r="G57" s="98">
        <v>1</v>
      </c>
      <c r="H57" s="96">
        <v>1</v>
      </c>
      <c r="I57" s="24"/>
      <c r="J57" s="187"/>
      <c r="K57" s="24"/>
      <c r="L57" s="24"/>
      <c r="M57" s="187"/>
      <c r="N57" s="187"/>
      <c r="O57" s="24"/>
      <c r="P57" s="24"/>
      <c r="Q57" s="24"/>
      <c r="R57" s="24"/>
      <c r="S57" s="24"/>
      <c r="T57" s="24"/>
      <c r="U57" s="24"/>
      <c r="V57" s="187"/>
      <c r="W57" s="187"/>
      <c r="X57" s="187"/>
      <c r="Z57" s="514"/>
      <c r="AA57" s="514"/>
      <c r="AB57" s="514"/>
      <c r="AC57" s="185"/>
      <c r="AD57" s="185"/>
      <c r="AE57" s="185"/>
      <c r="AF57" s="185"/>
      <c r="AG57" s="185"/>
      <c r="AH57" s="185"/>
      <c r="AI57" s="187"/>
      <c r="AJ57" s="185"/>
      <c r="AK57" s="185"/>
      <c r="AL57" s="185"/>
      <c r="AM57" s="185"/>
      <c r="AN57" s="185"/>
    </row>
    <row r="58" spans="1:61" ht="37.5" customHeight="1" thickBot="1" x14ac:dyDescent="0.35">
      <c r="A58" s="102" t="s">
        <v>95</v>
      </c>
      <c r="B58" s="104">
        <f>SUM(B56:AF56)</f>
        <v>885000</v>
      </c>
      <c r="C58" s="515"/>
      <c r="D58" s="516"/>
      <c r="E58" s="516"/>
      <c r="F58" s="516"/>
      <c r="G58" s="516"/>
      <c r="H58" s="516"/>
      <c r="I58" s="516"/>
      <c r="J58" s="516"/>
      <c r="K58" s="516"/>
      <c r="L58" s="516"/>
      <c r="M58" s="516"/>
      <c r="N58" s="516"/>
      <c r="O58" s="516"/>
      <c r="P58" s="516"/>
      <c r="Q58" s="516"/>
      <c r="R58" s="516"/>
      <c r="S58" s="516"/>
      <c r="T58" s="516"/>
      <c r="U58" s="516"/>
      <c r="V58" s="516"/>
      <c r="W58" s="516"/>
      <c r="X58" s="516"/>
      <c r="Y58" s="516"/>
      <c r="Z58" s="516"/>
      <c r="AA58" s="516"/>
      <c r="AB58" s="516"/>
      <c r="AC58" s="516"/>
      <c r="AD58" s="516"/>
      <c r="AE58" s="516"/>
      <c r="AF58" s="516"/>
      <c r="AG58" s="516"/>
      <c r="AH58" s="516"/>
      <c r="AI58" s="516"/>
      <c r="AJ58" s="516"/>
      <c r="AK58" s="516"/>
      <c r="AL58" s="516"/>
      <c r="AM58" s="516"/>
      <c r="AN58" s="516"/>
      <c r="AO58" s="516"/>
    </row>
    <row r="59" spans="1:61" ht="30" customHeight="1" thickBot="1" x14ac:dyDescent="0.3">
      <c r="A59" s="103" t="s">
        <v>94</v>
      </c>
      <c r="B59" s="104">
        <f>B58*12</f>
        <v>10620000</v>
      </c>
      <c r="C59" s="515"/>
      <c r="D59" s="516"/>
      <c r="E59" s="516"/>
      <c r="F59" s="516"/>
      <c r="G59" s="516"/>
      <c r="H59" s="516"/>
      <c r="I59" s="516"/>
      <c r="J59" s="516"/>
      <c r="K59" s="516"/>
      <c r="L59" s="516"/>
      <c r="M59" s="516"/>
      <c r="N59" s="516"/>
      <c r="O59" s="516"/>
      <c r="P59" s="516"/>
      <c r="Q59" s="516"/>
      <c r="R59" s="516"/>
      <c r="S59" s="516"/>
      <c r="T59" s="516"/>
      <c r="U59" s="516"/>
      <c r="V59" s="516"/>
      <c r="W59" s="516"/>
      <c r="X59" s="516"/>
      <c r="Y59" s="516"/>
      <c r="Z59" s="516"/>
      <c r="AA59" s="516"/>
      <c r="AB59" s="516"/>
      <c r="AC59" s="516"/>
      <c r="AD59" s="516"/>
      <c r="AE59" s="516"/>
      <c r="AF59" s="516"/>
      <c r="AG59" s="516"/>
      <c r="AH59" s="516"/>
      <c r="AI59" s="516"/>
      <c r="AJ59" s="516"/>
      <c r="AK59" s="516"/>
      <c r="AL59" s="516"/>
      <c r="AM59" s="516"/>
      <c r="AN59" s="516"/>
      <c r="AO59" s="516"/>
    </row>
    <row r="60" spans="1:61" ht="18.75" customHeight="1" x14ac:dyDescent="0.25">
      <c r="A60" s="27"/>
      <c r="B60" s="27"/>
      <c r="C60" s="24"/>
      <c r="D60" s="17"/>
      <c r="E60" s="17"/>
      <c r="F60" s="28"/>
      <c r="G60" s="28"/>
      <c r="H60" s="93"/>
      <c r="I60" s="28"/>
      <c r="J60" s="28"/>
      <c r="K60" s="93"/>
      <c r="L60" s="28"/>
      <c r="M60" s="28"/>
      <c r="N60" s="93"/>
      <c r="O60" s="28"/>
      <c r="P60" s="28"/>
      <c r="Q60" s="93"/>
      <c r="R60" s="28"/>
      <c r="S60" s="28"/>
      <c r="T60" s="93"/>
      <c r="U60" s="28"/>
      <c r="V60" s="28"/>
      <c r="W60" s="93"/>
      <c r="X60" s="28"/>
      <c r="Y60" s="28"/>
      <c r="Z60" s="93"/>
      <c r="AA60" s="28"/>
      <c r="AB60" s="28"/>
      <c r="AC60" s="156"/>
      <c r="AD60" s="156"/>
      <c r="AE60" s="156"/>
      <c r="AF60" s="156"/>
      <c r="AG60" s="156"/>
      <c r="AH60" s="156"/>
      <c r="AI60" s="156"/>
      <c r="AJ60" s="156"/>
      <c r="AK60" s="156"/>
      <c r="AL60" s="156"/>
      <c r="AM60" s="156"/>
      <c r="AN60" s="156"/>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549" t="s">
        <v>31</v>
      </c>
      <c r="B64" s="550"/>
      <c r="C64" s="550"/>
      <c r="D64" s="550"/>
      <c r="E64" s="550"/>
      <c r="F64" s="550"/>
      <c r="G64" s="550"/>
      <c r="H64" s="551"/>
      <c r="I64" s="551"/>
      <c r="J64" s="551"/>
      <c r="K64" s="551"/>
      <c r="L64" s="550"/>
      <c r="M64" s="550"/>
      <c r="N64" s="550"/>
      <c r="O64" s="550"/>
      <c r="P64" s="550"/>
      <c r="Q64" s="550"/>
      <c r="R64" s="550"/>
      <c r="S64" s="550"/>
      <c r="T64" s="550"/>
      <c r="U64" s="550"/>
      <c r="V64" s="550"/>
      <c r="W64" s="550"/>
      <c r="X64" s="550"/>
      <c r="Y64" s="550"/>
      <c r="Z64" s="550"/>
      <c r="AA64" s="550"/>
      <c r="AB64" s="550"/>
      <c r="AC64" s="550"/>
      <c r="AD64" s="550"/>
      <c r="AE64" s="550"/>
      <c r="AF64" s="550"/>
      <c r="AG64" s="550"/>
      <c r="AH64" s="550"/>
      <c r="AI64" s="550"/>
      <c r="AJ64" s="550"/>
      <c r="AK64" s="550"/>
      <c r="AL64" s="550"/>
      <c r="AM64" s="550"/>
      <c r="AN64" s="552"/>
      <c r="AO64" s="8"/>
      <c r="AP64" s="8"/>
      <c r="AQ64" s="8"/>
      <c r="AR64" s="8"/>
      <c r="AS64" s="8"/>
      <c r="AT64" s="8"/>
      <c r="AU64" s="8"/>
      <c r="AV64" s="8"/>
      <c r="AW64" s="8"/>
      <c r="AX64" s="8"/>
      <c r="AY64" s="8"/>
      <c r="AZ64" s="8"/>
      <c r="BA64" s="8"/>
      <c r="BB64" s="8"/>
      <c r="BC64" s="8"/>
      <c r="BD64" s="8"/>
      <c r="BE64" s="8"/>
      <c r="BF64" s="8"/>
      <c r="BG64" s="8"/>
      <c r="BH64" s="8"/>
      <c r="BI64" s="8"/>
    </row>
    <row r="65" spans="1:61" x14ac:dyDescent="0.25">
      <c r="A65" s="553" t="s">
        <v>11</v>
      </c>
      <c r="B65" s="553" t="s">
        <v>12</v>
      </c>
      <c r="C65" s="556" t="s">
        <v>38</v>
      </c>
      <c r="D65" s="563"/>
      <c r="E65" s="539" t="s">
        <v>18</v>
      </c>
      <c r="F65" s="540"/>
      <c r="G65" s="541"/>
      <c r="H65" s="539" t="s">
        <v>19</v>
      </c>
      <c r="I65" s="540"/>
      <c r="J65" s="541"/>
      <c r="K65" s="539" t="s">
        <v>20</v>
      </c>
      <c r="L65" s="540"/>
      <c r="M65" s="541"/>
      <c r="N65" s="539" t="s">
        <v>21</v>
      </c>
      <c r="O65" s="540"/>
      <c r="P65" s="541"/>
      <c r="Q65" s="539" t="s">
        <v>22</v>
      </c>
      <c r="R65" s="540"/>
      <c r="S65" s="541"/>
      <c r="T65" s="539" t="s">
        <v>23</v>
      </c>
      <c r="U65" s="540"/>
      <c r="V65" s="541"/>
      <c r="W65" s="539" t="s">
        <v>24</v>
      </c>
      <c r="X65" s="540"/>
      <c r="Y65" s="541"/>
      <c r="Z65" s="539" t="s">
        <v>25</v>
      </c>
      <c r="AA65" s="540"/>
      <c r="AB65" s="541"/>
      <c r="AC65" s="539" t="s">
        <v>26</v>
      </c>
      <c r="AD65" s="540"/>
      <c r="AE65" s="541"/>
      <c r="AF65" s="539" t="s">
        <v>27</v>
      </c>
      <c r="AG65" s="540"/>
      <c r="AH65" s="541"/>
      <c r="AI65" s="539" t="s">
        <v>28</v>
      </c>
      <c r="AJ65" s="540"/>
      <c r="AK65" s="541"/>
      <c r="AL65" s="539" t="s">
        <v>29</v>
      </c>
      <c r="AM65" s="540"/>
      <c r="AN65" s="541"/>
      <c r="AO65" s="8"/>
      <c r="AP65" s="8"/>
      <c r="AQ65" s="8"/>
      <c r="AR65" s="8"/>
      <c r="AS65" s="8"/>
      <c r="AT65" s="8"/>
      <c r="AU65" s="8"/>
      <c r="AV65" s="8"/>
      <c r="AW65" s="8"/>
      <c r="AX65" s="8"/>
      <c r="AY65" s="8"/>
      <c r="AZ65" s="8"/>
      <c r="BA65" s="8"/>
      <c r="BB65" s="8"/>
      <c r="BC65" s="8"/>
      <c r="BD65" s="8"/>
      <c r="BE65" s="8"/>
      <c r="BF65" s="8"/>
      <c r="BG65" s="8"/>
      <c r="BH65" s="8"/>
      <c r="BI65" s="8"/>
    </row>
    <row r="66" spans="1:61" x14ac:dyDescent="0.25">
      <c r="A66" s="554"/>
      <c r="B66" s="554"/>
      <c r="C66" s="542" t="s">
        <v>37</v>
      </c>
      <c r="D66" s="566" t="s">
        <v>17</v>
      </c>
      <c r="E66" s="546">
        <v>0.02</v>
      </c>
      <c r="F66" s="547"/>
      <c r="G66" s="548"/>
      <c r="H66" s="546">
        <v>0.04</v>
      </c>
      <c r="I66" s="547"/>
      <c r="J66" s="548"/>
      <c r="K66" s="546">
        <v>0.04</v>
      </c>
      <c r="L66" s="547"/>
      <c r="M66" s="548"/>
      <c r="N66" s="546">
        <v>0.05</v>
      </c>
      <c r="O66" s="547"/>
      <c r="P66" s="548"/>
      <c r="Q66" s="546">
        <v>0.06</v>
      </c>
      <c r="R66" s="547"/>
      <c r="S66" s="548"/>
      <c r="T66" s="546">
        <v>0.08</v>
      </c>
      <c r="U66" s="547"/>
      <c r="V66" s="548"/>
      <c r="W66" s="546">
        <v>0.1</v>
      </c>
      <c r="X66" s="547"/>
      <c r="Y66" s="548"/>
      <c r="Z66" s="546">
        <v>0.11</v>
      </c>
      <c r="AA66" s="547"/>
      <c r="AB66" s="548"/>
      <c r="AC66" s="546">
        <v>0.11</v>
      </c>
      <c r="AD66" s="547"/>
      <c r="AE66" s="548"/>
      <c r="AF66" s="546">
        <v>0.12</v>
      </c>
      <c r="AG66" s="547"/>
      <c r="AH66" s="548"/>
      <c r="AI66" s="546">
        <v>0.13</v>
      </c>
      <c r="AJ66" s="547"/>
      <c r="AK66" s="548"/>
      <c r="AL66" s="546">
        <v>0.14000000000000001</v>
      </c>
      <c r="AM66" s="547"/>
      <c r="AN66" s="548"/>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555"/>
      <c r="B67" s="555"/>
      <c r="C67" s="543"/>
      <c r="D67" s="567"/>
      <c r="E67" s="115" t="s">
        <v>116</v>
      </c>
      <c r="F67" s="78" t="s">
        <v>117</v>
      </c>
      <c r="G67" s="113" t="s">
        <v>17</v>
      </c>
      <c r="H67" s="115" t="s">
        <v>116</v>
      </c>
      <c r="I67" s="78" t="s">
        <v>117</v>
      </c>
      <c r="J67" s="79" t="s">
        <v>17</v>
      </c>
      <c r="K67" s="115" t="s">
        <v>116</v>
      </c>
      <c r="L67" s="78" t="s">
        <v>117</v>
      </c>
      <c r="M67" s="79" t="s">
        <v>17</v>
      </c>
      <c r="N67" s="115" t="s">
        <v>116</v>
      </c>
      <c r="O67" s="78" t="s">
        <v>117</v>
      </c>
      <c r="P67" s="79" t="s">
        <v>17</v>
      </c>
      <c r="Q67" s="115" t="s">
        <v>116</v>
      </c>
      <c r="R67" s="78" t="s">
        <v>117</v>
      </c>
      <c r="S67" s="79" t="s">
        <v>17</v>
      </c>
      <c r="T67" s="115" t="s">
        <v>116</v>
      </c>
      <c r="U67" s="78" t="s">
        <v>117</v>
      </c>
      <c r="V67" s="79" t="s">
        <v>17</v>
      </c>
      <c r="W67" s="115" t="s">
        <v>116</v>
      </c>
      <c r="X67" s="78" t="s">
        <v>117</v>
      </c>
      <c r="Y67" s="79" t="s">
        <v>17</v>
      </c>
      <c r="Z67" s="115" t="s">
        <v>116</v>
      </c>
      <c r="AA67" s="78" t="s">
        <v>117</v>
      </c>
      <c r="AB67" s="79" t="s">
        <v>17</v>
      </c>
      <c r="AC67" s="115" t="s">
        <v>116</v>
      </c>
      <c r="AD67" s="78" t="s">
        <v>117</v>
      </c>
      <c r="AE67" s="79" t="s">
        <v>17</v>
      </c>
      <c r="AF67" s="115" t="s">
        <v>116</v>
      </c>
      <c r="AG67" s="78" t="s">
        <v>117</v>
      </c>
      <c r="AH67" s="79" t="s">
        <v>17</v>
      </c>
      <c r="AI67" s="115" t="s">
        <v>116</v>
      </c>
      <c r="AJ67" s="78" t="s">
        <v>117</v>
      </c>
      <c r="AK67" s="79" t="s">
        <v>17</v>
      </c>
      <c r="AL67" s="115" t="s">
        <v>116</v>
      </c>
      <c r="AM67" s="78" t="s">
        <v>117</v>
      </c>
      <c r="AN67" s="79"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0" t="s">
        <v>65</v>
      </c>
      <c r="B68" s="87">
        <f>Hipótesis!C49</f>
        <v>1300</v>
      </c>
      <c r="C68" s="112">
        <v>4143</v>
      </c>
      <c r="D68" s="114">
        <f>B68*C68</f>
        <v>5385900</v>
      </c>
      <c r="E68" s="129">
        <f>(C19*1.4)*E66</f>
        <v>55.244</v>
      </c>
      <c r="F68" s="121">
        <f>E68+AM19</f>
        <v>2028.2439999999999</v>
      </c>
      <c r="G68" s="130">
        <f>F68*B68</f>
        <v>2636717.1999999997</v>
      </c>
      <c r="H68" s="133">
        <f>((C19*1.4)*H66)</f>
        <v>110.488</v>
      </c>
      <c r="I68" s="121">
        <f>H68 + F68</f>
        <v>2138.732</v>
      </c>
      <c r="J68" s="130">
        <f>B68*I68</f>
        <v>2780351.6</v>
      </c>
      <c r="K68" s="133">
        <f>(C19*1.4)*K66</f>
        <v>110.488</v>
      </c>
      <c r="L68" s="121">
        <f>K68+ I68</f>
        <v>2249.2199999999998</v>
      </c>
      <c r="M68" s="130">
        <f>B68*L68</f>
        <v>2923985.9999999995</v>
      </c>
      <c r="N68" s="133">
        <f>(C19*1.4)*N66</f>
        <v>138.10999999999999</v>
      </c>
      <c r="O68" s="121">
        <f>N68+L68</f>
        <v>2387.33</v>
      </c>
      <c r="P68" s="130">
        <f>B68*O68</f>
        <v>3103529</v>
      </c>
      <c r="Q68" s="133">
        <f>(C19*1.4)*Q66</f>
        <v>165.73199999999997</v>
      </c>
      <c r="R68" s="121">
        <f>Q68+O68</f>
        <v>2553.0619999999999</v>
      </c>
      <c r="S68" s="130">
        <f>B68*R68</f>
        <v>3318980.6</v>
      </c>
      <c r="T68" s="133">
        <f>(C19*1.4)*T66</f>
        <v>220.976</v>
      </c>
      <c r="U68" s="121">
        <f>T68+R68</f>
        <v>2774.038</v>
      </c>
      <c r="V68" s="130">
        <f>B68*U68</f>
        <v>3606249.4</v>
      </c>
      <c r="W68" s="133">
        <f>(C19*1.4)*W66</f>
        <v>276.21999999999997</v>
      </c>
      <c r="X68" s="121">
        <f>W68+U68</f>
        <v>3050.2579999999998</v>
      </c>
      <c r="Y68" s="130">
        <f>B68*X68</f>
        <v>3965335.4</v>
      </c>
      <c r="Z68" s="133">
        <f>(C19*1.4)*Z66</f>
        <v>303.84199999999998</v>
      </c>
      <c r="AA68" s="121">
        <f>Z68+X68</f>
        <v>3354.1</v>
      </c>
      <c r="AB68" s="130">
        <f>B68*AA68</f>
        <v>4360330</v>
      </c>
      <c r="AC68" s="133">
        <f>(C19*1.4)*AC66</f>
        <v>303.84199999999998</v>
      </c>
      <c r="AD68" s="121">
        <f>AC68+AA68</f>
        <v>3657.942</v>
      </c>
      <c r="AE68" s="130">
        <f>B68*AD68</f>
        <v>4755324.5999999996</v>
      </c>
      <c r="AF68" s="133">
        <f>(C19*1.4)*AF66</f>
        <v>331.46399999999994</v>
      </c>
      <c r="AG68" s="121">
        <f>AF68+AD68</f>
        <v>3989.4059999999999</v>
      </c>
      <c r="AH68" s="130">
        <f>B68*AG68</f>
        <v>5186227.8</v>
      </c>
      <c r="AI68" s="128">
        <f>(C19*1.4)*AI66</f>
        <v>359.08600000000001</v>
      </c>
      <c r="AJ68" s="121">
        <f>AI68+AG68</f>
        <v>4348.4920000000002</v>
      </c>
      <c r="AK68" s="125">
        <f>B68*AJ68</f>
        <v>5653039.6000000006</v>
      </c>
      <c r="AL68" s="123">
        <f>(C19*1.4)*AL66</f>
        <v>386.70800000000003</v>
      </c>
      <c r="AM68" s="121">
        <f>AL68+AJ68</f>
        <v>4735.2</v>
      </c>
      <c r="AN68" s="87">
        <f>B68*AM68</f>
        <v>6155760</v>
      </c>
    </row>
    <row r="69" spans="1:61" ht="33" customHeight="1" thickBot="1" x14ac:dyDescent="0.3">
      <c r="A69" s="91" t="s">
        <v>63</v>
      </c>
      <c r="B69" s="88">
        <f>Hipótesis!C52</f>
        <v>2500</v>
      </c>
      <c r="C69" s="110">
        <v>3542</v>
      </c>
      <c r="D69" s="116">
        <f t="shared" ref="D69:D70" si="37">B69*C69</f>
        <v>8855000</v>
      </c>
      <c r="E69" s="151">
        <f>(C20*1.4)*E66</f>
        <v>52.555999999999997</v>
      </c>
      <c r="F69" s="152">
        <f t="shared" ref="F69:F70" si="38">E69+AM20</f>
        <v>1929.556</v>
      </c>
      <c r="G69" s="131">
        <f t="shared" ref="G69:G70" si="39">F69*B69</f>
        <v>4823890</v>
      </c>
      <c r="H69" s="138">
        <f>((C20*1.4)*H66)</f>
        <v>105.11199999999999</v>
      </c>
      <c r="I69" s="124">
        <f t="shared" ref="I69:I70" si="40">H69 + F69</f>
        <v>2034.6680000000001</v>
      </c>
      <c r="J69" s="131">
        <f t="shared" ref="J69:J70" si="41">B69*I69</f>
        <v>5086670</v>
      </c>
      <c r="K69" s="138">
        <f>(C20*1.4)*K66</f>
        <v>105.11199999999999</v>
      </c>
      <c r="L69" s="124">
        <f t="shared" ref="L69:L70" si="42">K69+ I69</f>
        <v>2139.7800000000002</v>
      </c>
      <c r="M69" s="131">
        <f t="shared" ref="M69:M70" si="43">B69*L69</f>
        <v>5349450.0000000009</v>
      </c>
      <c r="N69" s="138">
        <f>(C20*1.4)*N66</f>
        <v>131.38999999999999</v>
      </c>
      <c r="O69" s="124">
        <f t="shared" ref="O69:O70" si="44">N69+L69</f>
        <v>2271.17</v>
      </c>
      <c r="P69" s="131">
        <f t="shared" ref="P69:P70" si="45">B69*O69</f>
        <v>5677925</v>
      </c>
      <c r="Q69" s="138">
        <f>(C20*1.4)*Q66</f>
        <v>157.66799999999998</v>
      </c>
      <c r="R69" s="124">
        <f t="shared" ref="R69:R70" si="46">Q69+O69</f>
        <v>2428.8380000000002</v>
      </c>
      <c r="S69" s="131">
        <f t="shared" ref="S69:S70" si="47">B69*R69</f>
        <v>6072095.0000000009</v>
      </c>
      <c r="T69" s="138">
        <f>(C20*1.4)*T66</f>
        <v>210.22399999999999</v>
      </c>
      <c r="U69" s="124">
        <f t="shared" ref="U69:U70" si="48">T69+R69</f>
        <v>2639.0620000000004</v>
      </c>
      <c r="V69" s="131">
        <f t="shared" ref="V69:V70" si="49">B69*U69</f>
        <v>6597655.0000000009</v>
      </c>
      <c r="W69" s="138">
        <f>(C20*1.4)*W66</f>
        <v>262.77999999999997</v>
      </c>
      <c r="X69" s="124">
        <f t="shared" ref="X69:X70" si="50">W69+U69</f>
        <v>2901.8420000000006</v>
      </c>
      <c r="Y69" s="131">
        <f t="shared" ref="Y69:Y70" si="51">B69*X69</f>
        <v>7254605.0000000009</v>
      </c>
      <c r="Z69" s="138">
        <f>(C20*1.4)*Z66</f>
        <v>289.05799999999999</v>
      </c>
      <c r="AA69" s="124">
        <f t="shared" ref="AA69:AA70" si="52">Z69+X69</f>
        <v>3190.9000000000005</v>
      </c>
      <c r="AB69" s="131">
        <f t="shared" ref="AB69:AB70" si="53">B69*AA69</f>
        <v>7977250.0000000009</v>
      </c>
      <c r="AC69" s="138">
        <f>(C20*1.4)*AC66</f>
        <v>289.05799999999999</v>
      </c>
      <c r="AD69" s="124">
        <f t="shared" ref="AD69:AD70" si="54">AC69+AA69</f>
        <v>3479.9580000000005</v>
      </c>
      <c r="AE69" s="131">
        <f t="shared" ref="AE69:AE70" si="55">B69*AD69</f>
        <v>8699895.0000000019</v>
      </c>
      <c r="AF69" s="138">
        <f>(C20*1.4)*AF66</f>
        <v>315.33599999999996</v>
      </c>
      <c r="AG69" s="124">
        <f t="shared" ref="AG69:AG70" si="56">AF69+AD69</f>
        <v>3795.2940000000003</v>
      </c>
      <c r="AH69" s="131">
        <f t="shared" ref="AH69:AH70" si="57">B69*AG69</f>
        <v>9488235</v>
      </c>
      <c r="AI69" s="139">
        <f>(C20*1.4)*AI66</f>
        <v>341.61399999999998</v>
      </c>
      <c r="AJ69" s="124">
        <f t="shared" ref="AJ69:AJ70" si="58">AI69+AG69</f>
        <v>4136.9080000000004</v>
      </c>
      <c r="AK69" s="126">
        <f t="shared" ref="AK69:AK70" si="59">B69*AJ69</f>
        <v>10342270</v>
      </c>
      <c r="AL69" s="140">
        <f>(C20*1.4)*AL66</f>
        <v>367.892</v>
      </c>
      <c r="AM69" s="124">
        <f t="shared" ref="AM69:AM70" si="60">AL69+AJ69</f>
        <v>4504.8</v>
      </c>
      <c r="AN69" s="88">
        <f t="shared" ref="AN69:AN70" si="61">B69*AM69</f>
        <v>11262000</v>
      </c>
    </row>
    <row r="70" spans="1:61" ht="33" customHeight="1" thickBot="1" x14ac:dyDescent="0.3">
      <c r="A70" s="92" t="s">
        <v>64</v>
      </c>
      <c r="B70" s="89">
        <f>Hipótesis!C55</f>
        <v>4000</v>
      </c>
      <c r="C70" s="111">
        <v>2124</v>
      </c>
      <c r="D70" s="136">
        <f t="shared" si="37"/>
        <v>8496000</v>
      </c>
      <c r="E70" s="153">
        <f>(C21*1.4)*E66</f>
        <v>29.231999999999999</v>
      </c>
      <c r="F70" s="154">
        <f t="shared" si="38"/>
        <v>1073.232</v>
      </c>
      <c r="G70" s="132">
        <f t="shared" si="39"/>
        <v>4292928</v>
      </c>
      <c r="H70" s="143">
        <f>((C21*1.4)*H66)</f>
        <v>58.463999999999999</v>
      </c>
      <c r="I70" s="142">
        <f t="shared" si="40"/>
        <v>1131.6959999999999</v>
      </c>
      <c r="J70" s="132">
        <f t="shared" si="41"/>
        <v>4526784</v>
      </c>
      <c r="K70" s="143">
        <f>(C21*1.4)*K66</f>
        <v>58.463999999999999</v>
      </c>
      <c r="L70" s="142">
        <f t="shared" si="42"/>
        <v>1190.1599999999999</v>
      </c>
      <c r="M70" s="132">
        <f t="shared" si="43"/>
        <v>4760639.9999999991</v>
      </c>
      <c r="N70" s="143">
        <f>(C21*1.4)*N66</f>
        <v>73.08</v>
      </c>
      <c r="O70" s="142">
        <f t="shared" si="44"/>
        <v>1263.2399999999998</v>
      </c>
      <c r="P70" s="132">
        <f t="shared" si="45"/>
        <v>5052959.9999999991</v>
      </c>
      <c r="Q70" s="143">
        <f>(C21*1.4)*Q66</f>
        <v>87.695999999999998</v>
      </c>
      <c r="R70" s="142">
        <f t="shared" si="46"/>
        <v>1350.9359999999997</v>
      </c>
      <c r="S70" s="132">
        <f t="shared" si="47"/>
        <v>5403743.9999999991</v>
      </c>
      <c r="T70" s="143">
        <f>(C21*1.4)*T66</f>
        <v>116.928</v>
      </c>
      <c r="U70" s="142">
        <f t="shared" si="48"/>
        <v>1467.8639999999996</v>
      </c>
      <c r="V70" s="132">
        <f t="shared" si="49"/>
        <v>5871455.9999999981</v>
      </c>
      <c r="W70" s="143">
        <f>(C21*1.4)*W66</f>
        <v>146.16</v>
      </c>
      <c r="X70" s="142">
        <f t="shared" si="50"/>
        <v>1614.0239999999997</v>
      </c>
      <c r="Y70" s="132">
        <f t="shared" si="51"/>
        <v>6456095.9999999991</v>
      </c>
      <c r="Z70" s="143">
        <f>(C21*1.4)*Z66</f>
        <v>160.77599999999998</v>
      </c>
      <c r="AA70" s="142">
        <f t="shared" si="52"/>
        <v>1774.7999999999997</v>
      </c>
      <c r="AB70" s="132">
        <f t="shared" si="53"/>
        <v>7099199.9999999991</v>
      </c>
      <c r="AC70" s="143">
        <f>(C21*1.4)*AC66</f>
        <v>160.77599999999998</v>
      </c>
      <c r="AD70" s="142">
        <f t="shared" si="54"/>
        <v>1935.5759999999998</v>
      </c>
      <c r="AE70" s="132">
        <f t="shared" si="55"/>
        <v>7742303.9999999991</v>
      </c>
      <c r="AF70" s="143">
        <f>(C21*1.4)*AF66</f>
        <v>175.392</v>
      </c>
      <c r="AG70" s="142">
        <f t="shared" si="56"/>
        <v>2110.9679999999998</v>
      </c>
      <c r="AH70" s="132">
        <f t="shared" si="57"/>
        <v>8443872</v>
      </c>
      <c r="AI70" s="144">
        <f>(C21*1.4)*AI66</f>
        <v>190.00799999999998</v>
      </c>
      <c r="AJ70" s="142">
        <f t="shared" si="58"/>
        <v>2300.9759999999997</v>
      </c>
      <c r="AK70" s="127">
        <f t="shared" si="59"/>
        <v>9203903.9999999981</v>
      </c>
      <c r="AL70" s="145">
        <f>(C21*1.4)*AL66</f>
        <v>204.624</v>
      </c>
      <c r="AM70" s="142">
        <f t="shared" si="60"/>
        <v>2505.5999999999995</v>
      </c>
      <c r="AN70" s="122">
        <f t="shared" si="61"/>
        <v>10022399.999999998</v>
      </c>
    </row>
    <row r="71" spans="1:61" ht="16.5" thickBot="1" x14ac:dyDescent="0.3">
      <c r="A71" s="537" t="s">
        <v>46</v>
      </c>
      <c r="B71" s="538"/>
      <c r="C71" s="81">
        <f>SUM(C68:C70)</f>
        <v>9809</v>
      </c>
      <c r="D71" s="80">
        <f>SUM(D68:D70)</f>
        <v>22736900</v>
      </c>
      <c r="E71" s="146"/>
      <c r="F71" s="119"/>
      <c r="G71" s="120">
        <f>SUM(G68:G70)</f>
        <v>11753535.199999999</v>
      </c>
      <c r="H71" s="147"/>
      <c r="I71" s="119"/>
      <c r="J71" s="120">
        <f>SUM(J68:J70)</f>
        <v>12393805.6</v>
      </c>
      <c r="K71" s="147"/>
      <c r="L71" s="119"/>
      <c r="M71" s="120">
        <f>SUM(M68:M70)</f>
        <v>13034076</v>
      </c>
      <c r="N71" s="147"/>
      <c r="O71" s="119"/>
      <c r="P71" s="120">
        <f>SUM(P68:P70)</f>
        <v>13834414</v>
      </c>
      <c r="Q71" s="147"/>
      <c r="R71" s="119"/>
      <c r="S71" s="120">
        <f>SUM(S68:S70)</f>
        <v>14794819.600000001</v>
      </c>
      <c r="T71" s="147"/>
      <c r="U71" s="119"/>
      <c r="V71" s="120">
        <f>SUM(V68:V70)</f>
        <v>16075360.399999999</v>
      </c>
      <c r="W71" s="147"/>
      <c r="X71" s="119"/>
      <c r="Y71" s="120">
        <f>SUM(Y68:Y70)</f>
        <v>17676036.399999999</v>
      </c>
      <c r="Z71" s="147"/>
      <c r="AA71" s="119"/>
      <c r="AB71" s="120">
        <f>SUM(AB68:AB70)</f>
        <v>19436780</v>
      </c>
      <c r="AC71" s="147"/>
      <c r="AD71" s="119"/>
      <c r="AE71" s="120">
        <f>SUM(AE68:AE70)</f>
        <v>21197523.600000001</v>
      </c>
      <c r="AF71" s="147"/>
      <c r="AG71" s="119"/>
      <c r="AH71" s="120">
        <f>SUM(AH68:AH70)</f>
        <v>23118334.800000001</v>
      </c>
      <c r="AI71" s="147"/>
      <c r="AJ71" s="119"/>
      <c r="AK71" s="120">
        <f>SUM(AK68:AK70)</f>
        <v>25199213.600000001</v>
      </c>
      <c r="AL71" s="147"/>
      <c r="AM71" s="119"/>
      <c r="AN71" s="120">
        <f>SUM(AN68:AN70)</f>
        <v>27440160</v>
      </c>
      <c r="AO71" s="18"/>
    </row>
    <row r="100" spans="1:61" ht="15.75" thickBot="1" x14ac:dyDescent="0.3"/>
    <row r="101" spans="1:61" ht="36.75" customHeight="1" thickBot="1" x14ac:dyDescent="0.45">
      <c r="A101" s="526" t="s">
        <v>98</v>
      </c>
      <c r="B101" s="527"/>
      <c r="C101" s="527"/>
      <c r="D101" s="527"/>
      <c r="E101" s="527"/>
      <c r="F101" s="527"/>
      <c r="G101" s="527"/>
      <c r="H101" s="527"/>
      <c r="I101" s="527"/>
      <c r="J101" s="527"/>
      <c r="K101" s="527"/>
      <c r="L101" s="527"/>
      <c r="M101" s="527"/>
      <c r="N101" s="527"/>
      <c r="O101" s="527"/>
      <c r="P101" s="527"/>
      <c r="Q101" s="527"/>
      <c r="R101" s="527"/>
      <c r="S101" s="527"/>
      <c r="T101" s="527"/>
      <c r="U101" s="527"/>
      <c r="V101" s="527"/>
      <c r="W101" s="527"/>
      <c r="X101" s="528"/>
      <c r="Y101" s="149"/>
      <c r="Z101" s="149"/>
      <c r="AA101" s="149"/>
      <c r="AB101" s="149"/>
      <c r="AC101" s="149"/>
      <c r="AD101" s="149"/>
      <c r="AE101" s="149"/>
      <c r="AF101" s="149"/>
      <c r="AG101" s="149"/>
      <c r="AH101" s="149"/>
      <c r="AI101" s="150"/>
      <c r="AJ101" s="99"/>
      <c r="AK101" s="99"/>
      <c r="AL101" s="99"/>
      <c r="AM101" s="99"/>
      <c r="AN101" s="99"/>
    </row>
    <row r="102" spans="1:61" ht="15" customHeight="1" x14ac:dyDescent="0.25">
      <c r="B102" s="558" t="s">
        <v>71</v>
      </c>
      <c r="C102" s="559" t="s">
        <v>72</v>
      </c>
      <c r="D102" s="559" t="s">
        <v>79</v>
      </c>
      <c r="E102" s="559" t="s">
        <v>81</v>
      </c>
      <c r="F102" s="531" t="s">
        <v>84</v>
      </c>
      <c r="G102" s="560" t="s">
        <v>88</v>
      </c>
      <c r="H102" s="531" t="s">
        <v>90</v>
      </c>
      <c r="I102" s="531" t="s">
        <v>91</v>
      </c>
      <c r="J102" s="531" t="s">
        <v>92</v>
      </c>
      <c r="K102" s="531" t="s">
        <v>93</v>
      </c>
      <c r="L102" s="531" t="s">
        <v>77</v>
      </c>
      <c r="M102" s="562"/>
      <c r="N102" s="562"/>
      <c r="O102" s="24"/>
      <c r="P102" s="24"/>
      <c r="Q102" s="24"/>
      <c r="R102" s="24"/>
      <c r="S102" s="24"/>
      <c r="T102" s="24"/>
      <c r="U102" s="24"/>
      <c r="V102" s="562"/>
      <c r="W102" s="562"/>
      <c r="X102" s="562"/>
      <c r="Y102" s="24"/>
      <c r="Z102" s="24"/>
      <c r="AA102" s="24"/>
      <c r="AB102" s="24"/>
      <c r="AC102" s="155"/>
      <c r="AD102" s="24"/>
      <c r="AE102" s="24"/>
      <c r="AF102" s="155"/>
      <c r="AG102" s="24"/>
      <c r="AH102" s="24"/>
      <c r="AI102" s="155"/>
      <c r="AJ102" s="183"/>
      <c r="AK102" s="183"/>
      <c r="AL102" s="183"/>
      <c r="AM102" s="185"/>
      <c r="AN102" s="185"/>
    </row>
    <row r="103" spans="1:61" ht="35.25" customHeight="1" thickBot="1" x14ac:dyDescent="0.3">
      <c r="B103" s="530"/>
      <c r="C103" s="532"/>
      <c r="D103" s="532"/>
      <c r="E103" s="532"/>
      <c r="F103" s="532"/>
      <c r="G103" s="561"/>
      <c r="H103" s="532"/>
      <c r="I103" s="532"/>
      <c r="J103" s="532"/>
      <c r="K103" s="532"/>
      <c r="L103" s="532"/>
      <c r="M103" s="562"/>
      <c r="N103" s="562"/>
      <c r="O103" s="24"/>
      <c r="P103" s="24"/>
      <c r="Q103" s="24"/>
      <c r="R103" s="24"/>
      <c r="S103" s="24"/>
      <c r="T103" s="24"/>
      <c r="U103" s="24"/>
      <c r="V103" s="562"/>
      <c r="W103" s="562"/>
      <c r="X103" s="562"/>
      <c r="AA103" s="24"/>
      <c r="AB103" s="24"/>
      <c r="AC103" s="187"/>
      <c r="AD103" s="24"/>
      <c r="AE103" s="24"/>
      <c r="AF103" s="187"/>
      <c r="AG103" s="24"/>
      <c r="AH103" s="24"/>
      <c r="AI103" s="155"/>
      <c r="AJ103" s="183"/>
      <c r="AK103" s="183"/>
      <c r="AL103" s="183"/>
      <c r="AM103" s="185"/>
      <c r="AN103" s="185"/>
    </row>
    <row r="104" spans="1:61" ht="15" customHeight="1" x14ac:dyDescent="0.25">
      <c r="A104" s="100" t="s">
        <v>68</v>
      </c>
      <c r="B104" s="97">
        <v>80</v>
      </c>
      <c r="C104" s="97">
        <v>160</v>
      </c>
      <c r="D104" s="97">
        <v>160</v>
      </c>
      <c r="E104" s="97">
        <v>160</v>
      </c>
      <c r="F104" s="97">
        <v>160</v>
      </c>
      <c r="G104" s="97">
        <v>160</v>
      </c>
      <c r="H104" s="233">
        <v>160</v>
      </c>
      <c r="I104" s="97">
        <v>160</v>
      </c>
      <c r="J104" s="97">
        <v>160</v>
      </c>
      <c r="K104" s="95">
        <v>160</v>
      </c>
      <c r="L104" s="97">
        <v>160</v>
      </c>
      <c r="M104" s="187"/>
      <c r="N104" s="187"/>
      <c r="O104" s="24"/>
      <c r="P104" s="24"/>
      <c r="Q104" s="24"/>
      <c r="R104" s="24"/>
      <c r="S104" s="24"/>
      <c r="T104" s="24"/>
      <c r="U104" s="24"/>
      <c r="V104" s="187"/>
      <c r="W104" s="187"/>
      <c r="X104" s="187"/>
      <c r="Z104" s="514"/>
      <c r="AA104" s="514"/>
      <c r="AB104" s="514"/>
      <c r="AC104" s="188"/>
      <c r="AD104" s="24"/>
      <c r="AE104" s="24"/>
      <c r="AF104" s="188"/>
      <c r="AG104" s="24"/>
      <c r="AH104" s="24"/>
      <c r="AI104" s="187"/>
      <c r="AJ104" s="185"/>
      <c r="AK104" s="185"/>
      <c r="AL104" s="185"/>
      <c r="AM104" s="185"/>
      <c r="AN104" s="185"/>
    </row>
    <row r="105" spans="1:61" ht="15" customHeight="1" x14ac:dyDescent="0.25">
      <c r="A105" s="100" t="s">
        <v>69</v>
      </c>
      <c r="B105" s="107">
        <v>180000</v>
      </c>
      <c r="C105" s="107">
        <v>130000</v>
      </c>
      <c r="D105" s="107">
        <v>100000</v>
      </c>
      <c r="E105" s="107">
        <v>120000</v>
      </c>
      <c r="F105" s="107">
        <v>150000</v>
      </c>
      <c r="G105" s="107">
        <v>55000</v>
      </c>
      <c r="H105" s="109">
        <v>150000</v>
      </c>
      <c r="I105" s="107">
        <v>80000</v>
      </c>
      <c r="J105" s="107">
        <v>80000</v>
      </c>
      <c r="K105" s="109">
        <v>70000</v>
      </c>
      <c r="L105" s="107">
        <v>80000</v>
      </c>
      <c r="M105" s="188"/>
      <c r="N105" s="188"/>
      <c r="O105" s="24"/>
      <c r="P105" s="24"/>
      <c r="Q105" s="24"/>
      <c r="R105" s="24"/>
      <c r="S105" s="24"/>
      <c r="T105" s="24"/>
      <c r="U105" s="24"/>
      <c r="V105" s="188"/>
      <c r="W105" s="188"/>
      <c r="X105" s="188"/>
      <c r="Z105" s="514"/>
      <c r="AA105" s="514"/>
      <c r="AB105" s="514"/>
      <c r="AC105" s="187"/>
      <c r="AD105" s="24"/>
      <c r="AE105" s="24"/>
      <c r="AF105" s="187"/>
      <c r="AG105" s="24"/>
      <c r="AH105" s="24"/>
      <c r="AI105" s="188"/>
      <c r="AJ105" s="185"/>
      <c r="AK105" s="185"/>
      <c r="AL105" s="185"/>
      <c r="AM105" s="185"/>
      <c r="AN105" s="185"/>
    </row>
    <row r="106" spans="1:61" ht="15.75" customHeight="1" thickBot="1" x14ac:dyDescent="0.3">
      <c r="A106" s="101" t="s">
        <v>70</v>
      </c>
      <c r="B106" s="98">
        <v>1</v>
      </c>
      <c r="C106" s="98">
        <v>1</v>
      </c>
      <c r="D106" s="98">
        <v>1</v>
      </c>
      <c r="E106" s="98">
        <v>1</v>
      </c>
      <c r="F106" s="98">
        <v>1</v>
      </c>
      <c r="G106" s="98">
        <v>1</v>
      </c>
      <c r="H106" s="96">
        <v>1</v>
      </c>
      <c r="I106" s="98">
        <v>1</v>
      </c>
      <c r="J106" s="98">
        <v>1</v>
      </c>
      <c r="K106" s="96">
        <v>1</v>
      </c>
      <c r="L106" s="98">
        <v>1</v>
      </c>
      <c r="M106" s="187"/>
      <c r="N106" s="187"/>
      <c r="O106" s="24"/>
      <c r="P106" s="24"/>
      <c r="Q106" s="24"/>
      <c r="R106" s="24"/>
      <c r="S106" s="24"/>
      <c r="T106" s="24"/>
      <c r="U106" s="24"/>
      <c r="V106" s="187"/>
      <c r="W106" s="187"/>
      <c r="X106" s="187"/>
      <c r="Z106" s="514"/>
      <c r="AA106" s="514"/>
      <c r="AB106" s="514"/>
      <c r="AC106" s="185"/>
      <c r="AD106" s="185"/>
      <c r="AE106" s="185"/>
      <c r="AF106" s="185"/>
      <c r="AG106" s="185"/>
      <c r="AH106" s="185"/>
      <c r="AI106" s="187"/>
      <c r="AJ106" s="185"/>
      <c r="AK106" s="185"/>
      <c r="AL106" s="185"/>
      <c r="AM106" s="185"/>
      <c r="AN106" s="185"/>
    </row>
    <row r="107" spans="1:61" ht="37.5" customHeight="1" thickBot="1" x14ac:dyDescent="0.35">
      <c r="A107" s="102" t="s">
        <v>95</v>
      </c>
      <c r="B107" s="104">
        <f>SUM(B105:AF105)</f>
        <v>1195000</v>
      </c>
      <c r="C107" s="515"/>
      <c r="D107" s="516"/>
      <c r="E107" s="516"/>
      <c r="F107" s="516"/>
      <c r="G107" s="516"/>
      <c r="H107" s="516"/>
      <c r="I107" s="516"/>
      <c r="J107" s="516"/>
      <c r="K107" s="516"/>
      <c r="L107" s="516"/>
      <c r="M107" s="516"/>
      <c r="N107" s="516"/>
      <c r="O107" s="516"/>
      <c r="P107" s="516"/>
      <c r="Q107" s="516"/>
      <c r="R107" s="516"/>
      <c r="S107" s="516"/>
      <c r="T107" s="516"/>
      <c r="U107" s="516"/>
      <c r="V107" s="516"/>
      <c r="W107" s="516"/>
      <c r="X107" s="516"/>
      <c r="Y107" s="516"/>
      <c r="Z107" s="516"/>
      <c r="AA107" s="516"/>
      <c r="AB107" s="516"/>
      <c r="AC107" s="516"/>
      <c r="AD107" s="516"/>
      <c r="AE107" s="516"/>
      <c r="AF107" s="516"/>
      <c r="AG107" s="516"/>
      <c r="AH107" s="516"/>
      <c r="AI107" s="516"/>
      <c r="AJ107" s="516"/>
      <c r="AK107" s="516"/>
      <c r="AL107" s="516"/>
      <c r="AM107" s="516"/>
      <c r="AN107" s="516"/>
      <c r="AO107" s="516"/>
    </row>
    <row r="108" spans="1:61" ht="30" customHeight="1" thickBot="1" x14ac:dyDescent="0.3">
      <c r="A108" s="103" t="s">
        <v>94</v>
      </c>
      <c r="B108" s="104">
        <f>B107*12</f>
        <v>14340000</v>
      </c>
      <c r="C108" s="515"/>
      <c r="D108" s="516"/>
      <c r="E108" s="516"/>
      <c r="F108" s="516"/>
      <c r="G108" s="516"/>
      <c r="H108" s="516"/>
      <c r="I108" s="516"/>
      <c r="J108" s="516"/>
      <c r="K108" s="516"/>
      <c r="L108" s="516"/>
      <c r="M108" s="516"/>
      <c r="N108" s="516"/>
      <c r="O108" s="516"/>
      <c r="P108" s="516"/>
      <c r="Q108" s="516"/>
      <c r="R108" s="516"/>
      <c r="S108" s="516"/>
      <c r="T108" s="516"/>
      <c r="U108" s="516"/>
      <c r="V108" s="516"/>
      <c r="W108" s="516"/>
      <c r="X108" s="516"/>
      <c r="Y108" s="516"/>
      <c r="Z108" s="516"/>
      <c r="AA108" s="516"/>
      <c r="AB108" s="516"/>
      <c r="AC108" s="516"/>
      <c r="AD108" s="516"/>
      <c r="AE108" s="516"/>
      <c r="AF108" s="516"/>
      <c r="AG108" s="516"/>
      <c r="AH108" s="516"/>
      <c r="AI108" s="516"/>
      <c r="AJ108" s="516"/>
      <c r="AK108" s="516"/>
      <c r="AL108" s="516"/>
      <c r="AM108" s="516"/>
      <c r="AN108" s="516"/>
      <c r="AO108" s="516"/>
    </row>
    <row r="109" spans="1:61" ht="30" customHeight="1" x14ac:dyDescent="0.25">
      <c r="A109" s="178"/>
      <c r="B109" s="177"/>
      <c r="C109" s="176"/>
      <c r="D109" s="85"/>
      <c r="E109" s="85"/>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549" t="s">
        <v>97</v>
      </c>
      <c r="B112" s="550"/>
      <c r="C112" s="550"/>
      <c r="D112" s="550"/>
      <c r="E112" s="550"/>
      <c r="F112" s="550"/>
      <c r="G112" s="550"/>
      <c r="H112" s="551"/>
      <c r="I112" s="551"/>
      <c r="J112" s="551"/>
      <c r="K112" s="551"/>
      <c r="L112" s="550"/>
      <c r="M112" s="550"/>
      <c r="N112" s="550"/>
      <c r="O112" s="550"/>
      <c r="P112" s="550"/>
      <c r="Q112" s="550"/>
      <c r="R112" s="550"/>
      <c r="S112" s="550"/>
      <c r="T112" s="550"/>
      <c r="U112" s="550"/>
      <c r="V112" s="550"/>
      <c r="W112" s="550"/>
      <c r="X112" s="550"/>
      <c r="Y112" s="550"/>
      <c r="Z112" s="550"/>
      <c r="AA112" s="550"/>
      <c r="AB112" s="550"/>
      <c r="AC112" s="550"/>
      <c r="AD112" s="550"/>
      <c r="AE112" s="550"/>
      <c r="AF112" s="550"/>
      <c r="AG112" s="550"/>
      <c r="AH112" s="550"/>
      <c r="AI112" s="550"/>
      <c r="AJ112" s="550"/>
      <c r="AK112" s="550"/>
      <c r="AL112" s="550"/>
      <c r="AM112" s="550"/>
      <c r="AN112" s="552"/>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553" t="s">
        <v>11</v>
      </c>
      <c r="B113" s="553" t="s">
        <v>12</v>
      </c>
      <c r="C113" s="556" t="s">
        <v>38</v>
      </c>
      <c r="D113" s="557"/>
      <c r="E113" s="539" t="s">
        <v>18</v>
      </c>
      <c r="F113" s="540"/>
      <c r="G113" s="540"/>
      <c r="H113" s="539" t="s">
        <v>19</v>
      </c>
      <c r="I113" s="540"/>
      <c r="J113" s="541"/>
      <c r="K113" s="539" t="s">
        <v>20</v>
      </c>
      <c r="L113" s="540"/>
      <c r="M113" s="541"/>
      <c r="N113" s="539" t="s">
        <v>21</v>
      </c>
      <c r="O113" s="540"/>
      <c r="P113" s="541"/>
      <c r="Q113" s="539" t="s">
        <v>22</v>
      </c>
      <c r="R113" s="540"/>
      <c r="S113" s="541"/>
      <c r="T113" s="539" t="s">
        <v>23</v>
      </c>
      <c r="U113" s="540"/>
      <c r="V113" s="541"/>
      <c r="W113" s="539" t="s">
        <v>24</v>
      </c>
      <c r="X113" s="540"/>
      <c r="Y113" s="541"/>
      <c r="Z113" s="539" t="s">
        <v>25</v>
      </c>
      <c r="AA113" s="540"/>
      <c r="AB113" s="541"/>
      <c r="AC113" s="539" t="s">
        <v>26</v>
      </c>
      <c r="AD113" s="540"/>
      <c r="AE113" s="541"/>
      <c r="AF113" s="539" t="s">
        <v>27</v>
      </c>
      <c r="AG113" s="540"/>
      <c r="AH113" s="541"/>
      <c r="AI113" s="539" t="s">
        <v>28</v>
      </c>
      <c r="AJ113" s="540"/>
      <c r="AK113" s="541"/>
      <c r="AL113" s="539" t="s">
        <v>29</v>
      </c>
      <c r="AM113" s="540"/>
      <c r="AN113" s="541"/>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554"/>
      <c r="B114" s="554"/>
      <c r="C114" s="542" t="s">
        <v>37</v>
      </c>
      <c r="D114" s="544" t="s">
        <v>17</v>
      </c>
      <c r="E114" s="546">
        <v>0.02</v>
      </c>
      <c r="F114" s="547"/>
      <c r="G114" s="547"/>
      <c r="H114" s="546">
        <v>0.04</v>
      </c>
      <c r="I114" s="547"/>
      <c r="J114" s="548"/>
      <c r="K114" s="546">
        <v>0.04</v>
      </c>
      <c r="L114" s="547"/>
      <c r="M114" s="548"/>
      <c r="N114" s="546">
        <v>0.05</v>
      </c>
      <c r="O114" s="547"/>
      <c r="P114" s="548"/>
      <c r="Q114" s="546">
        <v>0.06</v>
      </c>
      <c r="R114" s="547"/>
      <c r="S114" s="548"/>
      <c r="T114" s="546">
        <v>0.08</v>
      </c>
      <c r="U114" s="547"/>
      <c r="V114" s="548"/>
      <c r="W114" s="546">
        <v>0.1</v>
      </c>
      <c r="X114" s="547"/>
      <c r="Y114" s="548"/>
      <c r="Z114" s="546">
        <v>0.11</v>
      </c>
      <c r="AA114" s="547"/>
      <c r="AB114" s="548"/>
      <c r="AC114" s="546">
        <v>0.11</v>
      </c>
      <c r="AD114" s="547"/>
      <c r="AE114" s="548"/>
      <c r="AF114" s="546">
        <v>0.12</v>
      </c>
      <c r="AG114" s="547"/>
      <c r="AH114" s="548"/>
      <c r="AI114" s="546">
        <v>0.13</v>
      </c>
      <c r="AJ114" s="547"/>
      <c r="AK114" s="548"/>
      <c r="AL114" s="546">
        <v>0.14000000000000001</v>
      </c>
      <c r="AM114" s="547"/>
      <c r="AN114" s="548"/>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555"/>
      <c r="B115" s="555"/>
      <c r="C115" s="543"/>
      <c r="D115" s="545"/>
      <c r="E115" s="223" t="s">
        <v>116</v>
      </c>
      <c r="F115" s="230" t="s">
        <v>117</v>
      </c>
      <c r="G115" s="232" t="s">
        <v>17</v>
      </c>
      <c r="H115" s="223" t="s">
        <v>116</v>
      </c>
      <c r="I115" s="230" t="s">
        <v>117</v>
      </c>
      <c r="J115" s="231" t="s">
        <v>17</v>
      </c>
      <c r="K115" s="115" t="s">
        <v>116</v>
      </c>
      <c r="L115" s="78" t="s">
        <v>117</v>
      </c>
      <c r="M115" s="79" t="s">
        <v>17</v>
      </c>
      <c r="N115" s="115" t="s">
        <v>116</v>
      </c>
      <c r="O115" s="78" t="s">
        <v>117</v>
      </c>
      <c r="P115" s="79" t="s">
        <v>17</v>
      </c>
      <c r="Q115" s="115" t="s">
        <v>116</v>
      </c>
      <c r="R115" s="78" t="s">
        <v>117</v>
      </c>
      <c r="S115" s="79" t="s">
        <v>17</v>
      </c>
      <c r="T115" s="115" t="s">
        <v>116</v>
      </c>
      <c r="U115" s="78" t="s">
        <v>117</v>
      </c>
      <c r="V115" s="79" t="s">
        <v>17</v>
      </c>
      <c r="W115" s="115" t="s">
        <v>116</v>
      </c>
      <c r="X115" s="78" t="s">
        <v>117</v>
      </c>
      <c r="Y115" s="79" t="s">
        <v>17</v>
      </c>
      <c r="Z115" s="115" t="s">
        <v>116</v>
      </c>
      <c r="AA115" s="78" t="s">
        <v>117</v>
      </c>
      <c r="AB115" s="79" t="s">
        <v>17</v>
      </c>
      <c r="AC115" s="115" t="s">
        <v>116</v>
      </c>
      <c r="AD115" s="78" t="s">
        <v>117</v>
      </c>
      <c r="AE115" s="79" t="s">
        <v>17</v>
      </c>
      <c r="AF115" s="115" t="s">
        <v>116</v>
      </c>
      <c r="AG115" s="78" t="s">
        <v>117</v>
      </c>
      <c r="AH115" s="79" t="s">
        <v>17</v>
      </c>
      <c r="AI115" s="115" t="s">
        <v>116</v>
      </c>
      <c r="AJ115" s="78" t="s">
        <v>117</v>
      </c>
      <c r="AK115" s="79" t="s">
        <v>17</v>
      </c>
      <c r="AL115" s="115" t="s">
        <v>116</v>
      </c>
      <c r="AM115" s="78" t="s">
        <v>117</v>
      </c>
      <c r="AN115" s="79"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0" t="s">
        <v>65</v>
      </c>
      <c r="B116" s="87">
        <f>Hipótesis!C49</f>
        <v>1300</v>
      </c>
      <c r="C116" s="112">
        <v>9384</v>
      </c>
      <c r="D116" s="114">
        <f>B116*C116</f>
        <v>12199200</v>
      </c>
      <c r="E116" s="173">
        <f>(C68*1.1)*$E114</f>
        <v>91.146000000000001</v>
      </c>
      <c r="F116" s="174">
        <f>E116+AM68</f>
        <v>4826.3459999999995</v>
      </c>
      <c r="G116" s="229">
        <f>F116*B116</f>
        <v>6274249.7999999998</v>
      </c>
      <c r="H116" s="175">
        <f>(C68*1.1)*$H114</f>
        <v>182.292</v>
      </c>
      <c r="I116" s="174">
        <f>H116 + F116</f>
        <v>5008.6379999999999</v>
      </c>
      <c r="J116" s="229">
        <f>B116*I116</f>
        <v>6511229.3999999994</v>
      </c>
      <c r="K116" s="175">
        <f>(C68*1.1)*$K114</f>
        <v>182.292</v>
      </c>
      <c r="L116" s="121">
        <f>K116+ I116</f>
        <v>5190.93</v>
      </c>
      <c r="M116" s="130">
        <f>B116*L116</f>
        <v>6748209</v>
      </c>
      <c r="N116" s="133">
        <f>(C68*1.1)*$N114</f>
        <v>227.86500000000001</v>
      </c>
      <c r="O116" s="121">
        <f>N116+L116</f>
        <v>5418.7950000000001</v>
      </c>
      <c r="P116" s="130">
        <f>B116*O116</f>
        <v>7044433.5</v>
      </c>
      <c r="Q116" s="133">
        <f>(C68*1.1)*$Q114</f>
        <v>273.43799999999999</v>
      </c>
      <c r="R116" s="121">
        <f>Q116+O116</f>
        <v>5692.2330000000002</v>
      </c>
      <c r="S116" s="130">
        <f>B116*R116</f>
        <v>7399902.9000000004</v>
      </c>
      <c r="T116" s="133">
        <f>(C68*1.1)*T114</f>
        <v>364.584</v>
      </c>
      <c r="U116" s="121">
        <f>T116+R116</f>
        <v>6056.817</v>
      </c>
      <c r="V116" s="130">
        <f>B116*U116</f>
        <v>7873862.0999999996</v>
      </c>
      <c r="W116" s="133">
        <f>(C68*1.1)*$W114</f>
        <v>455.73</v>
      </c>
      <c r="X116" s="121">
        <f>W116+U116</f>
        <v>6512.5470000000005</v>
      </c>
      <c r="Y116" s="130">
        <f>B116*X116</f>
        <v>8466311.1000000015</v>
      </c>
      <c r="Z116" s="133">
        <f>(C68*1.1)*Z114</f>
        <v>501.303</v>
      </c>
      <c r="AA116" s="121">
        <f>Z116+X116</f>
        <v>7013.85</v>
      </c>
      <c r="AB116" s="130">
        <f>B116*AA116</f>
        <v>9118005</v>
      </c>
      <c r="AC116" s="133">
        <f>(C68*1.1)*AC114</f>
        <v>501.303</v>
      </c>
      <c r="AD116" s="121">
        <f>AC116+AA116</f>
        <v>7515.1530000000002</v>
      </c>
      <c r="AE116" s="130">
        <f>B116*AD116</f>
        <v>9769698.9000000004</v>
      </c>
      <c r="AF116" s="133">
        <f>(C68*1.1)*$AF114</f>
        <v>546.87599999999998</v>
      </c>
      <c r="AG116" s="121">
        <f>AF116+AD116</f>
        <v>8062.0290000000005</v>
      </c>
      <c r="AH116" s="130">
        <f>B116*AG116</f>
        <v>10480637.700000001</v>
      </c>
      <c r="AI116" s="128">
        <f>(C68*1.1)*AI114</f>
        <v>592.44900000000007</v>
      </c>
      <c r="AJ116" s="121">
        <f>AI116+AG116</f>
        <v>8654.478000000001</v>
      </c>
      <c r="AK116" s="125">
        <f>B116*AJ116</f>
        <v>11250821.4</v>
      </c>
      <c r="AL116" s="123">
        <f>(C68*1.1)*AL114</f>
        <v>638.02200000000005</v>
      </c>
      <c r="AM116" s="121">
        <f>AL116+AJ116</f>
        <v>9292.5000000000018</v>
      </c>
      <c r="AN116" s="87">
        <f>B116*AM116</f>
        <v>12080250.000000002</v>
      </c>
    </row>
    <row r="117" spans="1:61" ht="33" customHeight="1" thickBot="1" x14ac:dyDescent="0.3">
      <c r="A117" s="91" t="s">
        <v>63</v>
      </c>
      <c r="B117" s="88">
        <f>Hipótesis!C52</f>
        <v>2500</v>
      </c>
      <c r="C117" s="110">
        <v>7587</v>
      </c>
      <c r="D117" s="116">
        <f t="shared" ref="D117:D118" si="62">B117*C117</f>
        <v>18967500</v>
      </c>
      <c r="E117" s="151">
        <f>(C69*1.1)*$E114</f>
        <v>77.924000000000007</v>
      </c>
      <c r="F117" s="152">
        <f>E117+AM69</f>
        <v>4582.7240000000002</v>
      </c>
      <c r="G117" s="131">
        <f t="shared" ref="G117:G118" si="63">F117*B117</f>
        <v>11456810</v>
      </c>
      <c r="H117" s="167">
        <f>(C69*1.1)*$H114</f>
        <v>155.84800000000001</v>
      </c>
      <c r="I117" s="124">
        <f t="shared" ref="I117:I118" si="64">H117 + F117</f>
        <v>4738.5720000000001</v>
      </c>
      <c r="J117" s="131">
        <f t="shared" ref="J117:J118" si="65">B117*I117</f>
        <v>11846430</v>
      </c>
      <c r="K117" s="167">
        <f>(C69*1.1)*$K114</f>
        <v>155.84800000000001</v>
      </c>
      <c r="L117" s="124">
        <f t="shared" ref="L117:L118" si="66">K117+ I117</f>
        <v>4894.42</v>
      </c>
      <c r="M117" s="131">
        <f t="shared" ref="M117:M118" si="67">B117*L117</f>
        <v>12236050</v>
      </c>
      <c r="N117" s="167">
        <f>(C69*1.1)*$N114</f>
        <v>194.81000000000003</v>
      </c>
      <c r="O117" s="124">
        <f t="shared" ref="O117:O118" si="68">N117+L117</f>
        <v>5089.2300000000005</v>
      </c>
      <c r="P117" s="131">
        <f t="shared" ref="P117:P118" si="69">B117*O117</f>
        <v>12723075.000000002</v>
      </c>
      <c r="Q117" s="167">
        <f>(C69*1.1)*$Q114</f>
        <v>233.77200000000002</v>
      </c>
      <c r="R117" s="124">
        <f t="shared" ref="R117:R118" si="70">Q117+O117</f>
        <v>5323.0020000000004</v>
      </c>
      <c r="S117" s="131">
        <f t="shared" ref="S117:S118" si="71">B117*R117</f>
        <v>13307505.000000002</v>
      </c>
      <c r="T117" s="167">
        <f>(C69*1.1)*T114</f>
        <v>311.69600000000003</v>
      </c>
      <c r="U117" s="124">
        <f t="shared" ref="U117:U118" si="72">T117+R117</f>
        <v>5634.6980000000003</v>
      </c>
      <c r="V117" s="131">
        <f t="shared" ref="V117:V118" si="73">B117*U117</f>
        <v>14086745</v>
      </c>
      <c r="W117" s="167">
        <f>(C69*1.1)*$W114</f>
        <v>389.62000000000006</v>
      </c>
      <c r="X117" s="124">
        <f t="shared" ref="X117:X118" si="74">W117+U117</f>
        <v>6024.3180000000002</v>
      </c>
      <c r="Y117" s="131">
        <f t="shared" ref="Y117:Y118" si="75">B117*X117</f>
        <v>15060795</v>
      </c>
      <c r="Z117" s="167">
        <f>(C69*1.1)*Z114</f>
        <v>428.58200000000005</v>
      </c>
      <c r="AA117" s="124">
        <f t="shared" ref="AA117:AA118" si="76">Z117+X117</f>
        <v>6452.9000000000005</v>
      </c>
      <c r="AB117" s="131">
        <f t="shared" ref="AB117:AB118" si="77">B117*AA117</f>
        <v>16132250.000000002</v>
      </c>
      <c r="AC117" s="167">
        <f>(C69*1.1)*AC114</f>
        <v>428.58200000000005</v>
      </c>
      <c r="AD117" s="124">
        <f t="shared" ref="AD117:AD118" si="78">AC117+AA117</f>
        <v>6881.4820000000009</v>
      </c>
      <c r="AE117" s="131">
        <f t="shared" ref="AE117:AE118" si="79">B117*AD117</f>
        <v>17203705.000000004</v>
      </c>
      <c r="AF117" s="167">
        <f>(C69*1.1)*$AF114</f>
        <v>467.54400000000004</v>
      </c>
      <c r="AG117" s="124">
        <f t="shared" ref="AG117:AG118" si="80">AF117+AD117</f>
        <v>7349.0260000000007</v>
      </c>
      <c r="AH117" s="131">
        <f t="shared" ref="AH117:AH118" si="81">B117*AG117</f>
        <v>18372565.000000004</v>
      </c>
      <c r="AI117" s="168">
        <f>(C69*1.1)*AI114</f>
        <v>506.50600000000003</v>
      </c>
      <c r="AJ117" s="124">
        <f t="shared" ref="AJ117:AJ118" si="82">AI117+AG117</f>
        <v>7855.5320000000011</v>
      </c>
      <c r="AK117" s="126">
        <f t="shared" ref="AK117:AK118" si="83">B117*AJ117</f>
        <v>19638830.000000004</v>
      </c>
      <c r="AL117" s="169">
        <f>(C69*1.1)*AL114</f>
        <v>545.46800000000007</v>
      </c>
      <c r="AM117" s="124">
        <f t="shared" ref="AM117:AM118" si="84">AL117+AJ117</f>
        <v>8401.0000000000018</v>
      </c>
      <c r="AN117" s="88">
        <f t="shared" ref="AN117:AN118" si="85">B117*AM117</f>
        <v>21002500.000000004</v>
      </c>
    </row>
    <row r="118" spans="1:61" ht="33" customHeight="1" thickBot="1" x14ac:dyDescent="0.3">
      <c r="A118" s="92" t="s">
        <v>64</v>
      </c>
      <c r="B118" s="89">
        <f>Hipótesis!C55</f>
        <v>4000</v>
      </c>
      <c r="C118" s="111">
        <v>3575</v>
      </c>
      <c r="D118" s="136">
        <f t="shared" si="62"/>
        <v>14300000</v>
      </c>
      <c r="E118" s="227">
        <f>(C70*1.1)*$E114</f>
        <v>46.728000000000002</v>
      </c>
      <c r="F118" s="228">
        <f>E118+AM70</f>
        <v>2552.3279999999995</v>
      </c>
      <c r="G118" s="132">
        <f t="shared" si="63"/>
        <v>10209311.999999998</v>
      </c>
      <c r="H118" s="170">
        <f>(C70*1.1)*$H114</f>
        <v>93.456000000000003</v>
      </c>
      <c r="I118" s="142">
        <f t="shared" si="64"/>
        <v>2645.7839999999997</v>
      </c>
      <c r="J118" s="132">
        <f t="shared" si="65"/>
        <v>10583135.999999998</v>
      </c>
      <c r="K118" s="170">
        <f>(C70*1.1)*$K114</f>
        <v>93.456000000000003</v>
      </c>
      <c r="L118" s="142">
        <f t="shared" si="66"/>
        <v>2739.24</v>
      </c>
      <c r="M118" s="132">
        <f t="shared" si="67"/>
        <v>10956960</v>
      </c>
      <c r="N118" s="170">
        <f>(C70*1.1)*$N114</f>
        <v>116.82000000000001</v>
      </c>
      <c r="O118" s="142">
        <f t="shared" si="68"/>
        <v>2856.06</v>
      </c>
      <c r="P118" s="132">
        <f t="shared" si="69"/>
        <v>11424240</v>
      </c>
      <c r="Q118" s="170">
        <f>(C70*1.1)*$Q114</f>
        <v>140.184</v>
      </c>
      <c r="R118" s="142">
        <f t="shared" si="70"/>
        <v>2996.2440000000001</v>
      </c>
      <c r="S118" s="132">
        <f t="shared" si="71"/>
        <v>11984976</v>
      </c>
      <c r="T118" s="170">
        <f>(C70*1.1)*T114</f>
        <v>186.91200000000001</v>
      </c>
      <c r="U118" s="142">
        <f t="shared" si="72"/>
        <v>3183.1559999999999</v>
      </c>
      <c r="V118" s="132">
        <f t="shared" si="73"/>
        <v>12732624</v>
      </c>
      <c r="W118" s="170">
        <f>(C70*1.1)*$W114</f>
        <v>233.64000000000001</v>
      </c>
      <c r="X118" s="142">
        <f t="shared" si="74"/>
        <v>3416.7959999999998</v>
      </c>
      <c r="Y118" s="132">
        <f t="shared" si="75"/>
        <v>13667184</v>
      </c>
      <c r="Z118" s="170">
        <f>(C70*1.1)*Z114</f>
        <v>257.00400000000002</v>
      </c>
      <c r="AA118" s="142">
        <f t="shared" si="76"/>
        <v>3673.7999999999997</v>
      </c>
      <c r="AB118" s="132">
        <f t="shared" si="77"/>
        <v>14695199.999999998</v>
      </c>
      <c r="AC118" s="170">
        <f>(C70*1.1)*AC114</f>
        <v>257.00400000000002</v>
      </c>
      <c r="AD118" s="142">
        <f t="shared" si="78"/>
        <v>3930.8039999999996</v>
      </c>
      <c r="AE118" s="132">
        <f t="shared" si="79"/>
        <v>15723215.999999998</v>
      </c>
      <c r="AF118" s="170">
        <f>(C70*1.1)*$AF114</f>
        <v>280.36799999999999</v>
      </c>
      <c r="AG118" s="142">
        <f t="shared" si="80"/>
        <v>4211.1719999999996</v>
      </c>
      <c r="AH118" s="132">
        <f t="shared" si="81"/>
        <v>16844688</v>
      </c>
      <c r="AI118" s="171">
        <f>(C70*1.1)*AI114</f>
        <v>303.73200000000003</v>
      </c>
      <c r="AJ118" s="142">
        <f t="shared" si="82"/>
        <v>4514.9039999999995</v>
      </c>
      <c r="AK118" s="127">
        <f t="shared" si="83"/>
        <v>18059616</v>
      </c>
      <c r="AL118" s="172">
        <f>(C70*1.1)*AL114</f>
        <v>327.09600000000006</v>
      </c>
      <c r="AM118" s="142">
        <f t="shared" si="84"/>
        <v>4842</v>
      </c>
      <c r="AN118" s="122">
        <f t="shared" si="85"/>
        <v>19368000</v>
      </c>
    </row>
    <row r="119" spans="1:61" ht="16.5" thickBot="1" x14ac:dyDescent="0.3">
      <c r="A119" s="537" t="s">
        <v>46</v>
      </c>
      <c r="B119" s="538"/>
      <c r="C119" s="81">
        <f>SUM(C116:C118)</f>
        <v>20546</v>
      </c>
      <c r="D119" s="80">
        <f>SUM(D116:D118)</f>
        <v>45466700</v>
      </c>
      <c r="E119" s="146"/>
      <c r="F119" s="119"/>
      <c r="G119" s="120">
        <f>SUM(G116:G118)</f>
        <v>27940371.799999997</v>
      </c>
      <c r="H119" s="147"/>
      <c r="I119" s="119"/>
      <c r="J119" s="120">
        <f>SUM(J116:J118)</f>
        <v>28940795.399999999</v>
      </c>
      <c r="K119" s="147"/>
      <c r="L119" s="119"/>
      <c r="M119" s="120">
        <f>SUM(M116:M118)</f>
        <v>29941219</v>
      </c>
      <c r="N119" s="147"/>
      <c r="O119" s="119"/>
      <c r="P119" s="120">
        <f>SUM(P116:P118)</f>
        <v>31191748.5</v>
      </c>
      <c r="Q119" s="147"/>
      <c r="R119" s="119"/>
      <c r="S119" s="120">
        <f>SUM(S116:S118)</f>
        <v>32692383.900000002</v>
      </c>
      <c r="T119" s="147"/>
      <c r="U119" s="119"/>
      <c r="V119" s="120">
        <f>SUM(V116:V118)</f>
        <v>34693231.100000001</v>
      </c>
      <c r="W119" s="147"/>
      <c r="X119" s="119"/>
      <c r="Y119" s="120">
        <f>SUM(Y116:Y118)</f>
        <v>37194290.100000001</v>
      </c>
      <c r="Z119" s="147"/>
      <c r="AA119" s="119"/>
      <c r="AB119" s="120">
        <f>SUM(AB116:AB118)</f>
        <v>39945455</v>
      </c>
      <c r="AC119" s="147"/>
      <c r="AD119" s="119"/>
      <c r="AE119" s="120">
        <f>SUM(AE116:AE118)</f>
        <v>42696619.900000006</v>
      </c>
      <c r="AF119" s="147"/>
      <c r="AG119" s="119"/>
      <c r="AH119" s="120">
        <f>SUM(AH116:AH118)</f>
        <v>45697890.700000003</v>
      </c>
      <c r="AI119" s="147"/>
      <c r="AJ119" s="119"/>
      <c r="AK119" s="120">
        <f>SUM(AK116:AK118)</f>
        <v>48949267.400000006</v>
      </c>
      <c r="AL119" s="147"/>
      <c r="AM119" s="119"/>
      <c r="AN119" s="120">
        <f>SUM(AN116:AN118)</f>
        <v>52450750.000000007</v>
      </c>
      <c r="AO119" s="18"/>
    </row>
    <row r="147" spans="1:40" ht="15.75" thickBot="1" x14ac:dyDescent="0.3"/>
    <row r="148" spans="1:40" ht="36.75" customHeight="1" thickBot="1" x14ac:dyDescent="0.45">
      <c r="A148" s="526" t="s">
        <v>99</v>
      </c>
      <c r="B148" s="527"/>
      <c r="C148" s="527"/>
      <c r="D148" s="527"/>
      <c r="E148" s="527"/>
      <c r="F148" s="527"/>
      <c r="G148" s="527"/>
      <c r="H148" s="527"/>
      <c r="I148" s="527"/>
      <c r="J148" s="527"/>
      <c r="K148" s="527"/>
      <c r="L148" s="527"/>
      <c r="M148" s="527"/>
      <c r="N148" s="527"/>
      <c r="O148" s="527"/>
      <c r="P148" s="527"/>
      <c r="Q148" s="527"/>
      <c r="R148" s="527"/>
      <c r="S148" s="527"/>
      <c r="T148" s="527"/>
      <c r="U148" s="527"/>
      <c r="V148" s="527"/>
      <c r="W148" s="527"/>
      <c r="X148" s="528"/>
      <c r="Y148" s="149"/>
      <c r="Z148" s="149"/>
      <c r="AA148" s="149"/>
      <c r="AB148" s="149"/>
      <c r="AC148" s="149"/>
      <c r="AD148" s="149"/>
      <c r="AE148" s="149"/>
      <c r="AF148" s="149"/>
      <c r="AG148" s="149"/>
      <c r="AH148" s="149"/>
      <c r="AI148" s="150"/>
      <c r="AJ148" s="99"/>
      <c r="AK148" s="99"/>
      <c r="AL148" s="99"/>
      <c r="AM148" s="99"/>
      <c r="AN148" s="99"/>
    </row>
    <row r="149" spans="1:40" ht="15" customHeight="1" x14ac:dyDescent="0.25">
      <c r="B149" s="529" t="s">
        <v>71</v>
      </c>
      <c r="C149" s="531" t="s">
        <v>72</v>
      </c>
      <c r="D149" s="533" t="s">
        <v>73</v>
      </c>
      <c r="E149" s="531" t="s">
        <v>74</v>
      </c>
      <c r="F149" s="531" t="s">
        <v>75</v>
      </c>
      <c r="G149" s="531" t="s">
        <v>76</v>
      </c>
      <c r="H149" s="531" t="s">
        <v>77</v>
      </c>
      <c r="I149" s="531" t="s">
        <v>78</v>
      </c>
      <c r="J149" s="531" t="s">
        <v>79</v>
      </c>
      <c r="K149" s="516" t="s">
        <v>80</v>
      </c>
      <c r="L149" s="531" t="s">
        <v>81</v>
      </c>
      <c r="M149" s="531" t="s">
        <v>82</v>
      </c>
      <c r="N149" s="531" t="s">
        <v>83</v>
      </c>
      <c r="O149" s="531" t="s">
        <v>84</v>
      </c>
      <c r="P149" s="531" t="s">
        <v>85</v>
      </c>
      <c r="Q149" s="531" t="s">
        <v>86</v>
      </c>
      <c r="R149" s="536" t="s">
        <v>87</v>
      </c>
      <c r="S149" s="531" t="s">
        <v>88</v>
      </c>
      <c r="T149" s="531" t="s">
        <v>89</v>
      </c>
      <c r="U149" s="531" t="s">
        <v>90</v>
      </c>
      <c r="V149" s="531" t="s">
        <v>91</v>
      </c>
      <c r="W149" s="531" t="s">
        <v>92</v>
      </c>
      <c r="X149" s="531" t="s">
        <v>93</v>
      </c>
      <c r="Y149" s="24"/>
      <c r="Z149" s="24"/>
      <c r="AA149" s="24"/>
      <c r="AB149" s="24"/>
      <c r="AC149" s="148"/>
      <c r="AD149" s="24"/>
      <c r="AE149" s="24"/>
      <c r="AF149" s="148"/>
      <c r="AG149" s="24"/>
      <c r="AH149" s="24"/>
      <c r="AI149" s="148"/>
      <c r="AJ149" s="82"/>
      <c r="AK149" s="82"/>
      <c r="AL149" s="82"/>
      <c r="AM149" s="84"/>
      <c r="AN149" s="84"/>
    </row>
    <row r="150" spans="1:40" ht="35.25" customHeight="1" thickBot="1" x14ac:dyDescent="0.3">
      <c r="B150" s="530"/>
      <c r="C150" s="532"/>
      <c r="D150" s="534"/>
      <c r="E150" s="532"/>
      <c r="F150" s="532"/>
      <c r="G150" s="532"/>
      <c r="H150" s="532"/>
      <c r="I150" s="532"/>
      <c r="J150" s="532"/>
      <c r="K150" s="535"/>
      <c r="L150" s="532"/>
      <c r="M150" s="532"/>
      <c r="N150" s="532"/>
      <c r="O150" s="532"/>
      <c r="P150" s="532"/>
      <c r="Q150" s="532"/>
      <c r="R150" s="535"/>
      <c r="S150" s="532"/>
      <c r="T150" s="532"/>
      <c r="U150" s="532"/>
      <c r="V150" s="532"/>
      <c r="W150" s="532"/>
      <c r="X150" s="532"/>
      <c r="AA150" s="24"/>
      <c r="AB150" s="24"/>
      <c r="AC150" s="94"/>
      <c r="AD150" s="24"/>
      <c r="AE150" s="24"/>
      <c r="AF150" s="94"/>
      <c r="AG150" s="24"/>
      <c r="AH150" s="24"/>
      <c r="AI150" s="83"/>
      <c r="AJ150" s="82"/>
      <c r="AK150" s="82"/>
      <c r="AL150" s="82"/>
      <c r="AM150" s="84"/>
      <c r="AN150" s="84"/>
    </row>
    <row r="151" spans="1:40" ht="15" customHeight="1" x14ac:dyDescent="0.25">
      <c r="A151" s="100" t="s">
        <v>68</v>
      </c>
      <c r="B151" s="97">
        <v>80</v>
      </c>
      <c r="C151" s="97">
        <v>160</v>
      </c>
      <c r="D151" s="105">
        <v>160</v>
      </c>
      <c r="E151" s="97">
        <v>160</v>
      </c>
      <c r="F151" s="97">
        <v>160</v>
      </c>
      <c r="G151" s="97">
        <v>160</v>
      </c>
      <c r="H151" s="97">
        <v>160</v>
      </c>
      <c r="I151" s="97">
        <v>160</v>
      </c>
      <c r="J151" s="97">
        <v>160</v>
      </c>
      <c r="K151" s="95">
        <v>160</v>
      </c>
      <c r="L151" s="97">
        <v>160</v>
      </c>
      <c r="M151" s="97">
        <v>160</v>
      </c>
      <c r="N151" s="97">
        <v>160</v>
      </c>
      <c r="O151" s="97">
        <v>160</v>
      </c>
      <c r="P151" s="97">
        <v>160</v>
      </c>
      <c r="Q151" s="97">
        <v>160</v>
      </c>
      <c r="R151" s="97">
        <v>160</v>
      </c>
      <c r="S151" s="97">
        <v>160</v>
      </c>
      <c r="T151" s="97">
        <v>160</v>
      </c>
      <c r="U151" s="97">
        <v>160</v>
      </c>
      <c r="V151" s="97">
        <v>160</v>
      </c>
      <c r="W151" s="97">
        <v>160</v>
      </c>
      <c r="X151" s="95">
        <v>160</v>
      </c>
      <c r="AA151" s="24"/>
      <c r="AB151" s="24"/>
      <c r="AC151" s="118"/>
      <c r="AD151" s="24"/>
      <c r="AE151" s="24"/>
      <c r="AF151" s="118"/>
      <c r="AG151" s="24"/>
      <c r="AH151" s="24"/>
      <c r="AI151" s="94"/>
      <c r="AJ151" s="84"/>
      <c r="AK151" s="84"/>
      <c r="AL151" s="84"/>
      <c r="AM151" s="84"/>
      <c r="AN151" s="84"/>
    </row>
    <row r="152" spans="1:40" ht="15" customHeight="1" x14ac:dyDescent="0.25">
      <c r="A152" s="100" t="s">
        <v>69</v>
      </c>
      <c r="B152" s="107">
        <v>180000</v>
      </c>
      <c r="C152" s="107">
        <v>130000</v>
      </c>
      <c r="D152" s="108">
        <v>60000</v>
      </c>
      <c r="E152" s="107">
        <v>45000</v>
      </c>
      <c r="F152" s="107">
        <v>60000</v>
      </c>
      <c r="G152" s="107">
        <v>60000</v>
      </c>
      <c r="H152" s="107">
        <v>80000</v>
      </c>
      <c r="I152" s="107">
        <v>45000</v>
      </c>
      <c r="J152" s="107">
        <v>100000</v>
      </c>
      <c r="K152" s="109">
        <v>60000</v>
      </c>
      <c r="L152" s="107">
        <v>120000</v>
      </c>
      <c r="M152" s="107">
        <v>65000</v>
      </c>
      <c r="N152" s="107">
        <v>45000</v>
      </c>
      <c r="O152" s="107">
        <v>150000</v>
      </c>
      <c r="P152" s="107">
        <v>80000</v>
      </c>
      <c r="Q152" s="107">
        <v>75000</v>
      </c>
      <c r="R152" s="107">
        <v>45000</v>
      </c>
      <c r="S152" s="107">
        <v>55000</v>
      </c>
      <c r="T152" s="107">
        <v>55000</v>
      </c>
      <c r="U152" s="107">
        <v>150000</v>
      </c>
      <c r="V152" s="107">
        <v>80000</v>
      </c>
      <c r="W152" s="107">
        <v>80000</v>
      </c>
      <c r="X152" s="109">
        <v>70000</v>
      </c>
      <c r="AA152" s="24"/>
      <c r="AB152" s="24"/>
      <c r="AC152" s="94"/>
      <c r="AD152" s="24"/>
      <c r="AE152" s="24"/>
      <c r="AF152" s="94"/>
      <c r="AG152" s="24"/>
      <c r="AH152" s="24"/>
      <c r="AI152" s="118"/>
      <c r="AJ152" s="84"/>
      <c r="AK152" s="84"/>
      <c r="AL152" s="84"/>
      <c r="AM152" s="84"/>
      <c r="AN152" s="84"/>
    </row>
    <row r="153" spans="1:40" ht="15.75" customHeight="1" thickBot="1" x14ac:dyDescent="0.3">
      <c r="A153" s="101" t="s">
        <v>70</v>
      </c>
      <c r="B153" s="98">
        <v>1</v>
      </c>
      <c r="C153" s="98">
        <v>1</v>
      </c>
      <c r="D153" s="106">
        <v>1</v>
      </c>
      <c r="E153" s="98">
        <v>1</v>
      </c>
      <c r="F153" s="98">
        <v>1</v>
      </c>
      <c r="G153" s="98">
        <v>1</v>
      </c>
      <c r="H153" s="98">
        <v>1</v>
      </c>
      <c r="I153" s="98">
        <v>1</v>
      </c>
      <c r="J153" s="98">
        <v>1</v>
      </c>
      <c r="K153" s="96">
        <v>1</v>
      </c>
      <c r="L153" s="98">
        <v>1</v>
      </c>
      <c r="M153" s="98">
        <v>1</v>
      </c>
      <c r="N153" s="98">
        <v>1</v>
      </c>
      <c r="O153" s="98">
        <v>1</v>
      </c>
      <c r="P153" s="98">
        <v>1</v>
      </c>
      <c r="Q153" s="98">
        <v>1</v>
      </c>
      <c r="R153" s="98">
        <v>1</v>
      </c>
      <c r="S153" s="98">
        <v>1</v>
      </c>
      <c r="T153" s="98">
        <v>1</v>
      </c>
      <c r="U153" s="98">
        <v>1</v>
      </c>
      <c r="V153" s="98">
        <v>1</v>
      </c>
      <c r="W153" s="98">
        <v>1</v>
      </c>
      <c r="X153" s="96">
        <v>1</v>
      </c>
      <c r="AA153" s="84"/>
      <c r="AB153" s="84"/>
      <c r="AC153" s="84"/>
      <c r="AD153" s="84"/>
      <c r="AE153" s="84"/>
      <c r="AF153" s="84"/>
      <c r="AG153" s="84"/>
      <c r="AH153" s="84"/>
      <c r="AI153" s="94"/>
      <c r="AJ153" s="84"/>
      <c r="AK153" s="84"/>
      <c r="AL153" s="84"/>
      <c r="AM153" s="84"/>
      <c r="AN153" s="84"/>
    </row>
    <row r="154" spans="1:40" ht="37.5" customHeight="1" thickBot="1" x14ac:dyDescent="0.35">
      <c r="A154" s="102" t="s">
        <v>95</v>
      </c>
      <c r="B154" s="104">
        <f>SUM(B152:AF152)</f>
        <v>1890000</v>
      </c>
      <c r="C154" s="83"/>
      <c r="D154" s="85"/>
      <c r="E154" s="85"/>
      <c r="F154" s="84"/>
      <c r="G154" s="84"/>
      <c r="H154" s="84"/>
      <c r="I154" s="84"/>
      <c r="J154" s="84"/>
      <c r="K154" s="84"/>
      <c r="L154" s="84"/>
      <c r="M154" s="84"/>
      <c r="N154" s="84"/>
      <c r="O154" s="84"/>
      <c r="P154" s="84"/>
      <c r="Q154" s="84"/>
      <c r="R154" s="84"/>
      <c r="S154" s="84"/>
      <c r="T154" s="84"/>
      <c r="U154" s="84"/>
      <c r="V154" s="84"/>
      <c r="W154" s="84"/>
      <c r="X154" s="84"/>
      <c r="Y154" s="84"/>
      <c r="Z154" s="84"/>
      <c r="AA154" s="24"/>
      <c r="AB154" s="24"/>
      <c r="AC154" s="24"/>
      <c r="AD154" s="24"/>
      <c r="AE154" s="24"/>
      <c r="AF154" s="24"/>
      <c r="AG154" s="24"/>
      <c r="AH154" s="24"/>
      <c r="AI154" s="84"/>
      <c r="AJ154" s="84"/>
      <c r="AK154" s="84"/>
      <c r="AL154" s="84"/>
      <c r="AM154" s="84"/>
      <c r="AN154" s="84"/>
    </row>
    <row r="155" spans="1:40" ht="30" customHeight="1" thickBot="1" x14ac:dyDescent="0.3">
      <c r="A155" s="103" t="s">
        <v>94</v>
      </c>
      <c r="B155" s="104">
        <f>B154*12</f>
        <v>22680000</v>
      </c>
      <c r="C155" s="83"/>
      <c r="D155" s="85"/>
      <c r="E155" s="85"/>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row>
  </sheetData>
  <mergeCells count="15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 ref="C65:D65"/>
    <mergeCell ref="E65:G65"/>
    <mergeCell ref="H65:J65"/>
    <mergeCell ref="T65:V65"/>
    <mergeCell ref="W65:Y65"/>
    <mergeCell ref="Z65:AB65"/>
    <mergeCell ref="AC65:AE65"/>
    <mergeCell ref="AF65:AH65"/>
    <mergeCell ref="AI65:AK65"/>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zoomScale="60" zoomScaleNormal="60" workbookViewId="0">
      <pane ySplit="1" topLeftCell="A5" activePane="bottomLeft" state="frozen"/>
      <selection pane="bottomLeft" activeCell="D14" sqref="D14"/>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89"/>
      <c r="B1" s="189"/>
      <c r="C1" s="189"/>
      <c r="D1" s="189"/>
      <c r="E1" s="190" t="s">
        <v>3</v>
      </c>
      <c r="F1" s="189"/>
      <c r="G1" s="191"/>
      <c r="H1" s="191"/>
      <c r="I1" s="189"/>
      <c r="J1" s="189"/>
      <c r="K1" s="189"/>
      <c r="L1" s="189"/>
      <c r="M1" s="189"/>
      <c r="N1" s="189"/>
      <c r="O1" s="189"/>
      <c r="P1" s="189"/>
      <c r="Q1" s="189"/>
      <c r="R1" s="189"/>
      <c r="S1" s="189"/>
      <c r="T1" s="189"/>
      <c r="U1" s="189"/>
      <c r="V1" s="189"/>
      <c r="W1" s="189"/>
      <c r="X1" s="189"/>
    </row>
    <row r="6" spans="1:24" ht="15.75" thickBot="1" x14ac:dyDescent="0.3"/>
    <row r="7" spans="1:24" ht="27" thickBot="1" x14ac:dyDescent="0.45">
      <c r="B7" s="549" t="s">
        <v>13</v>
      </c>
      <c r="C7" s="550"/>
      <c r="D7" s="552"/>
    </row>
    <row r="8" spans="1:24" x14ac:dyDescent="0.25">
      <c r="B8" s="166">
        <v>2020</v>
      </c>
      <c r="C8" s="166">
        <v>2021</v>
      </c>
      <c r="D8" s="166">
        <v>2022</v>
      </c>
    </row>
    <row r="9" spans="1:24" x14ac:dyDescent="0.25">
      <c r="B9" s="226">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568" t="s">
        <v>36</v>
      </c>
      <c r="C15" s="569"/>
      <c r="D15" s="569"/>
      <c r="E15" s="570"/>
    </row>
    <row r="16" spans="1:24" ht="16.5" thickBot="1" x14ac:dyDescent="0.3">
      <c r="B16" s="160" t="s">
        <v>11</v>
      </c>
      <c r="C16" s="161" t="s">
        <v>33</v>
      </c>
      <c r="D16" s="161" t="s">
        <v>34</v>
      </c>
      <c r="E16" s="162" t="s">
        <v>96</v>
      </c>
    </row>
    <row r="17" spans="2:5" ht="16.5" thickBot="1" x14ac:dyDescent="0.3">
      <c r="B17" s="30" t="s">
        <v>65</v>
      </c>
      <c r="C17" s="31">
        <f>'Proy. ventas'!D19</f>
        <v>2564900</v>
      </c>
      <c r="D17" s="31">
        <f>'Proy. ventas'!D68</f>
        <v>5385900</v>
      </c>
      <c r="E17" s="32">
        <f>'Proy. ventas'!D116</f>
        <v>12199200</v>
      </c>
    </row>
    <row r="18" spans="2:5" ht="16.5" thickBot="1" x14ac:dyDescent="0.3">
      <c r="B18" s="157" t="s">
        <v>63</v>
      </c>
      <c r="C18" s="158">
        <f>'Proy. ventas'!D20</f>
        <v>4692500</v>
      </c>
      <c r="D18" s="158">
        <f>'Proy. ventas'!D69</f>
        <v>8855000</v>
      </c>
      <c r="E18" s="159">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3" t="s">
        <v>35</v>
      </c>
      <c r="C20" s="164">
        <f>SUM(C17:C19)</f>
        <v>11433400</v>
      </c>
      <c r="D20" s="164">
        <f>SUM(D17:D19)</f>
        <v>22736900</v>
      </c>
      <c r="E20" s="165">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zoomScale="80" zoomScaleNormal="80" workbookViewId="0">
      <pane ySplit="1" topLeftCell="A5" activePane="bottomLeft" state="frozen"/>
      <selection pane="bottomLeft" activeCell="C31" sqref="C31"/>
    </sheetView>
  </sheetViews>
  <sheetFormatPr baseColWidth="10" defaultColWidth="11.42578125" defaultRowHeight="15" x14ac:dyDescent="0.25"/>
  <cols>
    <col min="1" max="1" width="36.1406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89"/>
      <c r="B1" s="189"/>
      <c r="C1" s="189"/>
      <c r="D1" s="189"/>
      <c r="E1" s="189"/>
      <c r="F1" s="190" t="s">
        <v>4</v>
      </c>
      <c r="G1" s="191"/>
      <c r="H1" s="191"/>
      <c r="I1" s="189"/>
      <c r="J1" s="189"/>
      <c r="K1" s="189"/>
      <c r="L1" s="189"/>
      <c r="M1" s="189"/>
      <c r="N1" s="189"/>
      <c r="O1" s="189"/>
      <c r="P1" s="189"/>
      <c r="Q1" s="189"/>
    </row>
    <row r="2" spans="1:17" ht="15.75" thickBot="1" x14ac:dyDescent="0.3"/>
    <row r="3" spans="1:17" ht="27" thickBot="1" x14ac:dyDescent="0.45">
      <c r="C3" s="549" t="s">
        <v>13</v>
      </c>
      <c r="D3" s="550"/>
      <c r="E3" s="552"/>
      <c r="G3" s="549" t="s">
        <v>50</v>
      </c>
      <c r="H3" s="550"/>
      <c r="I3" s="552"/>
    </row>
    <row r="4" spans="1:17" x14ac:dyDescent="0.25">
      <c r="C4" s="202">
        <v>2020</v>
      </c>
      <c r="D4" s="166">
        <v>2021</v>
      </c>
      <c r="E4" s="203">
        <v>2022</v>
      </c>
      <c r="G4" s="202">
        <v>2020</v>
      </c>
      <c r="H4" s="166">
        <v>2021</v>
      </c>
      <c r="I4" s="203">
        <v>2022</v>
      </c>
    </row>
    <row r="5" spans="1:17" ht="15.75" thickBot="1" x14ac:dyDescent="0.3">
      <c r="C5" s="225">
        <f>Hipótesis!C24</f>
        <v>5.0000000000000001E-3</v>
      </c>
      <c r="D5" s="15">
        <f>Hipótesis!C25</f>
        <v>0.01</v>
      </c>
      <c r="E5" s="19">
        <f>Hipótesis!C26</f>
        <v>0.02</v>
      </c>
      <c r="G5" s="20">
        <f>N33</f>
        <v>6685587.5999999987</v>
      </c>
      <c r="H5" s="21">
        <f>N48</f>
        <v>6685587.5999999987</v>
      </c>
      <c r="I5" s="22">
        <f>N63</f>
        <v>6685587.5999999987</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574" t="s">
        <v>100</v>
      </c>
      <c r="B13" s="575"/>
      <c r="C13" s="575"/>
      <c r="D13" s="575"/>
      <c r="E13" s="575"/>
      <c r="F13" s="575"/>
      <c r="G13" s="575"/>
      <c r="H13" s="575"/>
      <c r="I13" s="575"/>
      <c r="J13" s="575"/>
      <c r="K13" s="576"/>
      <c r="L13" s="204"/>
      <c r="M13" s="204"/>
      <c r="N13" s="204"/>
      <c r="O13"/>
    </row>
    <row r="14" spans="1:17" ht="26.25" x14ac:dyDescent="0.4">
      <c r="A14" s="205" t="s">
        <v>48</v>
      </c>
      <c r="B14" s="577" t="s">
        <v>108</v>
      </c>
      <c r="C14" s="578"/>
      <c r="D14" s="578"/>
      <c r="E14" s="578"/>
      <c r="F14" s="578"/>
      <c r="G14" s="578"/>
      <c r="H14" s="578"/>
      <c r="I14" s="578"/>
      <c r="J14" s="578"/>
      <c r="K14" s="578"/>
      <c r="L14" s="204"/>
      <c r="M14" s="204"/>
      <c r="N14" s="204"/>
      <c r="O14"/>
    </row>
    <row r="15" spans="1:17" ht="26.25" x14ac:dyDescent="0.4">
      <c r="A15" s="205" t="s">
        <v>101</v>
      </c>
      <c r="B15" s="579" t="s">
        <v>102</v>
      </c>
      <c r="C15" s="580"/>
      <c r="D15" s="580"/>
      <c r="E15" s="580"/>
      <c r="F15" s="580"/>
      <c r="G15" s="580"/>
      <c r="H15" s="580"/>
      <c r="I15" s="580"/>
      <c r="J15" s="580"/>
      <c r="K15" s="581"/>
      <c r="L15" s="204"/>
      <c r="M15" s="204"/>
      <c r="N15" s="204"/>
      <c r="O15"/>
    </row>
    <row r="16" spans="1:17" ht="26.25" x14ac:dyDescent="0.4">
      <c r="A16" s="205" t="s">
        <v>49</v>
      </c>
      <c r="B16" s="577" t="s">
        <v>107</v>
      </c>
      <c r="C16" s="578"/>
      <c r="D16" s="578"/>
      <c r="E16" s="578"/>
      <c r="F16" s="578"/>
      <c r="G16" s="578"/>
      <c r="H16" s="578"/>
      <c r="I16" s="578"/>
      <c r="J16" s="578"/>
      <c r="K16" s="578"/>
      <c r="L16" s="204"/>
      <c r="M16" s="204"/>
      <c r="N16" s="204"/>
      <c r="O16"/>
    </row>
    <row r="17" spans="1:15" ht="26.25" x14ac:dyDescent="0.4">
      <c r="A17" s="205" t="s">
        <v>103</v>
      </c>
      <c r="B17" s="582" t="s">
        <v>109</v>
      </c>
      <c r="C17" s="580"/>
      <c r="D17" s="580"/>
      <c r="E17" s="580"/>
      <c r="F17" s="580"/>
      <c r="G17" s="580"/>
      <c r="H17" s="580"/>
      <c r="I17" s="580"/>
      <c r="J17" s="580"/>
      <c r="K17" s="581"/>
      <c r="L17" s="204"/>
      <c r="M17" s="204"/>
      <c r="N17" s="204"/>
      <c r="O17"/>
    </row>
    <row r="18" spans="1:15" ht="26.25" x14ac:dyDescent="0.4">
      <c r="A18" s="204"/>
      <c r="B18" s="204"/>
      <c r="C18" s="204"/>
      <c r="D18" s="204"/>
      <c r="E18" s="204"/>
      <c r="F18" s="204"/>
      <c r="G18" s="204"/>
      <c r="H18" s="204"/>
      <c r="I18" s="204"/>
      <c r="J18" s="204"/>
      <c r="K18" s="204"/>
      <c r="L18" s="204"/>
      <c r="M18" s="204"/>
      <c r="N18" s="204"/>
      <c r="O18"/>
    </row>
    <row r="19" spans="1:15" ht="26.25" x14ac:dyDescent="0.4">
      <c r="A19" s="204"/>
      <c r="B19" s="204"/>
      <c r="C19" s="204"/>
      <c r="D19" s="204"/>
      <c r="E19" s="204"/>
      <c r="F19" s="204"/>
      <c r="G19" s="204"/>
      <c r="H19" s="204"/>
      <c r="I19" s="204"/>
      <c r="J19" s="204"/>
      <c r="K19" s="204"/>
      <c r="L19" s="204"/>
      <c r="M19" s="204"/>
      <c r="N19" s="204"/>
      <c r="O19"/>
    </row>
    <row r="20" spans="1:15" ht="26.25" x14ac:dyDescent="0.4">
      <c r="A20" s="204"/>
      <c r="B20" s="204"/>
      <c r="C20" s="204"/>
      <c r="D20" s="204"/>
      <c r="E20" s="204"/>
      <c r="F20" s="204"/>
      <c r="G20" s="204"/>
      <c r="H20" s="204"/>
      <c r="I20" s="204"/>
      <c r="J20" s="204"/>
      <c r="K20" s="204"/>
      <c r="L20" s="204"/>
      <c r="M20" s="204"/>
      <c r="N20" s="204"/>
      <c r="O20"/>
    </row>
    <row r="21" spans="1:15" ht="27" thickBot="1" x14ac:dyDescent="0.3">
      <c r="A21" s="571" t="s">
        <v>52</v>
      </c>
      <c r="B21" s="572"/>
      <c r="C21" s="572"/>
      <c r="D21" s="572"/>
      <c r="E21" s="572"/>
      <c r="F21" s="572"/>
      <c r="G21" s="572"/>
      <c r="H21" s="572"/>
      <c r="I21" s="572"/>
      <c r="J21" s="572"/>
      <c r="K21" s="572"/>
      <c r="L21" s="572"/>
      <c r="M21" s="572"/>
      <c r="N21" s="573"/>
      <c r="O21"/>
    </row>
    <row r="22" spans="1:15" ht="15.75" x14ac:dyDescent="0.25">
      <c r="A22" s="206" t="s">
        <v>40</v>
      </c>
      <c r="B22" s="215" t="s">
        <v>18</v>
      </c>
      <c r="C22" s="216" t="s">
        <v>19</v>
      </c>
      <c r="D22" s="216" t="s">
        <v>20</v>
      </c>
      <c r="E22" s="216" t="s">
        <v>21</v>
      </c>
      <c r="F22" s="216" t="s">
        <v>22</v>
      </c>
      <c r="G22" s="216" t="s">
        <v>23</v>
      </c>
      <c r="H22" s="216" t="s">
        <v>24</v>
      </c>
      <c r="I22" s="216" t="s">
        <v>25</v>
      </c>
      <c r="J22" s="216" t="s">
        <v>26</v>
      </c>
      <c r="K22" s="216" t="s">
        <v>27</v>
      </c>
      <c r="L22" s="216" t="s">
        <v>28</v>
      </c>
      <c r="M22" s="216" t="s">
        <v>29</v>
      </c>
      <c r="N22" s="217" t="s">
        <v>7</v>
      </c>
      <c r="O22"/>
    </row>
    <row r="23" spans="1:15" ht="15.75" x14ac:dyDescent="0.25">
      <c r="A23" s="206" t="s">
        <v>48</v>
      </c>
      <c r="B23" s="207">
        <v>377280.3</v>
      </c>
      <c r="C23" s="207">
        <v>377280.3</v>
      </c>
      <c r="D23" s="207">
        <v>377280.3</v>
      </c>
      <c r="E23" s="207">
        <v>377280.3</v>
      </c>
      <c r="F23" s="207">
        <v>377280.3</v>
      </c>
      <c r="G23" s="207">
        <v>377280.3</v>
      </c>
      <c r="H23" s="207">
        <v>377280.3</v>
      </c>
      <c r="I23" s="208">
        <f>B23</f>
        <v>377280.3</v>
      </c>
      <c r="J23" s="208">
        <f>B23</f>
        <v>377280.3</v>
      </c>
      <c r="K23" s="208">
        <f>B23</f>
        <v>377280.3</v>
      </c>
      <c r="L23" s="208">
        <f>B23</f>
        <v>377280.3</v>
      </c>
      <c r="M23" s="208">
        <f>B23</f>
        <v>377280.3</v>
      </c>
      <c r="N23" s="209"/>
      <c r="O23"/>
    </row>
    <row r="24" spans="1:15" ht="15.75" x14ac:dyDescent="0.25">
      <c r="A24" s="206" t="s">
        <v>104</v>
      </c>
      <c r="B24" s="207">
        <v>20000</v>
      </c>
      <c r="C24" s="207">
        <v>20000</v>
      </c>
      <c r="D24" s="207">
        <v>20000</v>
      </c>
      <c r="E24" s="207">
        <v>20000</v>
      </c>
      <c r="F24" s="207">
        <v>20000</v>
      </c>
      <c r="G24" s="207">
        <v>20000</v>
      </c>
      <c r="H24" s="207">
        <v>20000</v>
      </c>
      <c r="I24" s="208">
        <f>F24</f>
        <v>20000</v>
      </c>
      <c r="J24" s="208">
        <f>F24</f>
        <v>20000</v>
      </c>
      <c r="K24" s="208">
        <f>F24</f>
        <v>20000</v>
      </c>
      <c r="L24" s="208">
        <f>F24</f>
        <v>20000</v>
      </c>
      <c r="M24" s="208">
        <f>F24</f>
        <v>20000</v>
      </c>
      <c r="N24" s="210"/>
      <c r="O24"/>
    </row>
    <row r="25" spans="1:15" ht="15.75" x14ac:dyDescent="0.25">
      <c r="A25" s="206" t="s">
        <v>47</v>
      </c>
      <c r="B25" s="207">
        <v>15000</v>
      </c>
      <c r="C25" s="207">
        <v>15000</v>
      </c>
      <c r="D25" s="207">
        <v>15000</v>
      </c>
      <c r="E25" s="207">
        <v>15000</v>
      </c>
      <c r="F25" s="207">
        <v>15000</v>
      </c>
      <c r="G25" s="207">
        <v>15000</v>
      </c>
      <c r="H25" s="207">
        <v>15000</v>
      </c>
      <c r="I25" s="208">
        <f>B25</f>
        <v>15000</v>
      </c>
      <c r="J25" s="208">
        <f>B25</f>
        <v>15000</v>
      </c>
      <c r="K25" s="208">
        <f>B25</f>
        <v>15000</v>
      </c>
      <c r="L25" s="208">
        <f>B25</f>
        <v>15000</v>
      </c>
      <c r="M25" s="208">
        <f>B25</f>
        <v>15000</v>
      </c>
      <c r="N25" s="210"/>
      <c r="O25"/>
    </row>
    <row r="26" spans="1:15" ht="15.75" x14ac:dyDescent="0.25">
      <c r="A26" s="206" t="s">
        <v>103</v>
      </c>
      <c r="B26" s="207">
        <v>1400</v>
      </c>
      <c r="C26" s="207">
        <v>1400</v>
      </c>
      <c r="D26" s="207">
        <v>1400</v>
      </c>
      <c r="E26" s="207">
        <v>1400</v>
      </c>
      <c r="F26" s="207">
        <v>1400</v>
      </c>
      <c r="G26" s="207">
        <v>1400</v>
      </c>
      <c r="H26" s="207">
        <v>1400</v>
      </c>
      <c r="I26" s="207">
        <v>1400</v>
      </c>
      <c r="J26" s="207">
        <v>1400</v>
      </c>
      <c r="K26" s="207">
        <v>1400</v>
      </c>
      <c r="L26" s="207">
        <v>1400</v>
      </c>
      <c r="M26" s="207">
        <v>1400</v>
      </c>
      <c r="N26" s="210"/>
      <c r="O26"/>
    </row>
    <row r="27" spans="1:15" ht="15.75" x14ac:dyDescent="0.25">
      <c r="A27" s="206" t="s">
        <v>105</v>
      </c>
      <c r="B27" s="211">
        <v>0</v>
      </c>
      <c r="C27" s="211">
        <v>0</v>
      </c>
      <c r="D27" s="211">
        <v>0</v>
      </c>
      <c r="E27" s="211">
        <v>0</v>
      </c>
      <c r="F27" s="211">
        <v>0</v>
      </c>
      <c r="G27" s="211">
        <v>0</v>
      </c>
      <c r="H27" s="211">
        <v>0</v>
      </c>
      <c r="I27" s="208">
        <f t="shared" ref="I27:M27" si="0">B27*1.05</f>
        <v>0</v>
      </c>
      <c r="J27" s="208">
        <f t="shared" si="0"/>
        <v>0</v>
      </c>
      <c r="K27" s="208">
        <f t="shared" si="0"/>
        <v>0</v>
      </c>
      <c r="L27" s="208">
        <f t="shared" si="0"/>
        <v>0</v>
      </c>
      <c r="M27" s="208">
        <f t="shared" si="0"/>
        <v>0</v>
      </c>
      <c r="N27" s="210"/>
      <c r="O27"/>
    </row>
    <row r="28" spans="1:15" ht="15.75" x14ac:dyDescent="0.25">
      <c r="A28" s="206" t="s">
        <v>215</v>
      </c>
      <c r="B28" s="211">
        <v>2000</v>
      </c>
      <c r="C28" s="211">
        <v>2000</v>
      </c>
      <c r="D28" s="211">
        <v>2000</v>
      </c>
      <c r="E28" s="211">
        <v>2000</v>
      </c>
      <c r="F28" s="211">
        <v>2000</v>
      </c>
      <c r="G28" s="211">
        <v>2000</v>
      </c>
      <c r="H28" s="211">
        <v>2000</v>
      </c>
      <c r="I28" s="211">
        <v>2000</v>
      </c>
      <c r="J28" s="211">
        <v>2000</v>
      </c>
      <c r="K28" s="211">
        <v>2000</v>
      </c>
      <c r="L28" s="211">
        <v>2000</v>
      </c>
      <c r="M28" s="211">
        <v>2000</v>
      </c>
      <c r="N28" s="210"/>
      <c r="O28"/>
    </row>
    <row r="29" spans="1:15" ht="31.5" x14ac:dyDescent="0.25">
      <c r="A29" s="446" t="s">
        <v>218</v>
      </c>
      <c r="B29" s="211">
        <v>40000</v>
      </c>
      <c r="C29" s="211">
        <v>40000</v>
      </c>
      <c r="D29" s="211">
        <v>40000</v>
      </c>
      <c r="E29" s="211">
        <v>40000</v>
      </c>
      <c r="F29" s="211">
        <v>40000</v>
      </c>
      <c r="G29" s="211">
        <v>40000</v>
      </c>
      <c r="H29" s="211">
        <v>40000</v>
      </c>
      <c r="I29" s="211">
        <v>40000</v>
      </c>
      <c r="J29" s="211">
        <v>40000</v>
      </c>
      <c r="K29" s="211">
        <v>40000</v>
      </c>
      <c r="L29" s="211">
        <v>40000</v>
      </c>
      <c r="M29" s="211">
        <v>40000</v>
      </c>
      <c r="N29" s="210"/>
      <c r="O29"/>
    </row>
    <row r="30" spans="1:15" ht="31.5" x14ac:dyDescent="0.25">
      <c r="A30" s="446" t="s">
        <v>217</v>
      </c>
      <c r="B30" s="211">
        <v>75000</v>
      </c>
      <c r="C30" s="211">
        <v>75000</v>
      </c>
      <c r="D30" s="211">
        <v>75000</v>
      </c>
      <c r="E30" s="211">
        <v>75000</v>
      </c>
      <c r="F30" s="211">
        <v>75000</v>
      </c>
      <c r="G30" s="211">
        <v>75000</v>
      </c>
      <c r="H30" s="211">
        <v>75000</v>
      </c>
      <c r="I30" s="211">
        <v>75000</v>
      </c>
      <c r="J30" s="211">
        <v>75000</v>
      </c>
      <c r="K30" s="211">
        <v>75000</v>
      </c>
      <c r="L30" s="211">
        <v>75000</v>
      </c>
      <c r="M30" s="211">
        <v>75000</v>
      </c>
      <c r="N30" s="210"/>
      <c r="O30"/>
    </row>
    <row r="31" spans="1:15" ht="39.75" customHeight="1" x14ac:dyDescent="0.25">
      <c r="A31" s="446" t="s">
        <v>216</v>
      </c>
      <c r="B31" s="211">
        <v>20000</v>
      </c>
      <c r="C31" s="211">
        <v>20000</v>
      </c>
      <c r="D31" s="211">
        <v>20000</v>
      </c>
      <c r="E31" s="211">
        <v>20000</v>
      </c>
      <c r="F31" s="211">
        <v>20000</v>
      </c>
      <c r="G31" s="211">
        <v>20000</v>
      </c>
      <c r="H31" s="211">
        <v>20000</v>
      </c>
      <c r="I31" s="211">
        <v>20000</v>
      </c>
      <c r="J31" s="211">
        <v>20000</v>
      </c>
      <c r="K31" s="211">
        <v>20000</v>
      </c>
      <c r="L31" s="211">
        <v>20000</v>
      </c>
      <c r="M31" s="211">
        <v>20000</v>
      </c>
      <c r="N31" s="210"/>
      <c r="O31"/>
    </row>
    <row r="32" spans="1:15" ht="15.75" x14ac:dyDescent="0.25">
      <c r="A32" s="206" t="s">
        <v>49</v>
      </c>
      <c r="B32" s="214">
        <v>6452</v>
      </c>
      <c r="C32" s="214">
        <v>6452</v>
      </c>
      <c r="D32" s="214">
        <v>6452</v>
      </c>
      <c r="E32" s="214">
        <v>6452</v>
      </c>
      <c r="F32" s="214">
        <v>6452</v>
      </c>
      <c r="G32" s="214">
        <v>6452</v>
      </c>
      <c r="H32" s="214">
        <v>6452</v>
      </c>
      <c r="I32" s="208">
        <f>B32</f>
        <v>6452</v>
      </c>
      <c r="J32" s="208">
        <f>B32</f>
        <v>6452</v>
      </c>
      <c r="K32" s="208">
        <f>B32</f>
        <v>6452</v>
      </c>
      <c r="L32" s="208">
        <f>B32</f>
        <v>6452</v>
      </c>
      <c r="M32" s="208">
        <f>B32</f>
        <v>6452</v>
      </c>
      <c r="N32" s="212"/>
      <c r="O32"/>
    </row>
    <row r="33" spans="1:15" ht="15.75" x14ac:dyDescent="0.25">
      <c r="A33" s="218" t="s">
        <v>7</v>
      </c>
      <c r="B33" s="213">
        <f t="shared" ref="B33:M33" si="1">SUM(B23:B32)</f>
        <v>557132.30000000005</v>
      </c>
      <c r="C33" s="213">
        <f t="shared" si="1"/>
        <v>557132.30000000005</v>
      </c>
      <c r="D33" s="213">
        <f t="shared" si="1"/>
        <v>557132.30000000005</v>
      </c>
      <c r="E33" s="213">
        <f t="shared" si="1"/>
        <v>557132.30000000005</v>
      </c>
      <c r="F33" s="213">
        <f t="shared" si="1"/>
        <v>557132.30000000005</v>
      </c>
      <c r="G33" s="213">
        <f t="shared" si="1"/>
        <v>557132.30000000005</v>
      </c>
      <c r="H33" s="213">
        <f t="shared" si="1"/>
        <v>557132.30000000005</v>
      </c>
      <c r="I33" s="213">
        <f t="shared" si="1"/>
        <v>557132.30000000005</v>
      </c>
      <c r="J33" s="213">
        <f t="shared" si="1"/>
        <v>557132.30000000005</v>
      </c>
      <c r="K33" s="213">
        <f t="shared" si="1"/>
        <v>557132.30000000005</v>
      </c>
      <c r="L33" s="213">
        <f t="shared" si="1"/>
        <v>557132.30000000005</v>
      </c>
      <c r="M33" s="213">
        <f t="shared" si="1"/>
        <v>557132.30000000005</v>
      </c>
      <c r="N33" s="219">
        <f>SUM(B33:M33)</f>
        <v>6685587.5999999987</v>
      </c>
      <c r="O33"/>
    </row>
    <row r="34" spans="1:15" ht="26.25" x14ac:dyDescent="0.4">
      <c r="A34" s="204"/>
      <c r="B34" s="204"/>
      <c r="C34" s="204"/>
      <c r="D34" s="204"/>
      <c r="E34" s="204"/>
      <c r="F34" s="204"/>
      <c r="G34" s="204"/>
      <c r="H34" s="204"/>
      <c r="I34" s="204"/>
      <c r="J34" s="204"/>
      <c r="K34" s="204"/>
      <c r="L34" s="204"/>
      <c r="M34" s="204"/>
      <c r="N34" s="204"/>
      <c r="O34"/>
    </row>
    <row r="35" spans="1:15" ht="26.25" x14ac:dyDescent="0.4">
      <c r="A35" s="204"/>
      <c r="B35" s="204"/>
      <c r="C35" s="204"/>
      <c r="D35" s="204"/>
      <c r="E35" s="204"/>
      <c r="F35" s="204"/>
      <c r="G35" s="204"/>
      <c r="H35" s="204"/>
      <c r="I35" s="204"/>
      <c r="J35" s="204"/>
      <c r="K35" s="204"/>
      <c r="L35" s="204"/>
      <c r="M35" s="204"/>
      <c r="N35" s="204"/>
      <c r="O35"/>
    </row>
    <row r="36" spans="1:15" ht="27" thickBot="1" x14ac:dyDescent="0.3">
      <c r="A36" s="571" t="s">
        <v>53</v>
      </c>
      <c r="B36" s="572"/>
      <c r="C36" s="572"/>
      <c r="D36" s="572"/>
      <c r="E36" s="572"/>
      <c r="F36" s="572"/>
      <c r="G36" s="572"/>
      <c r="H36" s="572"/>
      <c r="I36" s="572"/>
      <c r="J36" s="572"/>
      <c r="K36" s="572"/>
      <c r="L36" s="572"/>
      <c r="M36" s="572"/>
      <c r="N36" s="573"/>
      <c r="O36"/>
    </row>
    <row r="37" spans="1:15" ht="15.75" x14ac:dyDescent="0.25">
      <c r="A37" s="206" t="s">
        <v>40</v>
      </c>
      <c r="B37" s="215" t="s">
        <v>18</v>
      </c>
      <c r="C37" s="216" t="s">
        <v>19</v>
      </c>
      <c r="D37" s="216" t="s">
        <v>20</v>
      </c>
      <c r="E37" s="216" t="s">
        <v>21</v>
      </c>
      <c r="F37" s="216" t="s">
        <v>22</v>
      </c>
      <c r="G37" s="216" t="s">
        <v>23</v>
      </c>
      <c r="H37" s="216" t="s">
        <v>24</v>
      </c>
      <c r="I37" s="216" t="s">
        <v>25</v>
      </c>
      <c r="J37" s="216" t="s">
        <v>26</v>
      </c>
      <c r="K37" s="216" t="s">
        <v>27</v>
      </c>
      <c r="L37" s="216" t="s">
        <v>28</v>
      </c>
      <c r="M37" s="216" t="s">
        <v>29</v>
      </c>
      <c r="N37" s="217" t="s">
        <v>7</v>
      </c>
      <c r="O37"/>
    </row>
    <row r="38" spans="1:15" ht="15.75" x14ac:dyDescent="0.25">
      <c r="A38" s="206" t="s">
        <v>48</v>
      </c>
      <c r="B38" s="207">
        <v>377280.3</v>
      </c>
      <c r="C38" s="207">
        <v>377280.3</v>
      </c>
      <c r="D38" s="207">
        <v>377280.3</v>
      </c>
      <c r="E38" s="207">
        <v>377280.3</v>
      </c>
      <c r="F38" s="207">
        <v>377280.3</v>
      </c>
      <c r="G38" s="207">
        <v>377280.3</v>
      </c>
      <c r="H38" s="207">
        <v>377280.3</v>
      </c>
      <c r="I38" s="208">
        <f>B38</f>
        <v>377280.3</v>
      </c>
      <c r="J38" s="208">
        <f>B38</f>
        <v>377280.3</v>
      </c>
      <c r="K38" s="208">
        <f>B38</f>
        <v>377280.3</v>
      </c>
      <c r="L38" s="208">
        <f>B38</f>
        <v>377280.3</v>
      </c>
      <c r="M38" s="208">
        <f>B38</f>
        <v>377280.3</v>
      </c>
      <c r="N38" s="209"/>
      <c r="O38"/>
    </row>
    <row r="39" spans="1:15" ht="15.75" x14ac:dyDescent="0.25">
      <c r="A39" s="206" t="s">
        <v>104</v>
      </c>
      <c r="B39" s="207">
        <v>20000</v>
      </c>
      <c r="C39" s="207">
        <v>20000</v>
      </c>
      <c r="D39" s="207">
        <v>20000</v>
      </c>
      <c r="E39" s="207">
        <v>20000</v>
      </c>
      <c r="F39" s="207">
        <v>20000</v>
      </c>
      <c r="G39" s="207">
        <v>20000</v>
      </c>
      <c r="H39" s="207">
        <v>20000</v>
      </c>
      <c r="I39" s="208">
        <f>F39</f>
        <v>20000</v>
      </c>
      <c r="J39" s="208">
        <f>F39</f>
        <v>20000</v>
      </c>
      <c r="K39" s="208">
        <f>F39</f>
        <v>20000</v>
      </c>
      <c r="L39" s="208">
        <f>F39</f>
        <v>20000</v>
      </c>
      <c r="M39" s="208">
        <f>F39</f>
        <v>20000</v>
      </c>
      <c r="N39" s="210"/>
      <c r="O39"/>
    </row>
    <row r="40" spans="1:15" ht="15.75" x14ac:dyDescent="0.25">
      <c r="A40" s="206" t="s">
        <v>47</v>
      </c>
      <c r="B40" s="207">
        <v>15000</v>
      </c>
      <c r="C40" s="207">
        <v>15000</v>
      </c>
      <c r="D40" s="207">
        <v>15000</v>
      </c>
      <c r="E40" s="207">
        <v>15000</v>
      </c>
      <c r="F40" s="207">
        <v>15000</v>
      </c>
      <c r="G40" s="207">
        <v>15000</v>
      </c>
      <c r="H40" s="207">
        <v>15000</v>
      </c>
      <c r="I40" s="208">
        <f>B40</f>
        <v>15000</v>
      </c>
      <c r="J40" s="208">
        <f>B40</f>
        <v>15000</v>
      </c>
      <c r="K40" s="208">
        <f>B40</f>
        <v>15000</v>
      </c>
      <c r="L40" s="208">
        <f>B40</f>
        <v>15000</v>
      </c>
      <c r="M40" s="208">
        <f>B40</f>
        <v>15000</v>
      </c>
      <c r="N40" s="210"/>
      <c r="O40"/>
    </row>
    <row r="41" spans="1:15" ht="15.75" x14ac:dyDescent="0.25">
      <c r="A41" s="206" t="s">
        <v>103</v>
      </c>
      <c r="B41" s="207">
        <v>1400</v>
      </c>
      <c r="C41" s="207">
        <v>1400</v>
      </c>
      <c r="D41" s="207">
        <v>1400</v>
      </c>
      <c r="E41" s="207">
        <v>1400</v>
      </c>
      <c r="F41" s="207">
        <v>1400</v>
      </c>
      <c r="G41" s="207">
        <v>1400</v>
      </c>
      <c r="H41" s="207">
        <v>1400</v>
      </c>
      <c r="I41" s="207">
        <v>1400</v>
      </c>
      <c r="J41" s="207">
        <v>1400</v>
      </c>
      <c r="K41" s="207">
        <v>1400</v>
      </c>
      <c r="L41" s="207">
        <v>1400</v>
      </c>
      <c r="M41" s="207">
        <v>1400</v>
      </c>
      <c r="N41" s="210"/>
      <c r="O41"/>
    </row>
    <row r="42" spans="1:15" ht="15.75" x14ac:dyDescent="0.25">
      <c r="A42" s="206" t="s">
        <v>105</v>
      </c>
      <c r="B42" s="211">
        <v>0</v>
      </c>
      <c r="C42" s="211">
        <v>0</v>
      </c>
      <c r="D42" s="211">
        <v>0</v>
      </c>
      <c r="E42" s="211">
        <v>0</v>
      </c>
      <c r="F42" s="211">
        <v>0</v>
      </c>
      <c r="G42" s="211">
        <v>0</v>
      </c>
      <c r="H42" s="211">
        <v>0</v>
      </c>
      <c r="I42" s="208">
        <f t="shared" ref="I42" si="2">B42*1.05</f>
        <v>0</v>
      </c>
      <c r="J42" s="208">
        <f t="shared" ref="J42" si="3">C42*1.05</f>
        <v>0</v>
      </c>
      <c r="K42" s="208">
        <f t="shared" ref="K42" si="4">D42*1.05</f>
        <v>0</v>
      </c>
      <c r="L42" s="208">
        <f t="shared" ref="L42" si="5">E42*1.05</f>
        <v>0</v>
      </c>
      <c r="M42" s="208">
        <f t="shared" ref="M42" si="6">F42*1.05</f>
        <v>0</v>
      </c>
      <c r="N42" s="210"/>
      <c r="O42"/>
    </row>
    <row r="43" spans="1:15" ht="15.75" x14ac:dyDescent="0.25">
      <c r="A43" s="206" t="s">
        <v>215</v>
      </c>
      <c r="B43" s="211">
        <v>2000</v>
      </c>
      <c r="C43" s="211">
        <v>2000</v>
      </c>
      <c r="D43" s="211">
        <v>2000</v>
      </c>
      <c r="E43" s="211">
        <v>2000</v>
      </c>
      <c r="F43" s="211">
        <v>2000</v>
      </c>
      <c r="G43" s="211">
        <v>2000</v>
      </c>
      <c r="H43" s="211">
        <v>2000</v>
      </c>
      <c r="I43" s="211">
        <v>2000</v>
      </c>
      <c r="J43" s="211">
        <v>2000</v>
      </c>
      <c r="K43" s="211">
        <v>2000</v>
      </c>
      <c r="L43" s="211">
        <v>2000</v>
      </c>
      <c r="M43" s="211">
        <v>2000</v>
      </c>
      <c r="N43" s="210"/>
      <c r="O43"/>
    </row>
    <row r="44" spans="1:15" ht="31.5" x14ac:dyDescent="0.25">
      <c r="A44" s="446" t="s">
        <v>218</v>
      </c>
      <c r="B44" s="211">
        <v>40000</v>
      </c>
      <c r="C44" s="211">
        <v>40000</v>
      </c>
      <c r="D44" s="211">
        <v>40000</v>
      </c>
      <c r="E44" s="211">
        <v>40000</v>
      </c>
      <c r="F44" s="211">
        <v>40000</v>
      </c>
      <c r="G44" s="211">
        <v>40000</v>
      </c>
      <c r="H44" s="211">
        <v>40000</v>
      </c>
      <c r="I44" s="211">
        <v>40000</v>
      </c>
      <c r="J44" s="211">
        <v>40000</v>
      </c>
      <c r="K44" s="211">
        <v>40000</v>
      </c>
      <c r="L44" s="211">
        <v>40000</v>
      </c>
      <c r="M44" s="211">
        <v>40000</v>
      </c>
      <c r="N44" s="210"/>
      <c r="O44"/>
    </row>
    <row r="45" spans="1:15" ht="31.5" x14ac:dyDescent="0.25">
      <c r="A45" s="446" t="s">
        <v>217</v>
      </c>
      <c r="B45" s="211">
        <v>75000</v>
      </c>
      <c r="C45" s="211">
        <v>75000</v>
      </c>
      <c r="D45" s="211">
        <v>75000</v>
      </c>
      <c r="E45" s="211">
        <v>75000</v>
      </c>
      <c r="F45" s="211">
        <v>75000</v>
      </c>
      <c r="G45" s="211">
        <v>75000</v>
      </c>
      <c r="H45" s="211">
        <v>75000</v>
      </c>
      <c r="I45" s="211">
        <v>75000</v>
      </c>
      <c r="J45" s="211">
        <v>75000</v>
      </c>
      <c r="K45" s="211">
        <v>75000</v>
      </c>
      <c r="L45" s="211">
        <v>75000</v>
      </c>
      <c r="M45" s="211">
        <v>75000</v>
      </c>
      <c r="N45" s="210"/>
      <c r="O45"/>
    </row>
    <row r="46" spans="1:15" ht="31.5" x14ac:dyDescent="0.25">
      <c r="A46" s="446" t="s">
        <v>216</v>
      </c>
      <c r="B46" s="211">
        <v>20000</v>
      </c>
      <c r="C46" s="211">
        <v>20000</v>
      </c>
      <c r="D46" s="211">
        <v>20000</v>
      </c>
      <c r="E46" s="211">
        <v>20000</v>
      </c>
      <c r="F46" s="211">
        <v>20000</v>
      </c>
      <c r="G46" s="211">
        <v>20000</v>
      </c>
      <c r="H46" s="211">
        <v>20000</v>
      </c>
      <c r="I46" s="211">
        <v>20000</v>
      </c>
      <c r="J46" s="211">
        <v>20000</v>
      </c>
      <c r="K46" s="211">
        <v>20000</v>
      </c>
      <c r="L46" s="211">
        <v>20000</v>
      </c>
      <c r="M46" s="211">
        <v>20000</v>
      </c>
      <c r="N46" s="210"/>
      <c r="O46"/>
    </row>
    <row r="47" spans="1:15" ht="15.75" x14ac:dyDescent="0.25">
      <c r="A47" s="206" t="s">
        <v>49</v>
      </c>
      <c r="B47" s="214">
        <v>6452</v>
      </c>
      <c r="C47" s="214">
        <v>6452</v>
      </c>
      <c r="D47" s="214">
        <v>6452</v>
      </c>
      <c r="E47" s="214">
        <v>6452</v>
      </c>
      <c r="F47" s="214">
        <v>6452</v>
      </c>
      <c r="G47" s="214">
        <v>6452</v>
      </c>
      <c r="H47" s="214">
        <v>6452</v>
      </c>
      <c r="I47" s="208">
        <f>B47</f>
        <v>6452</v>
      </c>
      <c r="J47" s="208">
        <f>B47</f>
        <v>6452</v>
      </c>
      <c r="K47" s="208">
        <f>B47</f>
        <v>6452</v>
      </c>
      <c r="L47" s="208">
        <f>B47</f>
        <v>6452</v>
      </c>
      <c r="M47" s="208">
        <f>B47</f>
        <v>6452</v>
      </c>
      <c r="N47" s="212"/>
      <c r="O47"/>
    </row>
    <row r="48" spans="1:15" ht="15.75" x14ac:dyDescent="0.25">
      <c r="A48" s="218" t="s">
        <v>7</v>
      </c>
      <c r="B48" s="213">
        <f t="shared" ref="B48:M48" si="7">SUM(B38:B47)</f>
        <v>557132.30000000005</v>
      </c>
      <c r="C48" s="213">
        <f t="shared" si="7"/>
        <v>557132.30000000005</v>
      </c>
      <c r="D48" s="213">
        <f t="shared" si="7"/>
        <v>557132.30000000005</v>
      </c>
      <c r="E48" s="213">
        <f t="shared" si="7"/>
        <v>557132.30000000005</v>
      </c>
      <c r="F48" s="213">
        <f t="shared" si="7"/>
        <v>557132.30000000005</v>
      </c>
      <c r="G48" s="213">
        <f t="shared" si="7"/>
        <v>557132.30000000005</v>
      </c>
      <c r="H48" s="213">
        <f t="shared" si="7"/>
        <v>557132.30000000005</v>
      </c>
      <c r="I48" s="213">
        <f t="shared" si="7"/>
        <v>557132.30000000005</v>
      </c>
      <c r="J48" s="213">
        <f t="shared" si="7"/>
        <v>557132.30000000005</v>
      </c>
      <c r="K48" s="213">
        <f t="shared" si="7"/>
        <v>557132.30000000005</v>
      </c>
      <c r="L48" s="213">
        <f t="shared" si="7"/>
        <v>557132.30000000005</v>
      </c>
      <c r="M48" s="213">
        <f t="shared" si="7"/>
        <v>557132.30000000005</v>
      </c>
      <c r="N48" s="219">
        <f>SUM(B48:M48)</f>
        <v>6685587.5999999987</v>
      </c>
      <c r="O48"/>
    </row>
    <row r="49" spans="1:15" ht="26.25" x14ac:dyDescent="0.4">
      <c r="A49" s="204"/>
      <c r="B49" s="204"/>
      <c r="C49" s="204"/>
      <c r="D49" s="204"/>
      <c r="E49" s="204"/>
      <c r="F49" s="204"/>
      <c r="G49" s="204"/>
      <c r="H49" s="204"/>
      <c r="I49" s="204"/>
      <c r="J49" s="204"/>
      <c r="K49" s="204"/>
      <c r="L49" s="204"/>
      <c r="M49" s="204"/>
      <c r="N49" s="204"/>
      <c r="O49"/>
    </row>
    <row r="50" spans="1:15" ht="26.25" x14ac:dyDescent="0.4">
      <c r="A50" s="204"/>
      <c r="B50" s="204"/>
      <c r="C50" s="204"/>
      <c r="D50" s="204"/>
      <c r="E50" s="204"/>
      <c r="F50" s="204"/>
      <c r="G50" s="204"/>
      <c r="H50" s="204"/>
      <c r="I50" s="204"/>
      <c r="J50" s="204"/>
      <c r="K50" s="204"/>
      <c r="L50" s="204"/>
      <c r="M50" s="204"/>
      <c r="N50" s="204"/>
      <c r="O50"/>
    </row>
    <row r="51" spans="1:15" ht="27" thickBot="1" x14ac:dyDescent="0.3">
      <c r="A51" s="571" t="s">
        <v>106</v>
      </c>
      <c r="B51" s="572"/>
      <c r="C51" s="572"/>
      <c r="D51" s="572"/>
      <c r="E51" s="572"/>
      <c r="F51" s="572"/>
      <c r="G51" s="572"/>
      <c r="H51" s="572"/>
      <c r="I51" s="572"/>
      <c r="J51" s="572"/>
      <c r="K51" s="572"/>
      <c r="L51" s="572"/>
      <c r="M51" s="572"/>
      <c r="N51" s="573"/>
      <c r="O51"/>
    </row>
    <row r="52" spans="1:15" ht="15.75" x14ac:dyDescent="0.25">
      <c r="A52" s="206" t="s">
        <v>40</v>
      </c>
      <c r="B52" s="215" t="s">
        <v>18</v>
      </c>
      <c r="C52" s="216" t="s">
        <v>19</v>
      </c>
      <c r="D52" s="216" t="s">
        <v>20</v>
      </c>
      <c r="E52" s="216" t="s">
        <v>21</v>
      </c>
      <c r="F52" s="216" t="s">
        <v>22</v>
      </c>
      <c r="G52" s="216" t="s">
        <v>23</v>
      </c>
      <c r="H52" s="216" t="s">
        <v>24</v>
      </c>
      <c r="I52" s="216" t="s">
        <v>25</v>
      </c>
      <c r="J52" s="216" t="s">
        <v>26</v>
      </c>
      <c r="K52" s="216" t="s">
        <v>27</v>
      </c>
      <c r="L52" s="216" t="s">
        <v>28</v>
      </c>
      <c r="M52" s="216" t="s">
        <v>29</v>
      </c>
      <c r="N52" s="217" t="s">
        <v>7</v>
      </c>
      <c r="O52"/>
    </row>
    <row r="53" spans="1:15" ht="15.75" x14ac:dyDescent="0.25">
      <c r="A53" s="206" t="s">
        <v>48</v>
      </c>
      <c r="B53" s="207">
        <v>377280.3</v>
      </c>
      <c r="C53" s="207">
        <v>377280.3</v>
      </c>
      <c r="D53" s="207">
        <v>377280.3</v>
      </c>
      <c r="E53" s="207">
        <v>377280.3</v>
      </c>
      <c r="F53" s="207">
        <v>377280.3</v>
      </c>
      <c r="G53" s="207">
        <v>377280.3</v>
      </c>
      <c r="H53" s="207">
        <v>377280.3</v>
      </c>
      <c r="I53" s="208">
        <f>B53</f>
        <v>377280.3</v>
      </c>
      <c r="J53" s="208">
        <f>B53</f>
        <v>377280.3</v>
      </c>
      <c r="K53" s="208">
        <f>B53</f>
        <v>377280.3</v>
      </c>
      <c r="L53" s="208">
        <f>B53</f>
        <v>377280.3</v>
      </c>
      <c r="M53" s="208">
        <f>B53</f>
        <v>377280.3</v>
      </c>
      <c r="N53" s="209"/>
      <c r="O53"/>
    </row>
    <row r="54" spans="1:15" ht="15.75" x14ac:dyDescent="0.25">
      <c r="A54" s="206" t="s">
        <v>104</v>
      </c>
      <c r="B54" s="207">
        <v>20000</v>
      </c>
      <c r="C54" s="207">
        <v>20000</v>
      </c>
      <c r="D54" s="207">
        <v>20000</v>
      </c>
      <c r="E54" s="207">
        <v>20000</v>
      </c>
      <c r="F54" s="207">
        <v>20000</v>
      </c>
      <c r="G54" s="207">
        <v>20000</v>
      </c>
      <c r="H54" s="207">
        <v>20000</v>
      </c>
      <c r="I54" s="208">
        <f>F54</f>
        <v>20000</v>
      </c>
      <c r="J54" s="208">
        <f>F54</f>
        <v>20000</v>
      </c>
      <c r="K54" s="208">
        <f>F54</f>
        <v>20000</v>
      </c>
      <c r="L54" s="208">
        <f>F54</f>
        <v>20000</v>
      </c>
      <c r="M54" s="208">
        <f>F54</f>
        <v>20000</v>
      </c>
      <c r="N54" s="210"/>
      <c r="O54"/>
    </row>
    <row r="55" spans="1:15" ht="15.75" x14ac:dyDescent="0.25">
      <c r="A55" s="206" t="s">
        <v>47</v>
      </c>
      <c r="B55" s="207">
        <v>15000</v>
      </c>
      <c r="C55" s="207">
        <v>15000</v>
      </c>
      <c r="D55" s="207">
        <v>15000</v>
      </c>
      <c r="E55" s="207">
        <v>15000</v>
      </c>
      <c r="F55" s="207">
        <v>15000</v>
      </c>
      <c r="G55" s="207">
        <v>15000</v>
      </c>
      <c r="H55" s="207">
        <v>15000</v>
      </c>
      <c r="I55" s="208">
        <f>B55</f>
        <v>15000</v>
      </c>
      <c r="J55" s="208">
        <f>B55</f>
        <v>15000</v>
      </c>
      <c r="K55" s="208">
        <f>B55</f>
        <v>15000</v>
      </c>
      <c r="L55" s="208">
        <f>B55</f>
        <v>15000</v>
      </c>
      <c r="M55" s="208">
        <f>B55</f>
        <v>15000</v>
      </c>
      <c r="N55" s="210"/>
      <c r="O55"/>
    </row>
    <row r="56" spans="1:15" ht="15.75" x14ac:dyDescent="0.25">
      <c r="A56" s="206" t="s">
        <v>103</v>
      </c>
      <c r="B56" s="207">
        <v>1400</v>
      </c>
      <c r="C56" s="207">
        <v>1400</v>
      </c>
      <c r="D56" s="207">
        <v>1400</v>
      </c>
      <c r="E56" s="207">
        <v>1400</v>
      </c>
      <c r="F56" s="207">
        <v>1400</v>
      </c>
      <c r="G56" s="207">
        <v>1400</v>
      </c>
      <c r="H56" s="207">
        <v>1400</v>
      </c>
      <c r="I56" s="207">
        <v>1400</v>
      </c>
      <c r="J56" s="207">
        <v>1400</v>
      </c>
      <c r="K56" s="207">
        <v>1400</v>
      </c>
      <c r="L56" s="207">
        <v>1400</v>
      </c>
      <c r="M56" s="207">
        <v>1400</v>
      </c>
      <c r="N56" s="210"/>
      <c r="O56"/>
    </row>
    <row r="57" spans="1:15" ht="15.75" x14ac:dyDescent="0.25">
      <c r="A57" s="206" t="s">
        <v>105</v>
      </c>
      <c r="B57" s="211">
        <v>0</v>
      </c>
      <c r="C57" s="211">
        <v>0</v>
      </c>
      <c r="D57" s="211">
        <v>0</v>
      </c>
      <c r="E57" s="211">
        <v>0</v>
      </c>
      <c r="F57" s="211">
        <v>0</v>
      </c>
      <c r="G57" s="211">
        <v>0</v>
      </c>
      <c r="H57" s="211">
        <v>0</v>
      </c>
      <c r="I57" s="208">
        <f t="shared" ref="I57" si="8">B57*1.05</f>
        <v>0</v>
      </c>
      <c r="J57" s="208">
        <f t="shared" ref="J57" si="9">C57*1.05</f>
        <v>0</v>
      </c>
      <c r="K57" s="208">
        <f t="shared" ref="K57" si="10">D57*1.05</f>
        <v>0</v>
      </c>
      <c r="L57" s="208">
        <f t="shared" ref="L57" si="11">E57*1.05</f>
        <v>0</v>
      </c>
      <c r="M57" s="208">
        <f t="shared" ref="M57" si="12">F57*1.05</f>
        <v>0</v>
      </c>
      <c r="N57" s="210"/>
      <c r="O57"/>
    </row>
    <row r="58" spans="1:15" ht="15.75" x14ac:dyDescent="0.25">
      <c r="A58" s="206" t="s">
        <v>215</v>
      </c>
      <c r="B58" s="211">
        <v>2000</v>
      </c>
      <c r="C58" s="211">
        <v>2000</v>
      </c>
      <c r="D58" s="211">
        <v>2000</v>
      </c>
      <c r="E58" s="211">
        <v>2000</v>
      </c>
      <c r="F58" s="211">
        <v>2000</v>
      </c>
      <c r="G58" s="211">
        <v>2000</v>
      </c>
      <c r="H58" s="211">
        <v>2000</v>
      </c>
      <c r="I58" s="211">
        <v>2000</v>
      </c>
      <c r="J58" s="211">
        <v>2000</v>
      </c>
      <c r="K58" s="211">
        <v>2000</v>
      </c>
      <c r="L58" s="211">
        <v>2000</v>
      </c>
      <c r="M58" s="211">
        <v>2000</v>
      </c>
      <c r="N58" s="210"/>
      <c r="O58"/>
    </row>
    <row r="59" spans="1:15" ht="31.5" x14ac:dyDescent="0.25">
      <c r="A59" s="446" t="s">
        <v>218</v>
      </c>
      <c r="B59" s="211">
        <v>40000</v>
      </c>
      <c r="C59" s="211">
        <v>40000</v>
      </c>
      <c r="D59" s="211">
        <v>40000</v>
      </c>
      <c r="E59" s="211">
        <v>40000</v>
      </c>
      <c r="F59" s="211">
        <v>40000</v>
      </c>
      <c r="G59" s="211">
        <v>40000</v>
      </c>
      <c r="H59" s="211">
        <v>40000</v>
      </c>
      <c r="I59" s="211">
        <v>40000</v>
      </c>
      <c r="J59" s="211">
        <v>40000</v>
      </c>
      <c r="K59" s="211">
        <v>40000</v>
      </c>
      <c r="L59" s="211">
        <v>40000</v>
      </c>
      <c r="M59" s="211">
        <v>40000</v>
      </c>
      <c r="N59" s="210"/>
      <c r="O59"/>
    </row>
    <row r="60" spans="1:15" ht="31.5" x14ac:dyDescent="0.25">
      <c r="A60" s="446" t="s">
        <v>217</v>
      </c>
      <c r="B60" s="211">
        <v>75000</v>
      </c>
      <c r="C60" s="211">
        <v>75000</v>
      </c>
      <c r="D60" s="211">
        <v>75000</v>
      </c>
      <c r="E60" s="211">
        <v>75000</v>
      </c>
      <c r="F60" s="211">
        <v>75000</v>
      </c>
      <c r="G60" s="211">
        <v>75000</v>
      </c>
      <c r="H60" s="211">
        <v>75000</v>
      </c>
      <c r="I60" s="211">
        <v>75000</v>
      </c>
      <c r="J60" s="211">
        <v>75000</v>
      </c>
      <c r="K60" s="211">
        <v>75000</v>
      </c>
      <c r="L60" s="211">
        <v>75000</v>
      </c>
      <c r="M60" s="211">
        <v>75000</v>
      </c>
      <c r="N60" s="210"/>
      <c r="O60"/>
    </row>
    <row r="61" spans="1:15" ht="31.5" x14ac:dyDescent="0.25">
      <c r="A61" s="446" t="s">
        <v>216</v>
      </c>
      <c r="B61" s="211">
        <v>20000</v>
      </c>
      <c r="C61" s="211">
        <v>20000</v>
      </c>
      <c r="D61" s="211">
        <v>20000</v>
      </c>
      <c r="E61" s="211">
        <v>20000</v>
      </c>
      <c r="F61" s="211">
        <v>20000</v>
      </c>
      <c r="G61" s="211">
        <v>20000</v>
      </c>
      <c r="H61" s="211">
        <v>20000</v>
      </c>
      <c r="I61" s="211">
        <v>20000</v>
      </c>
      <c r="J61" s="211">
        <v>20000</v>
      </c>
      <c r="K61" s="211">
        <v>20000</v>
      </c>
      <c r="L61" s="211">
        <v>20000</v>
      </c>
      <c r="M61" s="211">
        <v>20000</v>
      </c>
      <c r="N61" s="210"/>
      <c r="O61"/>
    </row>
    <row r="62" spans="1:15" ht="15.75" x14ac:dyDescent="0.25">
      <c r="A62" s="206" t="s">
        <v>49</v>
      </c>
      <c r="B62" s="214">
        <v>6452</v>
      </c>
      <c r="C62" s="214">
        <v>6452</v>
      </c>
      <c r="D62" s="214">
        <v>6452</v>
      </c>
      <c r="E62" s="214">
        <v>6452</v>
      </c>
      <c r="F62" s="214">
        <v>6452</v>
      </c>
      <c r="G62" s="214">
        <v>6452</v>
      </c>
      <c r="H62" s="214">
        <v>6452</v>
      </c>
      <c r="I62" s="208">
        <f>B62</f>
        <v>6452</v>
      </c>
      <c r="J62" s="208">
        <f>B62</f>
        <v>6452</v>
      </c>
      <c r="K62" s="208">
        <f>B62</f>
        <v>6452</v>
      </c>
      <c r="L62" s="208">
        <f>B62</f>
        <v>6452</v>
      </c>
      <c r="M62" s="208">
        <f>B62</f>
        <v>6452</v>
      </c>
      <c r="N62" s="212"/>
      <c r="O62"/>
    </row>
    <row r="63" spans="1:15" ht="15.75" x14ac:dyDescent="0.25">
      <c r="A63" s="218" t="s">
        <v>7</v>
      </c>
      <c r="B63" s="213">
        <f t="shared" ref="B63:M63" si="13">SUM(B53:B62)</f>
        <v>557132.30000000005</v>
      </c>
      <c r="C63" s="213">
        <f t="shared" si="13"/>
        <v>557132.30000000005</v>
      </c>
      <c r="D63" s="213">
        <f t="shared" si="13"/>
        <v>557132.30000000005</v>
      </c>
      <c r="E63" s="213">
        <f t="shared" si="13"/>
        <v>557132.30000000005</v>
      </c>
      <c r="F63" s="213">
        <f t="shared" si="13"/>
        <v>557132.30000000005</v>
      </c>
      <c r="G63" s="213">
        <f t="shared" si="13"/>
        <v>557132.30000000005</v>
      </c>
      <c r="H63" s="213">
        <f t="shared" si="13"/>
        <v>557132.30000000005</v>
      </c>
      <c r="I63" s="213">
        <f t="shared" si="13"/>
        <v>557132.30000000005</v>
      </c>
      <c r="J63" s="213">
        <f t="shared" si="13"/>
        <v>557132.30000000005</v>
      </c>
      <c r="K63" s="213">
        <f t="shared" si="13"/>
        <v>557132.30000000005</v>
      </c>
      <c r="L63" s="213">
        <f t="shared" si="13"/>
        <v>557132.30000000005</v>
      </c>
      <c r="M63" s="213">
        <f t="shared" si="13"/>
        <v>557132.30000000005</v>
      </c>
      <c r="N63" s="219">
        <f>SUM(B63:M63)</f>
        <v>6685587.5999999987</v>
      </c>
      <c r="O63"/>
    </row>
  </sheetData>
  <mergeCells count="10">
    <mergeCell ref="A21:N21"/>
    <mergeCell ref="A36:N36"/>
    <mergeCell ref="A51:N51"/>
    <mergeCell ref="C3:E3"/>
    <mergeCell ref="G3:I3"/>
    <mergeCell ref="A13:K13"/>
    <mergeCell ref="B14:K14"/>
    <mergeCell ref="B15:K15"/>
    <mergeCell ref="B16:K16"/>
    <mergeCell ref="B17:K17"/>
  </mergeCells>
  <hyperlinks>
    <hyperlink ref="B14" r:id="rId1"/>
    <hyperlink ref="B15" r:id="rId2"/>
    <hyperlink ref="B16" r:id="rId3"/>
    <hyperlink ref="B17" r:id="rId4"/>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zoomScale="90" zoomScaleNormal="90" workbookViewId="0">
      <pane xSplit="3" ySplit="1" topLeftCell="D2" activePane="bottomRight" state="frozen"/>
      <selection pane="topRight" activeCell="D1" sqref="D1"/>
      <selection pane="bottomLeft" activeCell="A2" sqref="A2"/>
      <selection pane="bottomRight" activeCell="A17" sqref="A17"/>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89"/>
      <c r="B1" s="189"/>
      <c r="C1" s="189"/>
      <c r="D1" s="189"/>
      <c r="E1" s="189"/>
      <c r="F1" s="190" t="s">
        <v>5</v>
      </c>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row>
    <row r="3" spans="1:32" ht="15.75" thickBot="1" x14ac:dyDescent="0.3"/>
    <row r="4" spans="1:32" ht="27" thickBot="1" x14ac:dyDescent="0.45">
      <c r="B4" s="586" t="s">
        <v>13</v>
      </c>
      <c r="C4" s="587"/>
      <c r="D4" s="588"/>
      <c r="E4" s="14"/>
      <c r="H4" s="586" t="s">
        <v>51</v>
      </c>
      <c r="I4" s="587"/>
      <c r="J4" s="588"/>
    </row>
    <row r="5" spans="1:32" x14ac:dyDescent="0.25">
      <c r="B5" s="72">
        <v>2020</v>
      </c>
      <c r="C5" s="73">
        <v>2021</v>
      </c>
      <c r="D5" s="74">
        <v>2022</v>
      </c>
      <c r="E5" s="41"/>
      <c r="H5" s="72">
        <v>2020</v>
      </c>
      <c r="I5" s="73">
        <v>2021</v>
      </c>
      <c r="J5" s="74">
        <v>2022</v>
      </c>
    </row>
    <row r="6" spans="1:32" ht="15.75" thickBot="1" x14ac:dyDescent="0.3">
      <c r="B6" s="225">
        <f>Hipótesis!C24</f>
        <v>5.0000000000000001E-3</v>
      </c>
      <c r="C6" s="15">
        <f>Hipótesis!C25</f>
        <v>0.01</v>
      </c>
      <c r="D6" s="19">
        <f>Hipótesis!C26</f>
        <v>0.02</v>
      </c>
      <c r="E6" s="45"/>
      <c r="H6" s="20">
        <f>N23</f>
        <v>230628.36</v>
      </c>
      <c r="I6" s="21">
        <f>N32</f>
        <v>248350.20000000004</v>
      </c>
      <c r="J6" s="22">
        <f>N40</f>
        <v>270133.44</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589" t="s">
        <v>100</v>
      </c>
      <c r="B13" s="590"/>
      <c r="C13" s="590"/>
      <c r="D13" s="590"/>
      <c r="E13" s="590"/>
      <c r="F13" s="590"/>
      <c r="G13" s="590"/>
      <c r="H13" s="590"/>
      <c r="I13" s="590"/>
      <c r="J13" s="590"/>
      <c r="K13" s="591"/>
    </row>
    <row r="14" spans="1:32" x14ac:dyDescent="0.25">
      <c r="A14" s="193" t="s">
        <v>110</v>
      </c>
      <c r="B14" s="592" t="s">
        <v>113</v>
      </c>
      <c r="C14" s="593"/>
      <c r="D14" s="593"/>
      <c r="E14" s="593"/>
      <c r="F14" s="593"/>
      <c r="G14" s="593"/>
      <c r="H14" s="593"/>
      <c r="I14" s="593"/>
      <c r="J14" s="593"/>
      <c r="K14" s="593"/>
    </row>
    <row r="15" spans="1:32" x14ac:dyDescent="0.25">
      <c r="A15" s="193" t="s">
        <v>111</v>
      </c>
      <c r="B15" s="594" t="s">
        <v>112</v>
      </c>
      <c r="C15" s="595"/>
      <c r="D15" s="595"/>
      <c r="E15" s="595"/>
      <c r="F15" s="595"/>
      <c r="G15" s="595"/>
      <c r="H15" s="595"/>
      <c r="I15" s="595"/>
      <c r="J15" s="595"/>
      <c r="K15" s="596"/>
    </row>
    <row r="19" spans="1:14" ht="27" thickBot="1" x14ac:dyDescent="0.3">
      <c r="A19" s="583" t="s">
        <v>52</v>
      </c>
      <c r="B19" s="584"/>
      <c r="C19" s="584"/>
      <c r="D19" s="584"/>
      <c r="E19" s="584"/>
      <c r="F19" s="584"/>
      <c r="G19" s="584"/>
      <c r="H19" s="584"/>
      <c r="I19" s="584"/>
      <c r="J19" s="584"/>
      <c r="K19" s="584"/>
      <c r="L19" s="584"/>
      <c r="M19" s="584"/>
      <c r="N19" s="585"/>
    </row>
    <row r="20" spans="1:14" x14ac:dyDescent="0.25">
      <c r="A20" s="194" t="s">
        <v>40</v>
      </c>
      <c r="B20" s="195" t="s">
        <v>18</v>
      </c>
      <c r="C20" s="196" t="s">
        <v>19</v>
      </c>
      <c r="D20" s="196" t="s">
        <v>20</v>
      </c>
      <c r="E20" s="196" t="s">
        <v>21</v>
      </c>
      <c r="F20" s="196" t="s">
        <v>22</v>
      </c>
      <c r="G20" s="196" t="s">
        <v>23</v>
      </c>
      <c r="H20" s="196" t="s">
        <v>24</v>
      </c>
      <c r="I20" s="196" t="s">
        <v>25</v>
      </c>
      <c r="J20" s="196" t="s">
        <v>26</v>
      </c>
      <c r="K20" s="196" t="s">
        <v>27</v>
      </c>
      <c r="L20" s="196" t="s">
        <v>28</v>
      </c>
      <c r="M20" s="196" t="s">
        <v>29</v>
      </c>
      <c r="N20" s="197" t="s">
        <v>7</v>
      </c>
    </row>
    <row r="21" spans="1:14" x14ac:dyDescent="0.25">
      <c r="A21" s="194" t="s">
        <v>110</v>
      </c>
      <c r="B21" s="198">
        <v>15200</v>
      </c>
      <c r="C21" s="198">
        <v>15200</v>
      </c>
      <c r="D21" s="198">
        <v>15200</v>
      </c>
      <c r="E21" s="198">
        <v>15200</v>
      </c>
      <c r="F21" s="198">
        <v>15200</v>
      </c>
      <c r="G21" s="198">
        <v>15200</v>
      </c>
      <c r="H21" s="198">
        <v>15200</v>
      </c>
      <c r="I21" s="198">
        <v>15200</v>
      </c>
      <c r="J21" s="198">
        <v>15200</v>
      </c>
      <c r="K21" s="198">
        <v>15200</v>
      </c>
      <c r="L21" s="198">
        <v>15200</v>
      </c>
      <c r="M21" s="198">
        <v>15200</v>
      </c>
      <c r="N21" s="199"/>
    </row>
    <row r="22" spans="1:14" x14ac:dyDescent="0.25">
      <c r="A22" s="194" t="s">
        <v>111</v>
      </c>
      <c r="B22" s="198">
        <v>4019.03</v>
      </c>
      <c r="C22" s="198">
        <v>4019.03</v>
      </c>
      <c r="D22" s="198">
        <v>4019.03</v>
      </c>
      <c r="E22" s="198">
        <v>4019.03</v>
      </c>
      <c r="F22" s="198">
        <v>4019.03</v>
      </c>
      <c r="G22" s="198">
        <v>4019.03</v>
      </c>
      <c r="H22" s="198">
        <v>4019.03</v>
      </c>
      <c r="I22" s="198">
        <v>4019.03</v>
      </c>
      <c r="J22" s="198">
        <v>4019.03</v>
      </c>
      <c r="K22" s="198">
        <v>4019.03</v>
      </c>
      <c r="L22" s="198">
        <v>4019.03</v>
      </c>
      <c r="M22" s="198">
        <v>4019.03</v>
      </c>
      <c r="N22" s="200"/>
    </row>
    <row r="23" spans="1:14" x14ac:dyDescent="0.25">
      <c r="A23" s="220" t="s">
        <v>7</v>
      </c>
      <c r="B23" s="201">
        <f t="shared" ref="B23:M23" si="0">SUM(B21:B22)</f>
        <v>19219.03</v>
      </c>
      <c r="C23" s="201">
        <f t="shared" si="0"/>
        <v>19219.03</v>
      </c>
      <c r="D23" s="201">
        <f t="shared" si="0"/>
        <v>19219.03</v>
      </c>
      <c r="E23" s="201">
        <f t="shared" si="0"/>
        <v>19219.03</v>
      </c>
      <c r="F23" s="201">
        <f t="shared" si="0"/>
        <v>19219.03</v>
      </c>
      <c r="G23" s="201">
        <f t="shared" si="0"/>
        <v>19219.03</v>
      </c>
      <c r="H23" s="201">
        <f t="shared" si="0"/>
        <v>19219.03</v>
      </c>
      <c r="I23" s="201">
        <f t="shared" si="0"/>
        <v>19219.03</v>
      </c>
      <c r="J23" s="201">
        <f t="shared" si="0"/>
        <v>19219.03</v>
      </c>
      <c r="K23" s="201">
        <f t="shared" si="0"/>
        <v>19219.03</v>
      </c>
      <c r="L23" s="201">
        <f t="shared" si="0"/>
        <v>19219.03</v>
      </c>
      <c r="M23" s="201">
        <f t="shared" si="0"/>
        <v>19219.03</v>
      </c>
      <c r="N23" s="221">
        <f>SUM(B23:M23)</f>
        <v>230628.36</v>
      </c>
    </row>
    <row r="28" spans="1:14" ht="27" thickBot="1" x14ac:dyDescent="0.3">
      <c r="A28" s="583" t="s">
        <v>53</v>
      </c>
      <c r="B28" s="584"/>
      <c r="C28" s="584"/>
      <c r="D28" s="584"/>
      <c r="E28" s="584"/>
      <c r="F28" s="584"/>
      <c r="G28" s="584"/>
      <c r="H28" s="584"/>
      <c r="I28" s="584"/>
      <c r="J28" s="584"/>
      <c r="K28" s="584"/>
      <c r="L28" s="584"/>
      <c r="M28" s="584"/>
      <c r="N28" s="585"/>
    </row>
    <row r="29" spans="1:14" x14ac:dyDescent="0.25">
      <c r="A29" s="194" t="s">
        <v>40</v>
      </c>
      <c r="B29" s="195" t="s">
        <v>18</v>
      </c>
      <c r="C29" s="196" t="s">
        <v>19</v>
      </c>
      <c r="D29" s="196" t="s">
        <v>20</v>
      </c>
      <c r="E29" s="196" t="s">
        <v>21</v>
      </c>
      <c r="F29" s="196" t="s">
        <v>22</v>
      </c>
      <c r="G29" s="196" t="s">
        <v>23</v>
      </c>
      <c r="H29" s="196" t="s">
        <v>24</v>
      </c>
      <c r="I29" s="196" t="s">
        <v>25</v>
      </c>
      <c r="J29" s="196" t="s">
        <v>26</v>
      </c>
      <c r="K29" s="196" t="s">
        <v>27</v>
      </c>
      <c r="L29" s="196" t="s">
        <v>28</v>
      </c>
      <c r="M29" s="196" t="s">
        <v>29</v>
      </c>
      <c r="N29" s="197" t="s">
        <v>7</v>
      </c>
    </row>
    <row r="30" spans="1:14" x14ac:dyDescent="0.25">
      <c r="A30" s="194" t="s">
        <v>110</v>
      </c>
      <c r="B30" s="198">
        <f>B21*1.15</f>
        <v>17480</v>
      </c>
      <c r="C30" s="198">
        <f t="shared" ref="C30:M30" si="1">C21*1.15</f>
        <v>17480</v>
      </c>
      <c r="D30" s="198">
        <f t="shared" si="1"/>
        <v>17480</v>
      </c>
      <c r="E30" s="198">
        <f t="shared" si="1"/>
        <v>17480</v>
      </c>
      <c r="F30" s="198">
        <f t="shared" si="1"/>
        <v>17480</v>
      </c>
      <c r="G30" s="198">
        <f t="shared" si="1"/>
        <v>17480</v>
      </c>
      <c r="H30" s="198">
        <f t="shared" si="1"/>
        <v>17480</v>
      </c>
      <c r="I30" s="198">
        <f t="shared" si="1"/>
        <v>17480</v>
      </c>
      <c r="J30" s="198">
        <f t="shared" si="1"/>
        <v>17480</v>
      </c>
      <c r="K30" s="198">
        <f t="shared" si="1"/>
        <v>17480</v>
      </c>
      <c r="L30" s="198">
        <f t="shared" si="1"/>
        <v>17480</v>
      </c>
      <c r="M30" s="198">
        <f t="shared" si="1"/>
        <v>17480</v>
      </c>
      <c r="N30" s="199"/>
    </row>
    <row r="31" spans="1:14" x14ac:dyDescent="0.25">
      <c r="A31" s="194" t="s">
        <v>111</v>
      </c>
      <c r="B31" s="198">
        <v>3215.85</v>
      </c>
      <c r="C31" s="198">
        <v>3215.85</v>
      </c>
      <c r="D31" s="198">
        <v>3215.85</v>
      </c>
      <c r="E31" s="198">
        <v>3215.85</v>
      </c>
      <c r="F31" s="198">
        <v>3215.85</v>
      </c>
      <c r="G31" s="198">
        <v>3215.85</v>
      </c>
      <c r="H31" s="198">
        <v>3215.85</v>
      </c>
      <c r="I31" s="198">
        <v>3215.85</v>
      </c>
      <c r="J31" s="198">
        <v>3215.85</v>
      </c>
      <c r="K31" s="198">
        <v>3215.85</v>
      </c>
      <c r="L31" s="198">
        <v>3215.85</v>
      </c>
      <c r="M31" s="198">
        <v>3215.85</v>
      </c>
      <c r="N31" s="200"/>
    </row>
    <row r="32" spans="1:14" x14ac:dyDescent="0.25">
      <c r="A32" s="220" t="s">
        <v>7</v>
      </c>
      <c r="B32" s="201">
        <f t="shared" ref="B32:M32" si="2">SUM(B30:B31)</f>
        <v>20695.849999999999</v>
      </c>
      <c r="C32" s="201">
        <f t="shared" si="2"/>
        <v>20695.849999999999</v>
      </c>
      <c r="D32" s="201">
        <f t="shared" si="2"/>
        <v>20695.849999999999</v>
      </c>
      <c r="E32" s="201">
        <f t="shared" si="2"/>
        <v>20695.849999999999</v>
      </c>
      <c r="F32" s="201">
        <f t="shared" si="2"/>
        <v>20695.849999999999</v>
      </c>
      <c r="G32" s="201">
        <f t="shared" si="2"/>
        <v>20695.849999999999</v>
      </c>
      <c r="H32" s="201">
        <f t="shared" si="2"/>
        <v>20695.849999999999</v>
      </c>
      <c r="I32" s="201">
        <f t="shared" si="2"/>
        <v>20695.849999999999</v>
      </c>
      <c r="J32" s="201">
        <f t="shared" si="2"/>
        <v>20695.849999999999</v>
      </c>
      <c r="K32" s="201">
        <f t="shared" si="2"/>
        <v>20695.849999999999</v>
      </c>
      <c r="L32" s="201">
        <f t="shared" si="2"/>
        <v>20695.849999999999</v>
      </c>
      <c r="M32" s="201">
        <f t="shared" si="2"/>
        <v>20695.849999999999</v>
      </c>
      <c r="N32" s="221">
        <f>SUM(B32:M32)</f>
        <v>248350.20000000004</v>
      </c>
    </row>
    <row r="36" spans="1:14" ht="27" thickBot="1" x14ac:dyDescent="0.3">
      <c r="A36" s="583" t="s">
        <v>106</v>
      </c>
      <c r="B36" s="584"/>
      <c r="C36" s="584"/>
      <c r="D36" s="584"/>
      <c r="E36" s="584"/>
      <c r="F36" s="584"/>
      <c r="G36" s="584"/>
      <c r="H36" s="584"/>
      <c r="I36" s="584"/>
      <c r="J36" s="584"/>
      <c r="K36" s="584"/>
      <c r="L36" s="584"/>
      <c r="M36" s="584"/>
      <c r="N36" s="585"/>
    </row>
    <row r="37" spans="1:14" x14ac:dyDescent="0.25">
      <c r="A37" s="194" t="s">
        <v>40</v>
      </c>
      <c r="B37" s="195" t="s">
        <v>18</v>
      </c>
      <c r="C37" s="196" t="s">
        <v>19</v>
      </c>
      <c r="D37" s="196" t="s">
        <v>20</v>
      </c>
      <c r="E37" s="196" t="s">
        <v>21</v>
      </c>
      <c r="F37" s="196" t="s">
        <v>22</v>
      </c>
      <c r="G37" s="196" t="s">
        <v>23</v>
      </c>
      <c r="H37" s="196" t="s">
        <v>24</v>
      </c>
      <c r="I37" s="196" t="s">
        <v>25</v>
      </c>
      <c r="J37" s="196" t="s">
        <v>26</v>
      </c>
      <c r="K37" s="196" t="s">
        <v>27</v>
      </c>
      <c r="L37" s="196" t="s">
        <v>28</v>
      </c>
      <c r="M37" s="196" t="s">
        <v>29</v>
      </c>
      <c r="N37" s="197" t="s">
        <v>7</v>
      </c>
    </row>
    <row r="38" spans="1:14" x14ac:dyDescent="0.25">
      <c r="A38" s="194" t="s">
        <v>110</v>
      </c>
      <c r="B38" s="198">
        <f>B30*1.15</f>
        <v>20102</v>
      </c>
      <c r="C38" s="198">
        <f t="shared" ref="C38:M38" si="3">C30*1.15</f>
        <v>20102</v>
      </c>
      <c r="D38" s="198">
        <f t="shared" si="3"/>
        <v>20102</v>
      </c>
      <c r="E38" s="198">
        <f t="shared" si="3"/>
        <v>20102</v>
      </c>
      <c r="F38" s="198">
        <f t="shared" si="3"/>
        <v>20102</v>
      </c>
      <c r="G38" s="198">
        <f t="shared" si="3"/>
        <v>20102</v>
      </c>
      <c r="H38" s="198">
        <f t="shared" si="3"/>
        <v>20102</v>
      </c>
      <c r="I38" s="198">
        <f t="shared" si="3"/>
        <v>20102</v>
      </c>
      <c r="J38" s="198">
        <f t="shared" si="3"/>
        <v>20102</v>
      </c>
      <c r="K38" s="198">
        <f t="shared" si="3"/>
        <v>20102</v>
      </c>
      <c r="L38" s="198">
        <f t="shared" si="3"/>
        <v>20102</v>
      </c>
      <c r="M38" s="198">
        <f t="shared" si="3"/>
        <v>20102</v>
      </c>
      <c r="N38" s="199"/>
    </row>
    <row r="39" spans="1:14" x14ac:dyDescent="0.25">
      <c r="A39" s="194" t="s">
        <v>111</v>
      </c>
      <c r="B39" s="198">
        <v>2409.12</v>
      </c>
      <c r="C39" s="198">
        <v>2409.12</v>
      </c>
      <c r="D39" s="198">
        <v>2409.12</v>
      </c>
      <c r="E39" s="198">
        <v>2409.12</v>
      </c>
      <c r="F39" s="198">
        <v>2409.12</v>
      </c>
      <c r="G39" s="198">
        <v>2409.12</v>
      </c>
      <c r="H39" s="198">
        <v>2409.12</v>
      </c>
      <c r="I39" s="198">
        <v>2409.12</v>
      </c>
      <c r="J39" s="198">
        <v>2409.12</v>
      </c>
      <c r="K39" s="198">
        <v>2409.12</v>
      </c>
      <c r="L39" s="198">
        <v>2409.12</v>
      </c>
      <c r="M39" s="198">
        <v>2409.12</v>
      </c>
      <c r="N39" s="200"/>
    </row>
    <row r="40" spans="1:14" x14ac:dyDescent="0.25">
      <c r="A40" s="220" t="s">
        <v>7</v>
      </c>
      <c r="B40" s="201">
        <f t="shared" ref="B40:M40" si="4">SUM(B38:B39)</f>
        <v>22511.119999999999</v>
      </c>
      <c r="C40" s="201">
        <f t="shared" si="4"/>
        <v>22511.119999999999</v>
      </c>
      <c r="D40" s="201">
        <f t="shared" si="4"/>
        <v>22511.119999999999</v>
      </c>
      <c r="E40" s="201">
        <f t="shared" si="4"/>
        <v>22511.119999999999</v>
      </c>
      <c r="F40" s="201">
        <f t="shared" si="4"/>
        <v>22511.119999999999</v>
      </c>
      <c r="G40" s="201">
        <f t="shared" si="4"/>
        <v>22511.119999999999</v>
      </c>
      <c r="H40" s="201">
        <f t="shared" si="4"/>
        <v>22511.119999999999</v>
      </c>
      <c r="I40" s="201">
        <f t="shared" si="4"/>
        <v>22511.119999999999</v>
      </c>
      <c r="J40" s="201">
        <f t="shared" si="4"/>
        <v>22511.119999999999</v>
      </c>
      <c r="K40" s="201">
        <f t="shared" si="4"/>
        <v>22511.119999999999</v>
      </c>
      <c r="L40" s="201">
        <f t="shared" si="4"/>
        <v>22511.119999999999</v>
      </c>
      <c r="M40" s="201">
        <f t="shared" si="4"/>
        <v>22511.119999999999</v>
      </c>
      <c r="N40" s="221">
        <f>SUM(B40:M40)</f>
        <v>270133.44</v>
      </c>
    </row>
  </sheetData>
  <mergeCells count="8">
    <mergeCell ref="A19:N19"/>
    <mergeCell ref="A28:N28"/>
    <mergeCell ref="A36:N36"/>
    <mergeCell ref="H4:J4"/>
    <mergeCell ref="B4:D4"/>
    <mergeCell ref="A13:K13"/>
    <mergeCell ref="B14:K14"/>
    <mergeCell ref="B15:K15"/>
  </mergeCells>
  <hyperlinks>
    <hyperlink ref="B14" r:id="rId1" location="/addService"/>
    <hyperlink ref="B15" r:id="rId2" location="commercial?billing=yearly"/>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9"/>
  <sheetViews>
    <sheetView topLeftCell="A65" zoomScale="90" zoomScaleNormal="90" workbookViewId="0">
      <selection activeCell="B65" sqref="B65:AA65"/>
    </sheetView>
  </sheetViews>
  <sheetFormatPr baseColWidth="10" defaultRowHeight="15" x14ac:dyDescent="0.25"/>
  <cols>
    <col min="2" max="2" width="27.7109375" customWidth="1"/>
    <col min="3" max="3" width="28" customWidth="1"/>
    <col min="4" max="4" width="16.7109375" customWidth="1"/>
    <col min="5" max="5" width="20.28515625" customWidth="1"/>
    <col min="6" max="6" width="13.5703125" bestFit="1" customWidth="1"/>
    <col min="7" max="7" width="14.28515625" customWidth="1"/>
    <col min="8" max="8" width="13.85546875" customWidth="1"/>
    <col min="9" max="9" width="15.28515625" bestFit="1" customWidth="1"/>
    <col min="10" max="10" width="15" customWidth="1"/>
    <col min="11" max="11" width="14.85546875" customWidth="1"/>
    <col min="12" max="12" width="17" customWidth="1"/>
    <col min="14" max="14" width="13.5703125" bestFit="1" customWidth="1"/>
    <col min="16" max="16" width="13.5703125" bestFit="1" customWidth="1"/>
    <col min="18" max="18" width="13.5703125" bestFit="1" customWidth="1"/>
    <col min="20" max="20" width="13.5703125" bestFit="1" customWidth="1"/>
    <col min="22" max="22" width="13.5703125" bestFit="1" customWidth="1"/>
    <col min="24" max="24" width="13.5703125" bestFit="1" customWidth="1"/>
    <col min="26" max="26" width="13.5703125" bestFit="1" customWidth="1"/>
    <col min="27" max="27" width="15.28515625" bestFit="1" customWidth="1"/>
  </cols>
  <sheetData>
    <row r="1" spans="1:32" ht="46.5" x14ac:dyDescent="0.25">
      <c r="A1" s="47"/>
      <c r="B1" s="47"/>
      <c r="C1" s="47"/>
      <c r="D1" s="47"/>
      <c r="E1" s="70" t="s">
        <v>118</v>
      </c>
      <c r="F1" s="268"/>
      <c r="G1" s="268"/>
      <c r="H1" s="47"/>
      <c r="I1" s="47"/>
      <c r="J1" s="47"/>
      <c r="K1" s="47"/>
      <c r="L1" s="47"/>
      <c r="M1" s="47"/>
      <c r="N1" s="47"/>
      <c r="O1" s="47"/>
      <c r="P1" s="47"/>
      <c r="Q1" s="47"/>
      <c r="R1" s="47"/>
      <c r="S1" s="47"/>
      <c r="T1" s="47"/>
      <c r="U1" s="47"/>
      <c r="V1" s="47"/>
      <c r="W1" s="47"/>
      <c r="X1" s="47"/>
      <c r="Y1" s="47"/>
      <c r="Z1" s="47"/>
      <c r="AA1" s="47"/>
      <c r="AB1" s="47"/>
      <c r="AC1" s="47"/>
      <c r="AD1" s="47"/>
      <c r="AE1" s="47"/>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586" t="s">
        <v>13</v>
      </c>
      <c r="C4" s="587"/>
      <c r="D4" s="588"/>
      <c r="E4" s="234"/>
      <c r="F4" s="1"/>
      <c r="G4" s="1"/>
      <c r="H4" s="586" t="s">
        <v>119</v>
      </c>
      <c r="I4" s="587"/>
      <c r="J4" s="588"/>
      <c r="K4" s="1"/>
      <c r="L4" s="1"/>
      <c r="M4" s="1"/>
      <c r="N4" s="1"/>
      <c r="O4" s="1"/>
      <c r="P4" s="1"/>
      <c r="Q4" s="1"/>
      <c r="R4" s="1"/>
      <c r="S4" s="1"/>
      <c r="T4" s="1"/>
      <c r="U4" s="1"/>
      <c r="V4" s="1"/>
      <c r="W4" s="1"/>
      <c r="X4" s="1"/>
      <c r="Y4" s="1"/>
      <c r="Z4" s="1"/>
      <c r="AA4" s="1"/>
      <c r="AB4" s="1"/>
      <c r="AC4" s="1"/>
      <c r="AD4" s="1"/>
      <c r="AE4" s="1"/>
      <c r="AF4" s="1"/>
    </row>
    <row r="5" spans="1:32" x14ac:dyDescent="0.25">
      <c r="A5" s="1"/>
      <c r="B5" s="166">
        <v>2019</v>
      </c>
      <c r="C5" s="166">
        <v>2020</v>
      </c>
      <c r="D5" s="166">
        <v>2021</v>
      </c>
      <c r="E5" s="235"/>
      <c r="F5" s="1"/>
      <c r="G5" s="1"/>
      <c r="H5" s="202">
        <v>2020</v>
      </c>
      <c r="I5" s="166">
        <v>2021</v>
      </c>
      <c r="J5" s="203">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21">
        <f>Hipótesis!C24</f>
        <v>5.0000000000000001E-3</v>
      </c>
      <c r="C6" s="236">
        <f>Hipótesis!C25</f>
        <v>0.01</v>
      </c>
      <c r="D6" s="236">
        <f>Hipótesis!C26</f>
        <v>0.02</v>
      </c>
      <c r="E6" s="237"/>
      <c r="F6" s="1"/>
      <c r="G6" s="1"/>
      <c r="H6" s="238">
        <f>$AA$48</f>
        <v>9749696.4500000011</v>
      </c>
      <c r="I6" s="239">
        <f>$AA$62</f>
        <v>10859538.039999999</v>
      </c>
      <c r="J6" s="240">
        <f>$AA$85</f>
        <v>20689881.93999999</v>
      </c>
      <c r="K6" s="1"/>
      <c r="L6" s="1"/>
      <c r="M6" s="1"/>
      <c r="N6" s="1"/>
      <c r="O6" s="1"/>
      <c r="P6" s="1"/>
      <c r="Q6" s="1"/>
      <c r="R6" s="1"/>
      <c r="S6" s="1"/>
      <c r="T6" s="1"/>
      <c r="U6" s="1"/>
      <c r="V6" s="1"/>
      <c r="W6" s="1"/>
      <c r="X6" s="1"/>
      <c r="Y6" s="1"/>
      <c r="Z6" s="1"/>
      <c r="AA6" s="1"/>
      <c r="AB6" s="1"/>
      <c r="AC6" s="1"/>
      <c r="AD6" s="1"/>
      <c r="AE6" s="1"/>
      <c r="AF6" s="1"/>
    </row>
    <row r="7" spans="1:32" x14ac:dyDescent="0.25">
      <c r="A7" s="1"/>
      <c r="B7" s="241">
        <f>Hipótesis!D24</f>
        <v>11347620</v>
      </c>
      <c r="C7" s="241">
        <f>Hipótesis!D25</f>
        <v>22695240</v>
      </c>
      <c r="D7" s="241">
        <f>Hipótesis!D26</f>
        <v>45390480</v>
      </c>
      <c r="E7" s="242"/>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549" t="s">
        <v>120</v>
      </c>
      <c r="C11" s="550"/>
      <c r="D11" s="550"/>
      <c r="E11" s="550"/>
      <c r="F11" s="550"/>
      <c r="G11" s="550"/>
      <c r="H11" s="550"/>
      <c r="I11" s="550"/>
      <c r="J11" s="550"/>
      <c r="K11" s="550"/>
      <c r="L11" s="552"/>
      <c r="M11" s="1"/>
      <c r="N11" s="1"/>
      <c r="O11" s="1"/>
      <c r="P11" s="1"/>
      <c r="Q11" s="1"/>
      <c r="R11" s="1"/>
      <c r="S11" s="1"/>
      <c r="T11" s="1"/>
      <c r="U11" s="1"/>
      <c r="V11" s="1"/>
      <c r="W11" s="1"/>
      <c r="X11" s="1"/>
      <c r="Y11" s="1"/>
      <c r="Z11" s="1"/>
      <c r="AA11" s="1"/>
      <c r="AB11" s="1"/>
      <c r="AC11" s="1"/>
      <c r="AD11" s="1"/>
      <c r="AE11" s="1"/>
      <c r="AF11" s="1"/>
    </row>
    <row r="12" spans="1:32" ht="15.75" x14ac:dyDescent="0.25">
      <c r="A12" s="1"/>
      <c r="B12" s="600" t="s">
        <v>121</v>
      </c>
      <c r="C12" s="602" t="s">
        <v>122</v>
      </c>
      <c r="D12" s="604" t="s">
        <v>123</v>
      </c>
      <c r="E12" s="269" t="s">
        <v>124</v>
      </c>
      <c r="F12" s="270" t="s">
        <v>125</v>
      </c>
      <c r="G12" s="270" t="s">
        <v>126</v>
      </c>
      <c r="H12" s="270" t="s">
        <v>127</v>
      </c>
      <c r="I12" s="271" t="s">
        <v>128</v>
      </c>
      <c r="J12" s="272" t="s">
        <v>129</v>
      </c>
      <c r="K12" s="606" t="s">
        <v>130</v>
      </c>
      <c r="L12" s="606"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601"/>
      <c r="C13" s="603"/>
      <c r="D13" s="605"/>
      <c r="E13" s="273">
        <v>0.1047</v>
      </c>
      <c r="F13" s="274">
        <v>1.54E-2</v>
      </c>
      <c r="G13" s="275">
        <v>0.06</v>
      </c>
      <c r="H13" s="274">
        <v>9.1999999999999998E-3</v>
      </c>
      <c r="I13" s="275" t="s">
        <v>152</v>
      </c>
      <c r="J13" s="276">
        <v>0.03</v>
      </c>
      <c r="K13" s="607"/>
      <c r="L13" s="607"/>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43" t="s">
        <v>132</v>
      </c>
      <c r="C14" s="244" t="s">
        <v>143</v>
      </c>
      <c r="D14" s="245">
        <v>180000</v>
      </c>
      <c r="E14" s="246">
        <f>$D$14*E13</f>
        <v>18846</v>
      </c>
      <c r="F14" s="247">
        <f t="shared" ref="F14:J14" si="0">$D$14*F13</f>
        <v>2772</v>
      </c>
      <c r="G14" s="247">
        <f t="shared" si="0"/>
        <v>10800</v>
      </c>
      <c r="H14" s="248">
        <f t="shared" si="0"/>
        <v>1656</v>
      </c>
      <c r="I14" s="249">
        <v>21.43</v>
      </c>
      <c r="J14" s="312">
        <f t="shared" si="0"/>
        <v>5400</v>
      </c>
      <c r="K14" s="249">
        <f>SUM(E14:J14)</f>
        <v>39495.43</v>
      </c>
      <c r="L14" s="277">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608" t="s">
        <v>133</v>
      </c>
      <c r="C15" s="296" t="s">
        <v>144</v>
      </c>
      <c r="D15" s="301">
        <v>130000</v>
      </c>
      <c r="E15" s="304">
        <f>$D$15*E13</f>
        <v>13611</v>
      </c>
      <c r="F15" s="251">
        <f t="shared" ref="F15:J15" si="1">$D$15*F13</f>
        <v>2002</v>
      </c>
      <c r="G15" s="251">
        <f t="shared" si="1"/>
        <v>7800</v>
      </c>
      <c r="H15" s="251">
        <f t="shared" si="1"/>
        <v>1196</v>
      </c>
      <c r="I15" s="291">
        <v>21.43</v>
      </c>
      <c r="J15" s="252">
        <f t="shared" si="1"/>
        <v>3900</v>
      </c>
      <c r="K15" s="253">
        <f t="shared" ref="K15:K36" si="2">SUM(E15:J15)</f>
        <v>28530.43</v>
      </c>
      <c r="L15" s="278">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609"/>
      <c r="C16" s="298" t="s">
        <v>73</v>
      </c>
      <c r="D16" s="302">
        <v>60000</v>
      </c>
      <c r="E16" s="305">
        <f>$D$16*E13</f>
        <v>6282</v>
      </c>
      <c r="F16" s="255">
        <f t="shared" ref="F16:J16" si="4">$D$16*F13</f>
        <v>924</v>
      </c>
      <c r="G16" s="255">
        <f t="shared" si="4"/>
        <v>3600</v>
      </c>
      <c r="H16" s="255">
        <f t="shared" si="4"/>
        <v>552</v>
      </c>
      <c r="I16" s="255">
        <v>21.43</v>
      </c>
      <c r="J16" s="256">
        <f t="shared" si="4"/>
        <v>1800</v>
      </c>
      <c r="K16" s="257">
        <f t="shared" si="2"/>
        <v>13179.43</v>
      </c>
      <c r="L16" s="279">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609"/>
      <c r="C17" s="298" t="s">
        <v>74</v>
      </c>
      <c r="D17" s="302">
        <v>45000</v>
      </c>
      <c r="E17" s="305">
        <f>$D$17*E13</f>
        <v>4711.5</v>
      </c>
      <c r="F17" s="255">
        <f t="shared" ref="F17:H17" si="5">$D$17*F13</f>
        <v>693</v>
      </c>
      <c r="G17" s="255">
        <f t="shared" si="5"/>
        <v>2700</v>
      </c>
      <c r="H17" s="255">
        <f t="shared" si="5"/>
        <v>414</v>
      </c>
      <c r="I17" s="255">
        <v>21.43</v>
      </c>
      <c r="J17" s="256">
        <f>$D$17*J13</f>
        <v>1350</v>
      </c>
      <c r="K17" s="257">
        <f t="shared" si="2"/>
        <v>9889.93</v>
      </c>
      <c r="L17" s="279">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609"/>
      <c r="C18" s="298" t="s">
        <v>75</v>
      </c>
      <c r="D18" s="302">
        <v>60000</v>
      </c>
      <c r="E18" s="305">
        <f>$D$18*E13</f>
        <v>6282</v>
      </c>
      <c r="F18" s="255">
        <f t="shared" ref="F18:J18" si="6">$D$18*F13</f>
        <v>924</v>
      </c>
      <c r="G18" s="255">
        <f t="shared" si="6"/>
        <v>3600</v>
      </c>
      <c r="H18" s="255">
        <f t="shared" si="6"/>
        <v>552</v>
      </c>
      <c r="I18" s="255">
        <v>21.43</v>
      </c>
      <c r="J18" s="256">
        <f t="shared" si="6"/>
        <v>1800</v>
      </c>
      <c r="K18" s="257">
        <f t="shared" si="2"/>
        <v>13179.43</v>
      </c>
      <c r="L18" s="279">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610"/>
      <c r="C19" s="299" t="s">
        <v>76</v>
      </c>
      <c r="D19" s="303">
        <v>60000</v>
      </c>
      <c r="E19" s="306">
        <f>D19*$E$13</f>
        <v>6282</v>
      </c>
      <c r="F19" s="286">
        <f>D19*$F$13</f>
        <v>924</v>
      </c>
      <c r="G19" s="286">
        <f>D19*$G$13</f>
        <v>3600</v>
      </c>
      <c r="H19" s="286">
        <f>D19*$H$13</f>
        <v>552</v>
      </c>
      <c r="I19" s="255">
        <v>21.43</v>
      </c>
      <c r="J19" s="287">
        <f>D19*$J$13</f>
        <v>1800</v>
      </c>
      <c r="K19" s="288">
        <f>SUM(E19:J19)</f>
        <v>13179.43</v>
      </c>
      <c r="L19" s="289">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610"/>
      <c r="C20" s="298" t="s">
        <v>145</v>
      </c>
      <c r="D20" s="302">
        <v>80000</v>
      </c>
      <c r="E20" s="306">
        <f t="shared" ref="E20:E34" si="7">D20*$E$13</f>
        <v>8376</v>
      </c>
      <c r="F20" s="286">
        <f t="shared" ref="F20:F34" si="8">D20*$F$13</f>
        <v>1232</v>
      </c>
      <c r="G20" s="286">
        <f t="shared" ref="G20:G35" si="9">D20*$G$13</f>
        <v>4800</v>
      </c>
      <c r="H20" s="286">
        <f t="shared" ref="H20:H34" si="10">D20*$H$13</f>
        <v>736</v>
      </c>
      <c r="I20" s="255">
        <v>21.43</v>
      </c>
      <c r="J20" s="287">
        <f t="shared" ref="J20:J34" si="11">D20*$J$13</f>
        <v>2400</v>
      </c>
      <c r="K20" s="288">
        <f t="shared" ref="K20:K21" si="12">SUM(E20:J20)</f>
        <v>17565.43</v>
      </c>
      <c r="L20" s="289">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611"/>
      <c r="C21" s="300" t="s">
        <v>78</v>
      </c>
      <c r="D21" s="303">
        <v>45000</v>
      </c>
      <c r="E21" s="306">
        <f t="shared" si="7"/>
        <v>4711.5</v>
      </c>
      <c r="F21" s="286">
        <f t="shared" si="8"/>
        <v>693</v>
      </c>
      <c r="G21" s="286">
        <f t="shared" si="9"/>
        <v>2700</v>
      </c>
      <c r="H21" s="286">
        <f t="shared" si="10"/>
        <v>414</v>
      </c>
      <c r="I21" s="286">
        <v>21.43</v>
      </c>
      <c r="J21" s="287">
        <f t="shared" si="11"/>
        <v>1350</v>
      </c>
      <c r="K21" s="288">
        <f t="shared" si="12"/>
        <v>9889.93</v>
      </c>
      <c r="L21" s="289">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612" t="s">
        <v>134</v>
      </c>
      <c r="C22" s="292" t="s">
        <v>81</v>
      </c>
      <c r="D22" s="250">
        <v>120000</v>
      </c>
      <c r="E22" s="308">
        <f t="shared" si="7"/>
        <v>12564</v>
      </c>
      <c r="F22" s="309">
        <f t="shared" si="8"/>
        <v>1848</v>
      </c>
      <c r="G22" s="309">
        <f t="shared" si="9"/>
        <v>7200</v>
      </c>
      <c r="H22" s="309">
        <f t="shared" si="10"/>
        <v>1104</v>
      </c>
      <c r="I22" s="251">
        <v>21.43</v>
      </c>
      <c r="J22" s="310">
        <f t="shared" si="11"/>
        <v>3600</v>
      </c>
      <c r="K22" s="253">
        <f t="shared" si="2"/>
        <v>26337.43</v>
      </c>
      <c r="L22" s="278">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613"/>
      <c r="C23" s="293" t="s">
        <v>82</v>
      </c>
      <c r="D23" s="262">
        <v>65000</v>
      </c>
      <c r="E23" s="306">
        <f t="shared" si="7"/>
        <v>6805.5</v>
      </c>
      <c r="F23" s="286">
        <f t="shared" si="8"/>
        <v>1001</v>
      </c>
      <c r="G23" s="286">
        <f t="shared" si="9"/>
        <v>3900</v>
      </c>
      <c r="H23" s="286">
        <f t="shared" si="10"/>
        <v>598</v>
      </c>
      <c r="I23" s="255">
        <v>21.43</v>
      </c>
      <c r="J23" s="287">
        <f t="shared" si="11"/>
        <v>1950</v>
      </c>
      <c r="K23" s="288">
        <f>SUM(E23:J23)</f>
        <v>14275.93</v>
      </c>
      <c r="L23" s="289">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614"/>
      <c r="C24" s="294" t="s">
        <v>146</v>
      </c>
      <c r="D24" s="258">
        <v>45000</v>
      </c>
      <c r="E24" s="307">
        <f t="shared" si="7"/>
        <v>4711.5</v>
      </c>
      <c r="F24" s="259">
        <f t="shared" si="8"/>
        <v>693</v>
      </c>
      <c r="G24" s="259">
        <f t="shared" si="9"/>
        <v>2700</v>
      </c>
      <c r="H24" s="259">
        <f t="shared" si="10"/>
        <v>414</v>
      </c>
      <c r="I24" s="259">
        <v>21.43</v>
      </c>
      <c r="J24" s="260">
        <f t="shared" si="11"/>
        <v>1350</v>
      </c>
      <c r="K24" s="261">
        <f t="shared" ref="K24:K34" si="14">SUM(E24:J24)</f>
        <v>9889.93</v>
      </c>
      <c r="L24" s="280">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615" t="s">
        <v>135</v>
      </c>
      <c r="C25" s="292" t="s">
        <v>84</v>
      </c>
      <c r="D25" s="250">
        <v>150000</v>
      </c>
      <c r="E25" s="308">
        <f t="shared" si="7"/>
        <v>15705</v>
      </c>
      <c r="F25" s="309">
        <f t="shared" si="8"/>
        <v>2310</v>
      </c>
      <c r="G25" s="309">
        <f t="shared" si="9"/>
        <v>9000</v>
      </c>
      <c r="H25" s="309">
        <f t="shared" si="10"/>
        <v>1380</v>
      </c>
      <c r="I25" s="251">
        <v>21.43</v>
      </c>
      <c r="J25" s="310">
        <f t="shared" si="11"/>
        <v>4500</v>
      </c>
      <c r="K25" s="311">
        <f t="shared" si="14"/>
        <v>32916.43</v>
      </c>
      <c r="L25" s="278">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616"/>
      <c r="C26" s="266" t="s">
        <v>85</v>
      </c>
      <c r="D26" s="254">
        <v>80000</v>
      </c>
      <c r="E26" s="306">
        <f t="shared" si="7"/>
        <v>8376</v>
      </c>
      <c r="F26" s="286">
        <f t="shared" si="8"/>
        <v>1232</v>
      </c>
      <c r="G26" s="286">
        <f t="shared" si="9"/>
        <v>4800</v>
      </c>
      <c r="H26" s="286">
        <f t="shared" si="10"/>
        <v>736</v>
      </c>
      <c r="I26" s="255">
        <v>21.43</v>
      </c>
      <c r="J26" s="287">
        <f t="shared" si="11"/>
        <v>2400</v>
      </c>
      <c r="K26" s="288">
        <f t="shared" si="14"/>
        <v>17565.43</v>
      </c>
      <c r="L26" s="279">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617"/>
      <c r="C27" s="266" t="s">
        <v>86</v>
      </c>
      <c r="D27" s="254">
        <v>75000</v>
      </c>
      <c r="E27" s="306">
        <f t="shared" si="7"/>
        <v>7852.5</v>
      </c>
      <c r="F27" s="286">
        <f t="shared" si="8"/>
        <v>1155</v>
      </c>
      <c r="G27" s="286">
        <f t="shared" si="9"/>
        <v>4500</v>
      </c>
      <c r="H27" s="286">
        <f t="shared" si="10"/>
        <v>690</v>
      </c>
      <c r="I27" s="255">
        <v>21.43</v>
      </c>
      <c r="J27" s="287">
        <f t="shared" si="11"/>
        <v>2250</v>
      </c>
      <c r="K27" s="288">
        <f t="shared" si="14"/>
        <v>16468.93</v>
      </c>
      <c r="L27" s="279">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617"/>
      <c r="C28" s="293" t="s">
        <v>87</v>
      </c>
      <c r="D28" s="262">
        <v>45000</v>
      </c>
      <c r="E28" s="306">
        <f t="shared" si="7"/>
        <v>4711.5</v>
      </c>
      <c r="F28" s="286">
        <f t="shared" si="8"/>
        <v>693</v>
      </c>
      <c r="G28" s="286">
        <f t="shared" si="9"/>
        <v>2700</v>
      </c>
      <c r="H28" s="286">
        <f t="shared" si="10"/>
        <v>414</v>
      </c>
      <c r="I28" s="255">
        <v>21.43</v>
      </c>
      <c r="J28" s="287">
        <f t="shared" si="11"/>
        <v>1350</v>
      </c>
      <c r="K28" s="288">
        <f t="shared" si="14"/>
        <v>9889.93</v>
      </c>
      <c r="L28" s="279">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617"/>
      <c r="C29" s="293" t="s">
        <v>88</v>
      </c>
      <c r="D29" s="262">
        <v>55000</v>
      </c>
      <c r="E29" s="306">
        <f t="shared" si="7"/>
        <v>5758.5</v>
      </c>
      <c r="F29" s="286">
        <f t="shared" si="8"/>
        <v>847</v>
      </c>
      <c r="G29" s="286">
        <f t="shared" si="9"/>
        <v>3300</v>
      </c>
      <c r="H29" s="286">
        <f t="shared" si="10"/>
        <v>506</v>
      </c>
      <c r="I29" s="255">
        <v>21.43</v>
      </c>
      <c r="J29" s="287">
        <f t="shared" si="11"/>
        <v>1650</v>
      </c>
      <c r="K29" s="288">
        <f t="shared" si="14"/>
        <v>12082.93</v>
      </c>
      <c r="L29" s="289">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614"/>
      <c r="C30" s="294" t="s">
        <v>89</v>
      </c>
      <c r="D30" s="258">
        <v>55000</v>
      </c>
      <c r="E30" s="307">
        <f t="shared" si="7"/>
        <v>5758.5</v>
      </c>
      <c r="F30" s="259">
        <f t="shared" si="8"/>
        <v>847</v>
      </c>
      <c r="G30" s="259">
        <f t="shared" si="9"/>
        <v>3300</v>
      </c>
      <c r="H30" s="259">
        <f t="shared" si="10"/>
        <v>506</v>
      </c>
      <c r="I30" s="259">
        <v>21.43</v>
      </c>
      <c r="J30" s="260">
        <f t="shared" si="11"/>
        <v>1650</v>
      </c>
      <c r="K30" s="261">
        <f t="shared" si="14"/>
        <v>12082.93</v>
      </c>
      <c r="L30" s="295">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615" t="s">
        <v>148</v>
      </c>
      <c r="C31" s="292" t="s">
        <v>147</v>
      </c>
      <c r="D31" s="250">
        <v>150000</v>
      </c>
      <c r="E31" s="308">
        <f t="shared" si="7"/>
        <v>15705</v>
      </c>
      <c r="F31" s="309">
        <f t="shared" si="8"/>
        <v>2310</v>
      </c>
      <c r="G31" s="309">
        <f t="shared" si="9"/>
        <v>9000</v>
      </c>
      <c r="H31" s="309">
        <f t="shared" si="10"/>
        <v>1380</v>
      </c>
      <c r="I31" s="251">
        <v>21.43</v>
      </c>
      <c r="J31" s="310">
        <f t="shared" si="11"/>
        <v>4500</v>
      </c>
      <c r="K31" s="311">
        <f t="shared" si="14"/>
        <v>32916.43</v>
      </c>
      <c r="L31" s="278">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616"/>
      <c r="C32" s="266" t="s">
        <v>91</v>
      </c>
      <c r="D32" s="254">
        <v>80000</v>
      </c>
      <c r="E32" s="306">
        <f t="shared" si="7"/>
        <v>8376</v>
      </c>
      <c r="F32" s="286">
        <f t="shared" si="8"/>
        <v>1232</v>
      </c>
      <c r="G32" s="286">
        <f t="shared" si="9"/>
        <v>4800</v>
      </c>
      <c r="H32" s="286">
        <f t="shared" si="10"/>
        <v>736</v>
      </c>
      <c r="I32" s="255">
        <v>21.43</v>
      </c>
      <c r="J32" s="287">
        <f t="shared" si="11"/>
        <v>2400</v>
      </c>
      <c r="K32" s="288">
        <f t="shared" si="14"/>
        <v>17565.43</v>
      </c>
      <c r="L32" s="279">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617"/>
      <c r="C33" s="293" t="s">
        <v>149</v>
      </c>
      <c r="D33" s="262">
        <v>80000</v>
      </c>
      <c r="E33" s="306">
        <f t="shared" si="7"/>
        <v>8376</v>
      </c>
      <c r="F33" s="286">
        <f t="shared" si="8"/>
        <v>1232</v>
      </c>
      <c r="G33" s="286">
        <f t="shared" si="9"/>
        <v>4800</v>
      </c>
      <c r="H33" s="286">
        <f t="shared" si="10"/>
        <v>736</v>
      </c>
      <c r="I33" s="255">
        <v>21.43</v>
      </c>
      <c r="J33" s="287">
        <f t="shared" si="11"/>
        <v>2400</v>
      </c>
      <c r="K33" s="288">
        <f t="shared" si="14"/>
        <v>17565.43</v>
      </c>
      <c r="L33" s="289">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614"/>
      <c r="C34" s="294" t="s">
        <v>93</v>
      </c>
      <c r="D34" s="258">
        <v>70000</v>
      </c>
      <c r="E34" s="307">
        <f t="shared" si="7"/>
        <v>7329</v>
      </c>
      <c r="F34" s="259">
        <f t="shared" si="8"/>
        <v>1078</v>
      </c>
      <c r="G34" s="259">
        <f t="shared" si="9"/>
        <v>4200</v>
      </c>
      <c r="H34" s="259">
        <f t="shared" si="10"/>
        <v>644</v>
      </c>
      <c r="I34" s="259">
        <v>21.43</v>
      </c>
      <c r="J34" s="260">
        <f t="shared" si="11"/>
        <v>2100</v>
      </c>
      <c r="K34" s="261">
        <f t="shared" si="14"/>
        <v>15372.43</v>
      </c>
      <c r="L34" s="295">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608" t="s">
        <v>150</v>
      </c>
      <c r="C35" s="313" t="s">
        <v>151</v>
      </c>
      <c r="D35" s="290">
        <v>100000</v>
      </c>
      <c r="E35" s="304">
        <f>$D$35*E13</f>
        <v>10470</v>
      </c>
      <c r="F35" s="251">
        <f>$D$35*F13</f>
        <v>1540</v>
      </c>
      <c r="G35" s="309">
        <f t="shared" si="9"/>
        <v>6000</v>
      </c>
      <c r="H35" s="251">
        <f>$D$35*H13</f>
        <v>920</v>
      </c>
      <c r="I35" s="251">
        <v>21.43</v>
      </c>
      <c r="J35" s="252">
        <f>$D$35*J13</f>
        <v>3000</v>
      </c>
      <c r="K35" s="253">
        <f t="shared" si="2"/>
        <v>21951.43</v>
      </c>
      <c r="L35" s="278">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611"/>
      <c r="C36" s="297" t="s">
        <v>80</v>
      </c>
      <c r="D36" s="258">
        <v>60000</v>
      </c>
      <c r="E36" s="307">
        <f>$D$36*E13</f>
        <v>6282</v>
      </c>
      <c r="F36" s="259">
        <f>$D$36*F13</f>
        <v>924</v>
      </c>
      <c r="G36" s="259">
        <f>$D$36*G13</f>
        <v>3600</v>
      </c>
      <c r="H36" s="259">
        <f>$D$36*H13</f>
        <v>552</v>
      </c>
      <c r="I36" s="259">
        <v>21.43</v>
      </c>
      <c r="J36" s="260">
        <f>$D$36*J13</f>
        <v>1800</v>
      </c>
      <c r="K36" s="261">
        <f t="shared" si="2"/>
        <v>13179.43</v>
      </c>
      <c r="L36" s="280">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597" t="s">
        <v>141</v>
      </c>
      <c r="C40" s="598"/>
      <c r="D40" s="598"/>
      <c r="E40" s="598"/>
      <c r="F40" s="598"/>
      <c r="G40" s="598"/>
      <c r="H40" s="598"/>
      <c r="I40" s="598"/>
      <c r="J40" s="598"/>
      <c r="K40" s="598"/>
      <c r="L40" s="598"/>
      <c r="M40" s="598"/>
      <c r="N40" s="598"/>
      <c r="O40" s="598"/>
      <c r="P40" s="598"/>
      <c r="Q40" s="598"/>
      <c r="R40" s="598"/>
      <c r="S40" s="598"/>
      <c r="T40" s="598"/>
      <c r="U40" s="598"/>
      <c r="V40" s="598"/>
      <c r="W40" s="598"/>
      <c r="X40" s="598"/>
      <c r="Y40" s="598"/>
      <c r="Z40" s="598"/>
      <c r="AA40" s="599"/>
      <c r="AB40" s="1"/>
      <c r="AC40" s="1"/>
      <c r="AD40" s="1"/>
      <c r="AE40" s="1"/>
      <c r="AF40" s="1"/>
    </row>
    <row r="41" spans="1:32" ht="15.75" x14ac:dyDescent="0.25">
      <c r="A41" s="1"/>
      <c r="B41" s="619" t="s">
        <v>122</v>
      </c>
      <c r="C41" s="618" t="s">
        <v>18</v>
      </c>
      <c r="D41" s="618"/>
      <c r="E41" s="618" t="s">
        <v>19</v>
      </c>
      <c r="F41" s="618"/>
      <c r="G41" s="618" t="s">
        <v>20</v>
      </c>
      <c r="H41" s="618"/>
      <c r="I41" s="618" t="s">
        <v>21</v>
      </c>
      <c r="J41" s="618"/>
      <c r="K41" s="618" t="s">
        <v>22</v>
      </c>
      <c r="L41" s="618"/>
      <c r="M41" s="618" t="s">
        <v>136</v>
      </c>
      <c r="N41" s="618"/>
      <c r="O41" s="618" t="s">
        <v>24</v>
      </c>
      <c r="P41" s="618"/>
      <c r="Q41" s="618" t="s">
        <v>25</v>
      </c>
      <c r="R41" s="618"/>
      <c r="S41" s="618" t="s">
        <v>26</v>
      </c>
      <c r="T41" s="618"/>
      <c r="U41" s="618" t="s">
        <v>27</v>
      </c>
      <c r="V41" s="618"/>
      <c r="W41" s="618" t="s">
        <v>28</v>
      </c>
      <c r="X41" s="618"/>
      <c r="Y41" s="618" t="s">
        <v>137</v>
      </c>
      <c r="Z41" s="618"/>
      <c r="AA41" s="621" t="s">
        <v>138</v>
      </c>
      <c r="AB41" s="1"/>
      <c r="AC41" s="1"/>
      <c r="AD41" s="1"/>
      <c r="AE41" s="1"/>
      <c r="AF41" s="1"/>
    </row>
    <row r="42" spans="1:32" ht="15.75" x14ac:dyDescent="0.25">
      <c r="A42" s="1"/>
      <c r="B42" s="620"/>
      <c r="C42" s="281" t="s">
        <v>37</v>
      </c>
      <c r="D42" s="281" t="s">
        <v>139</v>
      </c>
      <c r="E42" s="281" t="s">
        <v>37</v>
      </c>
      <c r="F42" s="281" t="s">
        <v>139</v>
      </c>
      <c r="G42" s="281" t="s">
        <v>37</v>
      </c>
      <c r="H42" s="281" t="s">
        <v>139</v>
      </c>
      <c r="I42" s="281" t="s">
        <v>37</v>
      </c>
      <c r="J42" s="281" t="s">
        <v>139</v>
      </c>
      <c r="K42" s="281" t="s">
        <v>37</v>
      </c>
      <c r="L42" s="281" t="s">
        <v>139</v>
      </c>
      <c r="M42" s="281" t="s">
        <v>37</v>
      </c>
      <c r="N42" s="281" t="s">
        <v>139</v>
      </c>
      <c r="O42" s="281" t="s">
        <v>37</v>
      </c>
      <c r="P42" s="281" t="s">
        <v>139</v>
      </c>
      <c r="Q42" s="281" t="s">
        <v>37</v>
      </c>
      <c r="R42" s="281" t="s">
        <v>139</v>
      </c>
      <c r="S42" s="281" t="s">
        <v>37</v>
      </c>
      <c r="T42" s="281" t="s">
        <v>139</v>
      </c>
      <c r="U42" s="281" t="s">
        <v>37</v>
      </c>
      <c r="V42" s="281" t="s">
        <v>139</v>
      </c>
      <c r="W42" s="281" t="s">
        <v>37</v>
      </c>
      <c r="X42" s="281" t="s">
        <v>139</v>
      </c>
      <c r="Y42" s="281" t="s">
        <v>37</v>
      </c>
      <c r="Z42" s="281" t="s">
        <v>139</v>
      </c>
      <c r="AA42" s="622"/>
      <c r="AB42" s="1"/>
      <c r="AC42" s="1"/>
      <c r="AD42" s="1"/>
      <c r="AE42" s="1"/>
      <c r="AF42" s="1"/>
    </row>
    <row r="43" spans="1:32" x14ac:dyDescent="0.25">
      <c r="A43" s="1"/>
      <c r="B43" s="263" t="s">
        <v>143</v>
      </c>
      <c r="C43" s="264">
        <v>1</v>
      </c>
      <c r="D43" s="265">
        <f>$L$14</f>
        <v>219495.43</v>
      </c>
      <c r="E43" s="264">
        <v>1</v>
      </c>
      <c r="F43" s="265">
        <f>$L$14</f>
        <v>219495.43</v>
      </c>
      <c r="G43" s="264">
        <v>1</v>
      </c>
      <c r="H43" s="265">
        <f>$L$14</f>
        <v>219495.43</v>
      </c>
      <c r="I43" s="264">
        <v>1</v>
      </c>
      <c r="J43" s="265">
        <f>$L$14</f>
        <v>219495.43</v>
      </c>
      <c r="K43" s="264">
        <v>1</v>
      </c>
      <c r="L43" s="265">
        <f>$L$14</f>
        <v>219495.43</v>
      </c>
      <c r="M43" s="264">
        <v>1</v>
      </c>
      <c r="N43" s="265">
        <f>$L$14*1.5</f>
        <v>329243.14500000002</v>
      </c>
      <c r="O43" s="264">
        <v>1</v>
      </c>
      <c r="P43" s="265">
        <f>$L$14</f>
        <v>219495.43</v>
      </c>
      <c r="Q43" s="264">
        <v>1</v>
      </c>
      <c r="R43" s="265">
        <f>$L$14</f>
        <v>219495.43</v>
      </c>
      <c r="S43" s="264">
        <v>1</v>
      </c>
      <c r="T43" s="265">
        <f>$L$14</f>
        <v>219495.43</v>
      </c>
      <c r="U43" s="264">
        <v>1</v>
      </c>
      <c r="V43" s="265">
        <f>$L$14</f>
        <v>219495.43</v>
      </c>
      <c r="W43" s="264">
        <v>1</v>
      </c>
      <c r="X43" s="265">
        <f>$L$14</f>
        <v>219495.43</v>
      </c>
      <c r="Y43" s="264">
        <v>1</v>
      </c>
      <c r="Z43" s="265">
        <f>$L$14*1.5</f>
        <v>329243.14500000002</v>
      </c>
      <c r="AA43" s="285">
        <f>D43+F43+H43+J43+L43+N43+P43+R43+T43+V43+X43+Z43</f>
        <v>2853440.59</v>
      </c>
      <c r="AB43" s="1"/>
      <c r="AC43" s="1"/>
      <c r="AD43" s="1"/>
      <c r="AE43" s="1"/>
      <c r="AF43" s="1"/>
    </row>
    <row r="44" spans="1:32" x14ac:dyDescent="0.25">
      <c r="A44" s="1"/>
      <c r="B44" s="266" t="s">
        <v>72</v>
      </c>
      <c r="C44" s="264">
        <v>1</v>
      </c>
      <c r="D44" s="265">
        <f>$L$15</f>
        <v>158530.43</v>
      </c>
      <c r="E44" s="264">
        <v>1</v>
      </c>
      <c r="F44" s="265">
        <f>$L$15</f>
        <v>158530.43</v>
      </c>
      <c r="G44" s="264">
        <v>1</v>
      </c>
      <c r="H44" s="265">
        <f>$L$15</f>
        <v>158530.43</v>
      </c>
      <c r="I44" s="264">
        <v>1</v>
      </c>
      <c r="J44" s="265">
        <f>$L$15</f>
        <v>158530.43</v>
      </c>
      <c r="K44" s="264">
        <v>1</v>
      </c>
      <c r="L44" s="265">
        <f>$L$15</f>
        <v>158530.43</v>
      </c>
      <c r="M44" s="264">
        <v>1</v>
      </c>
      <c r="N44" s="265">
        <f>$L$15*1.5</f>
        <v>237795.64499999999</v>
      </c>
      <c r="O44" s="264">
        <v>1</v>
      </c>
      <c r="P44" s="265">
        <f>$L$15</f>
        <v>158530.43</v>
      </c>
      <c r="Q44" s="264">
        <v>1</v>
      </c>
      <c r="R44" s="265">
        <f>$L$15</f>
        <v>158530.43</v>
      </c>
      <c r="S44" s="264">
        <v>1</v>
      </c>
      <c r="T44" s="265">
        <f>$L$15</f>
        <v>158530.43</v>
      </c>
      <c r="U44" s="264">
        <v>1</v>
      </c>
      <c r="V44" s="265">
        <f>$L$15</f>
        <v>158530.43</v>
      </c>
      <c r="W44" s="264">
        <v>1</v>
      </c>
      <c r="X44" s="265">
        <f>$L$15</f>
        <v>158530.43</v>
      </c>
      <c r="Y44" s="264">
        <v>1</v>
      </c>
      <c r="Z44" s="265">
        <f>$L$15*1.5</f>
        <v>237795.64499999999</v>
      </c>
      <c r="AA44" s="285">
        <f t="shared" ref="AA44:AA47" si="15">D44+F44+H44+J44+L44+N44+P44+R44+T44+V44+X44+Z44</f>
        <v>2060895.5899999996</v>
      </c>
      <c r="AB44" s="1"/>
      <c r="AC44" s="1"/>
      <c r="AD44" s="1"/>
      <c r="AE44" s="1"/>
      <c r="AF44" s="1"/>
    </row>
    <row r="45" spans="1:32" x14ac:dyDescent="0.25">
      <c r="A45" s="1"/>
      <c r="B45" s="266" t="s">
        <v>151</v>
      </c>
      <c r="C45" s="264">
        <v>1</v>
      </c>
      <c r="D45" s="265">
        <f>$L$35</f>
        <v>121951.43</v>
      </c>
      <c r="E45" s="264">
        <v>1</v>
      </c>
      <c r="F45" s="265">
        <f>$L$35</f>
        <v>121951.43</v>
      </c>
      <c r="G45" s="264">
        <v>1</v>
      </c>
      <c r="H45" s="265">
        <f>$L$35</f>
        <v>121951.43</v>
      </c>
      <c r="I45" s="264">
        <v>1</v>
      </c>
      <c r="J45" s="265">
        <f>$L$35</f>
        <v>121951.43</v>
      </c>
      <c r="K45" s="264">
        <v>1</v>
      </c>
      <c r="L45" s="265">
        <f>$L$35</f>
        <v>121951.43</v>
      </c>
      <c r="M45" s="264">
        <v>1</v>
      </c>
      <c r="N45" s="265">
        <f>$L$35*1.5</f>
        <v>182927.14499999999</v>
      </c>
      <c r="O45" s="264">
        <v>1</v>
      </c>
      <c r="P45" s="265">
        <f>$L$35</f>
        <v>121951.43</v>
      </c>
      <c r="Q45" s="264">
        <v>1</v>
      </c>
      <c r="R45" s="265">
        <f>$L$35</f>
        <v>121951.43</v>
      </c>
      <c r="S45" s="264">
        <v>1</v>
      </c>
      <c r="T45" s="265">
        <f>$L$35</f>
        <v>121951.43</v>
      </c>
      <c r="U45" s="264">
        <v>1</v>
      </c>
      <c r="V45" s="265">
        <f>$L$35</f>
        <v>121951.43</v>
      </c>
      <c r="W45" s="264">
        <v>1</v>
      </c>
      <c r="X45" s="265">
        <f>$L$35</f>
        <v>121951.43</v>
      </c>
      <c r="Y45" s="264">
        <v>1</v>
      </c>
      <c r="Z45" s="265">
        <f>$L$35*1.5</f>
        <v>182927.14499999999</v>
      </c>
      <c r="AA45" s="285">
        <f t="shared" si="15"/>
        <v>1585368.5899999996</v>
      </c>
      <c r="AB45" s="1"/>
      <c r="AC45" s="1"/>
      <c r="AD45" s="1"/>
      <c r="AE45" s="1"/>
      <c r="AF45" s="1"/>
    </row>
    <row r="46" spans="1:32" x14ac:dyDescent="0.25">
      <c r="A46" s="1"/>
      <c r="B46" s="266" t="s">
        <v>84</v>
      </c>
      <c r="C46" s="264">
        <v>1</v>
      </c>
      <c r="D46" s="265">
        <f>$L$25</f>
        <v>182916.43</v>
      </c>
      <c r="E46" s="264">
        <v>1</v>
      </c>
      <c r="F46" s="265">
        <f>$L$25</f>
        <v>182916.43</v>
      </c>
      <c r="G46" s="264">
        <v>1</v>
      </c>
      <c r="H46" s="265">
        <f>$L$25</f>
        <v>182916.43</v>
      </c>
      <c r="I46" s="264">
        <v>1</v>
      </c>
      <c r="J46" s="265">
        <f>$L$25</f>
        <v>182916.43</v>
      </c>
      <c r="K46" s="264">
        <v>1</v>
      </c>
      <c r="L46" s="265">
        <f>$L$25</f>
        <v>182916.43</v>
      </c>
      <c r="M46" s="264">
        <v>1</v>
      </c>
      <c r="N46" s="265">
        <f>$L$25*1.5</f>
        <v>274374.64500000002</v>
      </c>
      <c r="O46" s="264">
        <v>1</v>
      </c>
      <c r="P46" s="265">
        <f>$L$25</f>
        <v>182916.43</v>
      </c>
      <c r="Q46" s="264">
        <v>1</v>
      </c>
      <c r="R46" s="265">
        <f>$L$25</f>
        <v>182916.43</v>
      </c>
      <c r="S46" s="264">
        <v>1</v>
      </c>
      <c r="T46" s="265">
        <f>$L$25</f>
        <v>182916.43</v>
      </c>
      <c r="U46" s="264">
        <v>1</v>
      </c>
      <c r="V46" s="265">
        <f>$L$25</f>
        <v>182916.43</v>
      </c>
      <c r="W46" s="264">
        <v>1</v>
      </c>
      <c r="X46" s="265">
        <f>$L$25</f>
        <v>182916.43</v>
      </c>
      <c r="Y46" s="264">
        <v>1</v>
      </c>
      <c r="Z46" s="265">
        <f>$L$25*1.5</f>
        <v>274374.64500000002</v>
      </c>
      <c r="AA46" s="285">
        <f t="shared" si="15"/>
        <v>2377913.59</v>
      </c>
      <c r="AB46" s="1"/>
      <c r="AC46" s="1"/>
      <c r="AD46" s="1"/>
      <c r="AE46" s="1"/>
      <c r="AF46" s="1"/>
    </row>
    <row r="47" spans="1:32" x14ac:dyDescent="0.25">
      <c r="A47" s="1"/>
      <c r="B47" s="266" t="s">
        <v>88</v>
      </c>
      <c r="C47" s="264">
        <v>1</v>
      </c>
      <c r="D47" s="265">
        <f>$L$29</f>
        <v>67082.929999999993</v>
      </c>
      <c r="E47" s="264">
        <v>1</v>
      </c>
      <c r="F47" s="265">
        <f>$L$29</f>
        <v>67082.929999999993</v>
      </c>
      <c r="G47" s="264">
        <v>1</v>
      </c>
      <c r="H47" s="265">
        <f>$L$29</f>
        <v>67082.929999999993</v>
      </c>
      <c r="I47" s="264">
        <v>1</v>
      </c>
      <c r="J47" s="265">
        <f>$L$29</f>
        <v>67082.929999999993</v>
      </c>
      <c r="K47" s="264">
        <v>1</v>
      </c>
      <c r="L47" s="265">
        <f>$L$29</f>
        <v>67082.929999999993</v>
      </c>
      <c r="M47" s="264">
        <v>1</v>
      </c>
      <c r="N47" s="265">
        <f>$L$29*1.5</f>
        <v>100624.39499999999</v>
      </c>
      <c r="O47" s="264">
        <v>1</v>
      </c>
      <c r="P47" s="265">
        <f>$L$29</f>
        <v>67082.929999999993</v>
      </c>
      <c r="Q47" s="264">
        <v>1</v>
      </c>
      <c r="R47" s="265">
        <f>$L$29</f>
        <v>67082.929999999993</v>
      </c>
      <c r="S47" s="264">
        <v>1</v>
      </c>
      <c r="T47" s="265">
        <f>$L$29</f>
        <v>67082.929999999993</v>
      </c>
      <c r="U47" s="264">
        <v>1</v>
      </c>
      <c r="V47" s="265">
        <f>$L$29</f>
        <v>67082.929999999993</v>
      </c>
      <c r="W47" s="264">
        <v>1</v>
      </c>
      <c r="X47" s="265">
        <f>$L$29</f>
        <v>67082.929999999993</v>
      </c>
      <c r="Y47" s="264">
        <v>1</v>
      </c>
      <c r="Z47" s="265">
        <f>$L$29*1.5</f>
        <v>100624.39499999999</v>
      </c>
      <c r="AA47" s="285">
        <f t="shared" si="15"/>
        <v>872078.08999999985</v>
      </c>
      <c r="AB47" s="1"/>
      <c r="AC47" s="1"/>
      <c r="AD47" s="1"/>
      <c r="AE47" s="1"/>
      <c r="AF47" s="1"/>
    </row>
    <row r="48" spans="1:32" ht="16.5" thickBot="1" x14ac:dyDescent="0.3">
      <c r="A48" s="1"/>
      <c r="B48" s="282" t="s">
        <v>140</v>
      </c>
      <c r="C48" s="283">
        <f t="shared" ref="C48:Z48" si="16">SUM(C43:C47)</f>
        <v>5</v>
      </c>
      <c r="D48" s="284">
        <f t="shared" si="16"/>
        <v>749976.64999999991</v>
      </c>
      <c r="E48" s="283">
        <f t="shared" si="16"/>
        <v>5</v>
      </c>
      <c r="F48" s="284">
        <f t="shared" si="16"/>
        <v>749976.64999999991</v>
      </c>
      <c r="G48" s="283">
        <f t="shared" si="16"/>
        <v>5</v>
      </c>
      <c r="H48" s="284">
        <f t="shared" si="16"/>
        <v>749976.64999999991</v>
      </c>
      <c r="I48" s="283">
        <f t="shared" si="16"/>
        <v>5</v>
      </c>
      <c r="J48" s="284">
        <f t="shared" si="16"/>
        <v>749976.64999999991</v>
      </c>
      <c r="K48" s="283">
        <f t="shared" si="16"/>
        <v>5</v>
      </c>
      <c r="L48" s="284">
        <f t="shared" si="16"/>
        <v>749976.64999999991</v>
      </c>
      <c r="M48" s="283">
        <f t="shared" si="16"/>
        <v>5</v>
      </c>
      <c r="N48" s="284">
        <f t="shared" si="16"/>
        <v>1124964.9750000001</v>
      </c>
      <c r="O48" s="283">
        <f t="shared" si="16"/>
        <v>5</v>
      </c>
      <c r="P48" s="284">
        <f t="shared" si="16"/>
        <v>749976.64999999991</v>
      </c>
      <c r="Q48" s="283">
        <f t="shared" si="16"/>
        <v>5</v>
      </c>
      <c r="R48" s="284">
        <f t="shared" si="16"/>
        <v>749976.64999999991</v>
      </c>
      <c r="S48" s="283">
        <f t="shared" si="16"/>
        <v>5</v>
      </c>
      <c r="T48" s="284">
        <f t="shared" si="16"/>
        <v>749976.64999999991</v>
      </c>
      <c r="U48" s="283">
        <f t="shared" si="16"/>
        <v>5</v>
      </c>
      <c r="V48" s="284">
        <f t="shared" si="16"/>
        <v>749976.64999999991</v>
      </c>
      <c r="W48" s="283">
        <f t="shared" si="16"/>
        <v>5</v>
      </c>
      <c r="X48" s="284">
        <f t="shared" si="16"/>
        <v>749976.64999999991</v>
      </c>
      <c r="Y48" s="283">
        <f t="shared" si="16"/>
        <v>5</v>
      </c>
      <c r="Z48" s="284">
        <f t="shared" si="16"/>
        <v>1124964.9750000001</v>
      </c>
      <c r="AA48" s="267">
        <f>Z48+X48+V48+T48+R48+P48+N48+L48+J48+H48+F48+D48</f>
        <v>9749696.4500000011</v>
      </c>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27" thickBot="1" x14ac:dyDescent="0.45">
      <c r="A52" s="1"/>
      <c r="B52" s="597" t="s">
        <v>142</v>
      </c>
      <c r="C52" s="598"/>
      <c r="D52" s="598"/>
      <c r="E52" s="598"/>
      <c r="F52" s="598"/>
      <c r="G52" s="598"/>
      <c r="H52" s="598"/>
      <c r="I52" s="598"/>
      <c r="J52" s="598"/>
      <c r="K52" s="598"/>
      <c r="L52" s="598"/>
      <c r="M52" s="598"/>
      <c r="N52" s="598"/>
      <c r="O52" s="598"/>
      <c r="P52" s="598"/>
      <c r="Q52" s="598"/>
      <c r="R52" s="598"/>
      <c r="S52" s="598"/>
      <c r="T52" s="598"/>
      <c r="U52" s="598"/>
      <c r="V52" s="598"/>
      <c r="W52" s="598"/>
      <c r="X52" s="598"/>
      <c r="Y52" s="598"/>
      <c r="Z52" s="598"/>
      <c r="AA52" s="599"/>
      <c r="AB52" s="1"/>
      <c r="AC52" s="1"/>
      <c r="AD52" s="1"/>
      <c r="AE52" s="1"/>
      <c r="AF52" s="1"/>
    </row>
    <row r="53" spans="1:32" ht="15.75" x14ac:dyDescent="0.25">
      <c r="A53" s="1"/>
      <c r="B53" s="619" t="s">
        <v>122</v>
      </c>
      <c r="C53" s="618" t="s">
        <v>18</v>
      </c>
      <c r="D53" s="618"/>
      <c r="E53" s="618" t="s">
        <v>19</v>
      </c>
      <c r="F53" s="618"/>
      <c r="G53" s="618" t="s">
        <v>20</v>
      </c>
      <c r="H53" s="618"/>
      <c r="I53" s="618" t="s">
        <v>21</v>
      </c>
      <c r="J53" s="618"/>
      <c r="K53" s="618" t="s">
        <v>22</v>
      </c>
      <c r="L53" s="618"/>
      <c r="M53" s="618" t="s">
        <v>136</v>
      </c>
      <c r="N53" s="618"/>
      <c r="O53" s="618" t="s">
        <v>24</v>
      </c>
      <c r="P53" s="618"/>
      <c r="Q53" s="618" t="s">
        <v>25</v>
      </c>
      <c r="R53" s="618"/>
      <c r="S53" s="618" t="s">
        <v>26</v>
      </c>
      <c r="T53" s="618"/>
      <c r="U53" s="618" t="s">
        <v>27</v>
      </c>
      <c r="V53" s="618"/>
      <c r="W53" s="618" t="s">
        <v>28</v>
      </c>
      <c r="X53" s="618"/>
      <c r="Y53" s="618" t="s">
        <v>137</v>
      </c>
      <c r="Z53" s="618"/>
      <c r="AA53" s="621" t="s">
        <v>138</v>
      </c>
      <c r="AB53" s="1"/>
      <c r="AC53" s="1"/>
      <c r="AD53" s="1"/>
      <c r="AE53" s="1"/>
      <c r="AF53" s="1"/>
    </row>
    <row r="54" spans="1:32" ht="15.75" x14ac:dyDescent="0.25">
      <c r="A54" s="1"/>
      <c r="B54" s="620"/>
      <c r="C54" s="281" t="s">
        <v>37</v>
      </c>
      <c r="D54" s="281" t="s">
        <v>139</v>
      </c>
      <c r="E54" s="281" t="s">
        <v>37</v>
      </c>
      <c r="F54" s="281" t="s">
        <v>139</v>
      </c>
      <c r="G54" s="281" t="s">
        <v>37</v>
      </c>
      <c r="H54" s="281" t="s">
        <v>139</v>
      </c>
      <c r="I54" s="281" t="s">
        <v>37</v>
      </c>
      <c r="J54" s="281" t="s">
        <v>139</v>
      </c>
      <c r="K54" s="281" t="s">
        <v>37</v>
      </c>
      <c r="L54" s="281" t="s">
        <v>139</v>
      </c>
      <c r="M54" s="281" t="s">
        <v>37</v>
      </c>
      <c r="N54" s="281" t="s">
        <v>139</v>
      </c>
      <c r="O54" s="281" t="s">
        <v>37</v>
      </c>
      <c r="P54" s="281" t="s">
        <v>139</v>
      </c>
      <c r="Q54" s="281" t="s">
        <v>37</v>
      </c>
      <c r="R54" s="281" t="s">
        <v>139</v>
      </c>
      <c r="S54" s="281" t="s">
        <v>37</v>
      </c>
      <c r="T54" s="281" t="s">
        <v>139</v>
      </c>
      <c r="U54" s="281" t="s">
        <v>37</v>
      </c>
      <c r="V54" s="281" t="s">
        <v>139</v>
      </c>
      <c r="W54" s="281" t="s">
        <v>37</v>
      </c>
      <c r="X54" s="281" t="s">
        <v>139</v>
      </c>
      <c r="Y54" s="281" t="s">
        <v>37</v>
      </c>
      <c r="Z54" s="281" t="s">
        <v>139</v>
      </c>
      <c r="AA54" s="622"/>
      <c r="AB54" s="1"/>
      <c r="AC54" s="1"/>
      <c r="AD54" s="1"/>
      <c r="AE54" s="1"/>
      <c r="AF54" s="1"/>
    </row>
    <row r="55" spans="1:32" x14ac:dyDescent="0.25">
      <c r="A55" s="1"/>
      <c r="B55" s="263" t="s">
        <v>143</v>
      </c>
      <c r="C55" s="264">
        <v>1</v>
      </c>
      <c r="D55" s="265">
        <f>$L$14</f>
        <v>219495.43</v>
      </c>
      <c r="E55" s="264">
        <v>1</v>
      </c>
      <c r="F55" s="265">
        <f>$L$14</f>
        <v>219495.43</v>
      </c>
      <c r="G55" s="264">
        <v>1</v>
      </c>
      <c r="H55" s="265">
        <f>$L$14</f>
        <v>219495.43</v>
      </c>
      <c r="I55" s="264">
        <v>1</v>
      </c>
      <c r="J55" s="265">
        <f>$L$14</f>
        <v>219495.43</v>
      </c>
      <c r="K55" s="264">
        <v>1</v>
      </c>
      <c r="L55" s="265">
        <f>$L$14</f>
        <v>219495.43</v>
      </c>
      <c r="M55" s="264">
        <v>1</v>
      </c>
      <c r="N55" s="265">
        <f>$L$14*1.5</f>
        <v>329243.14500000002</v>
      </c>
      <c r="O55" s="264">
        <v>1</v>
      </c>
      <c r="P55" s="265">
        <f>$L$14</f>
        <v>219495.43</v>
      </c>
      <c r="Q55" s="264">
        <v>1</v>
      </c>
      <c r="R55" s="265">
        <f>$L$14</f>
        <v>219495.43</v>
      </c>
      <c r="S55" s="264">
        <v>1</v>
      </c>
      <c r="T55" s="265">
        <f>$L$14</f>
        <v>219495.43</v>
      </c>
      <c r="U55" s="264">
        <v>1</v>
      </c>
      <c r="V55" s="265">
        <f>$L$14</f>
        <v>219495.43</v>
      </c>
      <c r="W55" s="264">
        <v>1</v>
      </c>
      <c r="X55" s="265">
        <f>$L$14</f>
        <v>219495.43</v>
      </c>
      <c r="Y55" s="264">
        <v>1</v>
      </c>
      <c r="Z55" s="265">
        <f>$L$14*1.5</f>
        <v>329243.14500000002</v>
      </c>
      <c r="AA55" s="285">
        <f>D55+F55+H55+J55+L55+N55+P55+R55+T55+V55+X55+Z55</f>
        <v>2853440.59</v>
      </c>
      <c r="AB55" s="1"/>
      <c r="AC55" s="1"/>
      <c r="AD55" s="1"/>
      <c r="AE55" s="1"/>
      <c r="AF55" s="1"/>
    </row>
    <row r="56" spans="1:32" x14ac:dyDescent="0.25">
      <c r="A56" s="1"/>
      <c r="B56" s="266" t="s">
        <v>72</v>
      </c>
      <c r="C56" s="264">
        <v>1</v>
      </c>
      <c r="D56" s="265">
        <f>$L$15</f>
        <v>158530.43</v>
      </c>
      <c r="E56" s="264">
        <v>1</v>
      </c>
      <c r="F56" s="265">
        <f>$L$15</f>
        <v>158530.43</v>
      </c>
      <c r="G56" s="264">
        <v>1</v>
      </c>
      <c r="H56" s="265">
        <f>$L$15</f>
        <v>158530.43</v>
      </c>
      <c r="I56" s="264">
        <v>1</v>
      </c>
      <c r="J56" s="265">
        <f>$L$15</f>
        <v>158530.43</v>
      </c>
      <c r="K56" s="264">
        <v>1</v>
      </c>
      <c r="L56" s="265">
        <f>$L$15</f>
        <v>158530.43</v>
      </c>
      <c r="M56" s="264">
        <v>1</v>
      </c>
      <c r="N56" s="265">
        <f>$L$15*1.5</f>
        <v>237795.64499999999</v>
      </c>
      <c r="O56" s="264">
        <v>1</v>
      </c>
      <c r="P56" s="265">
        <f>$L$15</f>
        <v>158530.43</v>
      </c>
      <c r="Q56" s="264">
        <v>1</v>
      </c>
      <c r="R56" s="265">
        <f>$L$15</f>
        <v>158530.43</v>
      </c>
      <c r="S56" s="264">
        <v>1</v>
      </c>
      <c r="T56" s="265">
        <f>$L$15</f>
        <v>158530.43</v>
      </c>
      <c r="U56" s="264">
        <v>1</v>
      </c>
      <c r="V56" s="265">
        <f>$L$15</f>
        <v>158530.43</v>
      </c>
      <c r="W56" s="264">
        <v>1</v>
      </c>
      <c r="X56" s="265">
        <f>$L$15</f>
        <v>158530.43</v>
      </c>
      <c r="Y56" s="264">
        <v>1</v>
      </c>
      <c r="Z56" s="265">
        <f>$L$15*1.5</f>
        <v>237795.64499999999</v>
      </c>
      <c r="AA56" s="285">
        <f t="shared" ref="AA56:AA59" si="17">D56+F56+H56+J56+L56+N56+P56+R56+T56+V56+X56+Z56</f>
        <v>2060895.5899999996</v>
      </c>
      <c r="AB56" s="1"/>
      <c r="AC56" s="1"/>
      <c r="AD56" s="1"/>
      <c r="AE56" s="1"/>
      <c r="AF56" s="1"/>
    </row>
    <row r="57" spans="1:32" x14ac:dyDescent="0.25">
      <c r="A57" s="1"/>
      <c r="B57" s="266" t="s">
        <v>151</v>
      </c>
      <c r="C57" s="264">
        <v>1</v>
      </c>
      <c r="D57" s="265">
        <f>$L$35</f>
        <v>121951.43</v>
      </c>
      <c r="E57" s="264">
        <v>1</v>
      </c>
      <c r="F57" s="265">
        <f>$L$35</f>
        <v>121951.43</v>
      </c>
      <c r="G57" s="264">
        <v>1</v>
      </c>
      <c r="H57" s="265">
        <f>$L$35</f>
        <v>121951.43</v>
      </c>
      <c r="I57" s="264">
        <v>1</v>
      </c>
      <c r="J57" s="265">
        <f>$L$35</f>
        <v>121951.43</v>
      </c>
      <c r="K57" s="264">
        <v>1</v>
      </c>
      <c r="L57" s="265">
        <f>$L$35</f>
        <v>121951.43</v>
      </c>
      <c r="M57" s="264">
        <v>1</v>
      </c>
      <c r="N57" s="265">
        <f>$L$35*1.5</f>
        <v>182927.14499999999</v>
      </c>
      <c r="O57" s="264">
        <v>1</v>
      </c>
      <c r="P57" s="265">
        <f>$L$35</f>
        <v>121951.43</v>
      </c>
      <c r="Q57" s="264">
        <v>1</v>
      </c>
      <c r="R57" s="265">
        <f>$L$35</f>
        <v>121951.43</v>
      </c>
      <c r="S57" s="264">
        <v>1</v>
      </c>
      <c r="T57" s="265">
        <f>$L$35</f>
        <v>121951.43</v>
      </c>
      <c r="U57" s="264">
        <v>1</v>
      </c>
      <c r="V57" s="265">
        <f>$L$35</f>
        <v>121951.43</v>
      </c>
      <c r="W57" s="264">
        <v>1</v>
      </c>
      <c r="X57" s="265">
        <f>$L$35</f>
        <v>121951.43</v>
      </c>
      <c r="Y57" s="264">
        <v>1</v>
      </c>
      <c r="Z57" s="265">
        <f>$L$35*1.5</f>
        <v>182927.14499999999</v>
      </c>
      <c r="AA57" s="285">
        <f t="shared" si="17"/>
        <v>1585368.5899999996</v>
      </c>
      <c r="AB57" s="1"/>
      <c r="AC57" s="1"/>
      <c r="AD57" s="1"/>
      <c r="AE57" s="1"/>
      <c r="AF57" s="1"/>
    </row>
    <row r="58" spans="1:32" x14ac:dyDescent="0.25">
      <c r="A58" s="1"/>
      <c r="B58" s="266" t="s">
        <v>84</v>
      </c>
      <c r="C58" s="264">
        <v>1</v>
      </c>
      <c r="D58" s="265">
        <f>$L$25</f>
        <v>182916.43</v>
      </c>
      <c r="E58" s="264">
        <v>1</v>
      </c>
      <c r="F58" s="265">
        <f>$L$25</f>
        <v>182916.43</v>
      </c>
      <c r="G58" s="264">
        <v>1</v>
      </c>
      <c r="H58" s="265">
        <f>$L$25</f>
        <v>182916.43</v>
      </c>
      <c r="I58" s="264">
        <v>1</v>
      </c>
      <c r="J58" s="265">
        <f>$L$25</f>
        <v>182916.43</v>
      </c>
      <c r="K58" s="264">
        <v>1</v>
      </c>
      <c r="L58" s="265">
        <f>$L$25</f>
        <v>182916.43</v>
      </c>
      <c r="M58" s="264">
        <v>1</v>
      </c>
      <c r="N58" s="265">
        <f>$L$25*1.5</f>
        <v>274374.64500000002</v>
      </c>
      <c r="O58" s="264">
        <v>1</v>
      </c>
      <c r="P58" s="265">
        <f>$L$25</f>
        <v>182916.43</v>
      </c>
      <c r="Q58" s="264">
        <v>1</v>
      </c>
      <c r="R58" s="265">
        <f>$L$25</f>
        <v>182916.43</v>
      </c>
      <c r="S58" s="264">
        <v>1</v>
      </c>
      <c r="T58" s="265">
        <f>$L$25</f>
        <v>182916.43</v>
      </c>
      <c r="U58" s="264">
        <v>1</v>
      </c>
      <c r="V58" s="265">
        <f>$L$25</f>
        <v>182916.43</v>
      </c>
      <c r="W58" s="264">
        <v>1</v>
      </c>
      <c r="X58" s="265">
        <f>$L$25</f>
        <v>182916.43</v>
      </c>
      <c r="Y58" s="264">
        <v>1</v>
      </c>
      <c r="Z58" s="265">
        <f>$L$25*1.5</f>
        <v>274374.64500000002</v>
      </c>
      <c r="AA58" s="285">
        <f t="shared" si="17"/>
        <v>2377913.59</v>
      </c>
      <c r="AB58" s="1"/>
      <c r="AC58" s="1"/>
      <c r="AD58" s="1"/>
      <c r="AE58" s="1"/>
      <c r="AF58" s="1"/>
    </row>
    <row r="59" spans="1:32" x14ac:dyDescent="0.25">
      <c r="A59" s="1"/>
      <c r="B59" s="266" t="s">
        <v>88</v>
      </c>
      <c r="C59" s="264">
        <v>1</v>
      </c>
      <c r="D59" s="265">
        <f>$L$29</f>
        <v>67082.929999999993</v>
      </c>
      <c r="E59" s="264">
        <v>1</v>
      </c>
      <c r="F59" s="265">
        <f>$L$29</f>
        <v>67082.929999999993</v>
      </c>
      <c r="G59" s="264">
        <v>1</v>
      </c>
      <c r="H59" s="265">
        <f>$L$29</f>
        <v>67082.929999999993</v>
      </c>
      <c r="I59" s="264">
        <v>1</v>
      </c>
      <c r="J59" s="265">
        <f>$L$29</f>
        <v>67082.929999999993</v>
      </c>
      <c r="K59" s="264">
        <v>1</v>
      </c>
      <c r="L59" s="265">
        <f>$L$29</f>
        <v>67082.929999999993</v>
      </c>
      <c r="M59" s="264">
        <v>1</v>
      </c>
      <c r="N59" s="265">
        <f>$L$29*1.5</f>
        <v>100624.39499999999</v>
      </c>
      <c r="O59" s="264">
        <v>1</v>
      </c>
      <c r="P59" s="265">
        <f>$L$29</f>
        <v>67082.929999999993</v>
      </c>
      <c r="Q59" s="264">
        <v>1</v>
      </c>
      <c r="R59" s="265">
        <f>$L$29</f>
        <v>67082.929999999993</v>
      </c>
      <c r="S59" s="264">
        <v>1</v>
      </c>
      <c r="T59" s="265">
        <f>$L$29</f>
        <v>67082.929999999993</v>
      </c>
      <c r="U59" s="264">
        <v>1</v>
      </c>
      <c r="V59" s="265">
        <f>$L$29</f>
        <v>67082.929999999993</v>
      </c>
      <c r="W59" s="264">
        <v>1</v>
      </c>
      <c r="X59" s="265">
        <f>$L$29</f>
        <v>67082.929999999993</v>
      </c>
      <c r="Y59" s="264">
        <v>1</v>
      </c>
      <c r="Z59" s="265">
        <f>$L$29*1.5</f>
        <v>100624.39499999999</v>
      </c>
      <c r="AA59" s="285">
        <f t="shared" si="17"/>
        <v>872078.08999999985</v>
      </c>
      <c r="AB59" s="1"/>
      <c r="AC59" s="1"/>
      <c r="AD59" s="1"/>
      <c r="AE59" s="1"/>
      <c r="AF59" s="1"/>
    </row>
    <row r="60" spans="1:32" x14ac:dyDescent="0.25">
      <c r="A60" s="1"/>
      <c r="B60" s="314" t="s">
        <v>93</v>
      </c>
      <c r="C60" s="315">
        <v>1</v>
      </c>
      <c r="D60" s="316">
        <f>$L$34</f>
        <v>85372.43</v>
      </c>
      <c r="E60" s="315">
        <v>1</v>
      </c>
      <c r="F60" s="316">
        <f>$L$34</f>
        <v>85372.43</v>
      </c>
      <c r="G60" s="315">
        <v>1</v>
      </c>
      <c r="H60" s="316">
        <f>$L$34</f>
        <v>85372.43</v>
      </c>
      <c r="I60" s="315">
        <v>1</v>
      </c>
      <c r="J60" s="316">
        <f>$L$34</f>
        <v>85372.43</v>
      </c>
      <c r="K60" s="315">
        <v>1</v>
      </c>
      <c r="L60" s="316">
        <f>$L$34</f>
        <v>85372.43</v>
      </c>
      <c r="M60" s="315">
        <v>1</v>
      </c>
      <c r="N60" s="316">
        <f>$L$34*1.5</f>
        <v>128058.64499999999</v>
      </c>
      <c r="O60" s="315">
        <v>1</v>
      </c>
      <c r="P60" s="316">
        <f>$L$34</f>
        <v>85372.43</v>
      </c>
      <c r="Q60" s="315">
        <v>1</v>
      </c>
      <c r="R60" s="316">
        <f>$L$34</f>
        <v>85372.43</v>
      </c>
      <c r="S60" s="315">
        <v>1</v>
      </c>
      <c r="T60" s="316">
        <f>$L$34</f>
        <v>85372.43</v>
      </c>
      <c r="U60" s="315">
        <v>1</v>
      </c>
      <c r="V60" s="316">
        <f>$L$34</f>
        <v>85372.43</v>
      </c>
      <c r="W60" s="315">
        <v>1</v>
      </c>
      <c r="X60" s="316">
        <f>$L$34</f>
        <v>85372.43</v>
      </c>
      <c r="Y60" s="315">
        <v>1</v>
      </c>
      <c r="Z60" s="316">
        <f>$L$34*1.5</f>
        <v>128058.64499999999</v>
      </c>
      <c r="AA60" s="285">
        <f t="shared" ref="AA60:AA61" si="18">D60+F60+H60+J60+L60+N60+P60+R60+T60+V60+X60+Z60</f>
        <v>1109841.5899999996</v>
      </c>
      <c r="AB60" s="1"/>
      <c r="AC60" s="1"/>
      <c r="AD60" s="1"/>
      <c r="AE60" s="1"/>
      <c r="AF60" s="1"/>
    </row>
    <row r="61" spans="1:32" x14ac:dyDescent="0.25">
      <c r="A61" s="1"/>
      <c r="B61" s="314" t="s">
        <v>77</v>
      </c>
      <c r="C61" s="315">
        <v>1</v>
      </c>
      <c r="D61" s="316">
        <f>$L$20</f>
        <v>97565.43</v>
      </c>
      <c r="E61" s="315">
        <v>1</v>
      </c>
      <c r="F61" s="316">
        <f>$L$20</f>
        <v>97565.43</v>
      </c>
      <c r="G61" s="315">
        <v>1</v>
      </c>
      <c r="H61" s="316">
        <f>$L$20</f>
        <v>97565.43</v>
      </c>
      <c r="I61" s="315">
        <v>1</v>
      </c>
      <c r="J61" s="316">
        <f>$L$20</f>
        <v>97565.43</v>
      </c>
      <c r="K61" s="315">
        <v>1</v>
      </c>
      <c r="L61" s="316">
        <f>$L$20</f>
        <v>97565.43</v>
      </c>
      <c r="M61" s="315">
        <v>1</v>
      </c>
      <c r="N61" s="316">
        <f>$L$20*1.5</f>
        <v>146348.14499999999</v>
      </c>
      <c r="O61" s="315">
        <v>1</v>
      </c>
      <c r="P61" s="316">
        <f>$L$20</f>
        <v>97565.43</v>
      </c>
      <c r="Q61" s="315">
        <v>1</v>
      </c>
      <c r="R61" s="316">
        <f>$L$20</f>
        <v>97565.43</v>
      </c>
      <c r="S61" s="315">
        <v>1</v>
      </c>
      <c r="T61" s="316">
        <f>$L$20</f>
        <v>97565.43</v>
      </c>
      <c r="U61" s="315">
        <v>1</v>
      </c>
      <c r="V61" s="316">
        <f>$L$20</f>
        <v>97565.43</v>
      </c>
      <c r="W61" s="315">
        <v>1</v>
      </c>
      <c r="X61" s="316">
        <f>$L$20</f>
        <v>97565.43</v>
      </c>
      <c r="Y61" s="315">
        <v>1</v>
      </c>
      <c r="Z61" s="316">
        <f>$L$20*1.5</f>
        <v>146348.14499999999</v>
      </c>
      <c r="AA61" s="285">
        <f t="shared" si="18"/>
        <v>1268350.5899999996</v>
      </c>
      <c r="AB61" s="1"/>
      <c r="AC61" s="1"/>
      <c r="AD61" s="1"/>
      <c r="AE61" s="1"/>
      <c r="AF61" s="1"/>
    </row>
    <row r="62" spans="1:32" ht="16.5" thickBot="1" x14ac:dyDescent="0.3">
      <c r="A62" s="1"/>
      <c r="B62" s="282" t="s">
        <v>140</v>
      </c>
      <c r="C62" s="283">
        <f>SUM(C55:C61)</f>
        <v>7</v>
      </c>
      <c r="D62" s="284">
        <f>SUM(D55:D60)</f>
        <v>835349.07999999984</v>
      </c>
      <c r="E62" s="283">
        <f>SUM(E55:E61)</f>
        <v>7</v>
      </c>
      <c r="F62" s="284">
        <f>SUM(F55:F60)</f>
        <v>835349.07999999984</v>
      </c>
      <c r="G62" s="283">
        <f>SUM(G55:G61)</f>
        <v>7</v>
      </c>
      <c r="H62" s="284">
        <f>SUM(H55:H60)</f>
        <v>835349.07999999984</v>
      </c>
      <c r="I62" s="283">
        <f>SUM(I55:I61)</f>
        <v>7</v>
      </c>
      <c r="J62" s="284">
        <f>SUM(J55:J60)</f>
        <v>835349.07999999984</v>
      </c>
      <c r="K62" s="283">
        <f>SUM(K55:K61)</f>
        <v>7</v>
      </c>
      <c r="L62" s="284">
        <f>SUM(L55:L60)</f>
        <v>835349.07999999984</v>
      </c>
      <c r="M62" s="283">
        <f>SUM(M55:M61)</f>
        <v>7</v>
      </c>
      <c r="N62" s="284">
        <f>SUM(N55:N60)</f>
        <v>1253023.6200000001</v>
      </c>
      <c r="O62" s="283">
        <f>SUM(O55:O61)</f>
        <v>7</v>
      </c>
      <c r="P62" s="284">
        <f>SUM(P55:P60)</f>
        <v>835349.07999999984</v>
      </c>
      <c r="Q62" s="283">
        <f>SUM(Q55:Q61)</f>
        <v>7</v>
      </c>
      <c r="R62" s="284">
        <f>SUM(R55:R60)</f>
        <v>835349.07999999984</v>
      </c>
      <c r="S62" s="283">
        <f>SUM(S55:S61)</f>
        <v>7</v>
      </c>
      <c r="T62" s="284">
        <f>SUM(T55:T60)</f>
        <v>835349.07999999984</v>
      </c>
      <c r="U62" s="283">
        <f>SUM(U55:U61)</f>
        <v>7</v>
      </c>
      <c r="V62" s="284">
        <f>SUM(V55:V60)</f>
        <v>835349.07999999984</v>
      </c>
      <c r="W62" s="283">
        <f>SUM(W55:W61)</f>
        <v>7</v>
      </c>
      <c r="X62" s="284">
        <f>SUM(X55:X60)</f>
        <v>835349.07999999984</v>
      </c>
      <c r="Y62" s="283">
        <f>SUM(Y55:Y61)</f>
        <v>7</v>
      </c>
      <c r="Z62" s="284">
        <f>SUM(Z55:Z60)</f>
        <v>1253023.6200000001</v>
      </c>
      <c r="AA62" s="267">
        <f>Z62+X62+V62+T62+R62+P62+N62+L62+J62+H62+F62+D62</f>
        <v>10859538.039999999</v>
      </c>
      <c r="AB62" s="1"/>
      <c r="AC62" s="1"/>
      <c r="AD62" s="1"/>
      <c r="AE62" s="1"/>
      <c r="AF62" s="1"/>
    </row>
    <row r="63" spans="1:32" ht="15.75" x14ac:dyDescent="0.25">
      <c r="A63" s="1"/>
      <c r="B63" s="318"/>
      <c r="C63" s="41"/>
      <c r="D63" s="319"/>
      <c r="E63" s="41"/>
      <c r="F63" s="319"/>
      <c r="G63" s="41"/>
      <c r="H63" s="319"/>
      <c r="I63" s="41"/>
      <c r="J63" s="319"/>
      <c r="K63" s="41"/>
      <c r="L63" s="319"/>
      <c r="M63" s="41"/>
      <c r="N63" s="319"/>
      <c r="O63" s="41"/>
      <c r="P63" s="319"/>
      <c r="Q63" s="41"/>
      <c r="R63" s="319"/>
      <c r="S63" s="41"/>
      <c r="T63" s="319"/>
      <c r="U63" s="41"/>
      <c r="V63" s="319"/>
      <c r="W63" s="41"/>
      <c r="X63" s="319"/>
      <c r="Y63" s="41"/>
      <c r="Z63" s="319"/>
      <c r="AA63" s="320"/>
      <c r="AB63" s="1"/>
      <c r="AC63" s="1"/>
      <c r="AD63" s="1"/>
      <c r="AE63" s="1"/>
      <c r="AF63" s="1"/>
    </row>
    <row r="64" spans="1:32"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27" thickBot="1" x14ac:dyDescent="0.45">
      <c r="A65" s="1"/>
      <c r="B65" s="597" t="s">
        <v>153</v>
      </c>
      <c r="C65" s="598"/>
      <c r="D65" s="598"/>
      <c r="E65" s="598"/>
      <c r="F65" s="598"/>
      <c r="G65" s="598"/>
      <c r="H65" s="598"/>
      <c r="I65" s="598"/>
      <c r="J65" s="598"/>
      <c r="K65" s="598"/>
      <c r="L65" s="598"/>
      <c r="M65" s="598"/>
      <c r="N65" s="598"/>
      <c r="O65" s="598"/>
      <c r="P65" s="598"/>
      <c r="Q65" s="598"/>
      <c r="R65" s="598"/>
      <c r="S65" s="598"/>
      <c r="T65" s="598"/>
      <c r="U65" s="598"/>
      <c r="V65" s="598"/>
      <c r="W65" s="598"/>
      <c r="X65" s="598"/>
      <c r="Y65" s="598"/>
      <c r="Z65" s="598"/>
      <c r="AA65" s="599"/>
      <c r="AB65" s="1"/>
      <c r="AC65" s="1"/>
      <c r="AD65" s="1"/>
      <c r="AE65" s="1"/>
      <c r="AF65" s="1"/>
    </row>
    <row r="66" spans="1:32" ht="15.75" x14ac:dyDescent="0.25">
      <c r="A66" s="1"/>
      <c r="B66" s="619" t="s">
        <v>122</v>
      </c>
      <c r="C66" s="618" t="s">
        <v>18</v>
      </c>
      <c r="D66" s="618"/>
      <c r="E66" s="618" t="s">
        <v>19</v>
      </c>
      <c r="F66" s="618"/>
      <c r="G66" s="618" t="s">
        <v>20</v>
      </c>
      <c r="H66" s="618"/>
      <c r="I66" s="618" t="s">
        <v>21</v>
      </c>
      <c r="J66" s="618"/>
      <c r="K66" s="618" t="s">
        <v>22</v>
      </c>
      <c r="L66" s="618"/>
      <c r="M66" s="618" t="s">
        <v>136</v>
      </c>
      <c r="N66" s="618"/>
      <c r="O66" s="618" t="s">
        <v>24</v>
      </c>
      <c r="P66" s="618"/>
      <c r="Q66" s="618" t="s">
        <v>25</v>
      </c>
      <c r="R66" s="618"/>
      <c r="S66" s="618" t="s">
        <v>26</v>
      </c>
      <c r="T66" s="618"/>
      <c r="U66" s="618" t="s">
        <v>27</v>
      </c>
      <c r="V66" s="618"/>
      <c r="W66" s="618" t="s">
        <v>28</v>
      </c>
      <c r="X66" s="618"/>
      <c r="Y66" s="618" t="s">
        <v>137</v>
      </c>
      <c r="Z66" s="618"/>
      <c r="AA66" s="621" t="s">
        <v>138</v>
      </c>
      <c r="AB66" s="1"/>
      <c r="AC66" s="1"/>
      <c r="AD66" s="1"/>
      <c r="AE66" s="1"/>
      <c r="AF66" s="1"/>
    </row>
    <row r="67" spans="1:32" ht="15.75" x14ac:dyDescent="0.25">
      <c r="A67" s="1"/>
      <c r="B67" s="620"/>
      <c r="C67" s="281" t="s">
        <v>37</v>
      </c>
      <c r="D67" s="281" t="s">
        <v>139</v>
      </c>
      <c r="E67" s="281" t="s">
        <v>37</v>
      </c>
      <c r="F67" s="281" t="s">
        <v>139</v>
      </c>
      <c r="G67" s="281" t="s">
        <v>37</v>
      </c>
      <c r="H67" s="281" t="s">
        <v>139</v>
      </c>
      <c r="I67" s="281" t="s">
        <v>37</v>
      </c>
      <c r="J67" s="281" t="s">
        <v>139</v>
      </c>
      <c r="K67" s="281" t="s">
        <v>37</v>
      </c>
      <c r="L67" s="281" t="s">
        <v>139</v>
      </c>
      <c r="M67" s="281" t="s">
        <v>37</v>
      </c>
      <c r="N67" s="281" t="s">
        <v>139</v>
      </c>
      <c r="O67" s="281" t="s">
        <v>37</v>
      </c>
      <c r="P67" s="281" t="s">
        <v>139</v>
      </c>
      <c r="Q67" s="281" t="s">
        <v>37</v>
      </c>
      <c r="R67" s="281" t="s">
        <v>139</v>
      </c>
      <c r="S67" s="281" t="s">
        <v>37</v>
      </c>
      <c r="T67" s="281" t="s">
        <v>139</v>
      </c>
      <c r="U67" s="281" t="s">
        <v>37</v>
      </c>
      <c r="V67" s="281" t="s">
        <v>139</v>
      </c>
      <c r="W67" s="281" t="s">
        <v>37</v>
      </c>
      <c r="X67" s="281" t="s">
        <v>139</v>
      </c>
      <c r="Y67" s="281" t="s">
        <v>37</v>
      </c>
      <c r="Z67" s="281" t="s">
        <v>139</v>
      </c>
      <c r="AA67" s="622"/>
      <c r="AB67" s="1"/>
      <c r="AC67" s="1"/>
      <c r="AD67" s="1"/>
      <c r="AE67" s="1"/>
      <c r="AF67" s="1"/>
    </row>
    <row r="68" spans="1:32" x14ac:dyDescent="0.25">
      <c r="A68" s="1"/>
      <c r="B68" s="263" t="s">
        <v>143</v>
      </c>
      <c r="C68" s="264">
        <v>1</v>
      </c>
      <c r="D68" s="265">
        <f>$L$14</f>
        <v>219495.43</v>
      </c>
      <c r="E68" s="264">
        <v>1</v>
      </c>
      <c r="F68" s="265">
        <f>$L$14</f>
        <v>219495.43</v>
      </c>
      <c r="G68" s="264">
        <v>1</v>
      </c>
      <c r="H68" s="265">
        <f>$L$14</f>
        <v>219495.43</v>
      </c>
      <c r="I68" s="264">
        <v>1</v>
      </c>
      <c r="J68" s="265">
        <f>$L$14</f>
        <v>219495.43</v>
      </c>
      <c r="K68" s="264">
        <v>1</v>
      </c>
      <c r="L68" s="265">
        <f>$L$14</f>
        <v>219495.43</v>
      </c>
      <c r="M68" s="264">
        <v>1</v>
      </c>
      <c r="N68" s="265">
        <f>$L$14*1.5</f>
        <v>329243.14500000002</v>
      </c>
      <c r="O68" s="264">
        <v>1</v>
      </c>
      <c r="P68" s="265">
        <f>$L$14</f>
        <v>219495.43</v>
      </c>
      <c r="Q68" s="264">
        <v>1</v>
      </c>
      <c r="R68" s="265">
        <f>$L$14</f>
        <v>219495.43</v>
      </c>
      <c r="S68" s="264">
        <v>1</v>
      </c>
      <c r="T68" s="265">
        <f>$L$14</f>
        <v>219495.43</v>
      </c>
      <c r="U68" s="264">
        <v>1</v>
      </c>
      <c r="V68" s="265">
        <f>$L$14</f>
        <v>219495.43</v>
      </c>
      <c r="W68" s="264">
        <v>1</v>
      </c>
      <c r="X68" s="265">
        <f>$L$14</f>
        <v>219495.43</v>
      </c>
      <c r="Y68" s="264">
        <v>1</v>
      </c>
      <c r="Z68" s="265">
        <f>$L$14*1.5</f>
        <v>329243.14500000002</v>
      </c>
      <c r="AA68" s="285">
        <f>D68+F68+H68+J68+L68+N68+P68+R68+T68+V68+X68+Z68</f>
        <v>2853440.59</v>
      </c>
      <c r="AB68" s="1"/>
      <c r="AC68" s="1"/>
      <c r="AD68" s="1"/>
      <c r="AE68" s="1"/>
      <c r="AF68" s="1"/>
    </row>
    <row r="69" spans="1:32" x14ac:dyDescent="0.25">
      <c r="A69" s="1"/>
      <c r="B69" s="266" t="s">
        <v>72</v>
      </c>
      <c r="C69" s="264">
        <v>1</v>
      </c>
      <c r="D69" s="265">
        <f>$L$15</f>
        <v>158530.43</v>
      </c>
      <c r="E69" s="264">
        <v>1</v>
      </c>
      <c r="F69" s="265">
        <f>$L$15</f>
        <v>158530.43</v>
      </c>
      <c r="G69" s="264">
        <v>1</v>
      </c>
      <c r="H69" s="265">
        <f>$L$15</f>
        <v>158530.43</v>
      </c>
      <c r="I69" s="264">
        <v>1</v>
      </c>
      <c r="J69" s="265">
        <f>$L$15</f>
        <v>158530.43</v>
      </c>
      <c r="K69" s="264">
        <v>1</v>
      </c>
      <c r="L69" s="265">
        <f>$L$15</f>
        <v>158530.43</v>
      </c>
      <c r="M69" s="264">
        <v>1</v>
      </c>
      <c r="N69" s="265">
        <f>$L$15*1.5</f>
        <v>237795.64499999999</v>
      </c>
      <c r="O69" s="264">
        <v>1</v>
      </c>
      <c r="P69" s="265">
        <f>$L$15</f>
        <v>158530.43</v>
      </c>
      <c r="Q69" s="264">
        <v>1</v>
      </c>
      <c r="R69" s="265">
        <f>$L$15</f>
        <v>158530.43</v>
      </c>
      <c r="S69" s="264">
        <v>1</v>
      </c>
      <c r="T69" s="265">
        <f>$L$15</f>
        <v>158530.43</v>
      </c>
      <c r="U69" s="264">
        <v>1</v>
      </c>
      <c r="V69" s="265">
        <f>$L$15</f>
        <v>158530.43</v>
      </c>
      <c r="W69" s="264">
        <v>1</v>
      </c>
      <c r="X69" s="265">
        <f>$L$15</f>
        <v>158530.43</v>
      </c>
      <c r="Y69" s="264">
        <v>1</v>
      </c>
      <c r="Z69" s="265">
        <f>$L$15*1.5</f>
        <v>237795.64499999999</v>
      </c>
      <c r="AA69" s="285">
        <f t="shared" ref="AA69:AA73" si="19">D69+F69+H69+J69+L69+N69+P69+R69+T69+V69+X69+Z69</f>
        <v>2060895.5899999996</v>
      </c>
      <c r="AB69" s="1"/>
      <c r="AC69" s="1"/>
      <c r="AD69" s="1"/>
      <c r="AE69" s="1"/>
      <c r="AF69" s="1"/>
    </row>
    <row r="70" spans="1:32" x14ac:dyDescent="0.25">
      <c r="A70" s="1"/>
      <c r="B70" s="266" t="s">
        <v>151</v>
      </c>
      <c r="C70" s="264">
        <v>1</v>
      </c>
      <c r="D70" s="265">
        <f>$L$35</f>
        <v>121951.43</v>
      </c>
      <c r="E70" s="264">
        <v>1</v>
      </c>
      <c r="F70" s="265">
        <f>$L$35</f>
        <v>121951.43</v>
      </c>
      <c r="G70" s="264">
        <v>1</v>
      </c>
      <c r="H70" s="265">
        <f>$L$35</f>
        <v>121951.43</v>
      </c>
      <c r="I70" s="264">
        <v>1</v>
      </c>
      <c r="J70" s="265">
        <f>$L$35</f>
        <v>121951.43</v>
      </c>
      <c r="K70" s="264">
        <v>1</v>
      </c>
      <c r="L70" s="265">
        <f>$L$35</f>
        <v>121951.43</v>
      </c>
      <c r="M70" s="264">
        <v>1</v>
      </c>
      <c r="N70" s="265">
        <f>$L$35*1.5</f>
        <v>182927.14499999999</v>
      </c>
      <c r="O70" s="264">
        <v>1</v>
      </c>
      <c r="P70" s="265">
        <f>$L$35</f>
        <v>121951.43</v>
      </c>
      <c r="Q70" s="264">
        <v>1</v>
      </c>
      <c r="R70" s="265">
        <f>$L$35</f>
        <v>121951.43</v>
      </c>
      <c r="S70" s="264">
        <v>1</v>
      </c>
      <c r="T70" s="265">
        <f>$L$35</f>
        <v>121951.43</v>
      </c>
      <c r="U70" s="264">
        <v>1</v>
      </c>
      <c r="V70" s="265">
        <f>$L$35</f>
        <v>121951.43</v>
      </c>
      <c r="W70" s="264">
        <v>1</v>
      </c>
      <c r="X70" s="265">
        <f>$L$35</f>
        <v>121951.43</v>
      </c>
      <c r="Y70" s="264">
        <v>1</v>
      </c>
      <c r="Z70" s="265">
        <f>$L$35*1.5</f>
        <v>182927.14499999999</v>
      </c>
      <c r="AA70" s="285">
        <f t="shared" si="19"/>
        <v>1585368.5899999996</v>
      </c>
      <c r="AB70" s="1"/>
      <c r="AC70" s="1"/>
      <c r="AD70" s="1"/>
      <c r="AE70" s="1"/>
      <c r="AF70" s="1"/>
    </row>
    <row r="71" spans="1:32" x14ac:dyDescent="0.25">
      <c r="A71" s="1"/>
      <c r="B71" s="266" t="s">
        <v>84</v>
      </c>
      <c r="C71" s="264">
        <v>1</v>
      </c>
      <c r="D71" s="265">
        <f>$L$25</f>
        <v>182916.43</v>
      </c>
      <c r="E71" s="264">
        <v>1</v>
      </c>
      <c r="F71" s="265">
        <f>$L$25</f>
        <v>182916.43</v>
      </c>
      <c r="G71" s="264">
        <v>1</v>
      </c>
      <c r="H71" s="265">
        <f>$L$25</f>
        <v>182916.43</v>
      </c>
      <c r="I71" s="264">
        <v>1</v>
      </c>
      <c r="J71" s="265">
        <f>$L$25</f>
        <v>182916.43</v>
      </c>
      <c r="K71" s="264">
        <v>1</v>
      </c>
      <c r="L71" s="265">
        <f>$L$25</f>
        <v>182916.43</v>
      </c>
      <c r="M71" s="264">
        <v>1</v>
      </c>
      <c r="N71" s="265">
        <f>$L$25*1.5</f>
        <v>274374.64500000002</v>
      </c>
      <c r="O71" s="264">
        <v>1</v>
      </c>
      <c r="P71" s="265">
        <f>$L$25</f>
        <v>182916.43</v>
      </c>
      <c r="Q71" s="264">
        <v>1</v>
      </c>
      <c r="R71" s="265">
        <f>$L$25</f>
        <v>182916.43</v>
      </c>
      <c r="S71" s="264">
        <v>1</v>
      </c>
      <c r="T71" s="265">
        <f>$L$25</f>
        <v>182916.43</v>
      </c>
      <c r="U71" s="264">
        <v>1</v>
      </c>
      <c r="V71" s="265">
        <f>$L$25</f>
        <v>182916.43</v>
      </c>
      <c r="W71" s="264">
        <v>1</v>
      </c>
      <c r="X71" s="265">
        <f>$L$25</f>
        <v>182916.43</v>
      </c>
      <c r="Y71" s="264">
        <v>1</v>
      </c>
      <c r="Z71" s="265">
        <f>$L$25*1.5</f>
        <v>274374.64500000002</v>
      </c>
      <c r="AA71" s="285">
        <f t="shared" si="19"/>
        <v>2377913.59</v>
      </c>
      <c r="AB71" s="1"/>
      <c r="AC71" s="1"/>
      <c r="AD71" s="1"/>
      <c r="AE71" s="1"/>
      <c r="AF71" s="1"/>
    </row>
    <row r="72" spans="1:32" x14ac:dyDescent="0.25">
      <c r="A72" s="1"/>
      <c r="B72" s="266" t="s">
        <v>88</v>
      </c>
      <c r="C72" s="264">
        <v>1</v>
      </c>
      <c r="D72" s="265">
        <f>$L$29</f>
        <v>67082.929999999993</v>
      </c>
      <c r="E72" s="264">
        <v>1</v>
      </c>
      <c r="F72" s="265">
        <f>$L$29</f>
        <v>67082.929999999993</v>
      </c>
      <c r="G72" s="264">
        <v>1</v>
      </c>
      <c r="H72" s="265">
        <f>$L$29</f>
        <v>67082.929999999993</v>
      </c>
      <c r="I72" s="264">
        <v>1</v>
      </c>
      <c r="J72" s="265">
        <f>$L$29</f>
        <v>67082.929999999993</v>
      </c>
      <c r="K72" s="264">
        <v>1</v>
      </c>
      <c r="L72" s="265">
        <f>$L$29</f>
        <v>67082.929999999993</v>
      </c>
      <c r="M72" s="264">
        <v>1</v>
      </c>
      <c r="N72" s="265">
        <f>$L$29*1.5</f>
        <v>100624.39499999999</v>
      </c>
      <c r="O72" s="264">
        <v>1</v>
      </c>
      <c r="P72" s="265">
        <f>$L$29</f>
        <v>67082.929999999993</v>
      </c>
      <c r="Q72" s="264">
        <v>1</v>
      </c>
      <c r="R72" s="265">
        <f>$L$29</f>
        <v>67082.929999999993</v>
      </c>
      <c r="S72" s="264">
        <v>1</v>
      </c>
      <c r="T72" s="265">
        <f>$L$29</f>
        <v>67082.929999999993</v>
      </c>
      <c r="U72" s="264">
        <v>1</v>
      </c>
      <c r="V72" s="265">
        <f>$L$29</f>
        <v>67082.929999999993</v>
      </c>
      <c r="W72" s="264">
        <v>1</v>
      </c>
      <c r="X72" s="265">
        <f>$L$29</f>
        <v>67082.929999999993</v>
      </c>
      <c r="Y72" s="264">
        <v>1</v>
      </c>
      <c r="Z72" s="265">
        <f>$L$29*1.5</f>
        <v>100624.39499999999</v>
      </c>
      <c r="AA72" s="285">
        <f t="shared" si="19"/>
        <v>872078.08999999985</v>
      </c>
      <c r="AB72" s="1"/>
      <c r="AC72" s="1"/>
      <c r="AD72" s="1"/>
      <c r="AE72" s="1"/>
      <c r="AF72" s="1"/>
    </row>
    <row r="73" spans="1:32" x14ac:dyDescent="0.25">
      <c r="A73" s="1"/>
      <c r="B73" s="266" t="s">
        <v>93</v>
      </c>
      <c r="C73" s="264">
        <v>1</v>
      </c>
      <c r="D73" s="265">
        <f>$L$34</f>
        <v>85372.43</v>
      </c>
      <c r="E73" s="264">
        <v>1</v>
      </c>
      <c r="F73" s="265">
        <f>$L$34</f>
        <v>85372.43</v>
      </c>
      <c r="G73" s="264">
        <v>1</v>
      </c>
      <c r="H73" s="265">
        <f>$L$34</f>
        <v>85372.43</v>
      </c>
      <c r="I73" s="264">
        <v>1</v>
      </c>
      <c r="J73" s="265">
        <f>$L$34</f>
        <v>85372.43</v>
      </c>
      <c r="K73" s="264">
        <v>1</v>
      </c>
      <c r="L73" s="265">
        <f>$L$34</f>
        <v>85372.43</v>
      </c>
      <c r="M73" s="264">
        <v>1</v>
      </c>
      <c r="N73" s="265">
        <f>$L$34*1.5</f>
        <v>128058.64499999999</v>
      </c>
      <c r="O73" s="264">
        <v>1</v>
      </c>
      <c r="P73" s="265">
        <f>$L$34</f>
        <v>85372.43</v>
      </c>
      <c r="Q73" s="264">
        <v>1</v>
      </c>
      <c r="R73" s="265">
        <f>$L$34</f>
        <v>85372.43</v>
      </c>
      <c r="S73" s="264">
        <v>1</v>
      </c>
      <c r="T73" s="265">
        <f>$L$34</f>
        <v>85372.43</v>
      </c>
      <c r="U73" s="264">
        <v>1</v>
      </c>
      <c r="V73" s="265">
        <f>$L$34</f>
        <v>85372.43</v>
      </c>
      <c r="W73" s="264">
        <v>1</v>
      </c>
      <c r="X73" s="265">
        <f>$L$34</f>
        <v>85372.43</v>
      </c>
      <c r="Y73" s="264">
        <v>1</v>
      </c>
      <c r="Z73" s="265">
        <f>$L$34*1.5</f>
        <v>128058.64499999999</v>
      </c>
      <c r="AA73" s="285">
        <f t="shared" si="19"/>
        <v>1109841.5899999996</v>
      </c>
      <c r="AB73" s="1"/>
      <c r="AC73" s="1"/>
      <c r="AD73" s="1"/>
      <c r="AE73" s="1"/>
      <c r="AF73" s="1"/>
    </row>
    <row r="74" spans="1:32" x14ac:dyDescent="0.25">
      <c r="A74" s="1"/>
      <c r="B74" s="317" t="s">
        <v>77</v>
      </c>
      <c r="C74" s="264">
        <v>1</v>
      </c>
      <c r="D74" s="265">
        <f>$L$20</f>
        <v>97565.43</v>
      </c>
      <c r="E74" s="264">
        <v>1</v>
      </c>
      <c r="F74" s="265">
        <f>$L$20</f>
        <v>97565.43</v>
      </c>
      <c r="G74" s="264">
        <v>1</v>
      </c>
      <c r="H74" s="265">
        <f>$L$20</f>
        <v>97565.43</v>
      </c>
      <c r="I74" s="264">
        <v>1</v>
      </c>
      <c r="J74" s="265">
        <f>$L$20</f>
        <v>97565.43</v>
      </c>
      <c r="K74" s="264">
        <v>1</v>
      </c>
      <c r="L74" s="265">
        <f>$L$20</f>
        <v>97565.43</v>
      </c>
      <c r="M74" s="264">
        <v>1</v>
      </c>
      <c r="N74" s="265">
        <f>$L$20*1.5</f>
        <v>146348.14499999999</v>
      </c>
      <c r="O74" s="264">
        <v>1</v>
      </c>
      <c r="P74" s="265">
        <f>$L$20</f>
        <v>97565.43</v>
      </c>
      <c r="Q74" s="264">
        <v>1</v>
      </c>
      <c r="R74" s="265">
        <f>$L$20</f>
        <v>97565.43</v>
      </c>
      <c r="S74" s="264">
        <v>1</v>
      </c>
      <c r="T74" s="265">
        <f>$L$20</f>
        <v>97565.43</v>
      </c>
      <c r="U74" s="264">
        <v>1</v>
      </c>
      <c r="V74" s="265">
        <f>$L$20</f>
        <v>97565.43</v>
      </c>
      <c r="W74" s="264">
        <v>1</v>
      </c>
      <c r="X74" s="265">
        <f>$L$20</f>
        <v>97565.43</v>
      </c>
      <c r="Y74" s="264">
        <v>1</v>
      </c>
      <c r="Z74" s="265">
        <f>$L$20*1.5</f>
        <v>146348.14499999999</v>
      </c>
      <c r="AA74" s="285">
        <f>D74+F74+H74+J74+L74+N74+P74+R74+T74+V74+X74+Z74</f>
        <v>1268350.5899999996</v>
      </c>
      <c r="AB74" s="1"/>
      <c r="AC74" s="1"/>
      <c r="AD74" s="1"/>
      <c r="AE74" s="1"/>
      <c r="AF74" s="1"/>
    </row>
    <row r="75" spans="1:32" x14ac:dyDescent="0.25">
      <c r="A75" s="1"/>
      <c r="B75" s="314" t="s">
        <v>73</v>
      </c>
      <c r="C75" s="315">
        <v>1</v>
      </c>
      <c r="D75" s="316">
        <f>$L$16</f>
        <v>73179.429999999993</v>
      </c>
      <c r="E75" s="315">
        <v>1</v>
      </c>
      <c r="F75" s="316">
        <f>$L$16</f>
        <v>73179.429999999993</v>
      </c>
      <c r="G75" s="315">
        <v>1</v>
      </c>
      <c r="H75" s="316">
        <f>$L$16</f>
        <v>73179.429999999993</v>
      </c>
      <c r="I75" s="315">
        <v>1</v>
      </c>
      <c r="J75" s="316">
        <f>$L$16</f>
        <v>73179.429999999993</v>
      </c>
      <c r="K75" s="315">
        <v>1</v>
      </c>
      <c r="L75" s="316">
        <f>$L$16</f>
        <v>73179.429999999993</v>
      </c>
      <c r="M75" s="315">
        <v>1</v>
      </c>
      <c r="N75" s="316">
        <f>$L$16*1.5</f>
        <v>109769.14499999999</v>
      </c>
      <c r="O75" s="315">
        <v>1</v>
      </c>
      <c r="P75" s="316">
        <f>$L$16</f>
        <v>73179.429999999993</v>
      </c>
      <c r="Q75" s="315">
        <v>1</v>
      </c>
      <c r="R75" s="316">
        <f>$L$16</f>
        <v>73179.429999999993</v>
      </c>
      <c r="S75" s="315">
        <v>1</v>
      </c>
      <c r="T75" s="316">
        <f>$L$16</f>
        <v>73179.429999999993</v>
      </c>
      <c r="U75" s="315">
        <v>1</v>
      </c>
      <c r="V75" s="316">
        <f>$L$16</f>
        <v>73179.429999999993</v>
      </c>
      <c r="W75" s="315">
        <v>1</v>
      </c>
      <c r="X75" s="316">
        <f>$L$16</f>
        <v>73179.429999999993</v>
      </c>
      <c r="Y75" s="315">
        <v>1</v>
      </c>
      <c r="Z75" s="316">
        <f>$L$16*1.5</f>
        <v>109769.14499999999</v>
      </c>
      <c r="AA75" s="285">
        <f t="shared" ref="AA75:AA84" si="20">D75+F75+H75+J75+L75+N75+P75+R75+T75+V75+X75+Z75</f>
        <v>951332.58999999962</v>
      </c>
      <c r="AB75" s="1"/>
      <c r="AC75" s="1"/>
      <c r="AD75" s="1"/>
      <c r="AE75" s="1"/>
      <c r="AF75" s="1"/>
    </row>
    <row r="76" spans="1:32" x14ac:dyDescent="0.25">
      <c r="A76" s="1"/>
      <c r="B76" s="314" t="s">
        <v>74</v>
      </c>
      <c r="C76" s="315">
        <v>1</v>
      </c>
      <c r="D76" s="316">
        <f>$L$17</f>
        <v>54889.93</v>
      </c>
      <c r="E76" s="315">
        <v>1</v>
      </c>
      <c r="F76" s="316">
        <f>$L$17</f>
        <v>54889.93</v>
      </c>
      <c r="G76" s="315">
        <v>1</v>
      </c>
      <c r="H76" s="316">
        <f>$L$17</f>
        <v>54889.93</v>
      </c>
      <c r="I76" s="315">
        <v>1</v>
      </c>
      <c r="J76" s="316">
        <f>$L$17</f>
        <v>54889.93</v>
      </c>
      <c r="K76" s="315">
        <v>1</v>
      </c>
      <c r="L76" s="316">
        <f>$L$17</f>
        <v>54889.93</v>
      </c>
      <c r="M76" s="315">
        <v>1</v>
      </c>
      <c r="N76" s="316">
        <f>$L$17*1.5</f>
        <v>82334.895000000004</v>
      </c>
      <c r="O76" s="315">
        <v>1</v>
      </c>
      <c r="P76" s="316">
        <f>$L$17</f>
        <v>54889.93</v>
      </c>
      <c r="Q76" s="315">
        <v>1</v>
      </c>
      <c r="R76" s="316">
        <f>$L$17</f>
        <v>54889.93</v>
      </c>
      <c r="S76" s="315">
        <v>1</v>
      </c>
      <c r="T76" s="316">
        <f>$L$17</f>
        <v>54889.93</v>
      </c>
      <c r="U76" s="315">
        <v>1</v>
      </c>
      <c r="V76" s="316">
        <f>$L$17</f>
        <v>54889.93</v>
      </c>
      <c r="W76" s="315">
        <v>1</v>
      </c>
      <c r="X76" s="316">
        <f>$L$17</f>
        <v>54889.93</v>
      </c>
      <c r="Y76" s="315">
        <v>1</v>
      </c>
      <c r="Z76" s="316">
        <f>$L$17*1.5</f>
        <v>82334.895000000004</v>
      </c>
      <c r="AA76" s="285">
        <f t="shared" si="20"/>
        <v>713569.09000000008</v>
      </c>
      <c r="AB76" s="1"/>
      <c r="AC76" s="1"/>
      <c r="AD76" s="1"/>
      <c r="AE76" s="1"/>
      <c r="AF76" s="1"/>
    </row>
    <row r="77" spans="1:32" x14ac:dyDescent="0.25">
      <c r="A77" s="1"/>
      <c r="B77" s="314" t="s">
        <v>75</v>
      </c>
      <c r="C77" s="315">
        <v>1</v>
      </c>
      <c r="D77" s="316">
        <f>$L$18</f>
        <v>73179.429999999993</v>
      </c>
      <c r="E77" s="315">
        <v>1</v>
      </c>
      <c r="F77" s="316">
        <f>$L$18</f>
        <v>73179.429999999993</v>
      </c>
      <c r="G77" s="315">
        <v>1</v>
      </c>
      <c r="H77" s="316">
        <f>$L$18</f>
        <v>73179.429999999993</v>
      </c>
      <c r="I77" s="315">
        <v>1</v>
      </c>
      <c r="J77" s="316">
        <f>$L$18</f>
        <v>73179.429999999993</v>
      </c>
      <c r="K77" s="315">
        <v>1</v>
      </c>
      <c r="L77" s="316">
        <f>$L$18</f>
        <v>73179.429999999993</v>
      </c>
      <c r="M77" s="315">
        <v>1</v>
      </c>
      <c r="N77" s="316">
        <f>$L$18*1.5</f>
        <v>109769.14499999999</v>
      </c>
      <c r="O77" s="315">
        <v>1</v>
      </c>
      <c r="P77" s="316">
        <f>$L$18</f>
        <v>73179.429999999993</v>
      </c>
      <c r="Q77" s="315">
        <v>1</v>
      </c>
      <c r="R77" s="316">
        <f>$L$18</f>
        <v>73179.429999999993</v>
      </c>
      <c r="S77" s="315">
        <v>1</v>
      </c>
      <c r="T77" s="316">
        <f>$L$18</f>
        <v>73179.429999999993</v>
      </c>
      <c r="U77" s="315">
        <v>1</v>
      </c>
      <c r="V77" s="316">
        <f>$L$18</f>
        <v>73179.429999999993</v>
      </c>
      <c r="W77" s="315">
        <v>1</v>
      </c>
      <c r="X77" s="316">
        <f>$L$18</f>
        <v>73179.429999999993</v>
      </c>
      <c r="Y77" s="315">
        <v>1</v>
      </c>
      <c r="Z77" s="316">
        <f>$L$18*1.5</f>
        <v>109769.14499999999</v>
      </c>
      <c r="AA77" s="285">
        <f t="shared" si="20"/>
        <v>951332.58999999962</v>
      </c>
      <c r="AB77" s="1"/>
      <c r="AC77" s="1"/>
      <c r="AD77" s="1"/>
      <c r="AE77" s="1"/>
      <c r="AF77" s="1"/>
    </row>
    <row r="78" spans="1:32" x14ac:dyDescent="0.25">
      <c r="A78" s="1"/>
      <c r="B78" s="314" t="s">
        <v>76</v>
      </c>
      <c r="C78" s="315">
        <v>1</v>
      </c>
      <c r="D78" s="316">
        <f>$L$19</f>
        <v>73179.429999999993</v>
      </c>
      <c r="E78" s="315">
        <v>1</v>
      </c>
      <c r="F78" s="316">
        <f>$L$19</f>
        <v>73179.429999999993</v>
      </c>
      <c r="G78" s="315">
        <v>1</v>
      </c>
      <c r="H78" s="316">
        <f>$L$19</f>
        <v>73179.429999999993</v>
      </c>
      <c r="I78" s="315">
        <v>1</v>
      </c>
      <c r="J78" s="316">
        <f>$L$19</f>
        <v>73179.429999999993</v>
      </c>
      <c r="K78" s="315">
        <v>1</v>
      </c>
      <c r="L78" s="316">
        <f>$L$19</f>
        <v>73179.429999999993</v>
      </c>
      <c r="M78" s="315">
        <v>1</v>
      </c>
      <c r="N78" s="316">
        <f>$L$19*1.5</f>
        <v>109769.14499999999</v>
      </c>
      <c r="O78" s="315">
        <v>1</v>
      </c>
      <c r="P78" s="316">
        <f>$L$19</f>
        <v>73179.429999999993</v>
      </c>
      <c r="Q78" s="315">
        <v>1</v>
      </c>
      <c r="R78" s="316">
        <f>$L$19</f>
        <v>73179.429999999993</v>
      </c>
      <c r="S78" s="315">
        <v>1</v>
      </c>
      <c r="T78" s="316">
        <f>$L$19</f>
        <v>73179.429999999993</v>
      </c>
      <c r="U78" s="315">
        <v>1</v>
      </c>
      <c r="V78" s="316">
        <f>$L$19</f>
        <v>73179.429999999993</v>
      </c>
      <c r="W78" s="315">
        <v>1</v>
      </c>
      <c r="X78" s="316">
        <f>$L$19</f>
        <v>73179.429999999993</v>
      </c>
      <c r="Y78" s="315">
        <v>1</v>
      </c>
      <c r="Z78" s="316">
        <f>$L$19*1.5</f>
        <v>109769.14499999999</v>
      </c>
      <c r="AA78" s="285">
        <f t="shared" si="20"/>
        <v>951332.58999999962</v>
      </c>
      <c r="AB78" s="1"/>
      <c r="AC78" s="1"/>
      <c r="AD78" s="1"/>
      <c r="AE78" s="1"/>
      <c r="AF78" s="1"/>
    </row>
    <row r="79" spans="1:32" x14ac:dyDescent="0.25">
      <c r="A79" s="1"/>
      <c r="B79" s="314" t="s">
        <v>78</v>
      </c>
      <c r="C79" s="315">
        <v>1</v>
      </c>
      <c r="D79" s="316">
        <f>$L$21</f>
        <v>54889.93</v>
      </c>
      <c r="E79" s="315">
        <v>1</v>
      </c>
      <c r="F79" s="316">
        <f>$L$21</f>
        <v>54889.93</v>
      </c>
      <c r="G79" s="315">
        <v>1</v>
      </c>
      <c r="H79" s="316">
        <f>$L$21</f>
        <v>54889.93</v>
      </c>
      <c r="I79" s="315">
        <v>1</v>
      </c>
      <c r="J79" s="316">
        <f>$L$21</f>
        <v>54889.93</v>
      </c>
      <c r="K79" s="315">
        <v>1</v>
      </c>
      <c r="L79" s="316">
        <f>$L$21</f>
        <v>54889.93</v>
      </c>
      <c r="M79" s="315">
        <v>1</v>
      </c>
      <c r="N79" s="316">
        <f>$L$21*1.5</f>
        <v>82334.895000000004</v>
      </c>
      <c r="O79" s="315">
        <v>1</v>
      </c>
      <c r="P79" s="316">
        <f>$L$21</f>
        <v>54889.93</v>
      </c>
      <c r="Q79" s="315">
        <v>1</v>
      </c>
      <c r="R79" s="316">
        <f>$L$21</f>
        <v>54889.93</v>
      </c>
      <c r="S79" s="315">
        <v>1</v>
      </c>
      <c r="T79" s="316">
        <f>$L$21</f>
        <v>54889.93</v>
      </c>
      <c r="U79" s="315">
        <v>1</v>
      </c>
      <c r="V79" s="316">
        <f>$L$21</f>
        <v>54889.93</v>
      </c>
      <c r="W79" s="315">
        <v>1</v>
      </c>
      <c r="X79" s="316">
        <f>$L$21</f>
        <v>54889.93</v>
      </c>
      <c r="Y79" s="315">
        <v>1</v>
      </c>
      <c r="Z79" s="316">
        <f>$L$21*1.5</f>
        <v>82334.895000000004</v>
      </c>
      <c r="AA79" s="285">
        <f t="shared" si="20"/>
        <v>713569.09000000008</v>
      </c>
      <c r="AB79" s="1"/>
      <c r="AC79" s="1"/>
      <c r="AD79" s="1"/>
      <c r="AE79" s="1"/>
      <c r="AF79" s="1"/>
    </row>
    <row r="80" spans="1:32" x14ac:dyDescent="0.25">
      <c r="A80" s="1"/>
      <c r="B80" s="314" t="s">
        <v>80</v>
      </c>
      <c r="C80" s="315">
        <v>1</v>
      </c>
      <c r="D80" s="316">
        <f>$L$36</f>
        <v>73179.429999999993</v>
      </c>
      <c r="E80" s="315">
        <v>1</v>
      </c>
      <c r="F80" s="316">
        <f>$L$36</f>
        <v>73179.429999999993</v>
      </c>
      <c r="G80" s="315">
        <v>1</v>
      </c>
      <c r="H80" s="316">
        <f>$L$36</f>
        <v>73179.429999999993</v>
      </c>
      <c r="I80" s="315">
        <v>1</v>
      </c>
      <c r="J80" s="316">
        <f>$L$36</f>
        <v>73179.429999999993</v>
      </c>
      <c r="K80" s="315">
        <v>1</v>
      </c>
      <c r="L80" s="316">
        <f>$L$36</f>
        <v>73179.429999999993</v>
      </c>
      <c r="M80" s="315">
        <v>1</v>
      </c>
      <c r="N80" s="316">
        <f>$L$36*1.5</f>
        <v>109769.14499999999</v>
      </c>
      <c r="O80" s="315">
        <v>1</v>
      </c>
      <c r="P80" s="316">
        <f>$L$36</f>
        <v>73179.429999999993</v>
      </c>
      <c r="Q80" s="315">
        <v>1</v>
      </c>
      <c r="R80" s="316">
        <f>$L$36</f>
        <v>73179.429999999993</v>
      </c>
      <c r="S80" s="315">
        <v>1</v>
      </c>
      <c r="T80" s="316">
        <f>$L$36</f>
        <v>73179.429999999993</v>
      </c>
      <c r="U80" s="315">
        <v>1</v>
      </c>
      <c r="V80" s="316">
        <f>$L$36</f>
        <v>73179.429999999993</v>
      </c>
      <c r="W80" s="315">
        <v>1</v>
      </c>
      <c r="X80" s="316">
        <f>$L$36</f>
        <v>73179.429999999993</v>
      </c>
      <c r="Y80" s="315">
        <v>1</v>
      </c>
      <c r="Z80" s="316">
        <f>$L$36*1.5</f>
        <v>109769.14499999999</v>
      </c>
      <c r="AA80" s="285">
        <f t="shared" si="20"/>
        <v>951332.58999999962</v>
      </c>
      <c r="AB80" s="1"/>
      <c r="AC80" s="1"/>
      <c r="AD80" s="1"/>
      <c r="AE80" s="1"/>
      <c r="AF80" s="1"/>
    </row>
    <row r="81" spans="1:32" x14ac:dyDescent="0.25">
      <c r="A81" s="1"/>
      <c r="B81" s="314" t="s">
        <v>85</v>
      </c>
      <c r="C81" s="315">
        <v>1</v>
      </c>
      <c r="D81" s="316">
        <f>$L$26</f>
        <v>97565.43</v>
      </c>
      <c r="E81" s="315">
        <v>1</v>
      </c>
      <c r="F81" s="316">
        <f>$L$26</f>
        <v>97565.43</v>
      </c>
      <c r="G81" s="315">
        <v>1</v>
      </c>
      <c r="H81" s="316">
        <f>$L$26</f>
        <v>97565.43</v>
      </c>
      <c r="I81" s="315">
        <v>1</v>
      </c>
      <c r="J81" s="316">
        <f>$L$26</f>
        <v>97565.43</v>
      </c>
      <c r="K81" s="315">
        <v>1</v>
      </c>
      <c r="L81" s="316">
        <f>$L$26</f>
        <v>97565.43</v>
      </c>
      <c r="M81" s="315">
        <v>1</v>
      </c>
      <c r="N81" s="316">
        <f>$L$26*1.5</f>
        <v>146348.14499999999</v>
      </c>
      <c r="O81" s="315">
        <v>1</v>
      </c>
      <c r="P81" s="316">
        <f>$L$26</f>
        <v>97565.43</v>
      </c>
      <c r="Q81" s="315">
        <v>1</v>
      </c>
      <c r="R81" s="316">
        <f>$L$26</f>
        <v>97565.43</v>
      </c>
      <c r="S81" s="315">
        <v>1</v>
      </c>
      <c r="T81" s="316">
        <f>$L$26</f>
        <v>97565.43</v>
      </c>
      <c r="U81" s="315">
        <v>1</v>
      </c>
      <c r="V81" s="316">
        <f>$L$26</f>
        <v>97565.43</v>
      </c>
      <c r="W81" s="315">
        <v>1</v>
      </c>
      <c r="X81" s="316">
        <f>$L$26</f>
        <v>97565.43</v>
      </c>
      <c r="Y81" s="315">
        <v>1</v>
      </c>
      <c r="Z81" s="316">
        <f>$L$26*1.5</f>
        <v>146348.14499999999</v>
      </c>
      <c r="AA81" s="285">
        <f t="shared" si="20"/>
        <v>1268350.5899999996</v>
      </c>
      <c r="AB81" s="1"/>
      <c r="AC81" s="1"/>
      <c r="AD81" s="1"/>
      <c r="AE81" s="1"/>
      <c r="AF81" s="1"/>
    </row>
    <row r="82" spans="1:32" x14ac:dyDescent="0.25">
      <c r="A82" s="1"/>
      <c r="B82" s="314" t="s">
        <v>86</v>
      </c>
      <c r="C82" s="315">
        <v>1</v>
      </c>
      <c r="D82" s="316">
        <f>$L$27</f>
        <v>91468.93</v>
      </c>
      <c r="E82" s="315">
        <v>1</v>
      </c>
      <c r="F82" s="316">
        <f>$L$27</f>
        <v>91468.93</v>
      </c>
      <c r="G82" s="315">
        <v>1</v>
      </c>
      <c r="H82" s="316">
        <f>$L$27</f>
        <v>91468.93</v>
      </c>
      <c r="I82" s="315">
        <v>1</v>
      </c>
      <c r="J82" s="316">
        <f>$L$27</f>
        <v>91468.93</v>
      </c>
      <c r="K82" s="315">
        <v>1</v>
      </c>
      <c r="L82" s="316">
        <f>$L$27</f>
        <v>91468.93</v>
      </c>
      <c r="M82" s="315">
        <v>1</v>
      </c>
      <c r="N82" s="316">
        <f>$L$27*1.5</f>
        <v>137203.39499999999</v>
      </c>
      <c r="O82" s="315">
        <v>1</v>
      </c>
      <c r="P82" s="316">
        <f>$L$27</f>
        <v>91468.93</v>
      </c>
      <c r="Q82" s="315">
        <v>1</v>
      </c>
      <c r="R82" s="316">
        <f>$L$27</f>
        <v>91468.93</v>
      </c>
      <c r="S82" s="315">
        <v>1</v>
      </c>
      <c r="T82" s="316">
        <f>$L$27</f>
        <v>91468.93</v>
      </c>
      <c r="U82" s="315">
        <v>1</v>
      </c>
      <c r="V82" s="316">
        <f>$L$27</f>
        <v>91468.93</v>
      </c>
      <c r="W82" s="315">
        <v>1</v>
      </c>
      <c r="X82" s="316">
        <f>$L$27</f>
        <v>91468.93</v>
      </c>
      <c r="Y82" s="315">
        <v>1</v>
      </c>
      <c r="Z82" s="316">
        <f>$L$27*1.5</f>
        <v>137203.39499999999</v>
      </c>
      <c r="AA82" s="285">
        <f t="shared" si="20"/>
        <v>1189096.0899999996</v>
      </c>
      <c r="AB82" s="1"/>
      <c r="AC82" s="1"/>
      <c r="AD82" s="1"/>
      <c r="AE82" s="1"/>
      <c r="AF82" s="1"/>
    </row>
    <row r="83" spans="1:32" x14ac:dyDescent="0.25">
      <c r="A83" s="1"/>
      <c r="B83" s="314" t="s">
        <v>89</v>
      </c>
      <c r="C83" s="315">
        <v>1</v>
      </c>
      <c r="D83" s="316">
        <f>$L$30</f>
        <v>67082.929999999993</v>
      </c>
      <c r="E83" s="315">
        <v>1</v>
      </c>
      <c r="F83" s="316">
        <f>$L$30</f>
        <v>67082.929999999993</v>
      </c>
      <c r="G83" s="315">
        <v>1</v>
      </c>
      <c r="H83" s="316">
        <f>$L$30</f>
        <v>67082.929999999993</v>
      </c>
      <c r="I83" s="315">
        <v>1</v>
      </c>
      <c r="J83" s="316">
        <f>$L$30</f>
        <v>67082.929999999993</v>
      </c>
      <c r="K83" s="315">
        <v>1</v>
      </c>
      <c r="L83" s="316">
        <f>$L$30</f>
        <v>67082.929999999993</v>
      </c>
      <c r="M83" s="315">
        <v>1</v>
      </c>
      <c r="N83" s="316">
        <f>$L$30*1.5</f>
        <v>100624.39499999999</v>
      </c>
      <c r="O83" s="315">
        <v>1</v>
      </c>
      <c r="P83" s="316">
        <f>$L$30</f>
        <v>67082.929999999993</v>
      </c>
      <c r="Q83" s="315">
        <v>1</v>
      </c>
      <c r="R83" s="316">
        <f>$L$30</f>
        <v>67082.929999999993</v>
      </c>
      <c r="S83" s="315">
        <v>1</v>
      </c>
      <c r="T83" s="316">
        <f>$L$30</f>
        <v>67082.929999999993</v>
      </c>
      <c r="U83" s="315">
        <v>1</v>
      </c>
      <c r="V83" s="316">
        <f>$L$30</f>
        <v>67082.929999999993</v>
      </c>
      <c r="W83" s="315">
        <v>1</v>
      </c>
      <c r="X83" s="316">
        <f>$L$30</f>
        <v>67082.929999999993</v>
      </c>
      <c r="Y83" s="315">
        <v>1</v>
      </c>
      <c r="Z83" s="316">
        <f>$L$30*1.5</f>
        <v>100624.39499999999</v>
      </c>
      <c r="AA83" s="285">
        <f t="shared" si="20"/>
        <v>872078.08999999985</v>
      </c>
      <c r="AB83" s="1"/>
      <c r="AC83" s="1"/>
      <c r="AD83" s="1"/>
      <c r="AE83" s="1"/>
      <c r="AF83" s="1"/>
    </row>
    <row r="84" spans="1:32" x14ac:dyDescent="0.25">
      <c r="A84" s="1"/>
      <c r="B84" s="314" t="s">
        <v>87</v>
      </c>
      <c r="C84" s="315">
        <v>1</v>
      </c>
      <c r="D84" s="316">
        <f>$L$28</f>
        <v>54889.93</v>
      </c>
      <c r="E84" s="315">
        <v>1</v>
      </c>
      <c r="F84" s="316">
        <f>$L$28</f>
        <v>54889.93</v>
      </c>
      <c r="G84" s="315">
        <v>1</v>
      </c>
      <c r="H84" s="316">
        <f>$L$28</f>
        <v>54889.93</v>
      </c>
      <c r="I84" s="315">
        <v>1</v>
      </c>
      <c r="J84" s="316">
        <f>$L$28</f>
        <v>54889.93</v>
      </c>
      <c r="K84" s="315">
        <v>1</v>
      </c>
      <c r="L84" s="316">
        <f>$L$28</f>
        <v>54889.93</v>
      </c>
      <c r="M84" s="315">
        <v>1</v>
      </c>
      <c r="N84" s="316">
        <f>$L$28*1.5</f>
        <v>82334.895000000004</v>
      </c>
      <c r="O84" s="315">
        <v>1</v>
      </c>
      <c r="P84" s="316">
        <f>$L$28</f>
        <v>54889.93</v>
      </c>
      <c r="Q84" s="315">
        <v>1</v>
      </c>
      <c r="R84" s="316">
        <f>$L$28</f>
        <v>54889.93</v>
      </c>
      <c r="S84" s="315">
        <v>1</v>
      </c>
      <c r="T84" s="316">
        <f>$L$28</f>
        <v>54889.93</v>
      </c>
      <c r="U84" s="315">
        <v>1</v>
      </c>
      <c r="V84" s="316">
        <f>$L$28</f>
        <v>54889.93</v>
      </c>
      <c r="W84" s="315">
        <v>1</v>
      </c>
      <c r="X84" s="316">
        <f>$L$28</f>
        <v>54889.93</v>
      </c>
      <c r="Y84" s="315">
        <v>1</v>
      </c>
      <c r="Z84" s="316">
        <f>$L$28*1.5</f>
        <v>82334.895000000004</v>
      </c>
      <c r="AA84" s="285">
        <f t="shared" si="20"/>
        <v>713569.09000000008</v>
      </c>
      <c r="AB84" s="1"/>
      <c r="AC84" s="1"/>
      <c r="AD84" s="1"/>
      <c r="AE84" s="1"/>
      <c r="AF84" s="1"/>
    </row>
    <row r="85" spans="1:32" ht="16.5" thickBot="1" x14ac:dyDescent="0.3">
      <c r="A85" s="1"/>
      <c r="B85" s="282" t="s">
        <v>140</v>
      </c>
      <c r="C85" s="283">
        <f>SUM(C68:C84)</f>
        <v>17</v>
      </c>
      <c r="D85" s="284">
        <f>SUM(D68:D83)</f>
        <v>1591529.3799999992</v>
      </c>
      <c r="E85" s="283">
        <f>SUM(E68:E84)</f>
        <v>17</v>
      </c>
      <c r="F85" s="284">
        <f>SUM(F68:F83)</f>
        <v>1591529.3799999992</v>
      </c>
      <c r="G85" s="283">
        <f>SUM(G68:G84)</f>
        <v>17</v>
      </c>
      <c r="H85" s="284">
        <f>SUM(H68:H83)</f>
        <v>1591529.3799999992</v>
      </c>
      <c r="I85" s="283">
        <f>SUM(I68:I84)</f>
        <v>17</v>
      </c>
      <c r="J85" s="284">
        <f>SUM(J68:J83)</f>
        <v>1591529.3799999992</v>
      </c>
      <c r="K85" s="283">
        <f>SUM(K68:K84)</f>
        <v>17</v>
      </c>
      <c r="L85" s="284">
        <f>SUM(L68:L83)</f>
        <v>1591529.3799999992</v>
      </c>
      <c r="M85" s="283">
        <f>SUM(M68:M84)</f>
        <v>17</v>
      </c>
      <c r="N85" s="284">
        <f>SUM(N68:N83)</f>
        <v>2387294.0700000003</v>
      </c>
      <c r="O85" s="283">
        <f>SUM(O68:O84)</f>
        <v>17</v>
      </c>
      <c r="P85" s="284">
        <f>SUM(P68:P83)</f>
        <v>1591529.3799999992</v>
      </c>
      <c r="Q85" s="283">
        <f>SUM(Q68:Q84)</f>
        <v>17</v>
      </c>
      <c r="R85" s="284">
        <f>SUM(R68:R83)</f>
        <v>1591529.3799999992</v>
      </c>
      <c r="S85" s="283">
        <f>SUM(S68:S84)</f>
        <v>17</v>
      </c>
      <c r="T85" s="284">
        <f>SUM(T68:T83)</f>
        <v>1591529.3799999992</v>
      </c>
      <c r="U85" s="283">
        <f>SUM(U68:U84)</f>
        <v>17</v>
      </c>
      <c r="V85" s="284">
        <f>SUM(V68:V83)</f>
        <v>1591529.3799999992</v>
      </c>
      <c r="W85" s="283">
        <f>SUM(W68:W84)</f>
        <v>17</v>
      </c>
      <c r="X85" s="284">
        <f>SUM(X68:X83)</f>
        <v>1591529.3799999992</v>
      </c>
      <c r="Y85" s="283">
        <f>SUM(Y68:Y84)</f>
        <v>17</v>
      </c>
      <c r="Z85" s="284">
        <f>SUM(Z68:Z83)</f>
        <v>2387294.0700000003</v>
      </c>
      <c r="AA85" s="267">
        <f>Z85+X85+V85+T85+R85+P85+N85+L85+J85+H85+F85+D85</f>
        <v>20689881.93999999</v>
      </c>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3"/>
      <c r="V89" s="1"/>
      <c r="W89" s="13"/>
      <c r="X89" s="13"/>
      <c r="Y89" s="13"/>
      <c r="Z89" s="13"/>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sheetData>
  <mergeCells count="58">
    <mergeCell ref="Q66:R66"/>
    <mergeCell ref="S66:T66"/>
    <mergeCell ref="U66:V66"/>
    <mergeCell ref="W66:X66"/>
    <mergeCell ref="Y66:Z66"/>
    <mergeCell ref="AA66:AA67"/>
    <mergeCell ref="AA53:AA54"/>
    <mergeCell ref="B65:AA65"/>
    <mergeCell ref="B66:B67"/>
    <mergeCell ref="C66:D66"/>
    <mergeCell ref="E66:F66"/>
    <mergeCell ref="G66:H66"/>
    <mergeCell ref="I66:J66"/>
    <mergeCell ref="K66:L66"/>
    <mergeCell ref="M66:N66"/>
    <mergeCell ref="O66:P66"/>
    <mergeCell ref="O53:P53"/>
    <mergeCell ref="Q53:R53"/>
    <mergeCell ref="S53:T53"/>
    <mergeCell ref="U53:V53"/>
    <mergeCell ref="W53:X53"/>
    <mergeCell ref="Y53:Z53"/>
    <mergeCell ref="Y41:Z41"/>
    <mergeCell ref="AA41:AA42"/>
    <mergeCell ref="B52:AA52"/>
    <mergeCell ref="B53:B54"/>
    <mergeCell ref="C53:D53"/>
    <mergeCell ref="E53:F53"/>
    <mergeCell ref="G53:H53"/>
    <mergeCell ref="I53:J53"/>
    <mergeCell ref="K53:L53"/>
    <mergeCell ref="M53:N53"/>
    <mergeCell ref="M41:N41"/>
    <mergeCell ref="O41:P41"/>
    <mergeCell ref="Q41:R41"/>
    <mergeCell ref="S41:T41"/>
    <mergeCell ref="U41:V41"/>
    <mergeCell ref="W41:X41"/>
    <mergeCell ref="B41:B42"/>
    <mergeCell ref="C41:D41"/>
    <mergeCell ref="E41:F41"/>
    <mergeCell ref="G41:H41"/>
    <mergeCell ref="I41:J41"/>
    <mergeCell ref="K41:L41"/>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
  <sheetViews>
    <sheetView workbookViewId="0">
      <selection activeCell="B8" sqref="B8:D8"/>
    </sheetView>
  </sheetViews>
  <sheetFormatPr baseColWidth="10" defaultRowHeight="15" x14ac:dyDescent="0.25"/>
  <cols>
    <col min="1" max="1" width="17" customWidth="1"/>
    <col min="2" max="2" width="19.85546875" customWidth="1"/>
    <col min="3" max="3" width="20.7109375" customWidth="1"/>
    <col min="4" max="4" width="18" customWidth="1"/>
  </cols>
  <sheetData>
    <row r="1" spans="1:28" ht="61.5" x14ac:dyDescent="0.25">
      <c r="A1" s="189"/>
      <c r="B1" s="189"/>
      <c r="C1" s="189"/>
      <c r="D1" s="189"/>
      <c r="E1" s="189"/>
      <c r="F1" s="190" t="s">
        <v>154</v>
      </c>
      <c r="G1" s="191"/>
      <c r="H1" s="191"/>
      <c r="I1" s="189"/>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586" t="s">
        <v>13</v>
      </c>
      <c r="C3" s="587"/>
      <c r="D3" s="588"/>
      <c r="E3" s="1"/>
      <c r="F3" s="1"/>
      <c r="G3" s="1"/>
      <c r="H3" s="1"/>
      <c r="I3" s="1"/>
      <c r="J3" s="1"/>
      <c r="K3" s="1"/>
      <c r="L3" s="1"/>
      <c r="M3" s="1"/>
      <c r="N3" s="1"/>
      <c r="O3" s="1"/>
      <c r="P3" s="1"/>
      <c r="Q3" s="1"/>
      <c r="R3" s="1"/>
      <c r="S3" s="1"/>
      <c r="T3" s="1"/>
      <c r="U3" s="1"/>
      <c r="V3" s="1"/>
      <c r="W3" s="1"/>
      <c r="X3" s="1"/>
      <c r="Y3" s="1"/>
      <c r="Z3" s="1"/>
      <c r="AA3" s="1"/>
      <c r="AB3" s="1"/>
    </row>
    <row r="4" spans="1:28" x14ac:dyDescent="0.25">
      <c r="A4" s="1"/>
      <c r="B4" s="73">
        <v>2020</v>
      </c>
      <c r="C4" s="73">
        <v>2021</v>
      </c>
      <c r="D4" s="73">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226">
        <f>Hipótesis!C24</f>
        <v>5.0000000000000001E-3</v>
      </c>
      <c r="C5" s="15">
        <f>Hipótesis!C25</f>
        <v>0.01</v>
      </c>
      <c r="D5" s="15">
        <f>Hipótesis!C26</f>
        <v>0.02</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11347620</v>
      </c>
      <c r="C6" s="12">
        <f>Hipótesis!D25</f>
        <v>22695240</v>
      </c>
      <c r="D6" s="12">
        <f>Hipótesis!D26</f>
        <v>45390480</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586" t="s">
        <v>155</v>
      </c>
      <c r="C8" s="587"/>
      <c r="D8" s="588"/>
      <c r="E8" s="1"/>
      <c r="F8" s="1"/>
      <c r="G8" s="1"/>
      <c r="H8" s="1"/>
      <c r="I8" s="1"/>
      <c r="J8" s="1"/>
      <c r="K8" s="1"/>
      <c r="L8" s="1"/>
      <c r="M8" s="1"/>
      <c r="N8" s="1"/>
      <c r="O8" s="1"/>
      <c r="P8" s="1"/>
      <c r="Q8" s="1"/>
      <c r="R8" s="1"/>
      <c r="S8" s="1"/>
      <c r="T8" s="1"/>
      <c r="U8" s="1"/>
      <c r="V8" s="1"/>
      <c r="W8" s="1"/>
      <c r="X8" s="1"/>
      <c r="Y8" s="1"/>
      <c r="Z8" s="1"/>
      <c r="AA8" s="1"/>
      <c r="AB8" s="1"/>
    </row>
    <row r="9" spans="1:28" x14ac:dyDescent="0.25">
      <c r="A9" s="1"/>
      <c r="B9" s="73">
        <v>2020</v>
      </c>
      <c r="C9" s="73">
        <v>2021</v>
      </c>
      <c r="D9" s="73">
        <v>2022</v>
      </c>
      <c r="E9" s="1"/>
      <c r="F9" s="1"/>
      <c r="G9" s="1"/>
      <c r="H9" s="1"/>
      <c r="I9" s="1"/>
      <c r="J9" s="1"/>
      <c r="K9" s="1"/>
      <c r="L9" s="1"/>
      <c r="M9" s="1"/>
      <c r="N9" s="1"/>
      <c r="O9" s="1"/>
      <c r="P9" s="1"/>
      <c r="Q9" s="1"/>
      <c r="R9" s="1"/>
      <c r="S9" s="1"/>
      <c r="T9" s="1"/>
      <c r="U9" s="1"/>
      <c r="V9" s="1"/>
      <c r="W9" s="1"/>
      <c r="X9" s="1"/>
      <c r="Y9" s="1"/>
      <c r="Z9" s="1"/>
      <c r="AA9" s="1"/>
      <c r="AB9" s="1"/>
    </row>
    <row r="10" spans="1:28" x14ac:dyDescent="0.25">
      <c r="A10" s="324" t="s">
        <v>156</v>
      </c>
      <c r="B10" s="322">
        <f>'Costos fijos'!N33</f>
        <v>6685587.5999999987</v>
      </c>
      <c r="C10" s="322">
        <f>'Costos fijos'!N48</f>
        <v>6685587.5999999987</v>
      </c>
      <c r="D10" s="322">
        <f>'Costos fijos'!N63</f>
        <v>6685587.5999999987</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24" t="s">
        <v>157</v>
      </c>
      <c r="B11" s="322">
        <f>'Costos variables'!N23</f>
        <v>230628.36</v>
      </c>
      <c r="C11" s="322">
        <f>'Costos variables'!N32</f>
        <v>248350.20000000004</v>
      </c>
      <c r="D11" s="322">
        <f>'Costos variables'!N40</f>
        <v>270133.44</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24" t="s">
        <v>158</v>
      </c>
      <c r="B12" s="322">
        <f>'Costos RRHH'!AA48</f>
        <v>9749696.4500000011</v>
      </c>
      <c r="C12" s="322">
        <f>'Costos RRHH'!AA62</f>
        <v>10859538.039999999</v>
      </c>
      <c r="D12" s="325">
        <f>'Costos RRHH'!AA85</f>
        <v>20689881.93999999</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24" t="s">
        <v>155</v>
      </c>
      <c r="B13" s="323">
        <f t="shared" ref="B13:D13" si="0">SUM(B9:B12)</f>
        <v>16667932.41</v>
      </c>
      <c r="C13" s="323">
        <f t="shared" si="0"/>
        <v>17795496.839999996</v>
      </c>
      <c r="D13" s="323">
        <f t="shared" si="0"/>
        <v>27647624.979999989</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24" t="s">
        <v>159</v>
      </c>
      <c r="B14" s="322">
        <f>$B$6</f>
        <v>11347620</v>
      </c>
      <c r="C14" s="322">
        <f>$C$6</f>
        <v>22695240</v>
      </c>
      <c r="D14" s="322">
        <f>$D$6</f>
        <v>45390480</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Riesgos</vt:lpstr>
      <vt:lpstr>Escenario 1</vt:lpstr>
      <vt:lpstr>Escenario 2</vt:lpstr>
      <vt:lpstr>Escenario 3</vt:lpstr>
      <vt:lpstr>Plan de Contingencia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2019-08-27T12:23:32Z</dcterms:created>
  <dcterms:modified xsi:type="dcterms:W3CDTF">2020-10-26T18:44:42Z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