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Nico\Documents\GitHub\CareMonitor-NicolasRubino\SAP\"/>
    </mc:Choice>
  </mc:AlternateContent>
  <bookViews>
    <workbookView xWindow="-120" yWindow="-120" windowWidth="29040" windowHeight="15840" tabRatio="986" activeTab="4"/>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 name="Costos RRHH" sheetId="25" r:id="rId8"/>
    <sheet name="Mod. egresos" sheetId="24" r:id="rId9"/>
    <sheet name="Mod. inversión" sheetId="23" r:id="rId10"/>
    <sheet name="Amortizaciones" sheetId="19" r:id="rId11"/>
    <sheet name="Presupuesto financiero" sheetId="21" r:id="rId12"/>
    <sheet name="Matriz riesgo" sheetId="18" r:id="rId13"/>
    <sheet name="Escenario 1" sheetId="29" r:id="rId14"/>
    <sheet name="Escenario 2" sheetId="37" r:id="rId15"/>
    <sheet name="Escenario 3" sheetId="38" r:id="rId16"/>
    <sheet name="Plan de contingencia" sheetId="30" r:id="rId17"/>
    <sheet name="Hoja auxiliar" sheetId="33" r:id="rId18"/>
  </sheets>
  <calcPr calcId="162913"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6" i="20" l="1"/>
  <c r="D126" i="20"/>
  <c r="E126" i="20"/>
  <c r="F126" i="20"/>
  <c r="G126" i="20"/>
  <c r="H126" i="20"/>
  <c r="I126" i="20"/>
  <c r="J126" i="20"/>
  <c r="K126" i="20"/>
  <c r="L126" i="20"/>
  <c r="M126" i="20"/>
  <c r="N126" i="20"/>
  <c r="O126" i="20"/>
  <c r="P126" i="20"/>
  <c r="Q126" i="20"/>
  <c r="R126" i="20"/>
  <c r="S126" i="20"/>
  <c r="T126" i="20"/>
  <c r="U126" i="20"/>
  <c r="V126" i="20"/>
  <c r="W126" i="20"/>
  <c r="X126" i="20"/>
  <c r="B126" i="20"/>
  <c r="B128" i="20"/>
  <c r="B129" i="20" s="1"/>
  <c r="C105" i="20"/>
  <c r="D105" i="20"/>
  <c r="E105" i="20"/>
  <c r="F105" i="20"/>
  <c r="B107" i="20" s="1"/>
  <c r="B108" i="20" s="1"/>
  <c r="G105" i="20"/>
  <c r="H105" i="20"/>
  <c r="I105" i="20"/>
  <c r="J105" i="20"/>
  <c r="K105" i="20"/>
  <c r="L105" i="20"/>
  <c r="M105" i="20"/>
  <c r="N105" i="20"/>
  <c r="O105" i="20"/>
  <c r="P105" i="20"/>
  <c r="Q105" i="20"/>
  <c r="R105" i="20"/>
  <c r="S105" i="20"/>
  <c r="T105" i="20"/>
  <c r="U105" i="20"/>
  <c r="V105" i="20"/>
  <c r="W105" i="20"/>
  <c r="X105" i="20"/>
  <c r="B105" i="20"/>
  <c r="C117" i="20"/>
  <c r="C116" i="20"/>
  <c r="AL117" i="20"/>
  <c r="AL116" i="20"/>
  <c r="AI117" i="20"/>
  <c r="AI116" i="20"/>
  <c r="AF117" i="20"/>
  <c r="AF116" i="20"/>
  <c r="AC117" i="20"/>
  <c r="AC116" i="20"/>
  <c r="Z117" i="20"/>
  <c r="Z116" i="20"/>
  <c r="W117" i="20"/>
  <c r="W116" i="20"/>
  <c r="T117" i="20"/>
  <c r="T116" i="20"/>
  <c r="Q117" i="20"/>
  <c r="Q116" i="20"/>
  <c r="N117" i="20"/>
  <c r="N116" i="20"/>
  <c r="K117" i="20"/>
  <c r="K116" i="20"/>
  <c r="H117" i="20"/>
  <c r="H116" i="20"/>
  <c r="E117" i="20"/>
  <c r="E116" i="20"/>
  <c r="B117" i="20"/>
  <c r="B116" i="20"/>
  <c r="B115" i="20"/>
  <c r="D116" i="20" l="1"/>
  <c r="D117" i="20"/>
  <c r="AL70" i="20" l="1"/>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E69" i="20"/>
  <c r="E68" i="20"/>
  <c r="C68" i="20"/>
  <c r="C7" i="20"/>
  <c r="B70" i="20"/>
  <c r="B69" i="20"/>
  <c r="B68" i="20"/>
  <c r="D68" i="20" s="1"/>
  <c r="D17" i="26" s="1"/>
  <c r="AL115" i="20" l="1"/>
  <c r="AC115" i="20"/>
  <c r="Q115" i="20"/>
  <c r="E115" i="20"/>
  <c r="C115" i="20"/>
  <c r="AI115" i="20"/>
  <c r="W115" i="20"/>
  <c r="K115" i="20"/>
  <c r="AF115" i="20"/>
  <c r="T115" i="20"/>
  <c r="H115" i="20"/>
  <c r="Z115" i="20"/>
  <c r="N115" i="20"/>
  <c r="C71" i="20"/>
  <c r="D69" i="20"/>
  <c r="D18" i="26" s="1"/>
  <c r="D70" i="20"/>
  <c r="D19" i="26" s="1"/>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E21" i="20"/>
  <c r="F21" i="20" s="1"/>
  <c r="E20" i="20"/>
  <c r="F20" i="20" s="1"/>
  <c r="E19" i="20"/>
  <c r="F19" i="20" s="1"/>
  <c r="H19" i="20"/>
  <c r="B20" i="20"/>
  <c r="B19" i="20"/>
  <c r="C118" i="20" l="1"/>
  <c r="D115" i="20"/>
  <c r="D118" i="20" s="1"/>
  <c r="I19" i="20"/>
  <c r="L19" i="20" s="1"/>
  <c r="O19" i="20" s="1"/>
  <c r="R19" i="20" s="1"/>
  <c r="U19" i="20" s="1"/>
  <c r="X19" i="20" s="1"/>
  <c r="AA19" i="20" s="1"/>
  <c r="AD19" i="20" s="1"/>
  <c r="AG19" i="20" s="1"/>
  <c r="AJ19" i="20" s="1"/>
  <c r="AM19" i="20" s="1"/>
  <c r="F68" i="20" s="1"/>
  <c r="G68" i="20" s="1"/>
  <c r="I20" i="20"/>
  <c r="L20" i="20" s="1"/>
  <c r="O20" i="20" s="1"/>
  <c r="R20" i="20" s="1"/>
  <c r="U20" i="20" s="1"/>
  <c r="X20" i="20" s="1"/>
  <c r="AA20" i="20" s="1"/>
  <c r="AD20" i="20" s="1"/>
  <c r="AG20" i="20" s="1"/>
  <c r="AJ20" i="20" s="1"/>
  <c r="AM20" i="20" s="1"/>
  <c r="F69" i="20" s="1"/>
  <c r="G69" i="20" s="1"/>
  <c r="D71" i="20"/>
  <c r="I21" i="20"/>
  <c r="L21" i="20" s="1"/>
  <c r="O21" i="20" s="1"/>
  <c r="R21" i="20" s="1"/>
  <c r="U21" i="20" s="1"/>
  <c r="X21" i="20" s="1"/>
  <c r="AA21" i="20" s="1"/>
  <c r="AD21" i="20" s="1"/>
  <c r="AG21" i="20" s="1"/>
  <c r="AJ21" i="20" s="1"/>
  <c r="AM21" i="20" s="1"/>
  <c r="F70" i="20" s="1"/>
  <c r="I69" i="20" l="1"/>
  <c r="J69" i="20" s="1"/>
  <c r="I70" i="20"/>
  <c r="G70" i="20"/>
  <c r="G71" i="20" s="1"/>
  <c r="L69" i="20"/>
  <c r="I68" i="20"/>
  <c r="J68" i="20" s="1"/>
  <c r="M69" i="20"/>
  <c r="O69" i="20"/>
  <c r="L70" i="20" l="1"/>
  <c r="J70" i="20"/>
  <c r="J71" i="20" s="1"/>
  <c r="L68" i="20"/>
  <c r="O68" i="20" s="1"/>
  <c r="P69" i="20"/>
  <c r="R69" i="20"/>
  <c r="B58" i="20"/>
  <c r="B59" i="20" s="1"/>
  <c r="M70" i="20" l="1"/>
  <c r="O70" i="20"/>
  <c r="M68" i="20"/>
  <c r="M71" i="20" s="1"/>
  <c r="R68" i="20"/>
  <c r="P68" i="20"/>
  <c r="U69" i="20"/>
  <c r="S69" i="20"/>
  <c r="C22" i="20"/>
  <c r="R70" i="20" l="1"/>
  <c r="P70" i="20"/>
  <c r="P71" i="20"/>
  <c r="U68" i="20"/>
  <c r="S68" i="20"/>
  <c r="V69" i="20"/>
  <c r="X69" i="20"/>
  <c r="N31" i="30"/>
  <c r="N30" i="30"/>
  <c r="U70" i="20" l="1"/>
  <c r="S70" i="20"/>
  <c r="S71" i="20" s="1"/>
  <c r="V68" i="20"/>
  <c r="X68" i="20"/>
  <c r="Y69" i="20"/>
  <c r="AA69" i="20"/>
  <c r="E60" i="22"/>
  <c r="F60" i="22"/>
  <c r="G60" i="22"/>
  <c r="H60" i="22"/>
  <c r="I60" i="22"/>
  <c r="J60" i="22"/>
  <c r="K60" i="22"/>
  <c r="L60" i="22"/>
  <c r="M60" i="22"/>
  <c r="N60" i="22"/>
  <c r="O60" i="22"/>
  <c r="D60" i="22"/>
  <c r="E41" i="22"/>
  <c r="F41" i="22"/>
  <c r="G41" i="22"/>
  <c r="H41" i="22"/>
  <c r="I41" i="22"/>
  <c r="J41" i="22"/>
  <c r="K41" i="22"/>
  <c r="L41" i="22"/>
  <c r="M41" i="22"/>
  <c r="N41" i="22"/>
  <c r="O41" i="22"/>
  <c r="D41" i="22"/>
  <c r="E23" i="22"/>
  <c r="F23" i="22"/>
  <c r="G23" i="22"/>
  <c r="H23" i="22"/>
  <c r="I23" i="22"/>
  <c r="J23" i="22"/>
  <c r="K23" i="22"/>
  <c r="L23" i="22"/>
  <c r="M23" i="22"/>
  <c r="N23" i="22"/>
  <c r="O23" i="22"/>
  <c r="D23" i="22"/>
  <c r="X70" i="20" l="1"/>
  <c r="V70" i="20"/>
  <c r="V71" i="20" s="1"/>
  <c r="Y68" i="20"/>
  <c r="AA68" i="20"/>
  <c r="AD69" i="20"/>
  <c r="AB69" i="20"/>
  <c r="M5" i="21"/>
  <c r="L5" i="21"/>
  <c r="K5" i="21"/>
  <c r="J38" i="19"/>
  <c r="J34" i="19"/>
  <c r="I37" i="19"/>
  <c r="M37" i="19" s="1"/>
  <c r="I33" i="19"/>
  <c r="M33" i="19" s="1"/>
  <c r="H32" i="19"/>
  <c r="M32" i="19" s="1"/>
  <c r="H36" i="19"/>
  <c r="M36" i="19" s="1"/>
  <c r="I30" i="19"/>
  <c r="M30" i="19" s="1"/>
  <c r="J27" i="19"/>
  <c r="J25" i="19"/>
  <c r="I24" i="19"/>
  <c r="M24" i="19" s="1"/>
  <c r="H23" i="19"/>
  <c r="M23" i="19" s="1"/>
  <c r="G35" i="19"/>
  <c r="L35" i="19" s="1"/>
  <c r="G12" i="19"/>
  <c r="M12" i="19" s="1"/>
  <c r="G14" i="19"/>
  <c r="L14" i="19" s="1"/>
  <c r="G16" i="19"/>
  <c r="M16" i="19" s="1"/>
  <c r="G18" i="19"/>
  <c r="L18" i="19" s="1"/>
  <c r="G20" i="19"/>
  <c r="K20" i="19" s="1"/>
  <c r="G22" i="19"/>
  <c r="L22" i="19" s="1"/>
  <c r="G26" i="19"/>
  <c r="M26" i="19" s="1"/>
  <c r="G28" i="19"/>
  <c r="L28" i="19" s="1"/>
  <c r="G29" i="19"/>
  <c r="L29" i="19" s="1"/>
  <c r="G31" i="19"/>
  <c r="K31" i="19" s="1"/>
  <c r="E19" i="19"/>
  <c r="I19" i="19" s="1"/>
  <c r="M19" i="19" s="1"/>
  <c r="E21" i="19"/>
  <c r="J21" i="19" s="1"/>
  <c r="E17" i="19"/>
  <c r="I17" i="19" s="1"/>
  <c r="M17" i="19" s="1"/>
  <c r="E15" i="19"/>
  <c r="I15" i="19" s="1"/>
  <c r="M15" i="19" s="1"/>
  <c r="E13" i="19"/>
  <c r="I13" i="19" s="1"/>
  <c r="M13" i="19" s="1"/>
  <c r="G11" i="19"/>
  <c r="L11" i="19" s="1"/>
  <c r="D5" i="19"/>
  <c r="C5" i="19"/>
  <c r="B5" i="19"/>
  <c r="E80" i="23"/>
  <c r="E79" i="23"/>
  <c r="E78" i="23"/>
  <c r="E77" i="23"/>
  <c r="E76" i="23"/>
  <c r="E75" i="23"/>
  <c r="E74" i="23"/>
  <c r="E73" i="23"/>
  <c r="E72" i="23"/>
  <c r="E71" i="23"/>
  <c r="E70" i="23"/>
  <c r="E69" i="23"/>
  <c r="E68" i="23"/>
  <c r="E62" i="23"/>
  <c r="E61" i="23"/>
  <c r="E60" i="23"/>
  <c r="E59" i="23"/>
  <c r="E58" i="23"/>
  <c r="E57" i="23"/>
  <c r="E56" i="23"/>
  <c r="E55" i="23"/>
  <c r="E54" i="23"/>
  <c r="E53" i="23"/>
  <c r="E52" i="23"/>
  <c r="E51" i="23"/>
  <c r="E50" i="23"/>
  <c r="E44" i="23"/>
  <c r="E43" i="23"/>
  <c r="E42" i="23"/>
  <c r="E41" i="23"/>
  <c r="E40" i="23"/>
  <c r="E39" i="23"/>
  <c r="E38" i="23"/>
  <c r="E37" i="23"/>
  <c r="E36" i="23"/>
  <c r="E35" i="23"/>
  <c r="E34" i="23"/>
  <c r="E33" i="23"/>
  <c r="E32" i="23"/>
  <c r="E16" i="23"/>
  <c r="E17" i="23"/>
  <c r="E18" i="23"/>
  <c r="E19" i="23"/>
  <c r="E20" i="23"/>
  <c r="E21" i="23"/>
  <c r="E22" i="23"/>
  <c r="E23" i="23"/>
  <c r="E24" i="23"/>
  <c r="E25" i="23"/>
  <c r="E26" i="23"/>
  <c r="E27" i="23"/>
  <c r="Y70" i="20" l="1"/>
  <c r="AA70" i="20"/>
  <c r="Y71" i="20"/>
  <c r="AD68" i="20"/>
  <c r="AB68" i="20"/>
  <c r="AG69" i="20"/>
  <c r="AE69" i="20"/>
  <c r="K12" i="19"/>
  <c r="L12" i="19"/>
  <c r="L16" i="19"/>
  <c r="L23" i="19"/>
  <c r="K16" i="19"/>
  <c r="K18" i="19"/>
  <c r="M31" i="19"/>
  <c r="K11" i="19"/>
  <c r="L32" i="19"/>
  <c r="M11" i="19"/>
  <c r="K35" i="19"/>
  <c r="L31" i="19"/>
  <c r="K26" i="19"/>
  <c r="L26" i="19"/>
  <c r="K28" i="19"/>
  <c r="M35" i="19"/>
  <c r="M18" i="19"/>
  <c r="M28" i="19"/>
  <c r="L36" i="19"/>
  <c r="K14" i="19"/>
  <c r="K29" i="19"/>
  <c r="M14" i="19"/>
  <c r="K22" i="19"/>
  <c r="M29" i="19"/>
  <c r="M22" i="19"/>
  <c r="G8" i="29"/>
  <c r="G8" i="38"/>
  <c r="J7" i="30" s="1"/>
  <c r="G9" i="37"/>
  <c r="H8" i="38"/>
  <c r="K7" i="30" s="1"/>
  <c r="H9" i="37"/>
  <c r="H8" i="29"/>
  <c r="F8" i="29"/>
  <c r="F9" i="37"/>
  <c r="F8" i="38"/>
  <c r="I7" i="30" s="1"/>
  <c r="M20" i="19"/>
  <c r="L20" i="19"/>
  <c r="E81" i="23"/>
  <c r="J5" i="23" s="1"/>
  <c r="M20" i="21" s="1"/>
  <c r="E63" i="23"/>
  <c r="I5" i="23" s="1"/>
  <c r="L20" i="21" s="1"/>
  <c r="E45" i="23"/>
  <c r="H5" i="23" s="1"/>
  <c r="K20" i="21" s="1"/>
  <c r="AD70" i="20" l="1"/>
  <c r="AB70" i="20"/>
  <c r="AB71" i="20"/>
  <c r="AG68" i="20"/>
  <c r="AE68" i="20"/>
  <c r="AH69" i="20"/>
  <c r="AJ69" i="20"/>
  <c r="K39" i="19"/>
  <c r="I5" i="19" s="1"/>
  <c r="K16" i="21" s="1"/>
  <c r="F17" i="37" s="1"/>
  <c r="F16" i="38"/>
  <c r="I15" i="30" s="1"/>
  <c r="L39" i="19"/>
  <c r="J5" i="19" s="1"/>
  <c r="L16" i="21" s="1"/>
  <c r="M39" i="19"/>
  <c r="K5" i="19" s="1"/>
  <c r="M16" i="21" s="1"/>
  <c r="H17" i="37" s="1"/>
  <c r="H20" i="29"/>
  <c r="H32" i="29" s="1"/>
  <c r="H21" i="37"/>
  <c r="H33" i="37" s="1"/>
  <c r="H20" i="38"/>
  <c r="F21" i="37"/>
  <c r="F33" i="37" s="1"/>
  <c r="F20" i="29"/>
  <c r="F32" i="29" s="1"/>
  <c r="F20" i="38"/>
  <c r="G20" i="38"/>
  <c r="G20" i="29"/>
  <c r="G32" i="29" s="1"/>
  <c r="G21" i="37"/>
  <c r="G33" i="37" s="1"/>
  <c r="F21" i="21"/>
  <c r="E21" i="21"/>
  <c r="G21" i="21"/>
  <c r="E15" i="23"/>
  <c r="D5" i="23"/>
  <c r="C5" i="23"/>
  <c r="B5" i="23"/>
  <c r="D5" i="24"/>
  <c r="C5" i="24"/>
  <c r="B5" i="24"/>
  <c r="AE71" i="20" l="1"/>
  <c r="AE70" i="20"/>
  <c r="AG70" i="20"/>
  <c r="AH68" i="20"/>
  <c r="AJ68" i="20"/>
  <c r="AK69" i="20"/>
  <c r="AM69" i="20"/>
  <c r="F16" i="29"/>
  <c r="H16" i="38"/>
  <c r="K15" i="30" s="1"/>
  <c r="G16" i="29"/>
  <c r="G16" i="38"/>
  <c r="J15" i="30" s="1"/>
  <c r="G17" i="37"/>
  <c r="H16" i="29"/>
  <c r="F32" i="38"/>
  <c r="I19" i="30"/>
  <c r="I31" i="30" s="1"/>
  <c r="H32" i="38"/>
  <c r="K19" i="30"/>
  <c r="K31" i="30" s="1"/>
  <c r="G32" i="38"/>
  <c r="J19" i="30"/>
  <c r="J31" i="30" s="1"/>
  <c r="AJ70" i="20" l="1"/>
  <c r="AH70" i="20"/>
  <c r="AH71" i="20" s="1"/>
  <c r="AN69" i="20"/>
  <c r="F116" i="20"/>
  <c r="AK68" i="20"/>
  <c r="AM68" i="20"/>
  <c r="E51" i="25"/>
  <c r="G51" i="25"/>
  <c r="I51" i="25"/>
  <c r="K51" i="25"/>
  <c r="M51" i="25"/>
  <c r="O51" i="25"/>
  <c r="Q51" i="25"/>
  <c r="S51" i="25"/>
  <c r="U51" i="25"/>
  <c r="W51" i="25"/>
  <c r="Y51" i="25"/>
  <c r="E69" i="25"/>
  <c r="G69" i="25"/>
  <c r="I69" i="25"/>
  <c r="K69" i="25"/>
  <c r="M69" i="25"/>
  <c r="O69" i="25"/>
  <c r="Q69" i="25"/>
  <c r="S69" i="25"/>
  <c r="U69" i="25"/>
  <c r="W69" i="25"/>
  <c r="Y69" i="25"/>
  <c r="C69" i="25"/>
  <c r="E87" i="25"/>
  <c r="G87" i="25"/>
  <c r="I87" i="25"/>
  <c r="K87" i="25"/>
  <c r="M87" i="25"/>
  <c r="O87" i="25"/>
  <c r="Q87" i="25"/>
  <c r="S87" i="25"/>
  <c r="U87" i="25"/>
  <c r="W87" i="25"/>
  <c r="Y87" i="25"/>
  <c r="C87" i="25"/>
  <c r="D68" i="25"/>
  <c r="AN68" i="20" l="1"/>
  <c r="F115" i="20"/>
  <c r="AK70" i="20"/>
  <c r="AK71" i="20" s="1"/>
  <c r="AM70" i="20"/>
  <c r="I116" i="20"/>
  <c r="G116" i="20"/>
  <c r="F25" i="25"/>
  <c r="G25" i="25"/>
  <c r="H25" i="25"/>
  <c r="J25" i="25"/>
  <c r="E25" i="25"/>
  <c r="F24" i="25"/>
  <c r="G24" i="25"/>
  <c r="H24" i="25"/>
  <c r="J24" i="25"/>
  <c r="E24" i="25"/>
  <c r="C51" i="25"/>
  <c r="F34" i="25"/>
  <c r="G34" i="25"/>
  <c r="H34" i="25"/>
  <c r="J34" i="25"/>
  <c r="F33" i="25"/>
  <c r="G33" i="25"/>
  <c r="H33" i="25"/>
  <c r="J33" i="25"/>
  <c r="F32" i="25"/>
  <c r="G32" i="25"/>
  <c r="H32" i="25"/>
  <c r="J32" i="25"/>
  <c r="F31" i="25"/>
  <c r="G31" i="25"/>
  <c r="H31" i="25"/>
  <c r="J31" i="25"/>
  <c r="F30" i="25"/>
  <c r="G30" i="25"/>
  <c r="H30" i="25"/>
  <c r="J30" i="25"/>
  <c r="F29" i="25"/>
  <c r="G29" i="25"/>
  <c r="H29" i="25"/>
  <c r="J29" i="25"/>
  <c r="F28" i="25"/>
  <c r="G28" i="25"/>
  <c r="H28" i="25"/>
  <c r="J28" i="25"/>
  <c r="F27" i="25"/>
  <c r="G27" i="25"/>
  <c r="H27" i="25"/>
  <c r="J27" i="25"/>
  <c r="F26" i="25"/>
  <c r="G26" i="25"/>
  <c r="H26" i="25"/>
  <c r="J26" i="25"/>
  <c r="F23" i="25"/>
  <c r="G23" i="25"/>
  <c r="H23" i="25"/>
  <c r="J23" i="25"/>
  <c r="F22" i="25"/>
  <c r="G22" i="25"/>
  <c r="H22" i="25"/>
  <c r="J22" i="25"/>
  <c r="F21" i="25"/>
  <c r="G21" i="25"/>
  <c r="H21" i="25"/>
  <c r="J21" i="25"/>
  <c r="F20" i="25"/>
  <c r="F68" i="25" s="1"/>
  <c r="G20" i="25"/>
  <c r="H20" i="25"/>
  <c r="H68" i="25" s="1"/>
  <c r="J20" i="25"/>
  <c r="J68" i="25" s="1"/>
  <c r="F19" i="25"/>
  <c r="G19" i="25"/>
  <c r="H19" i="25"/>
  <c r="J19" i="25"/>
  <c r="F18" i="25"/>
  <c r="G18" i="25"/>
  <c r="H18" i="25"/>
  <c r="J18" i="25"/>
  <c r="J17" i="25"/>
  <c r="F17" i="25"/>
  <c r="G17" i="25"/>
  <c r="H17" i="25"/>
  <c r="E34" i="25"/>
  <c r="E33" i="25"/>
  <c r="E32" i="25"/>
  <c r="E31" i="25"/>
  <c r="E30" i="25"/>
  <c r="E29" i="25"/>
  <c r="E28" i="25"/>
  <c r="E27" i="25"/>
  <c r="E26" i="25"/>
  <c r="E23" i="25"/>
  <c r="F16" i="25"/>
  <c r="G16" i="25"/>
  <c r="H16" i="25"/>
  <c r="J16" i="25"/>
  <c r="E22" i="25"/>
  <c r="E21" i="25"/>
  <c r="E20" i="25"/>
  <c r="E19" i="25"/>
  <c r="E18" i="25"/>
  <c r="E17" i="25"/>
  <c r="E16" i="25"/>
  <c r="F15" i="25"/>
  <c r="G15" i="25"/>
  <c r="H15" i="25"/>
  <c r="J15" i="25"/>
  <c r="E15" i="25"/>
  <c r="F14" i="25"/>
  <c r="G14" i="25"/>
  <c r="H14" i="25"/>
  <c r="J14" i="25"/>
  <c r="E14" i="25"/>
  <c r="D6" i="25"/>
  <c r="C6" i="25"/>
  <c r="B6" i="25"/>
  <c r="G113" i="27"/>
  <c r="Z78" i="27"/>
  <c r="Z79" i="27"/>
  <c r="Z80" i="27"/>
  <c r="AA80" i="27" s="1"/>
  <c r="Z81" i="27"/>
  <c r="AA81" i="27" s="1"/>
  <c r="Z82" i="27"/>
  <c r="AA82" i="27" s="1"/>
  <c r="Z83" i="27"/>
  <c r="AA83" i="27" s="1"/>
  <c r="Z84" i="27"/>
  <c r="AA84" i="27" s="1"/>
  <c r="Z85" i="27"/>
  <c r="AA85" i="27" s="1"/>
  <c r="Z86" i="27"/>
  <c r="AA86" i="27" s="1"/>
  <c r="Z87" i="27"/>
  <c r="AA87" i="27" s="1"/>
  <c r="Z88" i="27"/>
  <c r="AA88" i="27" s="1"/>
  <c r="Z77" i="27"/>
  <c r="X78" i="27"/>
  <c r="X79" i="27"/>
  <c r="X80" i="27"/>
  <c r="Y80" i="27" s="1"/>
  <c r="X81" i="27"/>
  <c r="Y81" i="27" s="1"/>
  <c r="X82" i="27"/>
  <c r="Y82" i="27" s="1"/>
  <c r="X83" i="27"/>
  <c r="Y83" i="27" s="1"/>
  <c r="X84" i="27"/>
  <c r="Y84" i="27" s="1"/>
  <c r="X85" i="27"/>
  <c r="Y85" i="27" s="1"/>
  <c r="X86" i="27"/>
  <c r="Y86" i="27" s="1"/>
  <c r="X87" i="27"/>
  <c r="Y87" i="27" s="1"/>
  <c r="X88" i="27"/>
  <c r="Y88" i="27" s="1"/>
  <c r="X77" i="27"/>
  <c r="V78" i="27"/>
  <c r="V79" i="27"/>
  <c r="V80" i="27"/>
  <c r="W80" i="27" s="1"/>
  <c r="V81" i="27"/>
  <c r="W81" i="27" s="1"/>
  <c r="V82" i="27"/>
  <c r="W82" i="27" s="1"/>
  <c r="V83" i="27"/>
  <c r="W83" i="27" s="1"/>
  <c r="V84" i="27"/>
  <c r="W84" i="27" s="1"/>
  <c r="V85" i="27"/>
  <c r="W85" i="27" s="1"/>
  <c r="V86" i="27"/>
  <c r="W86" i="27" s="1"/>
  <c r="V87" i="27"/>
  <c r="W87" i="27" s="1"/>
  <c r="V88" i="27"/>
  <c r="W88" i="27" s="1"/>
  <c r="V77" i="27"/>
  <c r="T78" i="27"/>
  <c r="T79" i="27"/>
  <c r="T80" i="27"/>
  <c r="U80" i="27" s="1"/>
  <c r="T81" i="27"/>
  <c r="U81" i="27" s="1"/>
  <c r="T82" i="27"/>
  <c r="U82" i="27" s="1"/>
  <c r="T83" i="27"/>
  <c r="U83" i="27" s="1"/>
  <c r="T84" i="27"/>
  <c r="U84" i="27" s="1"/>
  <c r="T85" i="27"/>
  <c r="U85" i="27" s="1"/>
  <c r="T86" i="27"/>
  <c r="U86" i="27" s="1"/>
  <c r="T87" i="27"/>
  <c r="U87" i="27" s="1"/>
  <c r="T88" i="27"/>
  <c r="U88" i="27" s="1"/>
  <c r="T77" i="27"/>
  <c r="R78" i="27"/>
  <c r="R79" i="27"/>
  <c r="R80" i="27"/>
  <c r="S80" i="27" s="1"/>
  <c r="R81" i="27"/>
  <c r="S81" i="27" s="1"/>
  <c r="R82" i="27"/>
  <c r="S82" i="27" s="1"/>
  <c r="R83" i="27"/>
  <c r="S83" i="27" s="1"/>
  <c r="R84" i="27"/>
  <c r="S84" i="27" s="1"/>
  <c r="R85" i="27"/>
  <c r="S85" i="27" s="1"/>
  <c r="R86" i="27"/>
  <c r="S86" i="27" s="1"/>
  <c r="R87" i="27"/>
  <c r="S87" i="27" s="1"/>
  <c r="R88" i="27"/>
  <c r="S88" i="27" s="1"/>
  <c r="R77" i="27"/>
  <c r="P78" i="27"/>
  <c r="P79" i="27"/>
  <c r="P80" i="27"/>
  <c r="Q80" i="27" s="1"/>
  <c r="P81" i="27"/>
  <c r="Q81" i="27" s="1"/>
  <c r="P82" i="27"/>
  <c r="Q82" i="27" s="1"/>
  <c r="P83" i="27"/>
  <c r="Q83" i="27" s="1"/>
  <c r="P84" i="27"/>
  <c r="Q84" i="27" s="1"/>
  <c r="P85" i="27"/>
  <c r="Q85" i="27" s="1"/>
  <c r="P86" i="27"/>
  <c r="Q86" i="27" s="1"/>
  <c r="P87" i="27"/>
  <c r="Q87" i="27" s="1"/>
  <c r="P88" i="27"/>
  <c r="Q88" i="27" s="1"/>
  <c r="P77" i="27"/>
  <c r="N78" i="27"/>
  <c r="N79" i="27"/>
  <c r="N80" i="27"/>
  <c r="O80" i="27" s="1"/>
  <c r="N81" i="27"/>
  <c r="O81" i="27" s="1"/>
  <c r="N82" i="27"/>
  <c r="O82" i="27" s="1"/>
  <c r="N83" i="27"/>
  <c r="O83" i="27" s="1"/>
  <c r="N84" i="27"/>
  <c r="O84" i="27" s="1"/>
  <c r="N85" i="27"/>
  <c r="O85" i="27" s="1"/>
  <c r="N86" i="27"/>
  <c r="O86" i="27" s="1"/>
  <c r="N87" i="27"/>
  <c r="O87" i="27" s="1"/>
  <c r="N88" i="27"/>
  <c r="O88" i="27" s="1"/>
  <c r="N77" i="27"/>
  <c r="L78" i="27"/>
  <c r="L79" i="27"/>
  <c r="L80" i="27"/>
  <c r="M80" i="27" s="1"/>
  <c r="L81" i="27"/>
  <c r="M81" i="27" s="1"/>
  <c r="L82" i="27"/>
  <c r="M82" i="27" s="1"/>
  <c r="L83" i="27"/>
  <c r="M83" i="27" s="1"/>
  <c r="L84" i="27"/>
  <c r="M84" i="27" s="1"/>
  <c r="L85" i="27"/>
  <c r="M85" i="27" s="1"/>
  <c r="L86" i="27"/>
  <c r="M86" i="27" s="1"/>
  <c r="L87" i="27"/>
  <c r="M87" i="27" s="1"/>
  <c r="L88" i="27"/>
  <c r="M88" i="27" s="1"/>
  <c r="L77" i="27"/>
  <c r="J78" i="27"/>
  <c r="J79" i="27"/>
  <c r="J80" i="27"/>
  <c r="K80" i="27" s="1"/>
  <c r="J81" i="27"/>
  <c r="K81" i="27" s="1"/>
  <c r="J82" i="27"/>
  <c r="K82" i="27" s="1"/>
  <c r="J83" i="27"/>
  <c r="K83" i="27" s="1"/>
  <c r="J84" i="27"/>
  <c r="K84" i="27" s="1"/>
  <c r="J85" i="27"/>
  <c r="K85" i="27" s="1"/>
  <c r="J86" i="27"/>
  <c r="K86" i="27" s="1"/>
  <c r="J87" i="27"/>
  <c r="K87" i="27" s="1"/>
  <c r="J88" i="27"/>
  <c r="K88" i="27" s="1"/>
  <c r="J77" i="27"/>
  <c r="H78" i="27"/>
  <c r="H79" i="27"/>
  <c r="H80" i="27"/>
  <c r="I80" i="27" s="1"/>
  <c r="H81" i="27"/>
  <c r="I81" i="27" s="1"/>
  <c r="H82" i="27"/>
  <c r="I82" i="27" s="1"/>
  <c r="H83" i="27"/>
  <c r="I83" i="27" s="1"/>
  <c r="H84" i="27"/>
  <c r="I84" i="27" s="1"/>
  <c r="H85" i="27"/>
  <c r="I85" i="27" s="1"/>
  <c r="H86" i="27"/>
  <c r="I86" i="27" s="1"/>
  <c r="H87" i="27"/>
  <c r="I87" i="27" s="1"/>
  <c r="H88" i="27"/>
  <c r="I88" i="27" s="1"/>
  <c r="H77" i="27"/>
  <c r="F88" i="27"/>
  <c r="G88" i="27" s="1"/>
  <c r="F78" i="27"/>
  <c r="F79" i="27"/>
  <c r="F80" i="27"/>
  <c r="G80" i="27" s="1"/>
  <c r="F81" i="27"/>
  <c r="G81" i="27" s="1"/>
  <c r="F82" i="27"/>
  <c r="G82" i="27" s="1"/>
  <c r="F83" i="27"/>
  <c r="G83" i="27" s="1"/>
  <c r="F84" i="27"/>
  <c r="G84" i="27" s="1"/>
  <c r="F85" i="27"/>
  <c r="G85" i="27" s="1"/>
  <c r="F86" i="27"/>
  <c r="G86" i="27" s="1"/>
  <c r="F87" i="27"/>
  <c r="G87" i="27" s="1"/>
  <c r="G89" i="27"/>
  <c r="F77" i="27"/>
  <c r="D78" i="27"/>
  <c r="D79" i="27"/>
  <c r="D80" i="27"/>
  <c r="E80" i="27" s="1"/>
  <c r="D81" i="27"/>
  <c r="E81" i="27" s="1"/>
  <c r="D82" i="27"/>
  <c r="E82" i="27" s="1"/>
  <c r="D83" i="27"/>
  <c r="E83" i="27" s="1"/>
  <c r="D84" i="27"/>
  <c r="E84" i="27" s="1"/>
  <c r="D85" i="27"/>
  <c r="E85" i="27" s="1"/>
  <c r="D86" i="27"/>
  <c r="E86" i="27" s="1"/>
  <c r="D87" i="27"/>
  <c r="E87" i="27" s="1"/>
  <c r="D88" i="27"/>
  <c r="E88" i="27" s="1"/>
  <c r="D77" i="27"/>
  <c r="AA116" i="27"/>
  <c r="Y116" i="27"/>
  <c r="W116" i="27"/>
  <c r="U116" i="27"/>
  <c r="S116" i="27"/>
  <c r="Q116" i="27"/>
  <c r="O116" i="27"/>
  <c r="M116" i="27"/>
  <c r="K116" i="27"/>
  <c r="I116" i="27"/>
  <c r="G116" i="27"/>
  <c r="E116" i="27"/>
  <c r="AA115" i="27"/>
  <c r="Y115" i="27"/>
  <c r="W115" i="27"/>
  <c r="U115" i="27"/>
  <c r="S115" i="27"/>
  <c r="Q115" i="27"/>
  <c r="O115" i="27"/>
  <c r="M115" i="27"/>
  <c r="K115" i="27"/>
  <c r="I115" i="27"/>
  <c r="G115" i="27"/>
  <c r="E115" i="27"/>
  <c r="AA114" i="27"/>
  <c r="Y114" i="27"/>
  <c r="W114" i="27"/>
  <c r="U114" i="27"/>
  <c r="S114" i="27"/>
  <c r="Q114" i="27"/>
  <c r="O114" i="27"/>
  <c r="M114" i="27"/>
  <c r="K114" i="27"/>
  <c r="I114" i="27"/>
  <c r="G114" i="27"/>
  <c r="E114" i="27"/>
  <c r="AA113" i="27"/>
  <c r="Y113" i="27"/>
  <c r="W113" i="27"/>
  <c r="U113" i="27"/>
  <c r="S113" i="27"/>
  <c r="Q113" i="27"/>
  <c r="O113" i="27"/>
  <c r="M113" i="27"/>
  <c r="K113" i="27"/>
  <c r="I113" i="27"/>
  <c r="E113" i="27"/>
  <c r="AA92" i="27"/>
  <c r="Y92" i="27"/>
  <c r="W92" i="27"/>
  <c r="U92" i="27"/>
  <c r="S92" i="27"/>
  <c r="Q92" i="27"/>
  <c r="O92" i="27"/>
  <c r="M92" i="27"/>
  <c r="K92" i="27"/>
  <c r="I92" i="27"/>
  <c r="G92" i="27"/>
  <c r="E92" i="27"/>
  <c r="AA91" i="27"/>
  <c r="Y91" i="27"/>
  <c r="W91" i="27"/>
  <c r="U91" i="27"/>
  <c r="S91" i="27"/>
  <c r="Q91" i="27"/>
  <c r="O91" i="27"/>
  <c r="M91" i="27"/>
  <c r="K91" i="27"/>
  <c r="I91" i="27"/>
  <c r="G91" i="27"/>
  <c r="E91" i="27"/>
  <c r="AA90" i="27"/>
  <c r="Y90" i="27"/>
  <c r="W90" i="27"/>
  <c r="U90" i="27"/>
  <c r="S90" i="27"/>
  <c r="Q90" i="27"/>
  <c r="O90" i="27"/>
  <c r="M90" i="27"/>
  <c r="K90" i="27"/>
  <c r="I90" i="27"/>
  <c r="G90" i="27"/>
  <c r="E90" i="27"/>
  <c r="AA89" i="27"/>
  <c r="Y89" i="27"/>
  <c r="W89" i="27"/>
  <c r="U89" i="27"/>
  <c r="S89" i="27"/>
  <c r="Q89" i="27"/>
  <c r="O89" i="27"/>
  <c r="M89" i="27"/>
  <c r="K89" i="27"/>
  <c r="I89" i="27"/>
  <c r="E89" i="27"/>
  <c r="K65" i="27"/>
  <c r="K66" i="27"/>
  <c r="K67" i="27"/>
  <c r="K68" i="27"/>
  <c r="G65" i="27"/>
  <c r="G66" i="27"/>
  <c r="G67" i="27"/>
  <c r="G68" i="27"/>
  <c r="AA65" i="27"/>
  <c r="AA66" i="27"/>
  <c r="AA67" i="27"/>
  <c r="AA68" i="27"/>
  <c r="Y65" i="27"/>
  <c r="Y66" i="27"/>
  <c r="Y67" i="27"/>
  <c r="Y68" i="27"/>
  <c r="W65" i="27"/>
  <c r="W66" i="27"/>
  <c r="W67" i="27"/>
  <c r="W68" i="27"/>
  <c r="U65" i="27"/>
  <c r="U66" i="27"/>
  <c r="U67" i="27"/>
  <c r="U68" i="27"/>
  <c r="S65" i="27"/>
  <c r="S66" i="27"/>
  <c r="S67" i="27"/>
  <c r="S68" i="27"/>
  <c r="Q65" i="27"/>
  <c r="Q66" i="27"/>
  <c r="Q67" i="27"/>
  <c r="Q68" i="27"/>
  <c r="O65" i="27"/>
  <c r="O66" i="27"/>
  <c r="O67" i="27"/>
  <c r="O68" i="27"/>
  <c r="M65" i="27"/>
  <c r="M66" i="27"/>
  <c r="M67" i="27"/>
  <c r="M68" i="27"/>
  <c r="I65" i="27"/>
  <c r="I66" i="27"/>
  <c r="I67" i="27"/>
  <c r="I68" i="27"/>
  <c r="E66" i="27"/>
  <c r="E67" i="27"/>
  <c r="E68" i="27"/>
  <c r="D6" i="27"/>
  <c r="C6" i="27"/>
  <c r="B6" i="27"/>
  <c r="E65" i="27"/>
  <c r="E45" i="27"/>
  <c r="E44" i="27"/>
  <c r="E43" i="27"/>
  <c r="E42" i="27"/>
  <c r="E41" i="27"/>
  <c r="E40" i="27"/>
  <c r="E39" i="27"/>
  <c r="E38" i="27"/>
  <c r="E37" i="27"/>
  <c r="E25" i="27"/>
  <c r="E26" i="27"/>
  <c r="E27" i="27"/>
  <c r="E28" i="27"/>
  <c r="E29" i="27"/>
  <c r="E30" i="27"/>
  <c r="E31" i="27"/>
  <c r="E32" i="27"/>
  <c r="E24" i="27"/>
  <c r="E14" i="27"/>
  <c r="E15" i="27"/>
  <c r="E16" i="27"/>
  <c r="E17" i="27"/>
  <c r="E18" i="27"/>
  <c r="E19" i="27"/>
  <c r="E13" i="27"/>
  <c r="L116" i="20" l="1"/>
  <c r="J116" i="20"/>
  <c r="G115" i="20"/>
  <c r="I115" i="20"/>
  <c r="AN70" i="20"/>
  <c r="F117" i="20"/>
  <c r="AN71" i="20"/>
  <c r="Q94" i="27"/>
  <c r="S94" i="27"/>
  <c r="E94" i="27"/>
  <c r="G94" i="27"/>
  <c r="I94" i="27"/>
  <c r="K94" i="27"/>
  <c r="M94" i="27"/>
  <c r="O94" i="27"/>
  <c r="U94" i="27"/>
  <c r="W94" i="27"/>
  <c r="Y94" i="27"/>
  <c r="AA94" i="27"/>
  <c r="K24" i="25"/>
  <c r="L24" i="25" s="1"/>
  <c r="K25" i="25"/>
  <c r="L25" i="25" s="1"/>
  <c r="K16" i="25"/>
  <c r="L16" i="25" s="1"/>
  <c r="K15" i="25"/>
  <c r="L15" i="25" s="1"/>
  <c r="K17" i="25"/>
  <c r="L17" i="25" s="1"/>
  <c r="K18" i="25"/>
  <c r="L18" i="25" s="1"/>
  <c r="K20" i="25"/>
  <c r="L20" i="25" s="1"/>
  <c r="K21" i="25"/>
  <c r="L21" i="25" s="1"/>
  <c r="K22" i="25"/>
  <c r="L22" i="25" s="1"/>
  <c r="K27" i="25"/>
  <c r="L27" i="25" s="1"/>
  <c r="K28" i="25"/>
  <c r="K30" i="25"/>
  <c r="L30" i="25" s="1"/>
  <c r="K31" i="25"/>
  <c r="L31" i="25" s="1"/>
  <c r="K32" i="25"/>
  <c r="L32" i="25" s="1"/>
  <c r="K34" i="25"/>
  <c r="K14" i="25"/>
  <c r="L14" i="25" s="1"/>
  <c r="K19" i="25"/>
  <c r="L19" i="25" s="1"/>
  <c r="K23" i="25"/>
  <c r="L23" i="25" s="1"/>
  <c r="K29" i="25"/>
  <c r="L29" i="25" s="1"/>
  <c r="K33" i="25"/>
  <c r="L33" i="25" s="1"/>
  <c r="K26" i="25"/>
  <c r="L26" i="25" s="1"/>
  <c r="AB114" i="27"/>
  <c r="AB115" i="27"/>
  <c r="AB113" i="27"/>
  <c r="AB116" i="27"/>
  <c r="AB84" i="27"/>
  <c r="AB90" i="27"/>
  <c r="AB91" i="27"/>
  <c r="AB92" i="27"/>
  <c r="AB85" i="27"/>
  <c r="AB89" i="27"/>
  <c r="AB81" i="27"/>
  <c r="AB82" i="27"/>
  <c r="AB83" i="27"/>
  <c r="AB86" i="27"/>
  <c r="AB87" i="27"/>
  <c r="AB88" i="27"/>
  <c r="AB80" i="27"/>
  <c r="AB65" i="27"/>
  <c r="AB68" i="27"/>
  <c r="AB66" i="27"/>
  <c r="AB67" i="27"/>
  <c r="E33" i="27"/>
  <c r="D12" i="23" s="1"/>
  <c r="E12" i="23" s="1"/>
  <c r="E46" i="27"/>
  <c r="D13" i="23" s="1"/>
  <c r="E20" i="27"/>
  <c r="D11" i="23" s="1"/>
  <c r="E11" i="23" s="1"/>
  <c r="J56" i="22"/>
  <c r="D56" i="22"/>
  <c r="E37" i="22"/>
  <c r="F37" i="22"/>
  <c r="G37" i="22"/>
  <c r="H37" i="22"/>
  <c r="I37" i="22"/>
  <c r="J37" i="22" s="1"/>
  <c r="D37" i="22"/>
  <c r="O59" i="22"/>
  <c r="N59" i="22"/>
  <c r="M59" i="22"/>
  <c r="L59" i="22"/>
  <c r="K59" i="22"/>
  <c r="J59" i="22"/>
  <c r="I59" i="22"/>
  <c r="H59" i="22"/>
  <c r="G59" i="22"/>
  <c r="F59" i="22"/>
  <c r="E59" i="22"/>
  <c r="D59" i="22"/>
  <c r="P58" i="22"/>
  <c r="P57" i="22"/>
  <c r="P55" i="22"/>
  <c r="O54" i="22"/>
  <c r="N54" i="22"/>
  <c r="M54" i="22"/>
  <c r="L54" i="22"/>
  <c r="K54" i="22"/>
  <c r="J54" i="22"/>
  <c r="I54" i="22"/>
  <c r="H54" i="22"/>
  <c r="G54" i="22"/>
  <c r="F54" i="22"/>
  <c r="E54" i="22"/>
  <c r="D54" i="22"/>
  <c r="P53" i="22"/>
  <c r="O52" i="22"/>
  <c r="N52" i="22"/>
  <c r="M52" i="22"/>
  <c r="L52" i="22"/>
  <c r="K52" i="22"/>
  <c r="J52" i="22"/>
  <c r="I52" i="22"/>
  <c r="H52" i="22"/>
  <c r="G52" i="22"/>
  <c r="F52" i="22"/>
  <c r="E52" i="22"/>
  <c r="D52" i="22"/>
  <c r="P51" i="22"/>
  <c r="P50" i="22"/>
  <c r="P49" i="22"/>
  <c r="P48" i="22"/>
  <c r="O40" i="22"/>
  <c r="N40" i="22"/>
  <c r="M40" i="22"/>
  <c r="L40" i="22"/>
  <c r="K40" i="22"/>
  <c r="J40" i="22"/>
  <c r="I40" i="22"/>
  <c r="H40" i="22"/>
  <c r="G40" i="22"/>
  <c r="F40" i="22"/>
  <c r="E40" i="22"/>
  <c r="D40" i="22"/>
  <c r="P39" i="22"/>
  <c r="P38" i="22"/>
  <c r="P36" i="22"/>
  <c r="O35" i="22"/>
  <c r="N35" i="22"/>
  <c r="M35" i="22"/>
  <c r="L35" i="22"/>
  <c r="K35" i="22"/>
  <c r="J35" i="22"/>
  <c r="I35" i="22"/>
  <c r="H35" i="22"/>
  <c r="G35" i="22"/>
  <c r="F35" i="22"/>
  <c r="E35" i="22"/>
  <c r="D35" i="22"/>
  <c r="P34" i="22"/>
  <c r="O33" i="22"/>
  <c r="N33" i="22"/>
  <c r="M33" i="22"/>
  <c r="L33" i="22"/>
  <c r="K33" i="22"/>
  <c r="J33" i="22"/>
  <c r="I33" i="22"/>
  <c r="H33" i="22"/>
  <c r="G33" i="22"/>
  <c r="F33" i="22"/>
  <c r="E33" i="22"/>
  <c r="D33" i="22"/>
  <c r="P32" i="22"/>
  <c r="P31" i="22"/>
  <c r="P30" i="22"/>
  <c r="P29" i="22"/>
  <c r="E22" i="22"/>
  <c r="F22" i="22"/>
  <c r="G22" i="22"/>
  <c r="H22" i="22"/>
  <c r="I22" i="22"/>
  <c r="J22" i="22"/>
  <c r="K22" i="22"/>
  <c r="L22" i="22"/>
  <c r="M22" i="22"/>
  <c r="N22" i="22"/>
  <c r="O22" i="22"/>
  <c r="D22" i="22"/>
  <c r="P19" i="22"/>
  <c r="P20" i="22"/>
  <c r="P21" i="22"/>
  <c r="E17" i="22"/>
  <c r="F17" i="22"/>
  <c r="G17" i="22"/>
  <c r="H17" i="22"/>
  <c r="I17" i="22"/>
  <c r="J17" i="22"/>
  <c r="K17" i="22"/>
  <c r="L17" i="22"/>
  <c r="M17" i="22"/>
  <c r="M24" i="22" s="1"/>
  <c r="N17" i="22"/>
  <c r="O17" i="22"/>
  <c r="D17" i="22"/>
  <c r="P16" i="22"/>
  <c r="E15" i="22"/>
  <c r="F15" i="22"/>
  <c r="G15" i="22"/>
  <c r="H15" i="22"/>
  <c r="I15" i="22"/>
  <c r="J15" i="22"/>
  <c r="K15" i="22"/>
  <c r="L15" i="22"/>
  <c r="M15" i="22"/>
  <c r="N15" i="22"/>
  <c r="O15" i="22"/>
  <c r="D15" i="22"/>
  <c r="P13" i="22"/>
  <c r="P14" i="22"/>
  <c r="P12" i="22"/>
  <c r="P18" i="22"/>
  <c r="P11" i="22"/>
  <c r="E5" i="22"/>
  <c r="D5" i="22"/>
  <c r="C5" i="22"/>
  <c r="I117" i="20" l="1"/>
  <c r="G117" i="20"/>
  <c r="G118" i="20" s="1"/>
  <c r="L115" i="20"/>
  <c r="J115" i="20"/>
  <c r="M116" i="20"/>
  <c r="O116" i="20"/>
  <c r="F61" i="22"/>
  <c r="I24" i="22"/>
  <c r="J61" i="22"/>
  <c r="AB94" i="27"/>
  <c r="E14" i="23"/>
  <c r="E13" i="23"/>
  <c r="P37" i="22"/>
  <c r="G24" i="22"/>
  <c r="L24" i="22"/>
  <c r="E28" i="23"/>
  <c r="G5" i="23" s="1"/>
  <c r="J20" i="21" s="1"/>
  <c r="R82" i="25"/>
  <c r="J82" i="25"/>
  <c r="T82" i="25"/>
  <c r="D82" i="25"/>
  <c r="X82" i="25"/>
  <c r="P82" i="25"/>
  <c r="H82" i="25"/>
  <c r="Z82" i="25"/>
  <c r="L82" i="25"/>
  <c r="V82" i="25"/>
  <c r="N82" i="25"/>
  <c r="F82" i="25"/>
  <c r="Z80" i="25"/>
  <c r="X80" i="25"/>
  <c r="P80" i="25"/>
  <c r="H80" i="25"/>
  <c r="J80" i="25"/>
  <c r="V80" i="25"/>
  <c r="N80" i="25"/>
  <c r="F80" i="25"/>
  <c r="R80" i="25"/>
  <c r="T80" i="25"/>
  <c r="L80" i="25"/>
  <c r="D80" i="25"/>
  <c r="Z83" i="25"/>
  <c r="T83" i="25"/>
  <c r="L83" i="25"/>
  <c r="D83" i="25"/>
  <c r="V83" i="25"/>
  <c r="R83" i="25"/>
  <c r="J83" i="25"/>
  <c r="N83" i="25"/>
  <c r="X83" i="25"/>
  <c r="P83" i="25"/>
  <c r="H83" i="25"/>
  <c r="F83" i="25"/>
  <c r="Z81" i="25"/>
  <c r="R81" i="25"/>
  <c r="J81" i="25"/>
  <c r="D81" i="25"/>
  <c r="X81" i="25"/>
  <c r="P81" i="25"/>
  <c r="H81" i="25"/>
  <c r="T81" i="25"/>
  <c r="V81" i="25"/>
  <c r="N81" i="25"/>
  <c r="F81" i="25"/>
  <c r="L81" i="25"/>
  <c r="V84" i="25"/>
  <c r="N84" i="25"/>
  <c r="F84" i="25"/>
  <c r="P84" i="25"/>
  <c r="T84" i="25"/>
  <c r="L84" i="25"/>
  <c r="D84" i="25"/>
  <c r="H84" i="25"/>
  <c r="Z84" i="25"/>
  <c r="R84" i="25"/>
  <c r="J84" i="25"/>
  <c r="X84" i="25"/>
  <c r="X75" i="25"/>
  <c r="P75" i="25"/>
  <c r="H75" i="25"/>
  <c r="D75" i="25"/>
  <c r="Z75" i="25"/>
  <c r="J75" i="25"/>
  <c r="V75" i="25"/>
  <c r="N75" i="25"/>
  <c r="F75" i="25"/>
  <c r="T75" i="25"/>
  <c r="R75" i="25"/>
  <c r="L75" i="25"/>
  <c r="X79" i="25"/>
  <c r="P79" i="25"/>
  <c r="H79" i="25"/>
  <c r="V79" i="25"/>
  <c r="N79" i="25"/>
  <c r="F79" i="25"/>
  <c r="Z79" i="25"/>
  <c r="J79" i="25"/>
  <c r="T79" i="25"/>
  <c r="L79" i="25"/>
  <c r="D79" i="25"/>
  <c r="R79" i="25"/>
  <c r="X76" i="25"/>
  <c r="P76" i="25"/>
  <c r="H76" i="25"/>
  <c r="D76" i="25"/>
  <c r="R76" i="25"/>
  <c r="V76" i="25"/>
  <c r="N76" i="25"/>
  <c r="F76" i="25"/>
  <c r="L76" i="25"/>
  <c r="Z76" i="25"/>
  <c r="J76" i="25"/>
  <c r="T76" i="25"/>
  <c r="X77" i="25"/>
  <c r="P77" i="25"/>
  <c r="H77" i="25"/>
  <c r="T77" i="25"/>
  <c r="J77" i="25"/>
  <c r="V77" i="25"/>
  <c r="N77" i="25"/>
  <c r="F77" i="25"/>
  <c r="D77" i="25"/>
  <c r="R77" i="25"/>
  <c r="L77" i="25"/>
  <c r="Z77" i="25"/>
  <c r="X86" i="25"/>
  <c r="P86" i="25"/>
  <c r="F86" i="25"/>
  <c r="R86" i="25"/>
  <c r="V86" i="25"/>
  <c r="L86" i="25"/>
  <c r="D86" i="25"/>
  <c r="N86" i="25"/>
  <c r="H86" i="25"/>
  <c r="Z86" i="25"/>
  <c r="T86" i="25"/>
  <c r="J86" i="25"/>
  <c r="H85" i="25"/>
  <c r="X85" i="25"/>
  <c r="P85" i="25"/>
  <c r="N68" i="25"/>
  <c r="R68" i="25"/>
  <c r="L68" i="25"/>
  <c r="J85" i="25"/>
  <c r="F85" i="25"/>
  <c r="V85" i="25"/>
  <c r="L85" i="25"/>
  <c r="X68" i="25"/>
  <c r="P68" i="25"/>
  <c r="V68" i="25"/>
  <c r="R85" i="25"/>
  <c r="Z68" i="25"/>
  <c r="N85" i="25"/>
  <c r="D85" i="25"/>
  <c r="T85" i="25"/>
  <c r="Z85" i="25"/>
  <c r="T68" i="25"/>
  <c r="C55" i="27"/>
  <c r="C103" i="27"/>
  <c r="C79" i="27"/>
  <c r="C54" i="27"/>
  <c r="C102" i="27"/>
  <c r="C78" i="27"/>
  <c r="C53" i="27"/>
  <c r="C101" i="27"/>
  <c r="C77" i="27"/>
  <c r="Z62" i="25"/>
  <c r="R62" i="25"/>
  <c r="D62" i="25"/>
  <c r="H62" i="25"/>
  <c r="L62" i="25"/>
  <c r="J62" i="25"/>
  <c r="F62" i="25"/>
  <c r="X62" i="25"/>
  <c r="P62" i="25"/>
  <c r="V62" i="25"/>
  <c r="N62" i="25"/>
  <c r="T62" i="25"/>
  <c r="J59" i="25"/>
  <c r="F59" i="25"/>
  <c r="Z59" i="25"/>
  <c r="R59" i="25"/>
  <c r="D59" i="25"/>
  <c r="X59" i="25"/>
  <c r="P59" i="25"/>
  <c r="T59" i="25"/>
  <c r="H59" i="25"/>
  <c r="V59" i="25"/>
  <c r="N59" i="25"/>
  <c r="L59" i="25"/>
  <c r="V64" i="25"/>
  <c r="N64" i="25"/>
  <c r="F64" i="25"/>
  <c r="P64" i="25"/>
  <c r="H64" i="25"/>
  <c r="T64" i="25"/>
  <c r="L64" i="25"/>
  <c r="X64" i="25"/>
  <c r="Z64" i="25"/>
  <c r="R64" i="25"/>
  <c r="D64" i="25"/>
  <c r="J64" i="25"/>
  <c r="X60" i="25"/>
  <c r="P60" i="25"/>
  <c r="J60" i="25"/>
  <c r="D60" i="25"/>
  <c r="H60" i="25"/>
  <c r="V60" i="25"/>
  <c r="N60" i="25"/>
  <c r="F60" i="25"/>
  <c r="Z60" i="25"/>
  <c r="T60" i="25"/>
  <c r="L60" i="25"/>
  <c r="R60" i="25"/>
  <c r="J67" i="25"/>
  <c r="F67" i="25"/>
  <c r="X67" i="25"/>
  <c r="P67" i="25"/>
  <c r="Z67" i="25"/>
  <c r="V67" i="25"/>
  <c r="N67" i="25"/>
  <c r="D67" i="25"/>
  <c r="H67" i="25"/>
  <c r="T67" i="25"/>
  <c r="L67" i="25"/>
  <c r="R67" i="25"/>
  <c r="T58" i="25"/>
  <c r="L58" i="25"/>
  <c r="V58" i="25"/>
  <c r="J58" i="25"/>
  <c r="F58" i="25"/>
  <c r="Z58" i="25"/>
  <c r="R58" i="25"/>
  <c r="H58" i="25"/>
  <c r="N58" i="25"/>
  <c r="X58" i="25"/>
  <c r="P58" i="25"/>
  <c r="D58" i="25"/>
  <c r="H65" i="25"/>
  <c r="T65" i="25"/>
  <c r="L65" i="25"/>
  <c r="N65" i="25"/>
  <c r="Z65" i="25"/>
  <c r="R65" i="25"/>
  <c r="D65" i="25"/>
  <c r="J65" i="25"/>
  <c r="F65" i="25"/>
  <c r="X65" i="25"/>
  <c r="P65" i="25"/>
  <c r="V65" i="25"/>
  <c r="J63" i="25"/>
  <c r="F63" i="25"/>
  <c r="X63" i="25"/>
  <c r="P63" i="25"/>
  <c r="D63" i="25"/>
  <c r="V63" i="25"/>
  <c r="N63" i="25"/>
  <c r="R63" i="25"/>
  <c r="H63" i="25"/>
  <c r="T63" i="25"/>
  <c r="L63" i="25"/>
  <c r="Z63" i="25"/>
  <c r="Z66" i="25"/>
  <c r="R66" i="25"/>
  <c r="D66" i="25"/>
  <c r="T66" i="25"/>
  <c r="J66" i="25"/>
  <c r="F66" i="25"/>
  <c r="X66" i="25"/>
  <c r="P66" i="25"/>
  <c r="H66" i="25"/>
  <c r="L66" i="25"/>
  <c r="V66" i="25"/>
  <c r="N66" i="25"/>
  <c r="N49" i="25"/>
  <c r="X49" i="25"/>
  <c r="H49" i="25"/>
  <c r="T49" i="25"/>
  <c r="P49" i="25"/>
  <c r="L49" i="25"/>
  <c r="D49" i="25"/>
  <c r="Z49" i="25"/>
  <c r="R49" i="25"/>
  <c r="V49" i="25"/>
  <c r="F49" i="25"/>
  <c r="J49" i="25"/>
  <c r="T47" i="25"/>
  <c r="P47" i="25"/>
  <c r="L47" i="25"/>
  <c r="D47" i="25"/>
  <c r="N47" i="25"/>
  <c r="X47" i="25"/>
  <c r="H47" i="25"/>
  <c r="V47" i="25"/>
  <c r="Z47" i="25"/>
  <c r="R47" i="25"/>
  <c r="J47" i="25"/>
  <c r="F47" i="25"/>
  <c r="Z43" i="25"/>
  <c r="R43" i="25"/>
  <c r="J43" i="25"/>
  <c r="V43" i="25"/>
  <c r="F43" i="25"/>
  <c r="T43" i="25"/>
  <c r="L43" i="25"/>
  <c r="N43" i="25"/>
  <c r="X43" i="25"/>
  <c r="P43" i="25"/>
  <c r="H43" i="25"/>
  <c r="D43" i="25"/>
  <c r="Z48" i="25"/>
  <c r="R48" i="25"/>
  <c r="J48" i="25"/>
  <c r="V48" i="25"/>
  <c r="F48" i="25"/>
  <c r="T48" i="25"/>
  <c r="L48" i="25"/>
  <c r="D48" i="25"/>
  <c r="N48" i="25"/>
  <c r="X48" i="25"/>
  <c r="P48" i="25"/>
  <c r="H48" i="25"/>
  <c r="V46" i="25"/>
  <c r="F46" i="25"/>
  <c r="Z46" i="25"/>
  <c r="R46" i="25"/>
  <c r="J46" i="25"/>
  <c r="N46" i="25"/>
  <c r="X46" i="25"/>
  <c r="P46" i="25"/>
  <c r="T46" i="25"/>
  <c r="L46" i="25"/>
  <c r="D46" i="25"/>
  <c r="H46" i="25"/>
  <c r="V50" i="25"/>
  <c r="F50" i="25"/>
  <c r="Z50" i="25"/>
  <c r="R50" i="25"/>
  <c r="J50" i="25"/>
  <c r="N50" i="25"/>
  <c r="X50" i="25"/>
  <c r="H50" i="25"/>
  <c r="T50" i="25"/>
  <c r="L50" i="25"/>
  <c r="D50" i="25"/>
  <c r="P50" i="25"/>
  <c r="V41" i="25"/>
  <c r="F41" i="25"/>
  <c r="Z41" i="25"/>
  <c r="R41" i="25"/>
  <c r="J41" i="25"/>
  <c r="N41" i="25"/>
  <c r="X41" i="25"/>
  <c r="P41" i="25"/>
  <c r="H41" i="25"/>
  <c r="T41" i="25"/>
  <c r="L41" i="25"/>
  <c r="D41" i="25"/>
  <c r="N45" i="25"/>
  <c r="X45" i="25"/>
  <c r="H45" i="25"/>
  <c r="T45" i="25"/>
  <c r="P45" i="25"/>
  <c r="L45" i="25"/>
  <c r="D45" i="25"/>
  <c r="R45" i="25"/>
  <c r="J45" i="25"/>
  <c r="V45" i="25"/>
  <c r="F45" i="25"/>
  <c r="Z45" i="25"/>
  <c r="T42" i="25"/>
  <c r="P42" i="25"/>
  <c r="L42" i="25"/>
  <c r="D42" i="25"/>
  <c r="N42" i="25"/>
  <c r="X42" i="25"/>
  <c r="H42" i="25"/>
  <c r="V42" i="25"/>
  <c r="F42" i="25"/>
  <c r="Z42" i="25"/>
  <c r="R42" i="25"/>
  <c r="J42" i="25"/>
  <c r="L34" i="25"/>
  <c r="L28" i="25"/>
  <c r="P22" i="22"/>
  <c r="E24" i="22"/>
  <c r="H61" i="22"/>
  <c r="F42" i="22"/>
  <c r="P23" i="22"/>
  <c r="O42" i="22"/>
  <c r="P40" i="22"/>
  <c r="P41" i="22"/>
  <c r="N42" i="22"/>
  <c r="O24" i="22"/>
  <c r="P17" i="22"/>
  <c r="E61" i="22"/>
  <c r="I61" i="22"/>
  <c r="J42" i="22"/>
  <c r="N24" i="22"/>
  <c r="G42" i="22"/>
  <c r="K42" i="22"/>
  <c r="P54" i="22"/>
  <c r="P59" i="22"/>
  <c r="P60" i="22"/>
  <c r="J24" i="22"/>
  <c r="D42" i="22"/>
  <c r="L42" i="22"/>
  <c r="D24" i="22"/>
  <c r="F24" i="22"/>
  <c r="K24" i="22"/>
  <c r="E42" i="22"/>
  <c r="I42" i="22"/>
  <c r="M42" i="22"/>
  <c r="P35" i="22"/>
  <c r="G61" i="22"/>
  <c r="K61" i="22"/>
  <c r="O61" i="22"/>
  <c r="L61" i="22"/>
  <c r="P56" i="22"/>
  <c r="M61" i="22"/>
  <c r="N61" i="22"/>
  <c r="D61" i="22"/>
  <c r="H42" i="22"/>
  <c r="P52" i="22"/>
  <c r="H24" i="22"/>
  <c r="P33" i="22"/>
  <c r="P15" i="22"/>
  <c r="J117" i="20" l="1"/>
  <c r="J118" i="20" s="1"/>
  <c r="L117" i="20"/>
  <c r="R116" i="20"/>
  <c r="P116" i="20"/>
  <c r="O115" i="20"/>
  <c r="M115" i="20"/>
  <c r="Q93" i="27"/>
  <c r="O93" i="27"/>
  <c r="M93" i="27"/>
  <c r="AA80" i="25"/>
  <c r="E20" i="38"/>
  <c r="E21" i="37"/>
  <c r="E33" i="37" s="1"/>
  <c r="E34" i="37" s="1"/>
  <c r="E20" i="29"/>
  <c r="E32" i="29" s="1"/>
  <c r="E33" i="29" s="1"/>
  <c r="D21" i="21"/>
  <c r="D22" i="21" s="1"/>
  <c r="N51" i="25"/>
  <c r="T51" i="25"/>
  <c r="F51" i="25"/>
  <c r="AA76" i="25"/>
  <c r="AA81" i="25"/>
  <c r="AA83" i="25"/>
  <c r="J51" i="25"/>
  <c r="V51" i="25"/>
  <c r="AA86" i="25"/>
  <c r="AA79" i="25"/>
  <c r="AA84" i="25"/>
  <c r="X78" i="25"/>
  <c r="X87" i="25" s="1"/>
  <c r="P78" i="25"/>
  <c r="P87" i="25" s="1"/>
  <c r="H78" i="25"/>
  <c r="H87" i="25" s="1"/>
  <c r="T61" i="25"/>
  <c r="T69" i="25" s="1"/>
  <c r="Z78" i="25"/>
  <c r="Z87" i="25" s="1"/>
  <c r="J78" i="25"/>
  <c r="J87" i="25" s="1"/>
  <c r="V61" i="25"/>
  <c r="V69" i="25" s="1"/>
  <c r="V78" i="25"/>
  <c r="V87" i="25" s="1"/>
  <c r="N78" i="25"/>
  <c r="N87" i="25" s="1"/>
  <c r="F78" i="25"/>
  <c r="Z61" i="25"/>
  <c r="Z69" i="25" s="1"/>
  <c r="R61" i="25"/>
  <c r="R69" i="25" s="1"/>
  <c r="D78" i="25"/>
  <c r="D87" i="25" s="1"/>
  <c r="N61" i="25"/>
  <c r="N69" i="25" s="1"/>
  <c r="R78" i="25"/>
  <c r="R87" i="25" s="1"/>
  <c r="T78" i="25"/>
  <c r="T87" i="25" s="1"/>
  <c r="L78" i="25"/>
  <c r="L87" i="25" s="1"/>
  <c r="P61" i="25"/>
  <c r="P69" i="25" s="1"/>
  <c r="L61" i="25"/>
  <c r="L69" i="25" s="1"/>
  <c r="AA75" i="25"/>
  <c r="AA82" i="25"/>
  <c r="H51" i="25"/>
  <c r="AA41" i="25"/>
  <c r="D51" i="25"/>
  <c r="P51" i="25"/>
  <c r="R51" i="25"/>
  <c r="AA48" i="25"/>
  <c r="AA58" i="25"/>
  <c r="AA67" i="25"/>
  <c r="AA68" i="25"/>
  <c r="L51" i="25"/>
  <c r="AA85" i="25"/>
  <c r="AA77" i="25"/>
  <c r="F87" i="25"/>
  <c r="M79" i="27"/>
  <c r="U79" i="27"/>
  <c r="I79" i="27"/>
  <c r="Y79" i="27"/>
  <c r="E79" i="27"/>
  <c r="S79" i="27"/>
  <c r="Q79" i="27"/>
  <c r="AA79" i="27"/>
  <c r="W79" i="27"/>
  <c r="G79" i="27"/>
  <c r="K79" i="27"/>
  <c r="O79" i="27"/>
  <c r="W78" i="27"/>
  <c r="Q78" i="27"/>
  <c r="O78" i="27"/>
  <c r="U78" i="27"/>
  <c r="E78" i="27"/>
  <c r="S78" i="27"/>
  <c r="AA78" i="27"/>
  <c r="Y78" i="27"/>
  <c r="M78" i="27"/>
  <c r="I78" i="27"/>
  <c r="G78" i="27"/>
  <c r="K78" i="27"/>
  <c r="W77" i="27"/>
  <c r="W95" i="27" s="1"/>
  <c r="U77" i="27"/>
  <c r="Q77" i="27"/>
  <c r="Y77" i="27"/>
  <c r="E77" i="27"/>
  <c r="I77" i="27"/>
  <c r="AA77" i="27"/>
  <c r="O77" i="27"/>
  <c r="M77" i="27"/>
  <c r="G77" i="27"/>
  <c r="K77" i="27"/>
  <c r="S77" i="27"/>
  <c r="AA42" i="25"/>
  <c r="AA60" i="25"/>
  <c r="AA66" i="25"/>
  <c r="AA65" i="25"/>
  <c r="AA64" i="25"/>
  <c r="AA62" i="25"/>
  <c r="H61" i="25"/>
  <c r="H69" i="25" s="1"/>
  <c r="J61" i="25"/>
  <c r="J69" i="25" s="1"/>
  <c r="F61" i="25"/>
  <c r="F69" i="25" s="1"/>
  <c r="D61" i="25"/>
  <c r="D69" i="25" s="1"/>
  <c r="X61" i="25"/>
  <c r="X69" i="25" s="1"/>
  <c r="AA63" i="25"/>
  <c r="AA59" i="25"/>
  <c r="AA49" i="25"/>
  <c r="Z44" i="25"/>
  <c r="Z51" i="25" s="1"/>
  <c r="X44" i="25"/>
  <c r="X51" i="25" s="1"/>
  <c r="AA50" i="25"/>
  <c r="AA46" i="25"/>
  <c r="AA43" i="25"/>
  <c r="AA45" i="25"/>
  <c r="AA47" i="25"/>
  <c r="P24" i="22"/>
  <c r="G5" i="22" s="1"/>
  <c r="K10" i="21" s="1"/>
  <c r="P42" i="22"/>
  <c r="H5" i="22" s="1"/>
  <c r="L10" i="21" s="1"/>
  <c r="P61" i="22"/>
  <c r="I5" i="22" s="1"/>
  <c r="M10" i="21" s="1"/>
  <c r="M117" i="20" l="1"/>
  <c r="M118" i="20" s="1"/>
  <c r="O117" i="20"/>
  <c r="S116" i="20"/>
  <c r="U116" i="20"/>
  <c r="P115" i="20"/>
  <c r="R115" i="20"/>
  <c r="G95" i="27"/>
  <c r="AB93" i="27"/>
  <c r="F10" i="38"/>
  <c r="F11" i="37"/>
  <c r="F25" i="37" s="1"/>
  <c r="F10" i="29"/>
  <c r="F24" i="29" s="1"/>
  <c r="O95" i="27"/>
  <c r="H10" i="38"/>
  <c r="H10" i="29"/>
  <c r="H24" i="29" s="1"/>
  <c r="H11" i="37"/>
  <c r="H25" i="37" s="1"/>
  <c r="M95" i="27"/>
  <c r="I95" i="27"/>
  <c r="Y95" i="27"/>
  <c r="G10" i="29"/>
  <c r="G24" i="29" s="1"/>
  <c r="G10" i="38"/>
  <c r="G11" i="37"/>
  <c r="G25" i="37" s="1"/>
  <c r="E32" i="38"/>
  <c r="E33" i="38" s="1"/>
  <c r="H19" i="30"/>
  <c r="H31" i="30" s="1"/>
  <c r="H32" i="30" s="1"/>
  <c r="AA87" i="25"/>
  <c r="J6" i="25" s="1"/>
  <c r="AA78" i="25"/>
  <c r="G13" i="21"/>
  <c r="D10" i="24"/>
  <c r="F13" i="21"/>
  <c r="C10" i="24"/>
  <c r="E13" i="21"/>
  <c r="B10" i="24"/>
  <c r="S95" i="27"/>
  <c r="Q95" i="27"/>
  <c r="AA95" i="27"/>
  <c r="AB79" i="27"/>
  <c r="K95" i="27"/>
  <c r="U95" i="27"/>
  <c r="AB78" i="27"/>
  <c r="E95" i="27"/>
  <c r="AB77" i="27"/>
  <c r="AA69" i="25"/>
  <c r="I6" i="25" s="1"/>
  <c r="AA61" i="25"/>
  <c r="AA44" i="25"/>
  <c r="D12" i="3"/>
  <c r="S115" i="20" l="1"/>
  <c r="U115" i="20"/>
  <c r="R117" i="20"/>
  <c r="P117" i="20"/>
  <c r="P118" i="20" s="1"/>
  <c r="V116" i="20"/>
  <c r="X116" i="20"/>
  <c r="D25" i="3"/>
  <c r="C7" i="25" s="1"/>
  <c r="D24" i="3"/>
  <c r="G24" i="38"/>
  <c r="J9" i="30"/>
  <c r="J23" i="30" s="1"/>
  <c r="H24" i="38"/>
  <c r="K9" i="30"/>
  <c r="K23" i="30" s="1"/>
  <c r="F24" i="38"/>
  <c r="I9" i="30"/>
  <c r="I23" i="30" s="1"/>
  <c r="G9" i="29"/>
  <c r="G23" i="29" s="1"/>
  <c r="G28" i="29" s="1"/>
  <c r="L6" i="21"/>
  <c r="C6" i="19"/>
  <c r="C6" i="23"/>
  <c r="C6" i="24"/>
  <c r="C14" i="24" s="1"/>
  <c r="C7" i="27"/>
  <c r="D6" i="22"/>
  <c r="M12" i="21"/>
  <c r="D12" i="24"/>
  <c r="L12" i="21"/>
  <c r="C12" i="24"/>
  <c r="AB95" i="27"/>
  <c r="I6" i="27" s="1"/>
  <c r="L11" i="21" s="1"/>
  <c r="D26" i="3"/>
  <c r="H9" i="29" s="1"/>
  <c r="H23" i="29" s="1"/>
  <c r="H28" i="29" s="1"/>
  <c r="Y116" i="20" l="1"/>
  <c r="AA116" i="20"/>
  <c r="U117" i="20"/>
  <c r="S117" i="20"/>
  <c r="S118" i="20" s="1"/>
  <c r="V115" i="20"/>
  <c r="X115" i="20"/>
  <c r="F14" i="21"/>
  <c r="G11" i="38"/>
  <c r="G11" i="29"/>
  <c r="G25" i="29" s="1"/>
  <c r="G12" i="37"/>
  <c r="G26" i="37" s="1"/>
  <c r="F9" i="29"/>
  <c r="F23" i="29" s="1"/>
  <c r="F28" i="29" s="1"/>
  <c r="K6" i="21"/>
  <c r="B6" i="19"/>
  <c r="B6" i="24"/>
  <c r="B14" i="24" s="1"/>
  <c r="B6" i="23"/>
  <c r="B7" i="25"/>
  <c r="B7" i="27"/>
  <c r="C6" i="22"/>
  <c r="F12" i="21"/>
  <c r="F17" i="21" s="1"/>
  <c r="G9" i="38"/>
  <c r="G10" i="37"/>
  <c r="G24" i="37" s="1"/>
  <c r="G29" i="37" s="1"/>
  <c r="H13" i="37"/>
  <c r="H27" i="37" s="1"/>
  <c r="H12" i="29"/>
  <c r="H26" i="29" s="1"/>
  <c r="G15" i="21"/>
  <c r="H12" i="38"/>
  <c r="G12" i="38"/>
  <c r="G13" i="37"/>
  <c r="G27" i="37" s="1"/>
  <c r="G12" i="29"/>
  <c r="G26" i="29" s="1"/>
  <c r="F15" i="21"/>
  <c r="C11" i="24"/>
  <c r="C13" i="24" s="1"/>
  <c r="M6" i="21"/>
  <c r="D6" i="19"/>
  <c r="D6" i="23"/>
  <c r="D6" i="24"/>
  <c r="D14" i="24" s="1"/>
  <c r="D7" i="25"/>
  <c r="D7" i="27"/>
  <c r="E6" i="22"/>
  <c r="C18" i="33"/>
  <c r="C19" i="33" s="1"/>
  <c r="AD116" i="20" l="1"/>
  <c r="AB116" i="20"/>
  <c r="X117" i="20"/>
  <c r="V117" i="20"/>
  <c r="V118" i="20" s="1"/>
  <c r="Y115" i="20"/>
  <c r="AA115" i="20"/>
  <c r="G27" i="29"/>
  <c r="G29" i="29" s="1"/>
  <c r="H30" i="29" s="1"/>
  <c r="G25" i="38"/>
  <c r="J10" i="30"/>
  <c r="J24" i="30" s="1"/>
  <c r="D53" i="27"/>
  <c r="E53" i="27" s="1"/>
  <c r="G23" i="38"/>
  <c r="G28" i="38" s="1"/>
  <c r="J8" i="30"/>
  <c r="J22" i="30" s="1"/>
  <c r="J27" i="30" s="1"/>
  <c r="F9" i="38"/>
  <c r="E12" i="21"/>
  <c r="E17" i="21" s="1"/>
  <c r="F10" i="37"/>
  <c r="F24" i="37" s="1"/>
  <c r="F29" i="37" s="1"/>
  <c r="G28" i="37"/>
  <c r="G30" i="37" s="1"/>
  <c r="G12" i="21"/>
  <c r="G17" i="21" s="1"/>
  <c r="H9" i="38"/>
  <c r="H10" i="37"/>
  <c r="H24" i="37" s="1"/>
  <c r="H29" i="37" s="1"/>
  <c r="K11" i="30"/>
  <c r="H26" i="38"/>
  <c r="J11" i="30"/>
  <c r="J25" i="30" s="1"/>
  <c r="G26" i="38"/>
  <c r="F16" i="21"/>
  <c r="Z112" i="27"/>
  <c r="AA112" i="27" s="1"/>
  <c r="X112" i="27"/>
  <c r="Y112" i="27" s="1"/>
  <c r="V112" i="27"/>
  <c r="W112" i="27" s="1"/>
  <c r="T112" i="27"/>
  <c r="U112" i="27" s="1"/>
  <c r="R112" i="27"/>
  <c r="S112" i="27" s="1"/>
  <c r="P112" i="27"/>
  <c r="Q112" i="27" s="1"/>
  <c r="N112" i="27"/>
  <c r="O112" i="27" s="1"/>
  <c r="L112" i="27"/>
  <c r="M112" i="27" s="1"/>
  <c r="J112" i="27"/>
  <c r="K112" i="27" s="1"/>
  <c r="H112" i="27"/>
  <c r="I112" i="27" s="1"/>
  <c r="F112" i="27"/>
  <c r="G112" i="27" s="1"/>
  <c r="D112" i="27"/>
  <c r="E112" i="27" s="1"/>
  <c r="Z111" i="27"/>
  <c r="AA111" i="27" s="1"/>
  <c r="X111" i="27"/>
  <c r="Y111" i="27" s="1"/>
  <c r="V111" i="27"/>
  <c r="W111" i="27" s="1"/>
  <c r="T111" i="27"/>
  <c r="U111" i="27" s="1"/>
  <c r="R111" i="27"/>
  <c r="S111" i="27" s="1"/>
  <c r="P111" i="27"/>
  <c r="Q111" i="27" s="1"/>
  <c r="N111" i="27"/>
  <c r="O111" i="27" s="1"/>
  <c r="L111" i="27"/>
  <c r="M111" i="27" s="1"/>
  <c r="J111" i="27"/>
  <c r="K111" i="27" s="1"/>
  <c r="H111" i="27"/>
  <c r="I111" i="27" s="1"/>
  <c r="F111" i="27"/>
  <c r="G111" i="27" s="1"/>
  <c r="D111" i="27"/>
  <c r="E111" i="27" s="1"/>
  <c r="Z110" i="27"/>
  <c r="AA110" i="27" s="1"/>
  <c r="X110" i="27"/>
  <c r="Y110" i="27" s="1"/>
  <c r="V110" i="27"/>
  <c r="W110" i="27" s="1"/>
  <c r="T110" i="27"/>
  <c r="U110" i="27" s="1"/>
  <c r="R110" i="27"/>
  <c r="S110" i="27" s="1"/>
  <c r="P110" i="27"/>
  <c r="Q110" i="27" s="1"/>
  <c r="N110" i="27"/>
  <c r="O110" i="27" s="1"/>
  <c r="L110" i="27"/>
  <c r="M110" i="27" s="1"/>
  <c r="J110" i="27"/>
  <c r="K110" i="27" s="1"/>
  <c r="H110" i="27"/>
  <c r="I110" i="27" s="1"/>
  <c r="F110" i="27"/>
  <c r="G110" i="27" s="1"/>
  <c r="D110" i="27"/>
  <c r="E110" i="27" s="1"/>
  <c r="Z109" i="27"/>
  <c r="AA109" i="27" s="1"/>
  <c r="X109" i="27"/>
  <c r="Y109" i="27" s="1"/>
  <c r="V109" i="27"/>
  <c r="W109" i="27" s="1"/>
  <c r="T109" i="27"/>
  <c r="U109" i="27" s="1"/>
  <c r="R109" i="27"/>
  <c r="S109" i="27" s="1"/>
  <c r="P109" i="27"/>
  <c r="Q109" i="27" s="1"/>
  <c r="N109" i="27"/>
  <c r="O109" i="27" s="1"/>
  <c r="L109" i="27"/>
  <c r="M109" i="27" s="1"/>
  <c r="J109" i="27"/>
  <c r="K109" i="27" s="1"/>
  <c r="H109" i="27"/>
  <c r="I109" i="27" s="1"/>
  <c r="F109" i="27"/>
  <c r="G109" i="27" s="1"/>
  <c r="D109" i="27"/>
  <c r="E109" i="27" s="1"/>
  <c r="Z107" i="27"/>
  <c r="AA107" i="27" s="1"/>
  <c r="X107" i="27"/>
  <c r="Y107" i="27" s="1"/>
  <c r="V107" i="27"/>
  <c r="W107" i="27" s="1"/>
  <c r="T107" i="27"/>
  <c r="U107" i="27" s="1"/>
  <c r="R107" i="27"/>
  <c r="S107" i="27" s="1"/>
  <c r="P107" i="27"/>
  <c r="Q107" i="27" s="1"/>
  <c r="N107" i="27"/>
  <c r="O107" i="27" s="1"/>
  <c r="L107" i="27"/>
  <c r="M107" i="27" s="1"/>
  <c r="J107" i="27"/>
  <c r="K107" i="27" s="1"/>
  <c r="H107" i="27"/>
  <c r="I107" i="27" s="1"/>
  <c r="F107" i="27"/>
  <c r="G107" i="27" s="1"/>
  <c r="D107" i="27"/>
  <c r="E107" i="27" s="1"/>
  <c r="Z106" i="27"/>
  <c r="AA106" i="27" s="1"/>
  <c r="X106" i="27"/>
  <c r="Y106" i="27" s="1"/>
  <c r="V106" i="27"/>
  <c r="W106" i="27" s="1"/>
  <c r="T106" i="27"/>
  <c r="U106" i="27" s="1"/>
  <c r="R106" i="27"/>
  <c r="S106" i="27" s="1"/>
  <c r="P106" i="27"/>
  <c r="Q106" i="27" s="1"/>
  <c r="N106" i="27"/>
  <c r="O106" i="27" s="1"/>
  <c r="L106" i="27"/>
  <c r="M106" i="27" s="1"/>
  <c r="J106" i="27"/>
  <c r="K106" i="27" s="1"/>
  <c r="H106" i="27"/>
  <c r="I106" i="27" s="1"/>
  <c r="F106" i="27"/>
  <c r="G106" i="27" s="1"/>
  <c r="D106" i="27"/>
  <c r="E106" i="27" s="1"/>
  <c r="Z105" i="27"/>
  <c r="AA105" i="27" s="1"/>
  <c r="X105" i="27"/>
  <c r="Y105" i="27" s="1"/>
  <c r="V105" i="27"/>
  <c r="W105" i="27" s="1"/>
  <c r="T105" i="27"/>
  <c r="U105" i="27" s="1"/>
  <c r="R105" i="27"/>
  <c r="S105" i="27" s="1"/>
  <c r="P105" i="27"/>
  <c r="Q105" i="27" s="1"/>
  <c r="N105" i="27"/>
  <c r="O105" i="27" s="1"/>
  <c r="L105" i="27"/>
  <c r="M105" i="27" s="1"/>
  <c r="J105" i="27"/>
  <c r="K105" i="27" s="1"/>
  <c r="H105" i="27"/>
  <c r="I105" i="27" s="1"/>
  <c r="F105" i="27"/>
  <c r="G105" i="27" s="1"/>
  <c r="D105" i="27"/>
  <c r="E105" i="27" s="1"/>
  <c r="Z56" i="27"/>
  <c r="AA56" i="27" s="1"/>
  <c r="Z57" i="27"/>
  <c r="AA57" i="27" s="1"/>
  <c r="Z58" i="27"/>
  <c r="AA58" i="27" s="1"/>
  <c r="Z59" i="27"/>
  <c r="AA59" i="27" s="1"/>
  <c r="Z60" i="27"/>
  <c r="AA60" i="27" s="1"/>
  <c r="Z61" i="27"/>
  <c r="AA61" i="27" s="1"/>
  <c r="Z62" i="27"/>
  <c r="AA62" i="27" s="1"/>
  <c r="Z63" i="27"/>
  <c r="AA63" i="27" s="1"/>
  <c r="Z64" i="27"/>
  <c r="AA64" i="27" s="1"/>
  <c r="X56" i="27"/>
  <c r="Y56" i="27" s="1"/>
  <c r="X57" i="27"/>
  <c r="Y57" i="27" s="1"/>
  <c r="X58" i="27"/>
  <c r="Y58" i="27" s="1"/>
  <c r="X59" i="27"/>
  <c r="Y59" i="27" s="1"/>
  <c r="X60" i="27"/>
  <c r="Y60" i="27" s="1"/>
  <c r="X61" i="27"/>
  <c r="Y61" i="27" s="1"/>
  <c r="X62" i="27"/>
  <c r="Y62" i="27" s="1"/>
  <c r="X63" i="27"/>
  <c r="Y63" i="27" s="1"/>
  <c r="X64" i="27"/>
  <c r="Y64" i="27" s="1"/>
  <c r="V57" i="27"/>
  <c r="W57" i="27" s="1"/>
  <c r="V58" i="27"/>
  <c r="W58" i="27" s="1"/>
  <c r="V59" i="27"/>
  <c r="W59" i="27" s="1"/>
  <c r="V60" i="27"/>
  <c r="W60" i="27" s="1"/>
  <c r="V61" i="27"/>
  <c r="W61" i="27" s="1"/>
  <c r="V62" i="27"/>
  <c r="W62" i="27" s="1"/>
  <c r="V63" i="27"/>
  <c r="W63" i="27" s="1"/>
  <c r="V64" i="27"/>
  <c r="W64" i="27" s="1"/>
  <c r="T56" i="27"/>
  <c r="U56" i="27" s="1"/>
  <c r="T57" i="27"/>
  <c r="U57" i="27" s="1"/>
  <c r="T58" i="27"/>
  <c r="U58" i="27" s="1"/>
  <c r="T59" i="27"/>
  <c r="U59" i="27" s="1"/>
  <c r="T60" i="27"/>
  <c r="U60" i="27" s="1"/>
  <c r="T61" i="27"/>
  <c r="U61" i="27" s="1"/>
  <c r="T62" i="27"/>
  <c r="U62" i="27" s="1"/>
  <c r="T63" i="27"/>
  <c r="U63" i="27" s="1"/>
  <c r="T64" i="27"/>
  <c r="U64" i="27" s="1"/>
  <c r="R56" i="27"/>
  <c r="S56" i="27" s="1"/>
  <c r="R57" i="27"/>
  <c r="S57" i="27" s="1"/>
  <c r="R58" i="27"/>
  <c r="S58" i="27" s="1"/>
  <c r="R59" i="27"/>
  <c r="S59" i="27" s="1"/>
  <c r="R60" i="27"/>
  <c r="S60" i="27" s="1"/>
  <c r="R61" i="27"/>
  <c r="S61" i="27" s="1"/>
  <c r="R62" i="27"/>
  <c r="S62" i="27" s="1"/>
  <c r="R63" i="27"/>
  <c r="S63" i="27" s="1"/>
  <c r="R64" i="27"/>
  <c r="S64" i="27" s="1"/>
  <c r="P56" i="27"/>
  <c r="Q56" i="27" s="1"/>
  <c r="P57" i="27"/>
  <c r="Q57" i="27" s="1"/>
  <c r="P58" i="27"/>
  <c r="Q58" i="27" s="1"/>
  <c r="P59" i="27"/>
  <c r="Q59" i="27" s="1"/>
  <c r="P60" i="27"/>
  <c r="Q60" i="27" s="1"/>
  <c r="P61" i="27"/>
  <c r="Q61" i="27" s="1"/>
  <c r="P62" i="27"/>
  <c r="Q62" i="27" s="1"/>
  <c r="P63" i="27"/>
  <c r="Q63" i="27" s="1"/>
  <c r="P64" i="27"/>
  <c r="Q64" i="27" s="1"/>
  <c r="N57" i="27"/>
  <c r="O57" i="27" s="1"/>
  <c r="N58" i="27"/>
  <c r="O58" i="27" s="1"/>
  <c r="N59" i="27"/>
  <c r="O59" i="27" s="1"/>
  <c r="N60" i="27"/>
  <c r="O60" i="27" s="1"/>
  <c r="N61" i="27"/>
  <c r="O61" i="27" s="1"/>
  <c r="N62" i="27"/>
  <c r="O62" i="27" s="1"/>
  <c r="N63" i="27"/>
  <c r="O63" i="27" s="1"/>
  <c r="N64" i="27"/>
  <c r="O64" i="27" s="1"/>
  <c r="L56" i="27"/>
  <c r="M56" i="27" s="1"/>
  <c r="L57" i="27"/>
  <c r="M57" i="27" s="1"/>
  <c r="L58" i="27"/>
  <c r="M58" i="27" s="1"/>
  <c r="L59" i="27"/>
  <c r="M59" i="27" s="1"/>
  <c r="L60" i="27"/>
  <c r="M60" i="27" s="1"/>
  <c r="L61" i="27"/>
  <c r="M61" i="27" s="1"/>
  <c r="L62" i="27"/>
  <c r="M62" i="27" s="1"/>
  <c r="L63" i="27"/>
  <c r="M63" i="27" s="1"/>
  <c r="L64" i="27"/>
  <c r="M64" i="27" s="1"/>
  <c r="J56" i="27"/>
  <c r="K56" i="27" s="1"/>
  <c r="J57" i="27"/>
  <c r="K57" i="27" s="1"/>
  <c r="J58" i="27"/>
  <c r="K58" i="27" s="1"/>
  <c r="J59" i="27"/>
  <c r="K59" i="27" s="1"/>
  <c r="J60" i="27"/>
  <c r="K60" i="27" s="1"/>
  <c r="J61" i="27"/>
  <c r="K61" i="27" s="1"/>
  <c r="J62" i="27"/>
  <c r="K62" i="27" s="1"/>
  <c r="J63" i="27"/>
  <c r="K63" i="27" s="1"/>
  <c r="J64" i="27"/>
  <c r="K64" i="27" s="1"/>
  <c r="H56" i="27"/>
  <c r="I56" i="27" s="1"/>
  <c r="H57" i="27"/>
  <c r="I57" i="27" s="1"/>
  <c r="H58" i="27"/>
  <c r="I58" i="27" s="1"/>
  <c r="H59" i="27"/>
  <c r="I59" i="27" s="1"/>
  <c r="H60" i="27"/>
  <c r="I60" i="27" s="1"/>
  <c r="H61" i="27"/>
  <c r="I61" i="27" s="1"/>
  <c r="H62" i="27"/>
  <c r="I62" i="27" s="1"/>
  <c r="H63" i="27"/>
  <c r="I63" i="27" s="1"/>
  <c r="H64" i="27"/>
  <c r="I64" i="27" s="1"/>
  <c r="F56" i="27"/>
  <c r="G56" i="27" s="1"/>
  <c r="F57" i="27"/>
  <c r="G57" i="27" s="1"/>
  <c r="F58" i="27"/>
  <c r="G58" i="27" s="1"/>
  <c r="F59" i="27"/>
  <c r="G59" i="27" s="1"/>
  <c r="F60" i="27"/>
  <c r="G60" i="27" s="1"/>
  <c r="F61" i="27"/>
  <c r="G61" i="27" s="1"/>
  <c r="F62" i="27"/>
  <c r="G62" i="27" s="1"/>
  <c r="F63" i="27"/>
  <c r="G63" i="27" s="1"/>
  <c r="F64" i="27"/>
  <c r="G64" i="27" s="1"/>
  <c r="D56" i="27"/>
  <c r="E56" i="27" s="1"/>
  <c r="D57" i="27"/>
  <c r="E57" i="27" s="1"/>
  <c r="D58" i="27"/>
  <c r="E58" i="27" s="1"/>
  <c r="D59" i="27"/>
  <c r="E59" i="27" s="1"/>
  <c r="D60" i="27"/>
  <c r="E60" i="27" s="1"/>
  <c r="D61" i="27"/>
  <c r="E61" i="27" s="1"/>
  <c r="D62" i="27"/>
  <c r="E62" i="27" s="1"/>
  <c r="D63" i="27"/>
  <c r="E63" i="27" s="1"/>
  <c r="D64" i="27"/>
  <c r="E64" i="27" s="1"/>
  <c r="AA117" i="20" l="1"/>
  <c r="Y117" i="20"/>
  <c r="Y118" i="20" s="1"/>
  <c r="AB115" i="20"/>
  <c r="AD115" i="20"/>
  <c r="G31" i="29"/>
  <c r="G33" i="29" s="1"/>
  <c r="AE116" i="20"/>
  <c r="AG116" i="20"/>
  <c r="G27" i="38"/>
  <c r="G29" i="38" s="1"/>
  <c r="H30" i="38" s="1"/>
  <c r="AB63" i="27"/>
  <c r="H54" i="27"/>
  <c r="I54" i="27" s="1"/>
  <c r="J53" i="27"/>
  <c r="K53" i="27" s="1"/>
  <c r="J55" i="27"/>
  <c r="L55" i="27"/>
  <c r="N54" i="27"/>
  <c r="O54" i="27" s="1"/>
  <c r="P53" i="27"/>
  <c r="P55" i="27"/>
  <c r="F53" i="27"/>
  <c r="G53" i="27" s="1"/>
  <c r="H55" i="27"/>
  <c r="L53" i="27"/>
  <c r="N53" i="27"/>
  <c r="AB59" i="27"/>
  <c r="P54" i="27"/>
  <c r="Q54" i="27" s="1"/>
  <c r="R53" i="27"/>
  <c r="S53" i="27" s="1"/>
  <c r="R55" i="27"/>
  <c r="AB64" i="27"/>
  <c r="R54" i="27"/>
  <c r="S54" i="27" s="1"/>
  <c r="T53" i="27"/>
  <c r="U53" i="27" s="1"/>
  <c r="T55" i="27"/>
  <c r="V56" i="27"/>
  <c r="W56" i="27" s="1"/>
  <c r="F54" i="27"/>
  <c r="G54" i="27" s="1"/>
  <c r="J54" i="27"/>
  <c r="K54" i="27" s="1"/>
  <c r="AB61" i="27"/>
  <c r="AB58" i="27"/>
  <c r="AB57" i="27"/>
  <c r="T54" i="27"/>
  <c r="U54" i="27" s="1"/>
  <c r="V53" i="27"/>
  <c r="W53" i="27" s="1"/>
  <c r="V55" i="27"/>
  <c r="N56" i="27"/>
  <c r="O56" i="27" s="1"/>
  <c r="N55" i="27"/>
  <c r="V54" i="27"/>
  <c r="W54" i="27" s="1"/>
  <c r="X53" i="27"/>
  <c r="Y53" i="27" s="1"/>
  <c r="X55" i="27"/>
  <c r="H53" i="27"/>
  <c r="I53" i="27" s="1"/>
  <c r="AB62" i="27"/>
  <c r="AB60" i="27"/>
  <c r="D55" i="27"/>
  <c r="X54" i="27"/>
  <c r="Y54" i="27" s="1"/>
  <c r="Z53" i="27"/>
  <c r="AA53" i="27" s="1"/>
  <c r="Z55" i="27"/>
  <c r="L54" i="27"/>
  <c r="M54" i="27" s="1"/>
  <c r="D54" i="27"/>
  <c r="E54" i="27" s="1"/>
  <c r="F55" i="27"/>
  <c r="Z54" i="27"/>
  <c r="AA54" i="27" s="1"/>
  <c r="G32" i="37"/>
  <c r="G34" i="37" s="1"/>
  <c r="F23" i="38"/>
  <c r="F28" i="38" s="1"/>
  <c r="I8" i="30"/>
  <c r="I22" i="30" s="1"/>
  <c r="I27" i="30" s="1"/>
  <c r="K8" i="30"/>
  <c r="K22" i="30" s="1"/>
  <c r="K27" i="30" s="1"/>
  <c r="H23" i="38"/>
  <c r="H28" i="38" s="1"/>
  <c r="K25" i="30"/>
  <c r="J26" i="30"/>
  <c r="F20" i="21"/>
  <c r="F22" i="21" s="1"/>
  <c r="F18" i="21"/>
  <c r="G19" i="21" s="1"/>
  <c r="G31" i="38"/>
  <c r="G33" i="38" s="1"/>
  <c r="AB109" i="27"/>
  <c r="AB110" i="27"/>
  <c r="AB111" i="27"/>
  <c r="AB112" i="27"/>
  <c r="AB107" i="27"/>
  <c r="AB105" i="27"/>
  <c r="L108" i="27"/>
  <c r="M108" i="27" s="1"/>
  <c r="F108" i="27"/>
  <c r="G108" i="27" s="1"/>
  <c r="N108" i="27"/>
  <c r="O108" i="27" s="1"/>
  <c r="V108" i="27"/>
  <c r="W108" i="27" s="1"/>
  <c r="T108" i="27"/>
  <c r="U108" i="27" s="1"/>
  <c r="H108" i="27"/>
  <c r="I108" i="27" s="1"/>
  <c r="P108" i="27"/>
  <c r="Q108" i="27" s="1"/>
  <c r="X108" i="27"/>
  <c r="Y108" i="27" s="1"/>
  <c r="D108" i="27"/>
  <c r="E108" i="27" s="1"/>
  <c r="J108" i="27"/>
  <c r="K108" i="27" s="1"/>
  <c r="R108" i="27"/>
  <c r="S108" i="27" s="1"/>
  <c r="Z108" i="27"/>
  <c r="AA108" i="27" s="1"/>
  <c r="AB106" i="27"/>
  <c r="L102" i="27"/>
  <c r="M102" i="27" s="1"/>
  <c r="F102" i="27"/>
  <c r="G102" i="27" s="1"/>
  <c r="N102" i="27"/>
  <c r="O102" i="27" s="1"/>
  <c r="V102" i="27"/>
  <c r="W102" i="27" s="1"/>
  <c r="D102" i="27"/>
  <c r="E102" i="27" s="1"/>
  <c r="H102" i="27"/>
  <c r="I102" i="27" s="1"/>
  <c r="P102" i="27"/>
  <c r="Q102" i="27" s="1"/>
  <c r="X102" i="27"/>
  <c r="Y102" i="27" s="1"/>
  <c r="T102" i="27"/>
  <c r="U102" i="27" s="1"/>
  <c r="J102" i="27"/>
  <c r="K102" i="27" s="1"/>
  <c r="R102" i="27"/>
  <c r="S102" i="27" s="1"/>
  <c r="Z102" i="27"/>
  <c r="AA102" i="27" s="1"/>
  <c r="D104" i="27"/>
  <c r="E104" i="27" s="1"/>
  <c r="F104" i="27"/>
  <c r="G104" i="27" s="1"/>
  <c r="N104" i="27"/>
  <c r="O104" i="27" s="1"/>
  <c r="V104" i="27"/>
  <c r="W104" i="27" s="1"/>
  <c r="L104" i="27"/>
  <c r="M104" i="27" s="1"/>
  <c r="H104" i="27"/>
  <c r="I104" i="27" s="1"/>
  <c r="P104" i="27"/>
  <c r="Q104" i="27" s="1"/>
  <c r="X104" i="27"/>
  <c r="Y104" i="27" s="1"/>
  <c r="T104" i="27"/>
  <c r="U104" i="27" s="1"/>
  <c r="J104" i="27"/>
  <c r="K104" i="27" s="1"/>
  <c r="R104" i="27"/>
  <c r="S104" i="27" s="1"/>
  <c r="Z104" i="27"/>
  <c r="AA104" i="27" s="1"/>
  <c r="D103" i="27"/>
  <c r="F103" i="27"/>
  <c r="N103" i="27"/>
  <c r="V103" i="27"/>
  <c r="L103" i="27"/>
  <c r="H103" i="27"/>
  <c r="P103" i="27"/>
  <c r="X103" i="27"/>
  <c r="T103" i="27"/>
  <c r="J103" i="27"/>
  <c r="R103" i="27"/>
  <c r="Z103" i="27"/>
  <c r="V101" i="27"/>
  <c r="W101" i="27" s="1"/>
  <c r="H101" i="27"/>
  <c r="I101" i="27" s="1"/>
  <c r="P101" i="27"/>
  <c r="X101" i="27"/>
  <c r="Y101" i="27" s="1"/>
  <c r="N101" i="27"/>
  <c r="J101" i="27"/>
  <c r="K101" i="27" s="1"/>
  <c r="R101" i="27"/>
  <c r="S101" i="27" s="1"/>
  <c r="Z101" i="27"/>
  <c r="AA101" i="27" s="1"/>
  <c r="F101" i="27"/>
  <c r="G101" i="27" s="1"/>
  <c r="D101" i="27"/>
  <c r="E101" i="27" s="1"/>
  <c r="L101" i="27"/>
  <c r="T101" i="27"/>
  <c r="U101" i="27" s="1"/>
  <c r="D9" i="26"/>
  <c r="C9" i="26"/>
  <c r="B9" i="26"/>
  <c r="AE115" i="20" l="1"/>
  <c r="AG115" i="20"/>
  <c r="AJ116" i="20"/>
  <c r="AH116" i="20"/>
  <c r="AD117" i="20"/>
  <c r="AB117" i="20"/>
  <c r="AB118" i="20" s="1"/>
  <c r="AB56" i="27"/>
  <c r="AB54" i="27"/>
  <c r="M53" i="27"/>
  <c r="M69" i="27"/>
  <c r="M70" i="27"/>
  <c r="M55" i="27"/>
  <c r="AA103" i="27"/>
  <c r="AA118" i="27"/>
  <c r="Q101" i="27"/>
  <c r="Q117" i="27"/>
  <c r="AA70" i="27"/>
  <c r="AA55" i="27"/>
  <c r="AA71" i="27" s="1"/>
  <c r="I70" i="27"/>
  <c r="I55" i="27"/>
  <c r="I71" i="27" s="1"/>
  <c r="K70" i="27"/>
  <c r="K55" i="27"/>
  <c r="K71" i="27" s="1"/>
  <c r="S70" i="27"/>
  <c r="S55" i="27"/>
  <c r="S71" i="27" s="1"/>
  <c r="G103" i="27"/>
  <c r="G118" i="27"/>
  <c r="Y70" i="27"/>
  <c r="Y55" i="27"/>
  <c r="Y71" i="27" s="1"/>
  <c r="W70" i="27"/>
  <c r="W55" i="27"/>
  <c r="W71" i="27" s="1"/>
  <c r="Y103" i="27"/>
  <c r="Y118" i="27"/>
  <c r="O53" i="27"/>
  <c r="O69" i="27"/>
  <c r="O103" i="27"/>
  <c r="O118" i="27"/>
  <c r="W103" i="27"/>
  <c r="W118" i="27"/>
  <c r="O70" i="27"/>
  <c r="O55" i="27"/>
  <c r="K103" i="27"/>
  <c r="K118" i="27"/>
  <c r="Q70" i="27"/>
  <c r="Q55" i="27"/>
  <c r="M101" i="27"/>
  <c r="M117" i="27"/>
  <c r="Q103" i="27"/>
  <c r="Q118" i="27"/>
  <c r="I103" i="27"/>
  <c r="I118" i="27"/>
  <c r="O101" i="27"/>
  <c r="O117" i="27"/>
  <c r="U103" i="27"/>
  <c r="U118" i="27"/>
  <c r="M103" i="27"/>
  <c r="M118" i="27"/>
  <c r="E103" i="27"/>
  <c r="E118" i="27"/>
  <c r="G70" i="27"/>
  <c r="G55" i="27"/>
  <c r="G71" i="27" s="1"/>
  <c r="U70" i="27"/>
  <c r="U55" i="27"/>
  <c r="S103" i="27"/>
  <c r="S118" i="27"/>
  <c r="E70" i="27"/>
  <c r="E55" i="27"/>
  <c r="E71" i="27" s="1"/>
  <c r="Q53" i="27"/>
  <c r="Q69" i="27"/>
  <c r="J30" i="30"/>
  <c r="J32" i="30" s="1"/>
  <c r="J28" i="30"/>
  <c r="K29" i="30" s="1"/>
  <c r="AB108" i="27"/>
  <c r="AB102" i="27"/>
  <c r="AB104" i="27"/>
  <c r="B21" i="20"/>
  <c r="D7" i="20"/>
  <c r="B7" i="20"/>
  <c r="AG117" i="20" l="1"/>
  <c r="AE117" i="20"/>
  <c r="AE118" i="20" s="1"/>
  <c r="AH115" i="20"/>
  <c r="AJ115" i="20"/>
  <c r="AK116" i="20"/>
  <c r="AM116" i="20"/>
  <c r="AN116" i="20" s="1"/>
  <c r="AA119" i="27"/>
  <c r="J19" i="20"/>
  <c r="P19" i="20"/>
  <c r="V19" i="20"/>
  <c r="AB19" i="20"/>
  <c r="AH19" i="20"/>
  <c r="AN19" i="20"/>
  <c r="M19" i="20"/>
  <c r="S19" i="20"/>
  <c r="Y19" i="20"/>
  <c r="AE19" i="20"/>
  <c r="AK19" i="20"/>
  <c r="D19" i="20"/>
  <c r="C17" i="26" s="1"/>
  <c r="G19" i="20"/>
  <c r="D20" i="20"/>
  <c r="AK20" i="20"/>
  <c r="Y20" i="20"/>
  <c r="M20" i="20"/>
  <c r="P20" i="20"/>
  <c r="S20" i="20"/>
  <c r="AH20" i="20"/>
  <c r="V20" i="20"/>
  <c r="G20" i="20"/>
  <c r="AN20" i="20"/>
  <c r="AB20" i="20"/>
  <c r="AE20" i="20"/>
  <c r="J20" i="20"/>
  <c r="D21" i="20"/>
  <c r="C19" i="26" s="1"/>
  <c r="AH21" i="20"/>
  <c r="V21" i="20"/>
  <c r="J21" i="20"/>
  <c r="G21" i="20"/>
  <c r="AN21" i="20"/>
  <c r="AB21" i="20"/>
  <c r="AK21" i="20"/>
  <c r="Y21" i="20"/>
  <c r="M21" i="20"/>
  <c r="P21" i="20"/>
  <c r="AE21" i="20"/>
  <c r="S21" i="20"/>
  <c r="E119" i="27"/>
  <c r="K119" i="27"/>
  <c r="I119" i="27"/>
  <c r="G119" i="27"/>
  <c r="U71" i="27"/>
  <c r="O71" i="27"/>
  <c r="M119" i="27"/>
  <c r="Y119" i="27"/>
  <c r="Q119" i="27"/>
  <c r="S119" i="27"/>
  <c r="W119" i="27"/>
  <c r="U119" i="27"/>
  <c r="O119" i="27"/>
  <c r="AB103" i="27"/>
  <c r="AB101" i="27"/>
  <c r="Q71" i="27"/>
  <c r="AB71" i="27" s="1"/>
  <c r="H6" i="27" s="1"/>
  <c r="AB53" i="27"/>
  <c r="AB55" i="27"/>
  <c r="AB69" i="27"/>
  <c r="AB70" i="27"/>
  <c r="M71" i="27"/>
  <c r="AB118" i="27"/>
  <c r="AB117" i="27"/>
  <c r="AA51" i="25"/>
  <c r="H6" i="25" s="1"/>
  <c r="E17" i="26"/>
  <c r="E19" i="26"/>
  <c r="E18" i="26"/>
  <c r="C18" i="26"/>
  <c r="AK22" i="20" l="1"/>
  <c r="AK115" i="20"/>
  <c r="AM115" i="20"/>
  <c r="AN115" i="20" s="1"/>
  <c r="AH117" i="20"/>
  <c r="AH118" i="20" s="1"/>
  <c r="AJ117" i="20"/>
  <c r="D22" i="20"/>
  <c r="AB119" i="27"/>
  <c r="J6" i="27" s="1"/>
  <c r="M11" i="21" s="1"/>
  <c r="H12" i="37" s="1"/>
  <c r="H26" i="37" s="1"/>
  <c r="H28" i="37" s="1"/>
  <c r="K11" i="21"/>
  <c r="B11" i="24"/>
  <c r="K12" i="21"/>
  <c r="B12" i="24"/>
  <c r="E20" i="26"/>
  <c r="G22" i="20"/>
  <c r="S22" i="20"/>
  <c r="V22" i="20"/>
  <c r="AE22" i="20"/>
  <c r="Y22" i="20"/>
  <c r="AH22" i="20"/>
  <c r="AB22" i="20"/>
  <c r="M22" i="20"/>
  <c r="P22" i="20"/>
  <c r="AN22" i="20"/>
  <c r="D20" i="26"/>
  <c r="C20" i="26"/>
  <c r="AM117" i="20" l="1"/>
  <c r="AN117" i="20" s="1"/>
  <c r="AN118" i="20" s="1"/>
  <c r="AK117" i="20"/>
  <c r="AK118" i="20" s="1"/>
  <c r="D11" i="24"/>
  <c r="D13" i="24" s="1"/>
  <c r="H11" i="29"/>
  <c r="H25" i="29" s="1"/>
  <c r="H27" i="29" s="1"/>
  <c r="H31" i="29" s="1"/>
  <c r="H33" i="29" s="1"/>
  <c r="H11" i="38"/>
  <c r="H25" i="38" s="1"/>
  <c r="H27" i="38" s="1"/>
  <c r="G14" i="21"/>
  <c r="G16" i="21" s="1"/>
  <c r="G18" i="21" s="1"/>
  <c r="B13" i="24"/>
  <c r="H32" i="37"/>
  <c r="H34" i="37" s="1"/>
  <c r="H30" i="37"/>
  <c r="E14" i="21"/>
  <c r="F12" i="37"/>
  <c r="F26" i="37" s="1"/>
  <c r="F11" i="29"/>
  <c r="F25" i="29" s="1"/>
  <c r="F11" i="38"/>
  <c r="F12" i="29"/>
  <c r="F26" i="29" s="1"/>
  <c r="F12" i="38"/>
  <c r="F13" i="37"/>
  <c r="F27" i="37" s="1"/>
  <c r="E15" i="21"/>
  <c r="C4" i="33"/>
  <c r="C5" i="33" s="1"/>
  <c r="J4" i="33"/>
  <c r="K10" i="30" l="1"/>
  <c r="K24" i="30" s="1"/>
  <c r="K26" i="30" s="1"/>
  <c r="K28" i="30" s="1"/>
  <c r="H29" i="29"/>
  <c r="G20" i="21"/>
  <c r="G22" i="21" s="1"/>
  <c r="F27" i="29"/>
  <c r="F31" i="29" s="1"/>
  <c r="F33" i="29" s="1"/>
  <c r="I10" i="30"/>
  <c r="I24" i="30" s="1"/>
  <c r="F25" i="38"/>
  <c r="H29" i="38"/>
  <c r="H31" i="38"/>
  <c r="H33" i="38" s="1"/>
  <c r="E16" i="21"/>
  <c r="E18" i="21" s="1"/>
  <c r="F28" i="37"/>
  <c r="F30" i="37" s="1"/>
  <c r="F26" i="38"/>
  <c r="I11" i="30"/>
  <c r="I25" i="30" s="1"/>
  <c r="B10" i="26"/>
  <c r="C8" i="20"/>
  <c r="C10" i="26"/>
  <c r="K30" i="30" l="1"/>
  <c r="K32" i="30" s="1"/>
  <c r="F29" i="29"/>
  <c r="F27" i="38"/>
  <c r="F31" i="38" s="1"/>
  <c r="F33" i="38" s="1"/>
  <c r="I26" i="30"/>
  <c r="I30" i="30" s="1"/>
  <c r="I32" i="30" s="1"/>
  <c r="F32" i="37"/>
  <c r="F34" i="37" s="1"/>
  <c r="E20" i="21"/>
  <c r="E22" i="21" s="1"/>
  <c r="B8" i="20"/>
  <c r="D8" i="20"/>
  <c r="D10" i="26"/>
  <c r="F29" i="38" l="1"/>
  <c r="I28" i="30"/>
  <c r="J22" i="20"/>
</calcChain>
</file>

<file path=xl/sharedStrings.xml><?xml version="1.0" encoding="utf-8"?>
<sst xmlns="http://schemas.openxmlformats.org/spreadsheetml/2006/main" count="1176" uniqueCount="328">
  <si>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</si>
  <si>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</si>
  <si>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</si>
  <si>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</si>
  <si>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</si>
  <si>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</si>
  <si>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</si>
  <si>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</si>
  <si>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</si>
  <si>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</si>
  <si>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</si>
  <si>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</si>
  <si>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</si>
  <si>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</si>
  <si>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</si>
  <si>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Mercado total</t>
  </si>
  <si>
    <t>CABA</t>
  </si>
  <si>
    <t>Poblacion estimada 2019</t>
  </si>
  <si>
    <t>Argentina</t>
  </si>
  <si>
    <t>Total</t>
  </si>
  <si>
    <t>https://propamba.wordpress.com/amba/que-es-el-amba/</t>
  </si>
  <si>
    <t>AMBA</t>
  </si>
  <si>
    <t>https://www.indec.gob.ar/indec/web/Nivel4-Tema-2-24-85</t>
  </si>
  <si>
    <t>INDEC</t>
  </si>
  <si>
    <t>Conurbano Bonaerense (32% de Argentina)</t>
  </si>
  <si>
    <t>Fuente: https://www.indec.gob.ar/indec/web/Nivel4-Tema-2-24-85</t>
  </si>
  <si>
    <t>Población estimada 2019</t>
  </si>
  <si>
    <t>Total (CABA + Conurbano Bonaerense)</t>
  </si>
  <si>
    <t>Lista de precios</t>
  </si>
  <si>
    <t>PROFUNDIDAD DE LAS LÍNEAS DE PRODUCTOS</t>
  </si>
  <si>
    <t>Líneas de productos</t>
  </si>
  <si>
    <t>Producto</t>
  </si>
  <si>
    <t>Precio</t>
  </si>
  <si>
    <t>Bomba de agua</t>
  </si>
  <si>
    <t xml:space="preserve">Partiremos nuestro análisis del mercado considerando a todos los habitantes del Conurbano Bonaerense y de la Ciudad Autónoma de Buenos Aires que residen en casas o departamentos. 
Según la proyección que realiza el Instituto Nacional de Estadísticas y Censos se estima que en 2019 son más de 17 millones de personas. </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</si>
  <si>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</si>
  <si>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</si>
  <si>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</si>
  <si>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</si>
  <si>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</si>
  <si>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</si>
  <si>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</si>
  <si>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</si>
  <si>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</si>
  <si>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</si>
  <si>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</si>
  <si>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</si>
  <si>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</si>
  <si>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</si>
  <si>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</si>
  <si>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</si>
  <si>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</si>
  <si>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</si>
  <si>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</si>
  <si>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</si>
  <si>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2020</t>
  </si>
  <si>
    <t>Ingresos 2021</t>
  </si>
  <si>
    <t>TOTALES</t>
  </si>
  <si>
    <t>Ingresos por productos</t>
  </si>
  <si>
    <t>Cantidad</t>
  </si>
  <si>
    <t>Anual</t>
  </si>
  <si>
    <t>Estacionalidad</t>
  </si>
  <si>
    <t>Concepto</t>
  </si>
  <si>
    <t>Año 2019</t>
  </si>
  <si>
    <t>Evolución de la participación en el mercado</t>
  </si>
  <si>
    <t>1 - Descripción del negocio</t>
  </si>
  <si>
    <t>2 - Mercado meta</t>
  </si>
  <si>
    <t>3 - Participación del mercado</t>
  </si>
  <si>
    <t>4 - Otros datos</t>
  </si>
  <si>
    <t>Ingreso Total</t>
  </si>
  <si>
    <t>Costo</t>
  </si>
  <si>
    <t>Descripción</t>
  </si>
  <si>
    <t>CONCLUSIÓN</t>
  </si>
  <si>
    <t>Servicios</t>
  </si>
  <si>
    <t>Gas</t>
  </si>
  <si>
    <t>Agua</t>
  </si>
  <si>
    <t>Luz</t>
  </si>
  <si>
    <t>Alquiler</t>
  </si>
  <si>
    <t>Honorarios</t>
  </si>
  <si>
    <t>Estudio Contable</t>
  </si>
  <si>
    <t>Costos fijos - Año 2019</t>
  </si>
  <si>
    <t>Conceptos</t>
  </si>
  <si>
    <t>Observaciones</t>
  </si>
  <si>
    <t>Total anual</t>
  </si>
  <si>
    <t>Telefonía fija</t>
  </si>
  <si>
    <t>Telefonía móvil (6 líneas, $725 x mes)</t>
  </si>
  <si>
    <t>Internet</t>
  </si>
  <si>
    <t>Cloud Hosting (PlanEnterprise AR$ 18,228.00 /Año)</t>
  </si>
  <si>
    <t>Impuesto municipal (Indicado en alquiler)</t>
  </si>
  <si>
    <t>Expensas (no posee)</t>
  </si>
  <si>
    <t>Publicidad online</t>
  </si>
  <si>
    <t>Costos fijos - Año 2020</t>
  </si>
  <si>
    <t>Costos fijos - Año 2021</t>
  </si>
  <si>
    <t>Costos fijos - Totales</t>
  </si>
  <si>
    <t>Costos variables - Totales</t>
  </si>
  <si>
    <t>Costos variables - Año 2019</t>
  </si>
  <si>
    <t>Subtotal</t>
  </si>
  <si>
    <t>Solucion nutritiva (500cm3)</t>
  </si>
  <si>
    <t>Semillas (muestra)</t>
  </si>
  <si>
    <t>Turba (muestra)</t>
  </si>
  <si>
    <t>Packaging - Caja a medida</t>
  </si>
  <si>
    <t>Costo unitario</t>
  </si>
  <si>
    <t>Lana de roca 3 cm x 42 cm x 14 cm</t>
  </si>
  <si>
    <t>Caños de PVC para estructura y canales (En metros)</t>
  </si>
  <si>
    <t>Empalmes</t>
  </si>
  <si>
    <t>Recipiente repositorio de agua</t>
  </si>
  <si>
    <t>Timer</t>
  </si>
  <si>
    <t>Canaletas de hechas con tubos de PVC (5cm x 45cm x 15cm)</t>
  </si>
  <si>
    <t>Estantería de madera armada a medida (40cm x 49cm x 20cm) (tercerizado)</t>
  </si>
  <si>
    <t>Lana de roca (7,5cm x 1000cm x 15cm)</t>
  </si>
  <si>
    <t>Solucion nutritiva (rinde 1000 litros de preparación)</t>
  </si>
  <si>
    <t>Semillas</t>
  </si>
  <si>
    <t>Packaging</t>
  </si>
  <si>
    <t>Insumos de producción</t>
  </si>
  <si>
    <t>Productos de reventa</t>
  </si>
  <si>
    <t>Insumos de librería</t>
  </si>
  <si>
    <t>Distribución</t>
  </si>
  <si>
    <t>TOTAL</t>
  </si>
  <si>
    <t>Publicidad y promoción</t>
  </si>
  <si>
    <t>Costos variables - Año 2020</t>
  </si>
  <si>
    <t>Costos variables - Año 2021</t>
  </si>
  <si>
    <t>Cálculo de costo unitario de producción</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</si>
  <si>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</si>
  <si>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</si>
  <si>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</si>
  <si>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</si>
  <si>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</si>
  <si>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</si>
  <si>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</si>
  <si>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</si>
  <si>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</si>
  <si>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</si>
  <si>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</si>
  <si>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</si>
  <si>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</si>
  <si>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</si>
  <si>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</si>
  <si>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</si>
  <si>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</si>
  <si>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</si>
  <si>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</si>
  <si>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</si>
  <si>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</si>
  <si>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</si>
  <si>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Costos de RRHH - Año 2019</t>
  </si>
  <si>
    <t>Totales</t>
  </si>
  <si>
    <t>Costos de RRHH - Año 2020</t>
  </si>
  <si>
    <t>Costos de RRHH - Año 2021</t>
  </si>
  <si>
    <t>Costos Fijos</t>
  </si>
  <si>
    <t>Costos variables</t>
  </si>
  <si>
    <t>Costos de RRHH</t>
  </si>
  <si>
    <t>Costos totales</t>
  </si>
  <si>
    <t>Objetivo ingresos</t>
  </si>
  <si>
    <t>Modelo de Inversión</t>
  </si>
  <si>
    <t>Inversión Inicial</t>
  </si>
  <si>
    <t>Inversión inicial - Año cero</t>
  </si>
  <si>
    <t>Sierra Circular De Banco</t>
  </si>
  <si>
    <t>Tijera cortadora de tubos de pvc</t>
  </si>
  <si>
    <t>Taladro y amalodora</t>
  </si>
  <si>
    <t>Kit de herramientas</t>
  </si>
  <si>
    <t>Precio unitario</t>
  </si>
  <si>
    <t>Inversión - Año 2019</t>
  </si>
  <si>
    <t>Notebook</t>
  </si>
  <si>
    <t>Silla</t>
  </si>
  <si>
    <t>Referencia</t>
  </si>
  <si>
    <t>Desarrollo de plataforma web</t>
  </si>
  <si>
    <t>Camioneta RENAULT MASTER L1H1</t>
  </si>
  <si>
    <t>Escritorio de oficina</t>
  </si>
  <si>
    <t>Impresora multifuncion con toner</t>
  </si>
  <si>
    <t>Celular Samsung J2 Core</t>
  </si>
  <si>
    <t>Computadora de escritorio + monitor 19''</t>
  </si>
  <si>
    <t>Estanteria Metálica 42x90x2mts</t>
  </si>
  <si>
    <t>Inversión - Año 2020</t>
  </si>
  <si>
    <t>Inversión - Año 2021</t>
  </si>
  <si>
    <t>Silla de escritorio regulable</t>
  </si>
  <si>
    <t>Notebook Asus Amd A6-9225</t>
  </si>
  <si>
    <t>Amortización</t>
  </si>
  <si>
    <t>Rubro</t>
  </si>
  <si>
    <t>Año cero</t>
  </si>
  <si>
    <t>Taladro y amoladora</t>
  </si>
  <si>
    <t>Amortización
( en años )</t>
  </si>
  <si>
    <t>Valor de adquisiciones</t>
  </si>
  <si>
    <t>Estantería Metálica 42x90x2mts</t>
  </si>
  <si>
    <t>Herramientas y muebles para Producción</t>
  </si>
  <si>
    <t>Vehículos</t>
  </si>
  <si>
    <t>Informática y comunicaciones</t>
  </si>
  <si>
    <t>Muebles de oficina</t>
  </si>
  <si>
    <t>Año 2020</t>
  </si>
  <si>
    <t>Año 2021</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</si>
  <si>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</si>
  <si>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</si>
  <si>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</si>
  <si>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</si>
  <si>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</si>
  <si>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</si>
  <si>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</si>
  <si>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</si>
  <si>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</si>
  <si>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</si>
  <si>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</si>
  <si>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</si>
  <si>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</si>
  <si>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</si>
  <si>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</si>
  <si>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Camioneta Fiat Ducato 2019</t>
  </si>
  <si>
    <t>Riesgo</t>
  </si>
  <si>
    <t>Causa</t>
  </si>
  <si>
    <t>Efecto</t>
  </si>
  <si>
    <t>Probabilidad</t>
  </si>
  <si>
    <t>Impacto</t>
  </si>
  <si>
    <t>Alto</t>
  </si>
  <si>
    <t>Media</t>
  </si>
  <si>
    <t>Escenario 2</t>
  </si>
  <si>
    <t>Medio</t>
  </si>
  <si>
    <t>Baja</t>
  </si>
  <si>
    <t>Bajo</t>
  </si>
  <si>
    <t>Demora de un mes en el desarrollo del plan tecnológico.</t>
  </si>
  <si>
    <t>Se demora la implementación del sistema</t>
  </si>
  <si>
    <t>Escenario 3</t>
  </si>
  <si>
    <t>Número</t>
  </si>
  <si>
    <t>La marca de nuentro competidor adquiere una excelente imagen pública y logra mayor difusión en nuestro mercado meta.</t>
  </si>
  <si>
    <t>Costos</t>
  </si>
  <si>
    <t>Stock inicial del modelo - Agrogome Mini</t>
  </si>
  <si>
    <t>Stock inicial del modelo - Agrogome Classic</t>
  </si>
  <si>
    <t>Stock inicial del modelo - Agrogome Professional</t>
  </si>
  <si>
    <t>Stock inicial de insumos para iniciar producción</t>
  </si>
  <si>
    <t>Se pierde un 25% de nuestros clientes que escogen a nuestra competencia.</t>
  </si>
  <si>
    <t>El gobierno lanza un programa para impulsar el cultivo en hogares subsidiando en un 50% la compra de huertas hogareñas pero sale elegido un competidor directo como proveedor para esta campaña.</t>
  </si>
  <si>
    <t>Aumento tarifario de servicios básicos</t>
  </si>
  <si>
    <t>Se encarece la tarifa de energía eléctrica en un 35%</t>
  </si>
  <si>
    <t>El gobierno reduce subsidios.</t>
  </si>
  <si>
    <t>Problemas de disponibilidad de plataforma web</t>
  </si>
  <si>
    <t>Utilización del enlace secundario, lentitud en acceso a la plataforma. Aumenta la tasa de quejas teléfonicas.</t>
  </si>
  <si>
    <t>Incendio en instalaciones</t>
  </si>
  <si>
    <t>Robo en sucursal</t>
  </si>
  <si>
    <t>Renuncia del gerente general</t>
  </si>
  <si>
    <t>Disminución de la participación en los talleres presenciales</t>
  </si>
  <si>
    <t>Daños en vehículo de distribución.</t>
  </si>
  <si>
    <t>Aparición de un nuevo competidor chino en nuestro mercado.</t>
  </si>
  <si>
    <t>Bloqueo de importaciones</t>
  </si>
  <si>
    <t>Rotación del personal</t>
  </si>
  <si>
    <t>ESCENARIO 1</t>
  </si>
  <si>
    <t>Escenario 1</t>
  </si>
  <si>
    <t>Ajustes</t>
  </si>
  <si>
    <t>Costo fijo</t>
  </si>
  <si>
    <t>Costo variable</t>
  </si>
  <si>
    <t>Costo RRHH</t>
  </si>
  <si>
    <t>Costos RRHH</t>
  </si>
  <si>
    <t>Lanzamiento de un nuevo producto de la competencia.</t>
  </si>
  <si>
    <t>Ingresos objetivo</t>
  </si>
  <si>
    <t>ESCENARIO 2</t>
  </si>
  <si>
    <t>Un operario pierde una extremididad con la sierra tras un desperfecto en la máquina por falta de mantenimiento. Esto ocurre en el 2do período.</t>
  </si>
  <si>
    <t>Pago de juicio por indemnización a operario en accidente laboral no cubierto por ART.</t>
  </si>
  <si>
    <t>Riesgo n°10</t>
  </si>
  <si>
    <t>ESCENARIO 3</t>
  </si>
  <si>
    <t>Pago de indeminización por $3.500.000 más $300.000 por costas legales.</t>
  </si>
  <si>
    <t>Costo variable incorporado 
en ejercicio 2020</t>
  </si>
  <si>
    <t>Riesgo n°3</t>
  </si>
  <si>
    <t>Se posterga la implementación un mes retrasando el crecimiento.</t>
  </si>
  <si>
    <t>Corte inesperado del enlace de Fibra óptica de nuestro proveedor principal.</t>
  </si>
  <si>
    <t>Aumento inflacionario de un 60% en el año 2020.</t>
  </si>
  <si>
    <t>El cambio de Gobierno acrecentó la crisis económica del modelo anterior. Nuestro potenciales clientes disponen de menos dinero para invertir en gustos personales.</t>
  </si>
  <si>
    <t>Caen las ventas un 10% en 2020 y 2021.</t>
  </si>
  <si>
    <t>Se pierden clientes de nuestro nicho de mercado y caen un 20% nuestras ventas en 2021</t>
  </si>
  <si>
    <t>Ajustes en ingresos y costos variables</t>
  </si>
  <si>
    <t>Riesgo n°1</t>
  </si>
  <si>
    <t>PLAN DE CONTINGENCIA</t>
  </si>
  <si>
    <t>Plan de contingencia para escenario 3</t>
  </si>
  <si>
    <t>Con plan de contingencia</t>
  </si>
  <si>
    <t>Ajustes en ingresos y costos variables por escenario 3</t>
  </si>
  <si>
    <t>Medidas de contingencia</t>
  </si>
  <si>
    <t>Ahorro en Inversión 2021</t>
  </si>
  <si>
    <t>Ahorro en costos de RRHH 2021</t>
  </si>
  <si>
    <t>Ahorro en costos de RRHH 2020</t>
  </si>
  <si>
    <r>
      <t xml:space="preserve">El plan de contingencia que se adoptará para este riesgo de reducción de ventas será la implementación de una política de ajuste en la cual no se contratará nuevos empleados en estos dos años, ni se comprará el nuevo vehículo para la distribución.
</t>
    </r>
    <r>
      <rPr>
        <b/>
        <sz val="11"/>
        <color theme="1"/>
        <rFont val="Calibri"/>
        <family val="2"/>
        <scheme val="minor"/>
      </rPr>
      <t xml:space="preserve">
Medida 1:</t>
    </r>
    <r>
      <rPr>
        <sz val="11"/>
        <color theme="1"/>
        <rFont val="Calibri"/>
        <family val="2"/>
        <scheme val="minor"/>
      </rPr>
      <t xml:space="preserve"> No será necesario la adquisición del vehículo extra como inversión del año 2021.  (Ahorro: $1.234.590,00).
</t>
    </r>
    <r>
      <rPr>
        <b/>
        <sz val="11"/>
        <color theme="1"/>
        <rFont val="Calibri"/>
        <family val="2"/>
        <scheme val="minor"/>
      </rPr>
      <t>Medida 2:</t>
    </r>
    <r>
      <rPr>
        <sz val="11"/>
        <color theme="1"/>
        <rFont val="Calibri"/>
        <family val="2"/>
        <scheme val="minor"/>
      </rPr>
      <t xml:space="preserve"> Se decidirá por no contratar a:
1 operario técnico especializado en enero de 2021, ahorrando $634.277,41 en 2021.
</t>
    </r>
    <r>
      <rPr>
        <b/>
        <sz val="11"/>
        <color theme="1"/>
        <rFont val="Calibri"/>
        <family val="2"/>
        <scheme val="minor"/>
      </rPr>
      <t xml:space="preserve">
Medida 3: </t>
    </r>
    <r>
      <rPr>
        <sz val="11"/>
        <color theme="1"/>
        <rFont val="Calibri"/>
        <family val="2"/>
        <scheme val="minor"/>
      </rPr>
      <t xml:space="preserve">Se decidirá por no contratar a:
1 gerente de marketing en mayo de 2020, ahorrando $549.658,81 en 2020 y $824.488,21 en 2021.
</t>
    </r>
    <r>
      <rPr>
        <b/>
        <sz val="11"/>
        <color theme="1"/>
        <rFont val="Calibri"/>
        <family val="2"/>
        <scheme val="minor"/>
      </rPr>
      <t xml:space="preserve">Medida 4: </t>
    </r>
    <r>
      <rPr>
        <sz val="11"/>
        <color theme="1"/>
        <rFont val="Calibri"/>
        <family val="2"/>
        <scheme val="minor"/>
      </rPr>
      <t xml:space="preserve">Se decidirá por no contratar en septiembre de 2021 al nuevo distribuidor y operario ahorrando $338.313,47 en 2021.
$ 39.036,17 (mismo sueldo) x 4 meses = $ 156.144,68 	
$ 156.144,68  + $ 13.012,06 (SAC) = $ 169.156,74 
$ 169.156,74  * 2 empleados = $ 338.313,47
</t>
    </r>
  </si>
  <si>
    <t>Como se puede observar, aplicando el plan de contingencia se pasa de un escenario de pérdidas, con VAN negativo y TIR a varios puntos de distancia de la tasa de corte deseada, a una situación favorable muy cercana al presupuesto financiero original. Donde el negocio mantiene su rentabilidad financiera al tener un VAN positivo con la misma tasa de corte.</t>
  </si>
  <si>
    <t>Clientes</t>
  </si>
  <si>
    <t>Gasto promedio</t>
  </si>
  <si>
    <t xml:space="preserve">Modelo </t>
  </si>
  <si>
    <t>Local comercial d</t>
  </si>
  <si>
    <t xml:space="preserve">Publicidad </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</si>
  <si>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</si>
  <si>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</si>
  <si>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</si>
  <si>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</si>
  <si>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Docentes: Dr. </t>
    </r>
    <r>
      <rPr>
        <sz val="14"/>
        <color theme="1"/>
        <rFont val="Arial"/>
        <family val="2"/>
      </rPr>
      <t>Scali, Jorge - Ing. Parkinson, Christian</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</si>
  <si>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</si>
  <si>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</si>
  <si>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</si>
  <si>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</si>
  <si>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</si>
  <si>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</si>
  <si>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</si>
  <si>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</si>
  <si>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</si>
  <si>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</si>
  <si>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</si>
  <si>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</si>
  <si>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</si>
  <si>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</si>
  <si>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</si>
  <si>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</si>
  <si>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</si>
  <si>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</si>
  <si>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</si>
  <si>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</si>
  <si>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</si>
  <si>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</si>
  <si>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</si>
  <si>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</si>
  <si>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</si>
  <si>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</si>
  <si>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</si>
  <si>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</si>
  <si>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</si>
  <si>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</si>
  <si>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</si>
  <si>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</si>
  <si>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</si>
  <si>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</si>
  <si>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</si>
  <si>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</si>
  <si>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r>
      <t>El objetivo estratégico de nuestro emprendimiento es el de alcanzar el 4</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</si>
  <si>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Ingresos 2022</t>
  </si>
  <si>
    <t>Proyección de ventas 2022</t>
  </si>
  <si>
    <t>Capacidad Operativa 2021</t>
  </si>
  <si>
    <t>Nuevas Suscripciones</t>
  </si>
  <si>
    <t>Capacidad Operativa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</si>
</sst>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44" formatCode="_-* #,##0.00\ &quot;€&quot;_-;\-* #,##0.00\ &quot;€&quot;_-;_-* &quot;-&quot;??\ &quot;€&quot;_-;_-@_-"/>
    <numFmt numFmtId="43" formatCode="_-* #,##0.00\ _€_-;\-* #,##0.00\ _€_-;_-* &quot;-&quot;??\ _€_-;_-@_-"/>
    <numFmt numFmtId="164" formatCode="&quot;$&quot;\ #,##0.00;[Red]\-&quot;$&quot;\ #,##0.00"/>
    <numFmt numFmtId="165" formatCode="_-&quot;$&quot;\ * #,##0.00_-;\-&quot;$&quot;\ * #,##0.00_-;_-&quot;$&quot;\ * &quot;-&quot;??_-;_-@_-"/>
    <numFmt numFmtId="166" formatCode="0.0%"/>
    <numFmt numFmtId="167" formatCode="General_)"/>
    <numFmt numFmtId="168" formatCode="_-* #,##0\ _€_-;\-* #,##0\ _€_-;_-* &quot;-&quot;??\ _€_-;_-@_-"/>
    <numFmt numFmtId="169" formatCode="_ [$$-2C0A]\ * #,##0.00_ ;_ [$$-2C0A]\ * \-#,##0.00_ ;_ [$$-2C0A]\ * &quot;-&quot;??_ ;_ @_ "/>
    <numFmt numFmtId="170" formatCode="&quot;$&quot;\ #,##0.00"/>
    <numFmt numFmtId="171" formatCode="&quot;$&quot;#,##0.00"/>
    <numFmt numFmtId="172" formatCode="_ &quot;$&quot;\ * #,##0.00_ ;_ &quot;$&quot;\ * \-#,##0.00_ ;_ &quot;$&quot;\ * &quot;-&quot;??_ ;_ @_ "/>
    <numFmt numFmtId="173" formatCode="&quot;$&quot;#,##0;[Red]\-&quot;$&quot;#,##0"/>
    <numFmt numFmtId="174" formatCode="_ [$€-2]\ * #,##0.00_ ;_ [$€-2]\ * \-#,##0.00_ ;_ [$€-2]\ * &quot;-&quot;??_ "/>
    <numFmt numFmtId="175" formatCode="_-&quot;$&quot;* #,##0.00_-;\-&quot;$&quot;* #,##0.00_-;_-&quot;$&quot;* &quot;-&quot;??_-;_-@_-"/>
    <numFmt numFmtId="176" formatCode="[$$-2C0A]\ #,##0.00"/>
    <numFmt numFmtId="177" formatCode="[$$-2C0A]\ #,##0"/>
    <numFmt numFmtId="178" formatCode="0_ ;\-0\ "/>
  </numFmts>
  <fonts count="34"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sz val="8"/>
      <name val="Arial"/>
      <family val="2"/>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sz val="18"/>
      <color theme="1"/>
      <name val="Calibri"/>
      <family val="2"/>
      <scheme val="minor"/>
    </font>
    <font>
      <sz val="18"/>
      <color theme="1"/>
      <name val="Calibri"/>
      <family val="2"/>
      <scheme val="minor"/>
    </font>
    <font>
      <sz val="11"/>
      <color theme="1"/>
      <name val="Arial"/>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s>
  <fills count="19">
    <fill>
      <patternFill patternType="none"/>
    </fill>
    <fill>
      <patternFill patternType="gray125"/>
    </fill>
    <fill>
      <patternFill patternType="solid">
        <fgColor theme="0"/>
        <bgColor indexed="64"/>
      </patternFill>
    </fill>
    <fill>
      <patternFill patternType="solid">
        <fgColor rgb="FF7AFA72"/>
        <bgColor indexed="64"/>
      </patternFill>
    </fill>
    <fill>
      <patternFill patternType="solid">
        <fgColor indexed="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C000"/>
        <bgColor indexed="64"/>
      </patternFill>
    </fill>
  </fills>
  <borders count="1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style="medium">
        <color theme="4" tint="-0.249977111117893"/>
      </right>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right/>
      <top style="thin">
        <color indexed="64"/>
      </top>
      <bottom style="medium">
        <color indexed="64"/>
      </bottom>
      <diagonal/>
    </border>
  </borders>
  <cellStyleXfs count="26">
    <xf numFmtId="0" fontId="0" fillId="0" borderId="0"/>
    <xf numFmtId="0" fontId="3" fillId="0" borderId="0" applyNumberForma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167" fontId="17" fillId="0" borderId="0"/>
    <xf numFmtId="167" fontId="17" fillId="0" borderId="0"/>
    <xf numFmtId="165" fontId="10" fillId="0" borderId="0" applyFont="0" applyFill="0" applyBorder="0" applyAlignment="0" applyProtection="0"/>
    <xf numFmtId="0" fontId="27" fillId="0" borderId="0"/>
    <xf numFmtId="44" fontId="29" fillId="0" borderId="0" applyFont="0" applyFill="0" applyBorder="0" applyAlignment="0" applyProtection="0"/>
    <xf numFmtId="0" fontId="10" fillId="0" borderId="0"/>
    <xf numFmtId="172" fontId="10" fillId="0" borderId="0" applyFont="0" applyFill="0" applyBorder="0" applyAlignment="0" applyProtection="0"/>
    <xf numFmtId="174" fontId="31" fillId="0" borderId="0" applyFont="0" applyFill="0" applyBorder="0" applyAlignment="0" applyProtection="0"/>
    <xf numFmtId="0" fontId="3" fillId="0" borderId="0" applyNumberFormat="0" applyFill="0" applyBorder="0" applyAlignment="0" applyProtection="0"/>
    <xf numFmtId="0" fontId="31" fillId="0" borderId="0"/>
    <xf numFmtId="0" fontId="3" fillId="0" borderId="0" applyNumberFormat="0" applyFill="0" applyBorder="0" applyAlignment="0" applyProtection="0"/>
    <xf numFmtId="9" fontId="10" fillId="0" borderId="0" applyFont="0" applyFill="0" applyBorder="0" applyAlignment="0" applyProtection="0"/>
    <xf numFmtId="0" fontId="3" fillId="0" borderId="0" applyNumberFormat="0" applyFill="0" applyBorder="0" applyAlignment="0" applyProtection="0"/>
    <xf numFmtId="0" fontId="32" fillId="0" borderId="0" applyNumberFormat="0" applyFill="0" applyBorder="0" applyAlignment="0" applyProtection="0">
      <alignment vertical="top"/>
      <protection locked="0"/>
    </xf>
    <xf numFmtId="0" fontId="31" fillId="0" borderId="0"/>
    <xf numFmtId="175" fontId="10" fillId="0" borderId="0" applyFont="0" applyFill="0" applyBorder="0" applyAlignment="0" applyProtection="0"/>
    <xf numFmtId="0" fontId="28" fillId="0" borderId="0" applyNumberFormat="0" applyFill="0" applyBorder="0" applyAlignment="0" applyProtection="0"/>
    <xf numFmtId="0" fontId="10" fillId="0" borderId="0"/>
    <xf numFmtId="44" fontId="10" fillId="0" borderId="0" applyFont="0" applyFill="0" applyBorder="0" applyAlignment="0" applyProtection="0"/>
    <xf numFmtId="172" fontId="10" fillId="0" borderId="0" applyFont="0" applyFill="0" applyBorder="0" applyAlignment="0" applyProtection="0"/>
    <xf numFmtId="9" fontId="10" fillId="0" borderId="0" applyFont="0" applyFill="0" applyBorder="0" applyAlignment="0" applyProtection="0"/>
    <xf numFmtId="175" fontId="10" fillId="0" borderId="0" applyFont="0" applyFill="0" applyBorder="0" applyAlignment="0" applyProtection="0"/>
  </cellStyleXfs>
  <cellXfs count="852">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3" fillId="2" borderId="0" xfId="0" applyFont="1" applyFill="1"/>
    <xf numFmtId="0" fontId="3" fillId="0" borderId="0" xfId="1"/>
    <xf numFmtId="43" fontId="0" fillId="0" borderId="0" xfId="0" applyNumberFormat="1"/>
    <xf numFmtId="166" fontId="0" fillId="0" borderId="0" xfId="3" applyNumberFormat="1" applyFont="1"/>
    <xf numFmtId="0" fontId="0" fillId="0" borderId="0" xfId="0" applyAlignment="1">
      <alignment horizontal="center" vertical="center"/>
    </xf>
    <xf numFmtId="0" fontId="18" fillId="4" borderId="0" xfId="4" applyNumberFormat="1" applyFont="1" applyFill="1" applyAlignment="1">
      <alignment horizontal="center"/>
    </xf>
    <xf numFmtId="3" fontId="18" fillId="4" borderId="0" xfId="4" applyNumberFormat="1" applyFont="1" applyFill="1" applyAlignment="1">
      <alignment horizontal="right"/>
    </xf>
    <xf numFmtId="0" fontId="0" fillId="4" borderId="0" xfId="0" applyFill="1" applyBorder="1"/>
    <xf numFmtId="0" fontId="18" fillId="4" borderId="0" xfId="5" applyNumberFormat="1" applyFont="1" applyFill="1" applyAlignment="1">
      <alignment horizontal="center"/>
    </xf>
    <xf numFmtId="3" fontId="18" fillId="4" borderId="0" xfId="5" applyNumberFormat="1" applyFont="1" applyFill="1" applyAlignment="1">
      <alignment horizontal="right"/>
    </xf>
    <xf numFmtId="0" fontId="0" fillId="0" borderId="1" xfId="0" applyBorder="1"/>
    <xf numFmtId="43" fontId="0" fillId="0" borderId="1" xfId="2" applyFont="1" applyBorder="1"/>
    <xf numFmtId="0" fontId="0" fillId="3" borderId="1" xfId="0" applyFill="1" applyBorder="1" applyAlignment="1">
      <alignment horizontal="center" vertical="center"/>
    </xf>
    <xf numFmtId="0" fontId="0" fillId="3" borderId="1" xfId="0" applyFill="1" applyBorder="1"/>
    <xf numFmtId="43" fontId="0" fillId="3" borderId="1" xfId="0" applyNumberFormat="1" applyFill="1" applyBorder="1"/>
    <xf numFmtId="0" fontId="0" fillId="0" borderId="3" xfId="0" applyBorder="1"/>
    <xf numFmtId="0" fontId="0" fillId="0" borderId="0" xfId="0" applyBorder="1"/>
    <xf numFmtId="43" fontId="0" fillId="0" borderId="2" xfId="2" applyFont="1" applyBorder="1"/>
    <xf numFmtId="0" fontId="9" fillId="2" borderId="0" xfId="0" applyFont="1" applyFill="1" applyBorder="1" applyAlignment="1">
      <alignment horizontal="left" vertical="top" wrapText="1"/>
    </xf>
    <xf numFmtId="0" fontId="11" fillId="5" borderId="1" xfId="0" applyFont="1" applyFill="1" applyBorder="1" applyAlignment="1">
      <alignment horizontal="center" vertical="center"/>
    </xf>
    <xf numFmtId="168" fontId="0" fillId="0" borderId="2" xfId="2" applyNumberFormat="1" applyFont="1" applyBorder="1" applyAlignment="1">
      <alignment horizontal="right"/>
    </xf>
    <xf numFmtId="168" fontId="0" fillId="0" borderId="1" xfId="2" applyNumberFormat="1" applyFont="1" applyBorder="1" applyAlignment="1">
      <alignment horizontal="right"/>
    </xf>
    <xf numFmtId="168" fontId="11" fillId="5" borderId="1" xfId="0" applyNumberFormat="1" applyFont="1" applyFill="1" applyBorder="1" applyAlignment="1">
      <alignment horizontal="right"/>
    </xf>
    <xf numFmtId="9" fontId="9"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0" fontId="0" fillId="2" borderId="1" xfId="0" applyNumberFormat="1" applyFont="1" applyFill="1" applyBorder="1" applyAlignment="1">
      <alignment horizontal="center"/>
    </xf>
    <xf numFmtId="0" fontId="11" fillId="6" borderId="1" xfId="0" applyFont="1" applyFill="1" applyBorder="1" applyAlignment="1">
      <alignment horizontal="center"/>
    </xf>
    <xf numFmtId="170" fontId="0" fillId="2" borderId="0" xfId="0" applyNumberFormat="1" applyFill="1"/>
    <xf numFmtId="0" fontId="0" fillId="0" borderId="1" xfId="0" applyBorder="1" applyAlignment="1">
      <alignment wrapText="1"/>
    </xf>
    <xf numFmtId="0" fontId="0" fillId="0" borderId="3" xfId="0" applyBorder="1" applyAlignment="1">
      <alignment wrapText="1"/>
    </xf>
    <xf numFmtId="0" fontId="11" fillId="5" borderId="1" xfId="0" applyFont="1" applyFill="1" applyBorder="1" applyAlignment="1">
      <alignment wrapText="1"/>
    </xf>
    <xf numFmtId="0" fontId="14" fillId="2" borderId="0" xfId="0" applyFont="1" applyFill="1" applyBorder="1" applyAlignment="1">
      <alignment horizontal="left"/>
    </xf>
    <xf numFmtId="9" fontId="0" fillId="2" borderId="1" xfId="0" applyNumberFormat="1" applyFont="1" applyFill="1" applyBorder="1" applyAlignment="1">
      <alignment horizontal="center"/>
    </xf>
    <xf numFmtId="168" fontId="0" fillId="2" borderId="0" xfId="0" applyNumberFormat="1" applyFill="1"/>
    <xf numFmtId="170" fontId="0" fillId="2" borderId="0" xfId="0" applyNumberFormat="1" applyFill="1" applyBorder="1"/>
    <xf numFmtId="165" fontId="0" fillId="2" borderId="0" xfId="0" applyNumberFormat="1" applyFill="1"/>
    <xf numFmtId="0" fontId="11" fillId="6" borderId="32" xfId="0" applyFont="1" applyFill="1" applyBorder="1" applyAlignment="1">
      <alignment horizontal="center"/>
    </xf>
    <xf numFmtId="0" fontId="11" fillId="6" borderId="42" xfId="0" applyFont="1" applyFill="1" applyBorder="1" applyAlignment="1">
      <alignment horizontal="center"/>
    </xf>
    <xf numFmtId="9" fontId="0" fillId="2" borderId="32" xfId="0" applyNumberFormat="1" applyFont="1" applyFill="1" applyBorder="1" applyAlignment="1">
      <alignment horizontal="center"/>
    </xf>
    <xf numFmtId="9" fontId="0" fillId="2" borderId="42" xfId="0" applyNumberFormat="1" applyFont="1" applyFill="1" applyBorder="1" applyAlignment="1">
      <alignment horizontal="center"/>
    </xf>
    <xf numFmtId="170" fontId="0" fillId="2" borderId="34" xfId="0" applyNumberFormat="1" applyFont="1" applyFill="1" applyBorder="1" applyAlignment="1">
      <alignment horizontal="center"/>
    </xf>
    <xf numFmtId="170" fontId="0" fillId="2" borderId="35" xfId="0" applyNumberFormat="1" applyFont="1" applyFill="1" applyBorder="1" applyAlignment="1">
      <alignment horizontal="center"/>
    </xf>
    <xf numFmtId="170" fontId="0" fillId="2" borderId="43"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169" fontId="12" fillId="8" borderId="1" xfId="0" applyNumberFormat="1" applyFont="1" applyFill="1" applyBorder="1"/>
    <xf numFmtId="0" fontId="12" fillId="8" borderId="29" xfId="0" applyFont="1" applyFill="1" applyBorder="1"/>
    <xf numFmtId="169" fontId="12" fillId="8" borderId="30" xfId="0" applyNumberFormat="1" applyFont="1" applyFill="1" applyBorder="1"/>
    <xf numFmtId="0" fontId="12" fillId="8" borderId="32" xfId="0" applyFont="1" applyFill="1" applyBorder="1"/>
    <xf numFmtId="0" fontId="12" fillId="8" borderId="34" xfId="0" applyFont="1" applyFill="1" applyBorder="1"/>
    <xf numFmtId="169" fontId="12" fillId="8" borderId="35" xfId="0" applyNumberFormat="1" applyFont="1" applyFill="1" applyBorder="1"/>
    <xf numFmtId="9" fontId="9" fillId="2" borderId="0" xfId="3" applyFont="1" applyFill="1" applyBorder="1" applyAlignment="1">
      <alignment horizontal="left" vertical="top" wrapText="1"/>
    </xf>
    <xf numFmtId="165" fontId="9" fillId="2" borderId="0" xfId="0" applyNumberFormat="1" applyFont="1" applyFill="1" applyBorder="1" applyAlignment="1">
      <alignment horizontal="left" vertical="top" wrapText="1"/>
    </xf>
    <xf numFmtId="0" fontId="2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9" fillId="2" borderId="0" xfId="0" applyFont="1" applyFill="1" applyBorder="1" applyAlignment="1">
      <alignment horizontal="left" vertical="top" wrapText="1"/>
    </xf>
    <xf numFmtId="43" fontId="12" fillId="9" borderId="29" xfId="2" applyFont="1" applyFill="1" applyBorder="1" applyAlignment="1">
      <alignment horizontal="left" wrapText="1"/>
    </xf>
    <xf numFmtId="165" fontId="0" fillId="9" borderId="30" xfId="0" applyNumberFormat="1" applyFill="1" applyBorder="1" applyAlignment="1">
      <alignment wrapText="1"/>
    </xf>
    <xf numFmtId="165" fontId="0" fillId="9" borderId="46" xfId="0" applyNumberFormat="1" applyFill="1" applyBorder="1" applyAlignment="1">
      <alignment wrapText="1"/>
    </xf>
    <xf numFmtId="43" fontId="12" fillId="6" borderId="29" xfId="2" applyFont="1" applyFill="1" applyBorder="1" applyAlignment="1">
      <alignment horizontal="left" wrapText="1"/>
    </xf>
    <xf numFmtId="165" fontId="0" fillId="6" borderId="30" xfId="0" applyNumberFormat="1" applyFill="1" applyBorder="1" applyAlignment="1">
      <alignment wrapText="1"/>
    </xf>
    <xf numFmtId="165" fontId="0" fillId="6" borderId="46" xfId="0" applyNumberFormat="1" applyFill="1" applyBorder="1" applyAlignment="1">
      <alignment wrapText="1"/>
    </xf>
    <xf numFmtId="0" fontId="20" fillId="12" borderId="0" xfId="0" applyFont="1" applyFill="1" applyBorder="1" applyAlignment="1">
      <alignment horizontal="center" vertical="center"/>
    </xf>
    <xf numFmtId="0" fontId="0" fillId="12" borderId="0" xfId="0" applyFill="1" applyBorder="1"/>
    <xf numFmtId="170" fontId="0" fillId="12" borderId="0" xfId="0" applyNumberFormat="1" applyFill="1" applyBorder="1"/>
    <xf numFmtId="0" fontId="0" fillId="12" borderId="0" xfId="0" applyFont="1" applyFill="1" applyBorder="1" applyAlignment="1">
      <alignment horizontal="center" vertical="center"/>
    </xf>
    <xf numFmtId="0" fontId="7" fillId="2" borderId="0" xfId="0" applyFont="1" applyFill="1" applyBorder="1" applyAlignment="1">
      <alignment horizontal="left" vertical="top" wrapText="1"/>
    </xf>
    <xf numFmtId="0" fontId="0" fillId="2" borderId="1" xfId="0" applyFill="1" applyBorder="1"/>
    <xf numFmtId="0" fontId="11" fillId="2" borderId="0" xfId="0" applyFont="1" applyFill="1" applyBorder="1" applyAlignment="1">
      <alignment horizontal="center"/>
    </xf>
    <xf numFmtId="0" fontId="14" fillId="2" borderId="0" xfId="0" applyFont="1" applyFill="1" applyBorder="1" applyAlignment="1"/>
    <xf numFmtId="0" fontId="0" fillId="2" borderId="59" xfId="0" applyFill="1" applyBorder="1"/>
    <xf numFmtId="0" fontId="0" fillId="2" borderId="1" xfId="0" applyFill="1" applyBorder="1" applyAlignment="1">
      <alignment horizontal="center" vertical="center"/>
    </xf>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0" fillId="2" borderId="43" xfId="0" applyFill="1" applyBorder="1" applyAlignment="1">
      <alignment horizontal="center" vertical="center"/>
    </xf>
    <xf numFmtId="0" fontId="0" fillId="2" borderId="0" xfId="0" applyFill="1" applyAlignment="1"/>
    <xf numFmtId="165" fontId="0" fillId="0" borderId="1" xfId="6" applyFont="1" applyBorder="1" applyAlignment="1">
      <alignment horizontal="center"/>
    </xf>
    <xf numFmtId="0" fontId="0" fillId="0" borderId="12" xfId="0" applyBorder="1"/>
    <xf numFmtId="165" fontId="0" fillId="0" borderId="24" xfId="6" applyFont="1" applyBorder="1" applyAlignment="1">
      <alignment horizontal="center"/>
    </xf>
    <xf numFmtId="0" fontId="0" fillId="2" borderId="48" xfId="0" applyFill="1" applyBorder="1" applyAlignment="1">
      <alignment horizontal="left"/>
    </xf>
    <xf numFmtId="0" fontId="3" fillId="2" borderId="48" xfId="1" applyFill="1" applyBorder="1" applyAlignment="1">
      <alignment horizontal="left"/>
    </xf>
    <xf numFmtId="0" fontId="0" fillId="2" borderId="48" xfId="0" applyFill="1" applyBorder="1"/>
    <xf numFmtId="165" fontId="11" fillId="5" borderId="54" xfId="6" applyFont="1" applyFill="1" applyBorder="1" applyAlignment="1">
      <alignment horizontal="center"/>
    </xf>
    <xf numFmtId="165" fontId="11" fillId="5" borderId="55" xfId="6" applyFont="1" applyFill="1" applyBorder="1" applyAlignment="1">
      <alignment horizontal="center"/>
    </xf>
    <xf numFmtId="165" fontId="11" fillId="5" borderId="64" xfId="6" applyFont="1" applyFill="1" applyBorder="1" applyAlignment="1">
      <alignment horizontal="center"/>
    </xf>
    <xf numFmtId="0" fontId="11" fillId="5" borderId="19" xfId="0" applyFont="1" applyFill="1" applyBorder="1"/>
    <xf numFmtId="165" fontId="11" fillId="5" borderId="21" xfId="6" applyFont="1" applyFill="1" applyBorder="1" applyAlignment="1">
      <alignment horizontal="center"/>
    </xf>
    <xf numFmtId="165" fontId="11" fillId="5" borderId="67" xfId="6" applyFont="1" applyFill="1" applyBorder="1" applyAlignment="1">
      <alignment horizontal="center"/>
    </xf>
    <xf numFmtId="165" fontId="11" fillId="5" borderId="50" xfId="6" applyFont="1" applyFill="1" applyBorder="1" applyAlignment="1">
      <alignment horizontal="center"/>
    </xf>
    <xf numFmtId="165" fontId="0" fillId="0" borderId="3" xfId="6" applyFont="1" applyBorder="1" applyAlignment="1">
      <alignment horizontal="center"/>
    </xf>
    <xf numFmtId="165" fontId="0" fillId="0" borderId="27" xfId="6" applyFont="1" applyBorder="1" applyAlignment="1">
      <alignment horizontal="center"/>
    </xf>
    <xf numFmtId="0" fontId="11" fillId="5" borderId="21" xfId="0" applyFont="1" applyFill="1" applyBorder="1" applyAlignment="1">
      <alignment horizontal="center"/>
    </xf>
    <xf numFmtId="0" fontId="11" fillId="5" borderId="67" xfId="0" applyFont="1" applyFill="1" applyBorder="1" applyAlignment="1">
      <alignment horizontal="center"/>
    </xf>
    <xf numFmtId="0" fontId="11" fillId="5" borderId="50" xfId="0" applyFont="1" applyFill="1" applyBorder="1" applyAlignment="1">
      <alignment horizontal="center"/>
    </xf>
    <xf numFmtId="0" fontId="11" fillId="5" borderId="7" xfId="0" applyFont="1" applyFill="1" applyBorder="1" applyAlignment="1">
      <alignment horizontal="center"/>
    </xf>
    <xf numFmtId="165" fontId="0" fillId="0" borderId="30" xfId="6" applyFont="1" applyBorder="1" applyAlignment="1">
      <alignment horizontal="center"/>
    </xf>
    <xf numFmtId="165" fontId="0" fillId="0" borderId="22" xfId="6" applyFont="1" applyBorder="1" applyAlignment="1">
      <alignment horizontal="center"/>
    </xf>
    <xf numFmtId="165" fontId="11" fillId="5" borderId="53" xfId="6" applyFont="1" applyFill="1" applyBorder="1" applyAlignment="1">
      <alignment horizontal="center"/>
    </xf>
    <xf numFmtId="0" fontId="0" fillId="2" borderId="31" xfId="0" applyFill="1" applyBorder="1" applyAlignment="1">
      <alignment horizontal="left"/>
    </xf>
    <xf numFmtId="165" fontId="0" fillId="0" borderId="35" xfId="6" applyFont="1" applyBorder="1" applyAlignment="1">
      <alignment horizontal="center"/>
    </xf>
    <xf numFmtId="165" fontId="0" fillId="0" borderId="38" xfId="6" applyFont="1" applyBorder="1" applyAlignment="1">
      <alignment horizontal="center"/>
    </xf>
    <xf numFmtId="0" fontId="0" fillId="2" borderId="56" xfId="0" applyFill="1" applyBorder="1" applyAlignment="1">
      <alignment horizontal="left"/>
    </xf>
    <xf numFmtId="165" fontId="0" fillId="0" borderId="30" xfId="6" applyFont="1" applyBorder="1" applyAlignment="1">
      <alignment horizontal="left" vertical="center"/>
    </xf>
    <xf numFmtId="165" fontId="0" fillId="0" borderId="22" xfId="6" applyFont="1" applyBorder="1" applyAlignment="1">
      <alignment horizontal="left" vertical="center"/>
    </xf>
    <xf numFmtId="165" fontId="11" fillId="5" borderId="53" xfId="6" applyFont="1" applyFill="1" applyBorder="1" applyAlignment="1">
      <alignment horizontal="left" vertical="center"/>
    </xf>
    <xf numFmtId="0" fontId="0" fillId="2" borderId="31" xfId="0" applyFill="1" applyBorder="1" applyAlignment="1">
      <alignment horizontal="left" vertical="center"/>
    </xf>
    <xf numFmtId="0" fontId="21" fillId="5" borderId="50" xfId="0" applyFont="1" applyFill="1" applyBorder="1" applyAlignment="1">
      <alignment horizontal="center"/>
    </xf>
    <xf numFmtId="165" fontId="0" fillId="0" borderId="21" xfId="6" applyFont="1" applyBorder="1" applyAlignment="1">
      <alignment horizontal="center"/>
    </xf>
    <xf numFmtId="165" fontId="0" fillId="0" borderId="67" xfId="6" applyFont="1" applyBorder="1" applyAlignment="1">
      <alignment horizontal="center"/>
    </xf>
    <xf numFmtId="0" fontId="0" fillId="2" borderId="7" xfId="0" applyFill="1" applyBorder="1" applyAlignment="1">
      <alignment horizontal="left"/>
    </xf>
    <xf numFmtId="165" fontId="11" fillId="7" borderId="50" xfId="6" applyFont="1" applyFill="1" applyBorder="1" applyAlignment="1">
      <alignment horizontal="center"/>
    </xf>
    <xf numFmtId="0" fontId="11" fillId="5" borderId="68" xfId="0" applyFont="1" applyFill="1" applyBorder="1" applyAlignment="1">
      <alignment horizontal="center"/>
    </xf>
    <xf numFmtId="165" fontId="0" fillId="0" borderId="23" xfId="6" applyFont="1" applyBorder="1" applyAlignment="1">
      <alignment horizontal="center"/>
    </xf>
    <xf numFmtId="165" fontId="0" fillId="0" borderId="2" xfId="6" applyFont="1" applyBorder="1" applyAlignment="1">
      <alignment horizontal="center"/>
    </xf>
    <xf numFmtId="165" fontId="0" fillId="0" borderId="51" xfId="6" applyFont="1" applyBorder="1" applyAlignment="1">
      <alignment horizontal="center"/>
    </xf>
    <xf numFmtId="165" fontId="0" fillId="0" borderId="23" xfId="6" applyFont="1" applyBorder="1" applyAlignment="1">
      <alignment horizontal="left" vertical="center"/>
    </xf>
    <xf numFmtId="165" fontId="0" fillId="0" borderId="68" xfId="6" applyFont="1" applyBorder="1" applyAlignment="1">
      <alignment horizontal="center"/>
    </xf>
    <xf numFmtId="165" fontId="0" fillId="0" borderId="66" xfId="6" applyFont="1" applyBorder="1" applyAlignment="1">
      <alignment horizontal="center"/>
    </xf>
    <xf numFmtId="0" fontId="0" fillId="0" borderId="31" xfId="0" applyBorder="1"/>
    <xf numFmtId="0" fontId="0" fillId="0" borderId="48" xfId="0" applyBorder="1"/>
    <xf numFmtId="0" fontId="0" fillId="2" borderId="48" xfId="0" applyFill="1" applyBorder="1" applyAlignment="1">
      <alignment wrapText="1"/>
    </xf>
    <xf numFmtId="0" fontId="0" fillId="0" borderId="56" xfId="0" applyBorder="1"/>
    <xf numFmtId="0" fontId="0" fillId="0" borderId="31" xfId="0" applyBorder="1" applyAlignment="1">
      <alignment wrapText="1"/>
    </xf>
    <xf numFmtId="0" fontId="0" fillId="0" borderId="7" xfId="0" applyBorder="1"/>
    <xf numFmtId="170" fontId="0" fillId="2" borderId="0" xfId="0" applyNumberFormat="1" applyFont="1" applyFill="1" applyBorder="1" applyAlignment="1">
      <alignment horizontal="center"/>
    </xf>
    <xf numFmtId="0" fontId="0" fillId="0" borderId="1" xfId="0" applyBorder="1" applyAlignment="1">
      <alignment horizontal="center"/>
    </xf>
    <xf numFmtId="171"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165" fontId="0" fillId="2" borderId="1" xfId="6" applyFont="1" applyFill="1" applyBorder="1" applyAlignment="1">
      <alignment horizontal="center"/>
    </xf>
    <xf numFmtId="0" fontId="12" fillId="5" borderId="3" xfId="0" applyFont="1" applyFill="1" applyBorder="1" applyAlignment="1">
      <alignment horizontal="center" vertical="center"/>
    </xf>
    <xf numFmtId="0" fontId="0" fillId="2" borderId="32" xfId="0" applyFill="1" applyBorder="1" applyAlignment="1">
      <alignment wrapText="1"/>
    </xf>
    <xf numFmtId="165" fontId="0" fillId="2" borderId="42" xfId="6" applyFont="1" applyFill="1" applyBorder="1" applyAlignment="1">
      <alignment horizontal="center"/>
    </xf>
    <xf numFmtId="0" fontId="0" fillId="2" borderId="34" xfId="0" applyFill="1" applyBorder="1" applyAlignment="1">
      <alignment wrapText="1"/>
    </xf>
    <xf numFmtId="0" fontId="0" fillId="2" borderId="35" xfId="0" applyFill="1" applyBorder="1" applyAlignment="1">
      <alignment horizontal="center"/>
    </xf>
    <xf numFmtId="165" fontId="0" fillId="2" borderId="35" xfId="6" applyFont="1" applyFill="1" applyBorder="1" applyAlignment="1">
      <alignment horizontal="center"/>
    </xf>
    <xf numFmtId="165" fontId="0" fillId="2" borderId="43" xfId="6" applyFont="1" applyFill="1" applyBorder="1" applyAlignment="1">
      <alignment horizontal="center"/>
    </xf>
    <xf numFmtId="0" fontId="12" fillId="5" borderId="19" xfId="0" applyFont="1" applyFill="1" applyBorder="1" applyAlignment="1">
      <alignment horizontal="center" vertical="center"/>
    </xf>
    <xf numFmtId="0" fontId="12" fillId="5" borderId="57" xfId="0" applyFont="1" applyFill="1" applyBorder="1" applyAlignment="1">
      <alignment horizontal="center" vertical="center" wrapText="1"/>
    </xf>
    <xf numFmtId="0" fontId="12" fillId="5" borderId="58" xfId="0" applyFont="1" applyFill="1" applyBorder="1" applyAlignment="1">
      <alignment horizontal="center" vertical="center"/>
    </xf>
    <xf numFmtId="0" fontId="12" fillId="2" borderId="0" xfId="0" applyFont="1" applyFill="1" applyBorder="1" applyAlignment="1">
      <alignment horizontal="center" vertical="center"/>
    </xf>
    <xf numFmtId="165" fontId="0" fillId="2" borderId="0" xfId="6" applyFont="1" applyFill="1" applyBorder="1" applyAlignment="1">
      <alignment horizontal="center"/>
    </xf>
    <xf numFmtId="165" fontId="0" fillId="2" borderId="0" xfId="0" applyNumberFormat="1" applyFill="1" applyBorder="1"/>
    <xf numFmtId="0" fontId="12" fillId="2" borderId="0" xfId="0" applyFont="1" applyFill="1" applyBorder="1"/>
    <xf numFmtId="165" fontId="11" fillId="7" borderId="20" xfId="0" applyNumberFormat="1" applyFont="1" applyFill="1" applyBorder="1"/>
    <xf numFmtId="0" fontId="12" fillId="6" borderId="57" xfId="0" applyFont="1" applyFill="1" applyBorder="1" applyAlignment="1">
      <alignment horizontal="center" vertical="center" wrapText="1"/>
    </xf>
    <xf numFmtId="0" fontId="12" fillId="6" borderId="3" xfId="0" applyFont="1" applyFill="1" applyBorder="1" applyAlignment="1">
      <alignment horizontal="center" vertical="center"/>
    </xf>
    <xf numFmtId="0" fontId="12" fillId="6" borderId="58" xfId="0" applyFont="1" applyFill="1" applyBorder="1" applyAlignment="1">
      <alignment horizontal="center" vertic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63" xfId="0" applyNumberFormat="1" applyBorder="1" applyAlignment="1">
      <alignment horizontal="center"/>
    </xf>
    <xf numFmtId="1" fontId="0" fillId="0" borderId="2" xfId="0" applyNumberFormat="1" applyBorder="1" applyAlignment="1">
      <alignment horizontal="center"/>
    </xf>
    <xf numFmtId="171" fontId="0" fillId="0" borderId="58" xfId="0" applyNumberFormat="1" applyBorder="1" applyAlignment="1">
      <alignment horizontal="center"/>
    </xf>
    <xf numFmtId="0" fontId="0" fillId="0" borderId="32" xfId="0" applyBorder="1" applyAlignment="1">
      <alignment horizontal="left" vertical="center"/>
    </xf>
    <xf numFmtId="171" fontId="0" fillId="0" borderId="42" xfId="0" applyNumberFormat="1" applyBorder="1" applyAlignment="1">
      <alignment horizontal="center"/>
    </xf>
    <xf numFmtId="0" fontId="0" fillId="0" borderId="32" xfId="0" applyBorder="1" applyAlignment="1">
      <alignment horizontal="left" vertical="center" wrapText="1"/>
    </xf>
    <xf numFmtId="0" fontId="11" fillId="5" borderId="40" xfId="0" applyFont="1" applyFill="1" applyBorder="1" applyAlignment="1">
      <alignment horizontal="center"/>
    </xf>
    <xf numFmtId="0" fontId="11" fillId="5" borderId="33" xfId="0" applyFont="1" applyFill="1" applyBorder="1" applyAlignment="1">
      <alignment horizontal="center"/>
    </xf>
    <xf numFmtId="0" fontId="11" fillId="5" borderId="66" xfId="0" applyFont="1" applyFill="1" applyBorder="1" applyAlignment="1">
      <alignment horizontal="center"/>
    </xf>
    <xf numFmtId="0" fontId="11" fillId="5" borderId="59" xfId="0" applyFont="1" applyFill="1" applyBorder="1" applyAlignment="1">
      <alignment horizontal="center"/>
    </xf>
    <xf numFmtId="0" fontId="11" fillId="5" borderId="28" xfId="0" applyFont="1" applyFill="1" applyBorder="1" applyAlignment="1">
      <alignment horizontal="center"/>
    </xf>
    <xf numFmtId="0" fontId="0" fillId="0" borderId="29" xfId="0" applyBorder="1" applyAlignment="1">
      <alignment horizontal="left" vertical="center"/>
    </xf>
    <xf numFmtId="171" fontId="0" fillId="0" borderId="46" xfId="0" applyNumberFormat="1" applyBorder="1" applyAlignment="1">
      <alignment horizontal="center"/>
    </xf>
    <xf numFmtId="1" fontId="0" fillId="0" borderId="23" xfId="0" applyNumberFormat="1" applyBorder="1" applyAlignment="1">
      <alignment horizontal="center"/>
    </xf>
    <xf numFmtId="0" fontId="0" fillId="0" borderId="34" xfId="0" applyBorder="1" applyAlignment="1">
      <alignment horizontal="left" vertical="center"/>
    </xf>
    <xf numFmtId="171" fontId="0" fillId="0" borderId="43" xfId="0" applyNumberFormat="1" applyBorder="1" applyAlignment="1">
      <alignment horizontal="center"/>
    </xf>
    <xf numFmtId="1" fontId="0" fillId="0" borderId="51" xfId="0" applyNumberFormat="1" applyBorder="1" applyAlignment="1">
      <alignment horizontal="center"/>
    </xf>
    <xf numFmtId="0" fontId="11" fillId="5" borderId="16" xfId="0" applyFont="1" applyFill="1" applyBorder="1" applyAlignment="1">
      <alignment horizontal="center" vertical="center" wrapText="1"/>
    </xf>
    <xf numFmtId="0" fontId="0" fillId="0" borderId="19" xfId="0" applyBorder="1" applyAlignment="1">
      <alignment horizontal="left" vertical="center"/>
    </xf>
    <xf numFmtId="171" fontId="0" fillId="0" borderId="20" xfId="0" applyNumberFormat="1" applyBorder="1" applyAlignment="1">
      <alignment horizontal="center"/>
    </xf>
    <xf numFmtId="1" fontId="0" fillId="0" borderId="68" xfId="0" applyNumberFormat="1" applyBorder="1" applyAlignment="1">
      <alignment horizontal="center"/>
    </xf>
    <xf numFmtId="0" fontId="0" fillId="0" borderId="34" xfId="0" applyBorder="1" applyAlignment="1">
      <alignment horizontal="left" vertical="center" wrapText="1"/>
    </xf>
    <xf numFmtId="171" fontId="0" fillId="12" borderId="43" xfId="0" applyNumberFormat="1" applyFill="1" applyBorder="1" applyAlignment="1">
      <alignment horizontal="center"/>
    </xf>
    <xf numFmtId="1" fontId="0" fillId="12" borderId="51" xfId="0" applyNumberFormat="1" applyFill="1" applyBorder="1" applyAlignment="1">
      <alignment horizontal="center"/>
    </xf>
    <xf numFmtId="0" fontId="0" fillId="12" borderId="12" xfId="0" applyFill="1" applyBorder="1"/>
    <xf numFmtId="0" fontId="0" fillId="12" borderId="11" xfId="0" applyFill="1" applyBorder="1"/>
    <xf numFmtId="165" fontId="0" fillId="0" borderId="36" xfId="6" applyFont="1" applyBorder="1" applyAlignment="1">
      <alignment horizontal="center"/>
    </xf>
    <xf numFmtId="171" fontId="0" fillId="12" borderId="20" xfId="0" applyNumberFormat="1" applyFill="1" applyBorder="1" applyAlignment="1">
      <alignment horizontal="center"/>
    </xf>
    <xf numFmtId="1" fontId="0" fillId="12" borderId="68" xfId="0" applyNumberFormat="1" applyFill="1" applyBorder="1" applyAlignment="1">
      <alignment horizontal="center"/>
    </xf>
    <xf numFmtId="0" fontId="0" fillId="0" borderId="57" xfId="0" applyBorder="1"/>
    <xf numFmtId="0" fontId="0" fillId="0" borderId="32" xfId="0" applyBorder="1"/>
    <xf numFmtId="172" fontId="11" fillId="7" borderId="6" xfId="0" applyNumberFormat="1" applyFont="1" applyFill="1" applyBorder="1"/>
    <xf numFmtId="0" fontId="11" fillId="6" borderId="15" xfId="0" applyFont="1" applyFill="1" applyBorder="1" applyAlignment="1">
      <alignment horizontal="center"/>
    </xf>
    <xf numFmtId="165" fontId="0" fillId="6" borderId="53" xfId="0" applyNumberFormat="1" applyFill="1" applyBorder="1"/>
    <xf numFmtId="165" fontId="0" fillId="6" borderId="54" xfId="0" applyNumberFormat="1" applyFill="1" applyBorder="1"/>
    <xf numFmtId="165" fontId="0" fillId="6" borderId="55" xfId="0" applyNumberFormat="1" applyFill="1" applyBorder="1"/>
    <xf numFmtId="165" fontId="0" fillId="6" borderId="50" xfId="0" applyNumberFormat="1" applyFill="1" applyBorder="1"/>
    <xf numFmtId="165" fontId="0" fillId="6" borderId="65" xfId="0" applyNumberFormat="1" applyFill="1" applyBorder="1"/>
    <xf numFmtId="172" fontId="0" fillId="6" borderId="70" xfId="0" applyNumberFormat="1" applyFill="1" applyBorder="1"/>
    <xf numFmtId="172" fontId="0" fillId="6" borderId="36" xfId="0" applyNumberFormat="1" applyFill="1" applyBorder="1"/>
    <xf numFmtId="1" fontId="0" fillId="0" borderId="30" xfId="0" applyNumberFormat="1" applyBorder="1" applyAlignment="1">
      <alignment horizontal="center"/>
    </xf>
    <xf numFmtId="1" fontId="0" fillId="0" borderId="35" xfId="0" applyNumberFormat="1" applyBorder="1" applyAlignment="1">
      <alignment horizontal="center"/>
    </xf>
    <xf numFmtId="1" fontId="0" fillId="0" borderId="21" xfId="0" applyNumberFormat="1" applyBorder="1" applyAlignment="1">
      <alignment horizontal="center"/>
    </xf>
    <xf numFmtId="1" fontId="0" fillId="12" borderId="35" xfId="0" applyNumberFormat="1" applyFill="1" applyBorder="1" applyAlignment="1">
      <alignment horizontal="center"/>
    </xf>
    <xf numFmtId="1" fontId="0" fillId="12" borderId="21" xfId="0" applyNumberFormat="1" applyFill="1" applyBorder="1" applyAlignment="1">
      <alignment horizontal="center"/>
    </xf>
    <xf numFmtId="1" fontId="0" fillId="12" borderId="11" xfId="0" applyNumberFormat="1" applyFill="1" applyBorder="1"/>
    <xf numFmtId="1" fontId="0" fillId="0" borderId="71" xfId="0" applyNumberFormat="1" applyBorder="1" applyAlignment="1">
      <alignment horizontal="center"/>
    </xf>
    <xf numFmtId="1" fontId="0" fillId="0" borderId="36" xfId="0" applyNumberFormat="1" applyBorder="1" applyAlignment="1">
      <alignment horizontal="center"/>
    </xf>
    <xf numFmtId="165" fontId="0" fillId="0" borderId="70" xfId="6" applyFont="1" applyBorder="1" applyAlignment="1">
      <alignment horizontal="center"/>
    </xf>
    <xf numFmtId="165" fontId="0" fillId="6" borderId="6" xfId="0" applyNumberFormat="1" applyFill="1" applyBorder="1"/>
    <xf numFmtId="0" fontId="11" fillId="5" borderId="15" xfId="0" applyFont="1" applyFill="1" applyBorder="1" applyAlignment="1">
      <alignment horizontal="center" vertical="center" wrapText="1"/>
    </xf>
    <xf numFmtId="0" fontId="0" fillId="0" borderId="41" xfId="0" applyBorder="1" applyAlignment="1">
      <alignment horizontal="left" vertical="center"/>
    </xf>
    <xf numFmtId="171" fontId="0" fillId="0" borderId="37" xfId="0" applyNumberFormat="1" applyBorder="1" applyAlignment="1">
      <alignment horizontal="center"/>
    </xf>
    <xf numFmtId="0" fontId="12" fillId="6" borderId="3" xfId="0" applyFont="1" applyFill="1" applyBorder="1" applyAlignment="1">
      <alignment horizontal="center" vertical="center" wrapText="1"/>
    </xf>
    <xf numFmtId="10" fontId="12" fillId="6" borderId="59" xfId="0" applyNumberFormat="1" applyFont="1" applyFill="1" applyBorder="1" applyAlignment="1">
      <alignment horizontal="center" vertical="center"/>
    </xf>
    <xf numFmtId="9" fontId="12" fillId="6" borderId="59" xfId="0" applyNumberFormat="1" applyFont="1" applyFill="1"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vertical="center"/>
    </xf>
    <xf numFmtId="0" fontId="0" fillId="2" borderId="30" xfId="0" applyFill="1" applyBorder="1"/>
    <xf numFmtId="0" fontId="0" fillId="2" borderId="35" xfId="0" applyFill="1" applyBorder="1"/>
    <xf numFmtId="0" fontId="12" fillId="6" borderId="63" xfId="0" applyFont="1" applyFill="1" applyBorder="1" applyAlignment="1">
      <alignment horizontal="center" vertical="center"/>
    </xf>
    <xf numFmtId="10" fontId="12" fillId="6" borderId="66" xfId="0" applyNumberFormat="1" applyFont="1" applyFill="1" applyBorder="1" applyAlignment="1">
      <alignment horizontal="center" vertical="center"/>
    </xf>
    <xf numFmtId="165" fontId="0" fillId="0" borderId="20" xfId="6" applyFont="1" applyBorder="1" applyAlignment="1">
      <alignment horizontal="left" vertical="center"/>
    </xf>
    <xf numFmtId="165" fontId="0" fillId="2" borderId="46" xfId="6" applyFont="1" applyFill="1" applyBorder="1"/>
    <xf numFmtId="165" fontId="0" fillId="2" borderId="42" xfId="6" applyFont="1" applyFill="1" applyBorder="1"/>
    <xf numFmtId="165" fontId="0" fillId="2" borderId="43" xfId="6" applyFont="1" applyFill="1" applyBorder="1"/>
    <xf numFmtId="165" fontId="11" fillId="6" borderId="50" xfId="6" applyFont="1" applyFill="1" applyBorder="1"/>
    <xf numFmtId="165" fontId="11" fillId="6" borderId="53" xfId="6" applyFont="1" applyFill="1" applyBorder="1"/>
    <xf numFmtId="165" fontId="11" fillId="6" borderId="54" xfId="6" applyFont="1" applyFill="1" applyBorder="1"/>
    <xf numFmtId="165" fontId="11" fillId="6" borderId="55" xfId="6" applyFont="1" applyFill="1" applyBorder="1"/>
    <xf numFmtId="0" fontId="12" fillId="6" borderId="27" xfId="0" applyFont="1" applyFill="1" applyBorder="1" applyAlignment="1">
      <alignment horizontal="center" vertical="center" wrapText="1"/>
    </xf>
    <xf numFmtId="9" fontId="12" fillId="6" borderId="28" xfId="0" applyNumberFormat="1" applyFont="1" applyFill="1" applyBorder="1" applyAlignment="1">
      <alignment horizontal="center" vertical="center"/>
    </xf>
    <xf numFmtId="165" fontId="0" fillId="0" borderId="50" xfId="6" applyFont="1" applyBorder="1" applyAlignment="1">
      <alignment horizontal="center"/>
    </xf>
    <xf numFmtId="165" fontId="0" fillId="0" borderId="53" xfId="6" applyFont="1" applyBorder="1" applyAlignment="1">
      <alignment horizontal="center"/>
    </xf>
    <xf numFmtId="165" fontId="0" fillId="0" borderId="54" xfId="6" applyFont="1" applyBorder="1" applyAlignment="1">
      <alignment horizontal="center"/>
    </xf>
    <xf numFmtId="165" fontId="0" fillId="0" borderId="55" xfId="6" applyFont="1" applyBorder="1" applyAlignment="1">
      <alignment horizontal="center"/>
    </xf>
    <xf numFmtId="165" fontId="0" fillId="2" borderId="33" xfId="6" applyFont="1" applyFill="1" applyBorder="1"/>
    <xf numFmtId="0" fontId="12" fillId="6" borderId="1" xfId="0" applyFont="1" applyFill="1" applyBorder="1" applyAlignment="1">
      <alignment horizontal="center" vertical="center"/>
    </xf>
    <xf numFmtId="171" fontId="11" fillId="6" borderId="1" xfId="0" applyNumberFormat="1" applyFont="1" applyFill="1" applyBorder="1" applyAlignment="1">
      <alignment horizontal="center"/>
    </xf>
    <xf numFmtId="0" fontId="11" fillId="7" borderId="1" xfId="0" applyFont="1" applyFill="1" applyBorder="1" applyAlignment="1">
      <alignment horizontal="center"/>
    </xf>
    <xf numFmtId="170" fontId="0" fillId="2" borderId="1" xfId="0" applyNumberFormat="1" applyFont="1" applyFill="1" applyBorder="1" applyAlignment="1">
      <alignment horizontal="right"/>
    </xf>
    <xf numFmtId="0" fontId="11" fillId="6" borderId="1" xfId="0" applyFont="1" applyFill="1" applyBorder="1" applyAlignment="1">
      <alignment horizontal="left"/>
    </xf>
    <xf numFmtId="170" fontId="11" fillId="7" borderId="1" xfId="0" applyNumberFormat="1" applyFont="1" applyFill="1" applyBorder="1" applyAlignment="1">
      <alignment horizontal="right"/>
    </xf>
    <xf numFmtId="170" fontId="0" fillId="0" borderId="1" xfId="0" applyNumberFormat="1" applyBorder="1" applyAlignment="1">
      <alignment horizontal="center"/>
    </xf>
    <xf numFmtId="170" fontId="0" fillId="0" borderId="34" xfId="0" applyNumberFormat="1" applyBorder="1" applyAlignment="1">
      <alignment horizontal="center"/>
    </xf>
    <xf numFmtId="170" fontId="0" fillId="0" borderId="35" xfId="0" applyNumberFormat="1" applyBorder="1" applyAlignment="1">
      <alignment horizontal="center"/>
    </xf>
    <xf numFmtId="170" fontId="0" fillId="0" borderId="43" xfId="0" applyNumberFormat="1" applyBorder="1" applyAlignment="1">
      <alignment horizontal="center"/>
    </xf>
    <xf numFmtId="0" fontId="11" fillId="6" borderId="57" xfId="0" applyFont="1" applyFill="1" applyBorder="1" applyAlignment="1">
      <alignment horizontal="center"/>
    </xf>
    <xf numFmtId="0" fontId="11" fillId="6" borderId="3" xfId="0" applyFont="1" applyFill="1" applyBorder="1" applyAlignment="1">
      <alignment horizontal="center"/>
    </xf>
    <xf numFmtId="0" fontId="11" fillId="6" borderId="58" xfId="0" applyFont="1" applyFill="1" applyBorder="1" applyAlignment="1">
      <alignment horizontal="center"/>
    </xf>
    <xf numFmtId="170" fontId="0" fillId="0" borderId="3" xfId="0" applyNumberFormat="1" applyBorder="1" applyAlignment="1">
      <alignment horizontal="center"/>
    </xf>
    <xf numFmtId="0" fontId="0" fillId="0" borderId="32" xfId="0" applyBorder="1" applyAlignment="1">
      <alignment vertical="center"/>
    </xf>
    <xf numFmtId="170" fontId="0" fillId="6" borderId="42" xfId="0" applyNumberFormat="1" applyFill="1" applyBorder="1"/>
    <xf numFmtId="0" fontId="0" fillId="2" borderId="32" xfId="0" applyFill="1" applyBorder="1"/>
    <xf numFmtId="0" fontId="12" fillId="6" borderId="34" xfId="0" applyFont="1" applyFill="1" applyBorder="1" applyAlignment="1">
      <alignment horizontal="center" vertical="center"/>
    </xf>
    <xf numFmtId="0" fontId="11" fillId="6" borderId="35" xfId="0" applyFont="1" applyFill="1" applyBorder="1" applyAlignment="1">
      <alignment horizontal="center"/>
    </xf>
    <xf numFmtId="171" fontId="11" fillId="6" borderId="35" xfId="0" applyNumberFormat="1" applyFont="1" applyFill="1" applyBorder="1" applyAlignment="1">
      <alignment horizontal="center"/>
    </xf>
    <xf numFmtId="170" fontId="11" fillId="7" borderId="43" xfId="0" applyNumberFormat="1" applyFont="1" applyFill="1" applyBorder="1"/>
    <xf numFmtId="0" fontId="12" fillId="6" borderId="32" xfId="0" applyFont="1" applyFill="1" applyBorder="1" applyAlignment="1">
      <alignment horizontal="center" vertical="center"/>
    </xf>
    <xf numFmtId="170" fontId="11" fillId="7" borderId="42" xfId="0" applyNumberFormat="1" applyFont="1" applyFill="1" applyBorder="1"/>
    <xf numFmtId="0" fontId="0" fillId="2" borderId="15" xfId="0" applyFill="1" applyBorder="1"/>
    <xf numFmtId="0" fontId="0" fillId="2" borderId="11" xfId="0" applyFill="1" applyBorder="1"/>
    <xf numFmtId="0" fontId="0" fillId="2" borderId="12" xfId="0" applyFill="1" applyBorder="1"/>
    <xf numFmtId="0" fontId="3" fillId="2" borderId="42" xfId="1" applyFill="1" applyBorder="1"/>
    <xf numFmtId="0" fontId="3" fillId="0" borderId="42" xfId="1" applyBorder="1"/>
    <xf numFmtId="0" fontId="0" fillId="0" borderId="34" xfId="0" applyBorder="1" applyAlignment="1">
      <alignment vertical="center"/>
    </xf>
    <xf numFmtId="0" fontId="0" fillId="0" borderId="35" xfId="0" applyBorder="1" applyAlignment="1">
      <alignment horizontal="center"/>
    </xf>
    <xf numFmtId="0" fontId="0" fillId="2" borderId="43" xfId="0" applyFill="1" applyBorder="1"/>
    <xf numFmtId="170" fontId="11" fillId="7" borderId="50" xfId="0" applyNumberFormat="1" applyFont="1" applyFill="1" applyBorder="1" applyAlignment="1">
      <alignment horizontal="center"/>
    </xf>
    <xf numFmtId="170" fontId="0" fillId="0" borderId="59" xfId="0" applyNumberFormat="1" applyBorder="1" applyAlignment="1">
      <alignment horizontal="center"/>
    </xf>
    <xf numFmtId="0" fontId="12" fillId="6" borderId="57" xfId="0" applyFont="1" applyFill="1" applyBorder="1" applyAlignment="1">
      <alignment horizontal="center"/>
    </xf>
    <xf numFmtId="0" fontId="12" fillId="6" borderId="3" xfId="0" applyFont="1" applyFill="1" applyBorder="1" applyAlignment="1">
      <alignment horizontal="center"/>
    </xf>
    <xf numFmtId="0" fontId="12" fillId="6" borderId="58" xfId="0" applyFont="1" applyFill="1" applyBorder="1" applyAlignment="1">
      <alignment horizontal="center"/>
    </xf>
    <xf numFmtId="170" fontId="11" fillId="7" borderId="6" xfId="0" applyNumberFormat="1" applyFont="1" applyFill="1" applyBorder="1" applyAlignment="1">
      <alignment horizontal="center"/>
    </xf>
    <xf numFmtId="0" fontId="14" fillId="0" borderId="0" xfId="0" applyFont="1" applyFill="1" applyBorder="1" applyAlignment="1"/>
    <xf numFmtId="170" fontId="0" fillId="0" borderId="42" xfId="0" applyNumberFormat="1" applyBorder="1" applyAlignment="1">
      <alignment horizontal="center"/>
    </xf>
    <xf numFmtId="170" fontId="0" fillId="0" borderId="33" xfId="0" applyNumberFormat="1" applyBorder="1" applyAlignment="1">
      <alignment horizontal="center"/>
    </xf>
    <xf numFmtId="0" fontId="0" fillId="0" borderId="1" xfId="0" applyBorder="1" applyAlignment="1">
      <alignment horizontal="center" vertical="center"/>
    </xf>
    <xf numFmtId="0" fontId="0" fillId="0" borderId="63" xfId="0" applyBorder="1" applyAlignment="1">
      <alignment horizontal="center"/>
    </xf>
    <xf numFmtId="0" fontId="0" fillId="0" borderId="2" xfId="0" applyBorder="1" applyAlignment="1">
      <alignment vertical="center"/>
    </xf>
    <xf numFmtId="170" fontId="0" fillId="13" borderId="1" xfId="0" applyNumberFormat="1" applyFill="1" applyBorder="1" applyAlignment="1">
      <alignment horizontal="center"/>
    </xf>
    <xf numFmtId="170" fontId="0" fillId="7" borderId="1" xfId="0" applyNumberFormat="1" applyFill="1" applyBorder="1" applyAlignment="1">
      <alignment horizontal="center"/>
    </xf>
    <xf numFmtId="170" fontId="0" fillId="7" borderId="1" xfId="0" applyNumberFormat="1" applyFill="1" applyBorder="1"/>
    <xf numFmtId="170" fontId="0" fillId="13" borderId="1" xfId="0" applyNumberFormat="1" applyFill="1" applyBorder="1"/>
    <xf numFmtId="0" fontId="0" fillId="0" borderId="24" xfId="0" applyBorder="1" applyAlignment="1">
      <alignment horizontal="center"/>
    </xf>
    <xf numFmtId="0" fontId="0" fillId="0" borderId="27" xfId="0" applyBorder="1" applyAlignment="1">
      <alignment horizontal="center"/>
    </xf>
    <xf numFmtId="170" fontId="0" fillId="7" borderId="32" xfId="0" applyNumberFormat="1" applyFill="1" applyBorder="1" applyAlignment="1">
      <alignment horizontal="center"/>
    </xf>
    <xf numFmtId="170" fontId="0" fillId="13" borderId="42" xfId="0" applyNumberFormat="1" applyFill="1" applyBorder="1" applyAlignment="1">
      <alignment horizontal="center"/>
    </xf>
    <xf numFmtId="170" fontId="0" fillId="13" borderId="32" xfId="0" applyNumberFormat="1" applyFill="1" applyBorder="1" applyAlignment="1">
      <alignment horizontal="center"/>
    </xf>
    <xf numFmtId="170" fontId="0" fillId="7" borderId="42" xfId="0" applyNumberFormat="1" applyFill="1" applyBorder="1" applyAlignment="1">
      <alignment horizontal="center"/>
    </xf>
    <xf numFmtId="170" fontId="0" fillId="13" borderId="34" xfId="0" applyNumberFormat="1" applyFill="1" applyBorder="1" applyAlignment="1">
      <alignment horizontal="center"/>
    </xf>
    <xf numFmtId="170" fontId="0" fillId="13" borderId="35" xfId="0" applyNumberFormat="1" applyFill="1" applyBorder="1" applyAlignment="1">
      <alignment horizontal="center"/>
    </xf>
    <xf numFmtId="170" fontId="0" fillId="7" borderId="43" xfId="0" applyNumberFormat="1" applyFill="1" applyBorder="1" applyAlignment="1">
      <alignment horizontal="center"/>
    </xf>
    <xf numFmtId="170" fontId="0" fillId="7" borderId="32" xfId="0" applyNumberFormat="1" applyFill="1" applyBorder="1"/>
    <xf numFmtId="170" fontId="0" fillId="7" borderId="42" xfId="0" applyNumberFormat="1" applyFill="1" applyBorder="1"/>
    <xf numFmtId="170" fontId="0" fillId="13" borderId="32" xfId="0" applyNumberFormat="1" applyFill="1" applyBorder="1"/>
    <xf numFmtId="170" fontId="0" fillId="13" borderId="42" xfId="0" applyNumberFormat="1" applyFill="1" applyBorder="1"/>
    <xf numFmtId="170" fontId="0" fillId="13" borderId="34" xfId="0" applyNumberFormat="1" applyFill="1" applyBorder="1"/>
    <xf numFmtId="170" fontId="0" fillId="13" borderId="35" xfId="0" applyNumberFormat="1" applyFill="1" applyBorder="1"/>
    <xf numFmtId="170" fontId="0" fillId="13" borderId="43" xfId="0" applyNumberFormat="1" applyFill="1" applyBorder="1"/>
    <xf numFmtId="170" fontId="12" fillId="7" borderId="21" xfId="0" applyNumberFormat="1" applyFont="1" applyFill="1" applyBorder="1"/>
    <xf numFmtId="170" fontId="12" fillId="7" borderId="20" xfId="0" applyNumberFormat="1" applyFont="1" applyFill="1" applyBorder="1"/>
    <xf numFmtId="0" fontId="0" fillId="0" borderId="23" xfId="0" applyBorder="1" applyAlignment="1">
      <alignment vertical="center"/>
    </xf>
    <xf numFmtId="0" fontId="0" fillId="0" borderId="30" xfId="0" applyBorder="1" applyAlignment="1">
      <alignment horizontal="center"/>
    </xf>
    <xf numFmtId="170" fontId="0" fillId="0" borderId="30" xfId="0" applyNumberFormat="1" applyBorder="1" applyAlignment="1">
      <alignment horizontal="center"/>
    </xf>
    <xf numFmtId="0" fontId="0" fillId="0" borderId="22" xfId="0" applyBorder="1" applyAlignment="1">
      <alignment horizontal="center"/>
    </xf>
    <xf numFmtId="170" fontId="0" fillId="7" borderId="29" xfId="0" applyNumberFormat="1" applyFill="1" applyBorder="1" applyAlignment="1">
      <alignment horizontal="center"/>
    </xf>
    <xf numFmtId="170" fontId="0" fillId="13" borderId="30" xfId="0" applyNumberFormat="1" applyFill="1" applyBorder="1" applyAlignment="1">
      <alignment horizontal="center"/>
    </xf>
    <xf numFmtId="170" fontId="0" fillId="13" borderId="46" xfId="0" applyNumberFormat="1" applyFill="1" applyBorder="1" applyAlignment="1">
      <alignment horizontal="center"/>
    </xf>
    <xf numFmtId="170" fontId="0" fillId="7" borderId="29" xfId="0" applyNumberFormat="1" applyFill="1" applyBorder="1"/>
    <xf numFmtId="170" fontId="0" fillId="7" borderId="46" xfId="0" applyNumberFormat="1" applyFill="1" applyBorder="1"/>
    <xf numFmtId="0" fontId="0" fillId="0" borderId="51" xfId="0" applyBorder="1" applyAlignment="1">
      <alignment vertical="center"/>
    </xf>
    <xf numFmtId="0" fontId="0" fillId="0" borderId="38" xfId="0" applyBorder="1" applyAlignment="1">
      <alignment horizontal="center"/>
    </xf>
    <xf numFmtId="170" fontId="0" fillId="7" borderId="30" xfId="0" applyNumberFormat="1" applyFill="1" applyBorder="1"/>
    <xf numFmtId="170" fontId="0" fillId="7" borderId="35" xfId="0" applyNumberFormat="1" applyFill="1" applyBorder="1" applyAlignment="1">
      <alignment horizontal="center"/>
    </xf>
    <xf numFmtId="170" fontId="0" fillId="13" borderId="43" xfId="0" applyNumberFormat="1" applyFill="1" applyBorder="1" applyAlignment="1">
      <alignment horizontal="center"/>
    </xf>
    <xf numFmtId="170" fontId="0" fillId="7" borderId="43" xfId="0" applyNumberFormat="1" applyFill="1" applyBorder="1"/>
    <xf numFmtId="0" fontId="0" fillId="0" borderId="70" xfId="0" applyBorder="1" applyAlignment="1">
      <alignment horizontal="center"/>
    </xf>
    <xf numFmtId="0" fontId="11" fillId="6" borderId="34" xfId="0" applyFont="1" applyFill="1" applyBorder="1" applyAlignment="1">
      <alignment horizontal="center" vertical="center"/>
    </xf>
    <xf numFmtId="0" fontId="11" fillId="6" borderId="35" xfId="0" applyFont="1" applyFill="1" applyBorder="1" applyAlignment="1">
      <alignment horizontal="center" vertical="center"/>
    </xf>
    <xf numFmtId="0" fontId="11" fillId="6" borderId="43" xfId="0" applyFont="1" applyFill="1" applyBorder="1" applyAlignment="1">
      <alignment horizontal="center" vertical="center"/>
    </xf>
    <xf numFmtId="170" fontId="12" fillId="7" borderId="68" xfId="0" applyNumberFormat="1" applyFont="1" applyFill="1" applyBorder="1"/>
    <xf numFmtId="0" fontId="0" fillId="0" borderId="2" xfId="0" applyBorder="1" applyAlignment="1">
      <alignment horizontal="center"/>
    </xf>
    <xf numFmtId="0" fontId="0" fillId="0" borderId="42" xfId="0" applyBorder="1"/>
    <xf numFmtId="170" fontId="0" fillId="0" borderId="58" xfId="0" applyNumberFormat="1" applyBorder="1" applyAlignment="1">
      <alignment horizontal="center"/>
    </xf>
    <xf numFmtId="0" fontId="11" fillId="6" borderId="68" xfId="0" applyFont="1" applyFill="1" applyBorder="1" applyAlignment="1">
      <alignment horizontal="center"/>
    </xf>
    <xf numFmtId="0" fontId="11" fillId="6" borderId="21" xfId="0" applyFont="1" applyFill="1" applyBorder="1" applyAlignment="1">
      <alignment horizontal="center"/>
    </xf>
    <xf numFmtId="0" fontId="11" fillId="6" borderId="20" xfId="0" applyFont="1" applyFill="1" applyBorder="1" applyAlignment="1">
      <alignment horizontal="center"/>
    </xf>
    <xf numFmtId="0" fontId="0" fillId="0" borderId="33" xfId="0" applyBorder="1"/>
    <xf numFmtId="0" fontId="0" fillId="0" borderId="66" xfId="0" applyBorder="1" applyAlignment="1">
      <alignment horizontal="center"/>
    </xf>
    <xf numFmtId="0" fontId="0" fillId="7" borderId="68" xfId="0" applyFill="1" applyBorder="1" applyAlignment="1">
      <alignment horizontal="center"/>
    </xf>
    <xf numFmtId="170" fontId="0" fillId="7" borderId="21" xfId="0" applyNumberFormat="1" applyFill="1" applyBorder="1" applyAlignment="1">
      <alignment horizontal="center"/>
    </xf>
    <xf numFmtId="170" fontId="0" fillId="7" borderId="20" xfId="0" applyNumberFormat="1" applyFill="1" applyBorder="1" applyAlignment="1">
      <alignment horizontal="center"/>
    </xf>
    <xf numFmtId="170" fontId="0" fillId="0" borderId="72" xfId="0" applyNumberFormat="1" applyBorder="1" applyAlignment="1">
      <alignment horizontal="center"/>
    </xf>
    <xf numFmtId="170" fontId="0" fillId="0" borderId="26" xfId="0" applyNumberFormat="1" applyBorder="1" applyAlignment="1">
      <alignment horizontal="center"/>
    </xf>
    <xf numFmtId="170" fontId="0" fillId="0" borderId="45" xfId="0" applyNumberFormat="1" applyBorder="1" applyAlignment="1">
      <alignment horizontal="center"/>
    </xf>
    <xf numFmtId="164" fontId="0" fillId="2" borderId="0" xfId="0" applyNumberFormat="1" applyFill="1"/>
    <xf numFmtId="170" fontId="11" fillId="7" borderId="29" xfId="0" applyNumberFormat="1" applyFont="1" applyFill="1" applyBorder="1"/>
    <xf numFmtId="9" fontId="11" fillId="10" borderId="46" xfId="0" applyNumberFormat="1" applyFont="1" applyFill="1" applyBorder="1" applyAlignment="1">
      <alignment horizontal="center"/>
    </xf>
    <xf numFmtId="170" fontId="11" fillId="7" borderId="32" xfId="0" applyNumberFormat="1" applyFont="1" applyFill="1" applyBorder="1"/>
    <xf numFmtId="173" fontId="11" fillId="10" borderId="42" xfId="0" applyNumberFormat="1" applyFont="1" applyFill="1" applyBorder="1" applyAlignment="1">
      <alignment horizontal="center"/>
    </xf>
    <xf numFmtId="170" fontId="11" fillId="7" borderId="34" xfId="0" applyNumberFormat="1" applyFont="1" applyFill="1" applyBorder="1"/>
    <xf numFmtId="9" fontId="11" fillId="10" borderId="43" xfId="0" applyNumberFormat="1" applyFont="1" applyFill="1" applyBorder="1" applyAlignment="1">
      <alignment horizontal="center"/>
    </xf>
    <xf numFmtId="170" fontId="0" fillId="7" borderId="68" xfId="0" applyNumberFormat="1" applyFill="1" applyBorder="1" applyAlignment="1">
      <alignment horizontal="center"/>
    </xf>
    <xf numFmtId="165" fontId="11"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0" fontId="0" fillId="2" borderId="3" xfId="0" applyFill="1" applyBorder="1" applyAlignment="1">
      <alignment horizontal="left" vertical="center" wrapText="1"/>
    </xf>
    <xf numFmtId="0" fontId="12" fillId="2" borderId="3" xfId="0" applyFont="1" applyFill="1" applyBorder="1" applyAlignment="1">
      <alignment horizontal="center"/>
    </xf>
    <xf numFmtId="0" fontId="0" fillId="2" borderId="3" xfId="0" applyFont="1" applyFill="1" applyBorder="1" applyAlignment="1">
      <alignment horizontal="center" vertical="center"/>
    </xf>
    <xf numFmtId="0" fontId="0" fillId="7" borderId="24" xfId="0" applyFill="1" applyBorder="1"/>
    <xf numFmtId="0" fontId="0" fillId="7" borderId="2" xfId="0" applyFill="1" applyBorder="1"/>
    <xf numFmtId="0" fontId="23" fillId="5" borderId="25" xfId="0" applyFont="1" applyFill="1" applyBorder="1" applyAlignment="1">
      <alignment vertical="center"/>
    </xf>
    <xf numFmtId="0" fontId="23" fillId="5" borderId="2" xfId="0" applyFont="1" applyFill="1" applyBorder="1" applyAlignment="1">
      <alignment vertical="center"/>
    </xf>
    <xf numFmtId="10" fontId="0" fillId="2" borderId="1" xfId="0" applyNumberFormat="1" applyFill="1" applyBorder="1" applyAlignment="1">
      <alignment horizontal="center"/>
    </xf>
    <xf numFmtId="170" fontId="0" fillId="2" borderId="1" xfId="0" applyNumberFormat="1" applyFill="1" applyBorder="1" applyAlignment="1">
      <alignment horizontal="center"/>
    </xf>
    <xf numFmtId="9" fontId="0" fillId="2" borderId="1" xfId="0" applyNumberFormat="1" applyFill="1" applyBorder="1" applyAlignment="1">
      <alignment horizontal="center"/>
    </xf>
    <xf numFmtId="17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3" xfId="0" applyFill="1" applyBorder="1" applyAlignment="1">
      <alignment horizontal="center"/>
    </xf>
    <xf numFmtId="0" fontId="11" fillId="5" borderId="24" xfId="0" applyFont="1" applyFill="1" applyBorder="1" applyAlignment="1">
      <alignment horizontal="center" vertical="center" wrapText="1"/>
    </xf>
    <xf numFmtId="170" fontId="0" fillId="5" borderId="1" xfId="0" applyNumberFormat="1" applyFill="1" applyBorder="1"/>
    <xf numFmtId="0" fontId="0" fillId="5" borderId="1" xfId="0" applyFill="1" applyBorder="1" applyAlignment="1">
      <alignment horizontal="center"/>
    </xf>
    <xf numFmtId="0" fontId="0" fillId="5" borderId="24" xfId="0" applyFill="1" applyBorder="1" applyAlignment="1">
      <alignment vertical="center"/>
    </xf>
    <xf numFmtId="0" fontId="0" fillId="5" borderId="2" xfId="0" applyFill="1" applyBorder="1" applyAlignment="1">
      <alignment vertical="center"/>
    </xf>
    <xf numFmtId="0" fontId="0" fillId="5" borderId="1" xfId="0" applyFill="1" applyBorder="1"/>
    <xf numFmtId="0" fontId="0" fillId="5" borderId="24" xfId="0" applyFill="1" applyBorder="1"/>
    <xf numFmtId="0" fontId="0" fillId="5" borderId="2" xfId="0" applyFill="1" applyBorder="1"/>
    <xf numFmtId="0" fontId="0" fillId="2" borderId="2" xfId="0" applyFill="1" applyBorder="1" applyAlignment="1">
      <alignment horizontal="center" vertical="center"/>
    </xf>
    <xf numFmtId="170" fontId="0" fillId="2" borderId="1" xfId="0" applyNumberFormat="1" applyFill="1" applyBorder="1" applyAlignment="1">
      <alignment horizontal="center" vertical="center"/>
    </xf>
    <xf numFmtId="0" fontId="0" fillId="2" borderId="26" xfId="0" applyFill="1" applyBorder="1" applyAlignment="1">
      <alignment horizontal="left" vertical="center" wrapText="1"/>
    </xf>
    <xf numFmtId="0" fontId="0" fillId="7" borderId="1" xfId="0" applyFill="1" applyBorder="1" applyAlignment="1">
      <alignment horizontal="center" vertical="center"/>
    </xf>
    <xf numFmtId="170" fontId="0" fillId="7" borderId="1" xfId="0" applyNumberFormat="1" applyFill="1" applyBorder="1" applyAlignment="1">
      <alignment horizontal="center" vertical="center"/>
    </xf>
    <xf numFmtId="0" fontId="11" fillId="5" borderId="24" xfId="0" applyFont="1" applyFill="1" applyBorder="1"/>
    <xf numFmtId="0" fontId="11" fillId="5" borderId="2" xfId="0" applyFont="1" applyFill="1" applyBorder="1"/>
    <xf numFmtId="0" fontId="22" fillId="5" borderId="24" xfId="0" applyFont="1" applyFill="1" applyBorder="1" applyAlignment="1">
      <alignment vertical="center"/>
    </xf>
    <xf numFmtId="170" fontId="0" fillId="5" borderId="1" xfId="0" applyNumberFormat="1" applyFont="1" applyFill="1" applyBorder="1" applyAlignment="1">
      <alignment horizontal="center"/>
    </xf>
    <xf numFmtId="0" fontId="0" fillId="2" borderId="0" xfId="0" applyFill="1" applyBorder="1" applyAlignment="1">
      <alignment horizontal="center"/>
    </xf>
    <xf numFmtId="170" fontId="0" fillId="2" borderId="32" xfId="0" applyNumberFormat="1" applyFont="1" applyFill="1" applyBorder="1" applyAlignment="1">
      <alignment horizontal="center"/>
    </xf>
    <xf numFmtId="170" fontId="0" fillId="2" borderId="42" xfId="0" applyNumberFormat="1" applyFont="1" applyFill="1" applyBorder="1" applyAlignment="1">
      <alignment horizontal="center"/>
    </xf>
    <xf numFmtId="0" fontId="0" fillId="2" borderId="6" xfId="0" applyFill="1" applyBorder="1" applyAlignment="1">
      <alignment horizontal="left" vertical="center" wrapText="1"/>
    </xf>
    <xf numFmtId="0" fontId="15" fillId="2" borderId="0" xfId="0" applyFont="1" applyFill="1" applyAlignment="1">
      <alignment horizontal="center" vertical="center"/>
    </xf>
    <xf numFmtId="0" fontId="16"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0" fontId="0" fillId="2" borderId="13" xfId="0" applyFill="1" applyBorder="1" applyAlignment="1"/>
    <xf numFmtId="0" fontId="0" fillId="2" borderId="8" xfId="0" applyFill="1" applyBorder="1" applyAlignment="1"/>
    <xf numFmtId="0" fontId="0" fillId="2" borderId="9" xfId="0" applyFill="1" applyBorder="1" applyAlignment="1"/>
    <xf numFmtId="0" fontId="0" fillId="2" borderId="14" xfId="0" applyFill="1" applyBorder="1"/>
    <xf numFmtId="0" fontId="0" fillId="2" borderId="10" xfId="0" applyFill="1" applyBorder="1"/>
    <xf numFmtId="170" fontId="11" fillId="14" borderId="1" xfId="0" applyNumberFormat="1" applyFont="1" applyFill="1" applyBorder="1" applyAlignment="1">
      <alignment horizontal="center" vertical="center"/>
    </xf>
    <xf numFmtId="170" fontId="11" fillId="5" borderId="1" xfId="0" applyNumberFormat="1" applyFont="1" applyFill="1" applyBorder="1" applyAlignment="1">
      <alignment horizontal="right"/>
    </xf>
    <xf numFmtId="9" fontId="11" fillId="2" borderId="1" xfId="0" applyNumberFormat="1" applyFont="1" applyFill="1" applyBorder="1" applyAlignment="1">
      <alignment horizontal="center"/>
    </xf>
    <xf numFmtId="173" fontId="11" fillId="2" borderId="1" xfId="0" applyNumberFormat="1" applyFont="1" applyFill="1" applyBorder="1" applyAlignment="1">
      <alignment horizontal="center"/>
    </xf>
    <xf numFmtId="166" fontId="11"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5" xfId="0" applyFill="1" applyBorder="1" applyAlignment="1">
      <alignment horizontal="left" vertical="center" wrapText="1"/>
    </xf>
    <xf numFmtId="0" fontId="0" fillId="2" borderId="3" xfId="0" applyFill="1" applyBorder="1" applyAlignment="1">
      <alignment horizontal="center" vertical="center"/>
    </xf>
    <xf numFmtId="0" fontId="0" fillId="2" borderId="58" xfId="0" applyFill="1" applyBorder="1" applyAlignment="1">
      <alignment horizontal="center" vertical="center"/>
    </xf>
    <xf numFmtId="0" fontId="11" fillId="5" borderId="34" xfId="0" applyFont="1" applyFill="1" applyBorder="1" applyAlignment="1">
      <alignment horizontal="center"/>
    </xf>
    <xf numFmtId="0" fontId="11" fillId="5" borderId="35" xfId="0" applyFont="1" applyFill="1" applyBorder="1" applyAlignment="1">
      <alignment horizontal="center" vertical="center" wrapText="1"/>
    </xf>
    <xf numFmtId="0" fontId="11" fillId="5" borderId="35" xfId="0" applyFont="1" applyFill="1" applyBorder="1" applyAlignment="1">
      <alignment horizontal="center"/>
    </xf>
    <xf numFmtId="0" fontId="11" fillId="5" borderId="43" xfId="0" applyFont="1" applyFill="1" applyBorder="1" applyAlignment="1">
      <alignment horizontal="center"/>
    </xf>
    <xf numFmtId="0" fontId="0" fillId="2" borderId="63" xfId="0" applyFill="1" applyBorder="1" applyAlignment="1">
      <alignment horizontal="left" vertical="center" wrapText="1"/>
    </xf>
    <xf numFmtId="0" fontId="0" fillId="2" borderId="2" xfId="0" applyFill="1" applyBorder="1" applyAlignment="1">
      <alignment horizontal="left" vertical="center" wrapText="1"/>
    </xf>
    <xf numFmtId="0" fontId="0" fillId="2" borderId="51" xfId="0" applyFill="1" applyBorder="1" applyAlignment="1">
      <alignment horizontal="left" vertical="center" wrapText="1"/>
    </xf>
    <xf numFmtId="0" fontId="11" fillId="5" borderId="53" xfId="0" applyFont="1" applyFill="1" applyBorder="1" applyAlignment="1">
      <alignment horizontal="center" vertical="center"/>
    </xf>
    <xf numFmtId="0" fontId="11" fillId="5" borderId="54" xfId="0" applyFont="1" applyFill="1" applyBorder="1" applyAlignment="1">
      <alignment horizontal="center" vertical="center"/>
    </xf>
    <xf numFmtId="0" fontId="11" fillId="5" borderId="55" xfId="0" applyFont="1" applyFill="1" applyBorder="1" applyAlignment="1">
      <alignment horizontal="center" vertical="center"/>
    </xf>
    <xf numFmtId="0" fontId="11" fillId="5" borderId="64" xfId="0" applyFont="1" applyFill="1" applyBorder="1" applyAlignment="1">
      <alignment horizontal="center" vertical="center"/>
    </xf>
    <xf numFmtId="0" fontId="0" fillId="2" borderId="66" xfId="0" applyFill="1" applyBorder="1" applyAlignment="1">
      <alignment horizontal="left" vertical="center" wrapText="1"/>
    </xf>
    <xf numFmtId="0" fontId="0" fillId="2" borderId="59" xfId="0" applyFill="1" applyBorder="1" applyAlignment="1">
      <alignment horizontal="left" vertical="center" wrapText="1"/>
    </xf>
    <xf numFmtId="0" fontId="0" fillId="2" borderId="59" xfId="0" applyFill="1" applyBorder="1" applyAlignment="1">
      <alignment horizontal="center" vertical="center"/>
    </xf>
    <xf numFmtId="0" fontId="0" fillId="2" borderId="33" xfId="0" applyFill="1" applyBorder="1" applyAlignment="1">
      <alignment horizontal="center" vertical="center"/>
    </xf>
    <xf numFmtId="0" fontId="11" fillId="5" borderId="65" xfId="0" applyFont="1" applyFill="1" applyBorder="1" applyAlignment="1">
      <alignment horizontal="center" vertical="center"/>
    </xf>
    <xf numFmtId="0" fontId="11" fillId="5" borderId="50" xfId="0" applyFont="1" applyFill="1" applyBorder="1" applyAlignment="1">
      <alignment horizontal="center" vertical="center"/>
    </xf>
    <xf numFmtId="0" fontId="0" fillId="5" borderId="68" xfId="0" applyFill="1" applyBorder="1" applyAlignment="1">
      <alignment horizontal="left" vertical="center" wrapText="1"/>
    </xf>
    <xf numFmtId="0" fontId="0" fillId="5" borderId="21" xfId="0" applyFill="1" applyBorder="1" applyAlignment="1">
      <alignment horizontal="left" vertical="center" wrapText="1"/>
    </xf>
    <xf numFmtId="0" fontId="0" fillId="5" borderId="21" xfId="0" applyFill="1" applyBorder="1" applyAlignment="1">
      <alignment horizontal="center" vertical="center"/>
    </xf>
    <xf numFmtId="0" fontId="0" fillId="5" borderId="20" xfId="0" applyFill="1" applyBorder="1" applyAlignment="1">
      <alignment horizontal="center" vertical="center"/>
    </xf>
    <xf numFmtId="0" fontId="0" fillId="2" borderId="72" xfId="0" applyFill="1" applyBorder="1" applyAlignment="1">
      <alignment horizontal="left" vertical="center" wrapText="1"/>
    </xf>
    <xf numFmtId="0" fontId="0" fillId="2" borderId="26" xfId="0" applyFill="1" applyBorder="1" applyAlignment="1">
      <alignment horizontal="center" vertical="center"/>
    </xf>
    <xf numFmtId="0" fontId="0" fillId="2" borderId="45" xfId="0" applyFill="1" applyBorder="1" applyAlignment="1">
      <alignment horizontal="center" vertical="center"/>
    </xf>
    <xf numFmtId="0" fontId="0" fillId="5" borderId="19" xfId="0" applyFill="1" applyBorder="1" applyAlignment="1">
      <alignment horizontal="left" vertical="center" wrapText="1"/>
    </xf>
    <xf numFmtId="170" fontId="11" fillId="9" borderId="1" xfId="0" applyNumberFormat="1" applyFont="1" applyFill="1" applyBorder="1" applyAlignment="1">
      <alignment horizontal="center" vertical="center"/>
    </xf>
    <xf numFmtId="2" fontId="0" fillId="9" borderId="1" xfId="0" applyNumberFormat="1" applyFill="1" applyBorder="1" applyAlignment="1">
      <alignment horizontal="center"/>
    </xf>
    <xf numFmtId="0" fontId="0" fillId="2" borderId="3" xfId="0" applyFont="1" applyFill="1" applyBorder="1" applyAlignment="1">
      <alignment vertical="center"/>
    </xf>
    <xf numFmtId="170" fontId="0" fillId="5" borderId="57" xfId="0" applyNumberFormat="1" applyFill="1" applyBorder="1"/>
    <xf numFmtId="9" fontId="0" fillId="2" borderId="58" xfId="0" applyNumberFormat="1" applyFill="1" applyBorder="1" applyAlignment="1">
      <alignment horizontal="center"/>
    </xf>
    <xf numFmtId="170" fontId="0" fillId="5" borderId="32" xfId="0" applyNumberFormat="1" applyFill="1" applyBorder="1"/>
    <xf numFmtId="173" fontId="0" fillId="2" borderId="42" xfId="0" applyNumberFormat="1" applyFill="1" applyBorder="1" applyAlignment="1">
      <alignment horizontal="center"/>
    </xf>
    <xf numFmtId="170" fontId="0" fillId="5" borderId="34" xfId="0" applyNumberFormat="1" applyFill="1" applyBorder="1"/>
    <xf numFmtId="166" fontId="0" fillId="2" borderId="43" xfId="0" applyNumberFormat="1" applyFill="1" applyBorder="1" applyAlignment="1">
      <alignment horizontal="center"/>
    </xf>
    <xf numFmtId="0" fontId="0" fillId="2" borderId="3" xfId="0" applyFill="1" applyBorder="1" applyAlignment="1">
      <alignment horizontal="left"/>
    </xf>
    <xf numFmtId="2" fontId="0" fillId="2" borderId="1" xfId="0" applyNumberFormat="1" applyFill="1" applyBorder="1" applyAlignment="1">
      <alignment horizontal="left"/>
    </xf>
    <xf numFmtId="43" fontId="0" fillId="2" borderId="0" xfId="2" applyFont="1" applyFill="1"/>
    <xf numFmtId="0" fontId="24" fillId="15" borderId="50" xfId="0" applyFont="1" applyFill="1" applyBorder="1" applyAlignment="1">
      <alignment horizontal="center"/>
    </xf>
    <xf numFmtId="170" fontId="11" fillId="16" borderId="1" xfId="0" applyNumberFormat="1" applyFont="1" applyFill="1" applyBorder="1" applyAlignment="1">
      <alignment horizontal="center" vertical="center"/>
    </xf>
    <xf numFmtId="170" fontId="11" fillId="11" borderId="1" xfId="0" applyNumberFormat="1" applyFont="1" applyFill="1" applyBorder="1" applyAlignment="1">
      <alignment horizontal="center" vertical="center"/>
    </xf>
    <xf numFmtId="170" fontId="11" fillId="15" borderId="1" xfId="0" applyNumberFormat="1" applyFont="1" applyFill="1" applyBorder="1" applyAlignment="1">
      <alignment horizontal="center" vertical="center"/>
    </xf>
    <xf numFmtId="0" fontId="0" fillId="0" borderId="0" xfId="0" applyFill="1"/>
    <xf numFmtId="0" fontId="0" fillId="17" borderId="0" xfId="0" applyFill="1"/>
    <xf numFmtId="0" fontId="0" fillId="18" borderId="0" xfId="0" applyFill="1"/>
    <xf numFmtId="0" fontId="15" fillId="17" borderId="0" xfId="0" applyFont="1" applyFill="1" applyAlignment="1">
      <alignment vertical="center"/>
    </xf>
    <xf numFmtId="0" fontId="5" fillId="17" borderId="0" xfId="0" applyFont="1" applyFill="1" applyAlignment="1">
      <alignment vertical="center"/>
    </xf>
    <xf numFmtId="0" fontId="15" fillId="18" borderId="0" xfId="0" applyFont="1" applyFill="1" applyAlignment="1">
      <alignment vertical="center"/>
    </xf>
    <xf numFmtId="0" fontId="5" fillId="18" borderId="0" xfId="0" applyFont="1" applyFill="1" applyAlignment="1">
      <alignment vertical="center"/>
    </xf>
    <xf numFmtId="0" fontId="6" fillId="18" borderId="0" xfId="0" applyFont="1" applyFill="1" applyAlignment="1">
      <alignment vertical="center"/>
    </xf>
    <xf numFmtId="0" fontId="7" fillId="15" borderId="75" xfId="1" applyFont="1" applyFill="1" applyBorder="1" applyAlignment="1">
      <alignment horizontal="center" vertical="center"/>
    </xf>
    <xf numFmtId="0" fontId="7" fillId="15" borderId="76" xfId="1" applyFont="1" applyFill="1" applyBorder="1" applyAlignment="1">
      <alignment horizontal="center" vertical="center"/>
    </xf>
    <xf numFmtId="0" fontId="7" fillId="15" borderId="77" xfId="1" applyFont="1" applyFill="1" applyBorder="1" applyAlignment="1">
      <alignment horizontal="center" vertical="center"/>
    </xf>
    <xf numFmtId="0" fontId="0" fillId="0" borderId="0" xfId="0" applyFill="1" applyBorder="1"/>
    <xf numFmtId="0" fontId="0" fillId="0" borderId="0" xfId="0" applyFont="1" applyFill="1" applyBorder="1"/>
    <xf numFmtId="0" fontId="8" fillId="15" borderId="74" xfId="0" applyFont="1" applyFill="1" applyBorder="1" applyAlignment="1">
      <alignment horizontal="center"/>
    </xf>
    <xf numFmtId="0" fontId="0" fillId="15" borderId="0" xfId="0" applyFill="1"/>
    <xf numFmtId="0" fontId="0" fillId="15" borderId="78" xfId="0" applyFill="1" applyBorder="1"/>
    <xf numFmtId="0" fontId="0" fillId="15" borderId="79" xfId="0" applyFill="1" applyBorder="1"/>
    <xf numFmtId="0" fontId="15" fillId="15" borderId="79" xfId="0" applyFont="1" applyFill="1" applyBorder="1" applyAlignment="1">
      <alignment horizontal="center" vertical="center"/>
    </xf>
    <xf numFmtId="0" fontId="16" fillId="15" borderId="79" xfId="0" applyFont="1" applyFill="1" applyBorder="1" applyAlignment="1">
      <alignment horizontal="center" vertical="center"/>
    </xf>
    <xf numFmtId="9" fontId="9" fillId="2" borderId="3" xfId="3" applyFont="1" applyFill="1" applyBorder="1" applyAlignment="1">
      <alignment horizontal="left" vertical="top" wrapText="1"/>
    </xf>
    <xf numFmtId="0" fontId="9" fillId="2" borderId="90" xfId="0" applyFont="1" applyFill="1" applyBorder="1" applyAlignment="1">
      <alignment horizontal="left" vertical="top" wrapText="1"/>
    </xf>
    <xf numFmtId="165" fontId="9" fillId="2" borderId="91" xfId="0" applyNumberFormat="1" applyFont="1" applyFill="1" applyBorder="1" applyAlignment="1">
      <alignment horizontal="left" vertical="top" wrapText="1"/>
    </xf>
    <xf numFmtId="0" fontId="9" fillId="2" borderId="92" xfId="0" applyFont="1" applyFill="1" applyBorder="1" applyAlignment="1">
      <alignment horizontal="left" vertical="top" wrapText="1"/>
    </xf>
    <xf numFmtId="165" fontId="9" fillId="2" borderId="93" xfId="0" applyNumberFormat="1" applyFont="1" applyFill="1" applyBorder="1" applyAlignment="1">
      <alignment horizontal="left" vertical="top" wrapText="1"/>
    </xf>
    <xf numFmtId="0" fontId="9" fillId="2" borderId="94" xfId="0" applyFont="1" applyFill="1" applyBorder="1" applyAlignment="1">
      <alignment horizontal="left" vertical="top" wrapText="1"/>
    </xf>
    <xf numFmtId="9" fontId="9" fillId="2" borderId="95" xfId="3" applyFont="1" applyFill="1" applyBorder="1" applyAlignment="1">
      <alignment horizontal="left" vertical="top" wrapText="1"/>
    </xf>
    <xf numFmtId="165" fontId="9" fillId="2" borderId="96" xfId="0" applyNumberFormat="1" applyFont="1" applyFill="1" applyBorder="1" applyAlignment="1">
      <alignment horizontal="left" vertical="top" wrapText="1"/>
    </xf>
    <xf numFmtId="0" fontId="21" fillId="8" borderId="87" xfId="0" applyFont="1" applyFill="1" applyBorder="1" applyAlignment="1">
      <alignment horizontal="left" vertical="top" wrapText="1"/>
    </xf>
    <xf numFmtId="0" fontId="21" fillId="8" borderId="88" xfId="0" applyFont="1" applyFill="1" applyBorder="1" applyAlignment="1">
      <alignment horizontal="left" vertical="top" wrapText="1"/>
    </xf>
    <xf numFmtId="0" fontId="21" fillId="8" borderId="89" xfId="0" applyFont="1" applyFill="1" applyBorder="1" applyAlignment="1">
      <alignment horizontal="left" vertical="top" wrapText="1"/>
    </xf>
    <xf numFmtId="0" fontId="12" fillId="15" borderId="97" xfId="0" applyFont="1" applyFill="1" applyBorder="1" applyAlignment="1">
      <alignment horizontal="center" vertical="center" wrapText="1"/>
    </xf>
    <xf numFmtId="0" fontId="12" fillId="15" borderId="98" xfId="0" applyFont="1" applyFill="1" applyBorder="1" applyAlignment="1">
      <alignment horizontal="center" vertical="center" wrapText="1"/>
    </xf>
    <xf numFmtId="0" fontId="12" fillId="15" borderId="99" xfId="0" applyFont="1" applyFill="1" applyBorder="1" applyAlignment="1">
      <alignment horizontal="center" vertical="center" wrapText="1"/>
    </xf>
    <xf numFmtId="168" fontId="7" fillId="2" borderId="94" xfId="2" applyNumberFormat="1" applyFont="1" applyFill="1" applyBorder="1" applyAlignment="1">
      <alignment horizontal="left" vertical="top" wrapText="1"/>
    </xf>
    <xf numFmtId="168" fontId="7" fillId="2" borderId="95" xfId="2" applyNumberFormat="1" applyFont="1" applyFill="1" applyBorder="1" applyAlignment="1">
      <alignment horizontal="left" vertical="top" wrapText="1"/>
    </xf>
    <xf numFmtId="165" fontId="21" fillId="15" borderId="96" xfId="6" applyFont="1" applyFill="1" applyBorder="1" applyAlignment="1">
      <alignment horizontal="left" vertical="top" wrapText="1"/>
    </xf>
    <xf numFmtId="3" fontId="0" fillId="0" borderId="0" xfId="0" applyNumberFormat="1" applyFill="1"/>
    <xf numFmtId="0" fontId="12" fillId="8" borderId="104" xfId="0" applyFont="1" applyFill="1" applyBorder="1" applyAlignment="1">
      <alignment horizontal="center"/>
    </xf>
    <xf numFmtId="0" fontId="12" fillId="8" borderId="74" xfId="0" applyFont="1" applyFill="1" applyBorder="1" applyAlignment="1">
      <alignment horizontal="center"/>
    </xf>
    <xf numFmtId="0" fontId="15" fillId="15" borderId="0" xfId="0" applyFont="1" applyFill="1" applyAlignment="1">
      <alignment vertical="center"/>
    </xf>
    <xf numFmtId="0" fontId="5" fillId="15" borderId="0" xfId="0" applyFont="1" applyFill="1" applyAlignment="1">
      <alignment vertical="center"/>
    </xf>
    <xf numFmtId="0" fontId="11" fillId="15" borderId="32" xfId="0" applyFont="1" applyFill="1" applyBorder="1" applyAlignment="1">
      <alignment horizontal="center"/>
    </xf>
    <xf numFmtId="0" fontId="11" fillId="15" borderId="1" xfId="0" applyFont="1" applyFill="1" applyBorder="1" applyAlignment="1">
      <alignment horizontal="center"/>
    </xf>
    <xf numFmtId="0" fontId="11" fillId="15" borderId="42" xfId="0" applyFont="1" applyFill="1" applyBorder="1" applyAlignment="1">
      <alignment horizontal="center"/>
    </xf>
    <xf numFmtId="168" fontId="0" fillId="10" borderId="61" xfId="2" applyNumberFormat="1" applyFont="1" applyFill="1" applyBorder="1" applyAlignment="1">
      <alignment horizontal="center" vertical="center"/>
    </xf>
    <xf numFmtId="168" fontId="0" fillId="6" borderId="61" xfId="2" applyNumberFormat="1" applyFont="1" applyFill="1" applyBorder="1" applyAlignment="1">
      <alignment horizontal="center" vertical="center"/>
    </xf>
    <xf numFmtId="0" fontId="9" fillId="2" borderId="0" xfId="0" applyFont="1" applyFill="1" applyBorder="1" applyAlignment="1">
      <alignment vertical="top" wrapText="1"/>
    </xf>
    <xf numFmtId="0" fontId="11" fillId="8" borderId="66" xfId="0" applyFont="1" applyFill="1" applyBorder="1" applyAlignment="1">
      <alignment horizontal="center" vertical="center" wrapText="1"/>
    </xf>
    <xf numFmtId="0" fontId="11" fillId="8" borderId="33" xfId="0" applyFont="1" applyFill="1" applyBorder="1" applyAlignment="1">
      <alignment horizontal="center" vertical="center" wrapText="1"/>
    </xf>
    <xf numFmtId="0" fontId="11" fillId="8" borderId="40" xfId="0" applyFont="1" applyFill="1" applyBorder="1" applyAlignment="1">
      <alignment horizontal="center" vertical="center" wrapText="1"/>
    </xf>
    <xf numFmtId="165" fontId="11" fillId="2" borderId="20" xfId="0" applyNumberFormat="1" applyFont="1" applyFill="1" applyBorder="1"/>
    <xf numFmtId="168" fontId="0" fillId="15" borderId="16" xfId="0" applyNumberFormat="1" applyFill="1" applyBorder="1"/>
    <xf numFmtId="0" fontId="20" fillId="0" borderId="0" xfId="0" applyFont="1" applyFill="1" applyBorder="1" applyAlignment="1">
      <alignment horizontal="center" vertical="center"/>
    </xf>
    <xf numFmtId="0" fontId="21" fillId="0" borderId="0" xfId="0" applyFont="1" applyFill="1" applyBorder="1" applyAlignment="1">
      <alignment vertical="top" wrapText="1"/>
    </xf>
    <xf numFmtId="0" fontId="21" fillId="0" borderId="0" xfId="0" applyFont="1" applyFill="1" applyBorder="1" applyAlignment="1">
      <alignment vertical="top"/>
    </xf>
    <xf numFmtId="0" fontId="8" fillId="0" borderId="0" xfId="0" applyFont="1" applyFill="1" applyBorder="1" applyAlignment="1">
      <alignment vertical="center"/>
    </xf>
    <xf numFmtId="0" fontId="8" fillId="0" borderId="0" xfId="0" applyFont="1" applyFill="1" applyBorder="1" applyAlignment="1"/>
    <xf numFmtId="0" fontId="11" fillId="0" borderId="0" xfId="0" applyFont="1" applyFill="1" applyBorder="1" applyAlignment="1">
      <alignment horizontal="center"/>
    </xf>
    <xf numFmtId="0" fontId="11" fillId="0" borderId="0" xfId="0" applyFont="1" applyFill="1" applyBorder="1" applyAlignment="1">
      <alignment vertical="center"/>
    </xf>
    <xf numFmtId="0" fontId="20" fillId="0" borderId="0" xfId="0" applyFont="1" applyFill="1" applyBorder="1" applyAlignment="1">
      <alignment vertical="center"/>
    </xf>
    <xf numFmtId="0" fontId="11" fillId="0" borderId="0" xfId="0" applyFont="1" applyFill="1" applyBorder="1" applyAlignment="1">
      <alignment horizontal="center" vertical="center"/>
    </xf>
    <xf numFmtId="0" fontId="0" fillId="0" borderId="0" xfId="0" applyFill="1" applyBorder="1" applyAlignment="1">
      <alignment horizontal="left" wrapText="1"/>
    </xf>
    <xf numFmtId="0" fontId="0" fillId="0" borderId="0" xfId="0" applyFont="1" applyFill="1" applyBorder="1" applyAlignment="1">
      <alignment vertical="center"/>
    </xf>
    <xf numFmtId="170" fontId="0" fillId="0" borderId="0" xfId="0" applyNumberFormat="1" applyFill="1" applyBorder="1" applyAlignment="1">
      <alignment horizontal="left" wrapText="1"/>
    </xf>
    <xf numFmtId="170" fontId="0" fillId="0" borderId="0" xfId="0" applyNumberFormat="1" applyFill="1" applyBorder="1"/>
    <xf numFmtId="168" fontId="0" fillId="9" borderId="44" xfId="2" applyNumberFormat="1" applyFont="1" applyFill="1" applyBorder="1" applyAlignment="1">
      <alignment vertical="center"/>
    </xf>
    <xf numFmtId="165" fontId="0" fillId="9" borderId="52" xfId="6" applyFont="1" applyFill="1" applyBorder="1" applyAlignment="1">
      <alignment vertical="center"/>
    </xf>
    <xf numFmtId="165" fontId="0" fillId="10" borderId="52" xfId="6" applyFont="1" applyFill="1" applyBorder="1" applyAlignment="1">
      <alignment vertical="center"/>
    </xf>
    <xf numFmtId="165" fontId="0" fillId="6" borderId="52" xfId="6" applyFont="1" applyFill="1" applyBorder="1" applyAlignment="1">
      <alignment vertical="center"/>
    </xf>
    <xf numFmtId="43" fontId="9" fillId="9" borderId="61" xfId="2" applyFont="1" applyFill="1" applyBorder="1" applyAlignment="1">
      <alignment vertical="center"/>
    </xf>
    <xf numFmtId="43" fontId="9" fillId="10" borderId="61" xfId="2" applyFont="1" applyFill="1" applyBorder="1" applyAlignment="1">
      <alignment vertical="center"/>
    </xf>
    <xf numFmtId="43" fontId="9" fillId="6" borderId="61" xfId="2" applyFont="1" applyFill="1" applyBorder="1" applyAlignment="1">
      <alignment vertical="center"/>
    </xf>
    <xf numFmtId="0" fontId="0" fillId="2" borderId="0" xfId="0" applyFont="1" applyFill="1" applyBorder="1" applyAlignment="1">
      <alignment horizontal="center" vertical="center"/>
    </xf>
    <xf numFmtId="0" fontId="11" fillId="2" borderId="0" xfId="0" applyFont="1" applyFill="1" applyBorder="1" applyAlignment="1">
      <alignment horizontal="center" vertical="center"/>
    </xf>
    <xf numFmtId="0" fontId="29" fillId="0" borderId="0" xfId="0" applyFont="1" applyFill="1" applyBorder="1" applyAlignment="1">
      <alignment horizontal="center" vertical="center"/>
    </xf>
    <xf numFmtId="0" fontId="29" fillId="0" borderId="53" xfId="0" applyFont="1" applyFill="1" applyBorder="1" applyAlignment="1">
      <alignment horizontal="center" vertical="center"/>
    </xf>
    <xf numFmtId="0" fontId="29" fillId="0" borderId="55" xfId="0" applyFont="1" applyFill="1" applyBorder="1" applyAlignment="1">
      <alignment horizontal="center" vertical="center"/>
    </xf>
    <xf numFmtId="0" fontId="29" fillId="0" borderId="39" xfId="0" applyFont="1" applyFill="1" applyBorder="1" applyAlignment="1">
      <alignment horizontal="center" vertical="center"/>
    </xf>
    <xf numFmtId="0" fontId="29" fillId="0" borderId="49" xfId="0" applyFont="1" applyFill="1" applyBorder="1" applyAlignment="1">
      <alignment horizontal="center" vertical="center"/>
    </xf>
    <xf numFmtId="0" fontId="20" fillId="0" borderId="0" xfId="0" applyFont="1" applyFill="1" applyBorder="1" applyAlignment="1"/>
    <xf numFmtId="0" fontId="30" fillId="8" borderId="24" xfId="7" applyFont="1" applyFill="1" applyBorder="1" applyAlignment="1"/>
    <xf numFmtId="0" fontId="30" fillId="8" borderId="28" xfId="7" applyFont="1" applyFill="1" applyBorder="1" applyAlignment="1"/>
    <xf numFmtId="0" fontId="33" fillId="8" borderId="50" xfId="7" applyFont="1" applyFill="1" applyBorder="1" applyAlignment="1"/>
    <xf numFmtId="0" fontId="20" fillId="15" borderId="50" xfId="0" applyFont="1" applyFill="1" applyBorder="1" applyAlignment="1">
      <alignment vertical="center"/>
    </xf>
    <xf numFmtId="176" fontId="20" fillId="0" borderId="50" xfId="0" applyNumberFormat="1" applyFont="1" applyFill="1" applyBorder="1" applyAlignment="1">
      <alignment vertical="center"/>
    </xf>
    <xf numFmtId="0" fontId="29" fillId="0" borderId="39" xfId="0" applyNumberFormat="1" applyFont="1" applyFill="1" applyBorder="1" applyAlignment="1">
      <alignment horizontal="center" wrapText="1"/>
    </xf>
    <xf numFmtId="0" fontId="29" fillId="0" borderId="49" xfId="0" applyNumberFormat="1" applyFont="1" applyFill="1" applyBorder="1" applyAlignment="1">
      <alignment horizontal="center" wrapText="1"/>
    </xf>
    <xf numFmtId="177" fontId="29" fillId="0" borderId="47" xfId="0" applyNumberFormat="1" applyFont="1" applyFill="1" applyBorder="1" applyAlignment="1">
      <alignment horizontal="center" vertical="center"/>
    </xf>
    <xf numFmtId="177" fontId="29" fillId="0" borderId="47" xfId="0" applyNumberFormat="1" applyFont="1" applyFill="1" applyBorder="1" applyAlignment="1">
      <alignment horizontal="center" wrapText="1"/>
    </xf>
    <xf numFmtId="177" fontId="29" fillId="0" borderId="54" xfId="0" applyNumberFormat="1" applyFont="1" applyFill="1" applyBorder="1" applyAlignment="1">
      <alignment horizontal="center" vertical="center"/>
    </xf>
    <xf numFmtId="168" fontId="0" fillId="10" borderId="50" xfId="2" applyNumberFormat="1" applyFont="1" applyFill="1" applyBorder="1" applyAlignment="1">
      <alignment vertical="center"/>
    </xf>
    <xf numFmtId="168" fontId="0" fillId="6" borderId="50" xfId="2" applyNumberFormat="1" applyFont="1" applyFill="1" applyBorder="1" applyAlignment="1">
      <alignment vertical="center"/>
    </xf>
    <xf numFmtId="168" fontId="0" fillId="9" borderId="50" xfId="2" applyNumberFormat="1" applyFont="1" applyFill="1" applyBorder="1" applyAlignment="1">
      <alignment vertical="center"/>
    </xf>
    <xf numFmtId="0" fontId="11" fillId="8" borderId="108" xfId="0" applyFont="1" applyFill="1" applyBorder="1" applyAlignment="1">
      <alignment horizontal="center" vertical="center" wrapText="1"/>
    </xf>
    <xf numFmtId="0" fontId="11" fillId="8" borderId="28" xfId="0" applyFont="1" applyFill="1" applyBorder="1" applyAlignment="1">
      <alignment horizontal="center" vertical="center" wrapText="1"/>
    </xf>
    <xf numFmtId="165" fontId="0" fillId="9" borderId="0" xfId="6" applyFont="1" applyFill="1" applyBorder="1" applyAlignment="1">
      <alignment vertical="center"/>
    </xf>
    <xf numFmtId="0" fontId="14" fillId="15" borderId="0" xfId="0" applyFont="1" applyFill="1" applyBorder="1" applyAlignment="1">
      <alignment horizontal="left"/>
    </xf>
    <xf numFmtId="0" fontId="11" fillId="15" borderId="0" xfId="0" applyFont="1" applyFill="1" applyBorder="1" applyAlignment="1">
      <alignment horizontal="center"/>
    </xf>
    <xf numFmtId="43" fontId="22" fillId="8" borderId="108" xfId="2" applyFont="1" applyFill="1" applyBorder="1" applyAlignment="1">
      <alignment horizontal="center" vertical="center"/>
    </xf>
    <xf numFmtId="165" fontId="0" fillId="10" borderId="8" xfId="6" applyFont="1" applyFill="1" applyBorder="1" applyAlignment="1">
      <alignment horizontal="center" vertical="center"/>
    </xf>
    <xf numFmtId="0" fontId="26" fillId="2" borderId="0" xfId="0" applyFont="1" applyFill="1" applyBorder="1" applyAlignment="1">
      <alignment horizontal="center" vertical="top" wrapText="1"/>
    </xf>
    <xf numFmtId="177" fontId="29" fillId="0" borderId="0" xfId="0" applyNumberFormat="1" applyFont="1" applyFill="1" applyBorder="1" applyAlignment="1">
      <alignment horizontal="center" vertical="center"/>
    </xf>
    <xf numFmtId="168" fontId="11" fillId="12" borderId="41" xfId="0" applyNumberFormat="1" applyFont="1" applyFill="1" applyBorder="1"/>
    <xf numFmtId="165" fontId="11" fillId="2" borderId="37" xfId="6" applyFont="1" applyFill="1" applyBorder="1"/>
    <xf numFmtId="168" fontId="0" fillId="9" borderId="30" xfId="0" applyNumberFormat="1" applyFill="1" applyBorder="1" applyAlignment="1">
      <alignment vertical="center"/>
    </xf>
    <xf numFmtId="165" fontId="0" fillId="6" borderId="20" xfId="6" applyFont="1" applyFill="1" applyBorder="1" applyAlignment="1">
      <alignment vertical="center"/>
    </xf>
    <xf numFmtId="1" fontId="0" fillId="9" borderId="23" xfId="0" applyNumberFormat="1" applyFill="1" applyBorder="1" applyAlignment="1">
      <alignment vertical="center"/>
    </xf>
    <xf numFmtId="168" fontId="0" fillId="10" borderId="1" xfId="0" applyNumberFormat="1" applyFill="1" applyBorder="1" applyAlignment="1">
      <alignment vertical="center"/>
    </xf>
    <xf numFmtId="168" fontId="0" fillId="9" borderId="46" xfId="0" applyNumberFormat="1" applyFill="1" applyBorder="1" applyAlignment="1">
      <alignment vertical="center"/>
    </xf>
    <xf numFmtId="168" fontId="0" fillId="10" borderId="42" xfId="0" applyNumberFormat="1" applyFill="1" applyBorder="1" applyAlignment="1">
      <alignment vertical="center"/>
    </xf>
    <xf numFmtId="168" fontId="0" fillId="6" borderId="43" xfId="0" applyNumberFormat="1" applyFill="1" applyBorder="1" applyAlignment="1">
      <alignment vertical="center"/>
    </xf>
    <xf numFmtId="1" fontId="0" fillId="9" borderId="23" xfId="6" applyNumberFormat="1" applyFont="1" applyFill="1" applyBorder="1" applyAlignment="1">
      <alignment vertical="center"/>
    </xf>
    <xf numFmtId="178" fontId="0" fillId="9" borderId="29" xfId="6" applyNumberFormat="1" applyFont="1" applyFill="1" applyBorder="1" applyAlignment="1">
      <alignment vertical="center"/>
    </xf>
    <xf numFmtId="165" fontId="0" fillId="9" borderId="46" xfId="6" applyFont="1" applyFill="1" applyBorder="1" applyAlignment="1">
      <alignment vertical="center"/>
    </xf>
    <xf numFmtId="165" fontId="0" fillId="10" borderId="42" xfId="6" applyFont="1" applyFill="1" applyBorder="1" applyAlignment="1">
      <alignment vertical="center"/>
    </xf>
    <xf numFmtId="165" fontId="0" fillId="6" borderId="43" xfId="6" applyFont="1" applyFill="1" applyBorder="1" applyAlignment="1">
      <alignment vertical="center"/>
    </xf>
    <xf numFmtId="178" fontId="0" fillId="9" borderId="23" xfId="6" applyNumberFormat="1" applyFont="1" applyFill="1" applyBorder="1" applyAlignment="1">
      <alignment vertical="center"/>
    </xf>
    <xf numFmtId="165" fontId="0" fillId="9" borderId="60" xfId="6" applyFont="1" applyFill="1" applyBorder="1" applyAlignment="1">
      <alignment vertical="center"/>
    </xf>
    <xf numFmtId="0" fontId="11" fillId="8" borderId="59" xfId="0" applyFont="1" applyFill="1" applyBorder="1" applyAlignment="1">
      <alignment horizontal="center" vertical="center" wrapText="1"/>
    </xf>
    <xf numFmtId="165" fontId="0" fillId="10" borderId="109" xfId="6" applyFont="1" applyFill="1" applyBorder="1" applyAlignment="1">
      <alignment horizontal="center" vertical="center"/>
    </xf>
    <xf numFmtId="165" fontId="0" fillId="6" borderId="109" xfId="6" applyFont="1" applyFill="1" applyBorder="1" applyAlignment="1">
      <alignment horizontal="center" vertical="center"/>
    </xf>
    <xf numFmtId="178" fontId="0" fillId="10" borderId="32" xfId="6" applyNumberFormat="1" applyFont="1" applyFill="1" applyBorder="1" applyAlignment="1">
      <alignment vertical="center"/>
    </xf>
    <xf numFmtId="178" fontId="0" fillId="10" borderId="2" xfId="6" applyNumberFormat="1" applyFont="1" applyFill="1" applyBorder="1" applyAlignment="1">
      <alignment vertical="center"/>
    </xf>
    <xf numFmtId="1" fontId="0" fillId="10" borderId="2" xfId="6" applyNumberFormat="1" applyFont="1" applyFill="1" applyBorder="1" applyAlignment="1">
      <alignment vertical="center"/>
    </xf>
    <xf numFmtId="1" fontId="0" fillId="10" borderId="2" xfId="0" applyNumberFormat="1" applyFill="1" applyBorder="1" applyAlignment="1">
      <alignment vertical="center"/>
    </xf>
    <xf numFmtId="178" fontId="0" fillId="6" borderId="34" xfId="6" applyNumberFormat="1" applyFont="1" applyFill="1" applyBorder="1" applyAlignment="1">
      <alignment vertical="center"/>
    </xf>
    <xf numFmtId="168" fontId="0" fillId="6" borderId="35" xfId="0" applyNumberFormat="1" applyFill="1" applyBorder="1" applyAlignment="1">
      <alignment vertical="center"/>
    </xf>
    <xf numFmtId="178" fontId="0" fillId="6" borderId="51" xfId="6" applyNumberFormat="1" applyFont="1" applyFill="1" applyBorder="1" applyAlignment="1">
      <alignment vertical="center"/>
    </xf>
    <xf numFmtId="1" fontId="0" fillId="6" borderId="51" xfId="6" applyNumberFormat="1" applyFont="1" applyFill="1" applyBorder="1" applyAlignment="1">
      <alignment vertical="center"/>
    </xf>
    <xf numFmtId="1" fontId="0" fillId="6" borderId="51" xfId="0" applyNumberFormat="1" applyFill="1" applyBorder="1" applyAlignment="1">
      <alignment vertical="center"/>
    </xf>
    <xf numFmtId="165" fontId="11" fillId="12" borderId="11" xfId="0" applyNumberFormat="1" applyFont="1" applyFill="1" applyBorder="1"/>
    <xf numFmtId="165" fontId="11" fillId="12" borderId="11" xfId="6" applyFont="1" applyFill="1" applyBorder="1"/>
    <xf numFmtId="0" fontId="1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20" fillId="2" borderId="0" xfId="0" applyFont="1" applyFill="1" applyBorder="1" applyAlignment="1"/>
    <xf numFmtId="0" fontId="20" fillId="2" borderId="0" xfId="0" applyFont="1" applyFill="1" applyBorder="1" applyAlignment="1">
      <alignment horizontal="left"/>
    </xf>
    <xf numFmtId="178" fontId="0" fillId="10" borderId="29" xfId="6" applyNumberFormat="1" applyFont="1" applyFill="1" applyBorder="1" applyAlignment="1">
      <alignment vertical="center"/>
    </xf>
    <xf numFmtId="168" fontId="0" fillId="10" borderId="30" xfId="0" applyNumberFormat="1" applyFill="1" applyBorder="1" applyAlignment="1">
      <alignment vertical="center"/>
    </xf>
    <xf numFmtId="178" fontId="0" fillId="6" borderId="29" xfId="6" applyNumberFormat="1" applyFont="1" applyFill="1" applyBorder="1" applyAlignment="1">
      <alignment vertical="center"/>
    </xf>
    <xf numFmtId="168" fontId="0" fillId="6" borderId="30" xfId="0" applyNumberFormat="1" applyFill="1" applyBorder="1" applyAlignment="1">
      <alignment vertical="center"/>
    </xf>
    <xf numFmtId="0" fontId="25" fillId="10" borderId="73" xfId="0" applyFont="1" applyFill="1" applyBorder="1" applyAlignment="1">
      <alignment horizontal="center" vertical="center" wrapText="1"/>
    </xf>
    <xf numFmtId="0" fontId="25" fillId="6" borderId="73" xfId="0" applyFont="1" applyFill="1" applyBorder="1" applyAlignment="1">
      <alignment horizontal="center" vertical="center" wrapText="1"/>
    </xf>
    <xf numFmtId="0" fontId="14" fillId="15" borderId="78" xfId="0" applyFont="1" applyFill="1" applyBorder="1" applyAlignment="1">
      <alignment horizontal="center"/>
    </xf>
    <xf numFmtId="0" fontId="14" fillId="15" borderId="80" xfId="0" applyFont="1" applyFill="1" applyBorder="1" applyAlignment="1">
      <alignment horizontal="center"/>
    </xf>
    <xf numFmtId="0" fontId="14" fillId="15" borderId="78" xfId="0" applyFont="1" applyFill="1" applyBorder="1" applyAlignment="1">
      <alignment horizontal="left"/>
    </xf>
    <xf numFmtId="0" fontId="14" fillId="15" borderId="79" xfId="0" applyFont="1" applyFill="1" applyBorder="1" applyAlignment="1">
      <alignment horizontal="left"/>
    </xf>
    <xf numFmtId="0" fontId="14" fillId="15" borderId="80" xfId="0" applyFont="1" applyFill="1" applyBorder="1" applyAlignment="1">
      <alignment horizontal="left"/>
    </xf>
    <xf numFmtId="0" fontId="20" fillId="15" borderId="78" xfId="0" applyFont="1" applyFill="1" applyBorder="1" applyAlignment="1">
      <alignment horizontal="left" vertical="top" wrapText="1"/>
    </xf>
    <xf numFmtId="0" fontId="20" fillId="15" borderId="79" xfId="0" applyFont="1" applyFill="1" applyBorder="1" applyAlignment="1">
      <alignment horizontal="left" vertical="top" wrapText="1"/>
    </xf>
    <xf numFmtId="0" fontId="20" fillId="15" borderId="80" xfId="0" applyFont="1" applyFill="1" applyBorder="1" applyAlignment="1">
      <alignment horizontal="left" vertical="top" wrapText="1"/>
    </xf>
    <xf numFmtId="0" fontId="19" fillId="8" borderId="103" xfId="0" applyFont="1" applyFill="1" applyBorder="1" applyAlignment="1">
      <alignment horizontal="center" vertical="center" textRotation="90" wrapText="1"/>
    </xf>
    <xf numFmtId="0" fontId="19" fillId="8" borderId="104" xfId="0" applyFont="1" applyFill="1" applyBorder="1" applyAlignment="1">
      <alignment horizontal="center" vertical="center" textRotation="90" wrapText="1"/>
    </xf>
    <xf numFmtId="0" fontId="19" fillId="8" borderId="105" xfId="0" applyFont="1" applyFill="1" applyBorder="1" applyAlignment="1">
      <alignment horizontal="center" vertical="center" textRotation="90" wrapText="1"/>
    </xf>
    <xf numFmtId="0" fontId="7" fillId="2" borderId="78" xfId="0" applyFont="1" applyFill="1" applyBorder="1" applyAlignment="1">
      <alignment horizontal="left" vertical="top" wrapText="1"/>
    </xf>
    <xf numFmtId="0" fontId="7" fillId="2" borderId="79" xfId="0" applyFont="1" applyFill="1" applyBorder="1" applyAlignment="1">
      <alignment horizontal="left" vertical="top" wrapText="1"/>
    </xf>
    <xf numFmtId="0" fontId="7" fillId="2" borderId="80" xfId="0" applyFont="1" applyFill="1" applyBorder="1" applyAlignment="1">
      <alignment horizontal="left" vertical="top" wrapText="1"/>
    </xf>
    <xf numFmtId="0" fontId="14" fillId="15" borderId="81" xfId="0" applyFont="1" applyFill="1" applyBorder="1" applyAlignment="1">
      <alignment horizontal="left"/>
    </xf>
    <xf numFmtId="0" fontId="14" fillId="15" borderId="82" xfId="0" applyFont="1" applyFill="1" applyBorder="1" applyAlignment="1">
      <alignment horizontal="left"/>
    </xf>
    <xf numFmtId="0" fontId="14" fillId="15" borderId="83" xfId="0" applyFont="1" applyFill="1" applyBorder="1" applyAlignment="1">
      <alignment horizontal="left"/>
    </xf>
    <xf numFmtId="0" fontId="7" fillId="2" borderId="84" xfId="0" applyFont="1" applyFill="1" applyBorder="1" applyAlignment="1">
      <alignment horizontal="left" vertical="top" wrapText="1"/>
    </xf>
    <xf numFmtId="0" fontId="7" fillId="2" borderId="85" xfId="0" applyFont="1" applyFill="1" applyBorder="1" applyAlignment="1">
      <alignment horizontal="left" vertical="top" wrapText="1"/>
    </xf>
    <xf numFmtId="0" fontId="7" fillId="2" borderId="86" xfId="0" applyFont="1" applyFill="1" applyBorder="1" applyAlignment="1">
      <alignment horizontal="left" vertical="top" wrapText="1"/>
    </xf>
    <xf numFmtId="0" fontId="14" fillId="15" borderId="87" xfId="0" applyFont="1" applyFill="1" applyBorder="1" applyAlignment="1">
      <alignment horizontal="left"/>
    </xf>
    <xf numFmtId="0" fontId="14" fillId="15" borderId="88" xfId="0" applyFont="1" applyFill="1" applyBorder="1" applyAlignment="1">
      <alignment horizontal="left"/>
    </xf>
    <xf numFmtId="0" fontId="14" fillId="15" borderId="89" xfId="0" applyFont="1" applyFill="1" applyBorder="1" applyAlignment="1">
      <alignment horizontal="left"/>
    </xf>
    <xf numFmtId="0" fontId="7" fillId="2" borderId="87" xfId="0" applyFont="1" applyFill="1" applyBorder="1" applyAlignment="1">
      <alignment horizontal="left" vertical="top" wrapText="1"/>
    </xf>
    <xf numFmtId="0" fontId="7" fillId="2" borderId="88" xfId="0" applyFont="1" applyFill="1" applyBorder="1" applyAlignment="1">
      <alignment horizontal="left" vertical="top" wrapText="1"/>
    </xf>
    <xf numFmtId="0" fontId="7" fillId="2" borderId="89" xfId="0" applyFont="1" applyFill="1" applyBorder="1" applyAlignment="1">
      <alignment horizontal="left" vertical="top" wrapText="1"/>
    </xf>
    <xf numFmtId="0" fontId="14" fillId="15" borderId="101" xfId="0" applyFont="1" applyFill="1" applyBorder="1" applyAlignment="1">
      <alignment horizontal="left"/>
    </xf>
    <xf numFmtId="0" fontId="14" fillId="15" borderId="102" xfId="0" applyFont="1" applyFill="1" applyBorder="1" applyAlignment="1">
      <alignment horizontal="left"/>
    </xf>
    <xf numFmtId="0" fontId="25" fillId="14" borderId="73" xfId="0" applyFont="1" applyFill="1" applyBorder="1" applyAlignment="1">
      <alignment horizontal="center" vertical="center" wrapText="1"/>
    </xf>
    <xf numFmtId="0" fontId="12" fillId="9" borderId="106" xfId="0" applyFont="1" applyFill="1" applyBorder="1" applyAlignment="1">
      <alignment horizontal="center" vertical="center"/>
    </xf>
    <xf numFmtId="0" fontId="12" fillId="9" borderId="100" xfId="0" applyFont="1" applyFill="1" applyBorder="1" applyAlignment="1">
      <alignment horizontal="center" vertical="center"/>
    </xf>
    <xf numFmtId="0" fontId="12" fillId="9" borderId="107" xfId="0" applyFont="1" applyFill="1" applyBorder="1" applyAlignment="1">
      <alignment horizontal="center" vertical="center"/>
    </xf>
    <xf numFmtId="0" fontId="12" fillId="10" borderId="106" xfId="0" applyFont="1" applyFill="1" applyBorder="1" applyAlignment="1">
      <alignment horizontal="center" vertical="center"/>
    </xf>
    <xf numFmtId="0" fontId="12" fillId="10" borderId="100" xfId="0" applyFont="1" applyFill="1" applyBorder="1" applyAlignment="1">
      <alignment horizontal="center" vertical="center"/>
    </xf>
    <xf numFmtId="0" fontId="12" fillId="10" borderId="107" xfId="0" applyFont="1" applyFill="1" applyBorder="1" applyAlignment="1">
      <alignment horizontal="center" vertical="center"/>
    </xf>
    <xf numFmtId="0" fontId="12" fillId="6" borderId="106" xfId="0" applyFont="1" applyFill="1" applyBorder="1" applyAlignment="1">
      <alignment horizontal="center" vertical="center"/>
    </xf>
    <xf numFmtId="0" fontId="12" fillId="6" borderId="100" xfId="0" applyFont="1" applyFill="1" applyBorder="1" applyAlignment="1">
      <alignment horizontal="center" vertical="center"/>
    </xf>
    <xf numFmtId="0" fontId="12" fillId="6" borderId="84" xfId="0" applyFont="1" applyFill="1" applyBorder="1" applyAlignment="1">
      <alignment horizontal="center" vertical="center"/>
    </xf>
    <xf numFmtId="169" fontId="12" fillId="9" borderId="26" xfId="0" applyNumberFormat="1" applyFont="1" applyFill="1" applyBorder="1" applyAlignment="1">
      <alignment horizontal="center" vertical="center"/>
    </xf>
    <xf numFmtId="169" fontId="12" fillId="9" borderId="36" xfId="0" applyNumberFormat="1" applyFont="1" applyFill="1" applyBorder="1" applyAlignment="1">
      <alignment horizontal="center" vertical="center"/>
    </xf>
    <xf numFmtId="169" fontId="12" fillId="10" borderId="62" xfId="0" applyNumberFormat="1" applyFont="1" applyFill="1" applyBorder="1" applyAlignment="1">
      <alignment horizontal="center" vertical="center"/>
    </xf>
    <xf numFmtId="169" fontId="12" fillId="10" borderId="26" xfId="0" applyNumberFormat="1" applyFont="1" applyFill="1" applyBorder="1" applyAlignment="1">
      <alignment horizontal="center" vertical="center"/>
    </xf>
    <xf numFmtId="169" fontId="12" fillId="10" borderId="36" xfId="0" applyNumberFormat="1" applyFont="1" applyFill="1" applyBorder="1" applyAlignment="1">
      <alignment horizontal="center" vertical="center"/>
    </xf>
    <xf numFmtId="169" fontId="12" fillId="6" borderId="62" xfId="0" applyNumberFormat="1" applyFont="1" applyFill="1" applyBorder="1" applyAlignment="1">
      <alignment horizontal="center" vertical="center"/>
    </xf>
    <xf numFmtId="169" fontId="12" fillId="6" borderId="26" xfId="0" applyNumberFormat="1" applyFont="1" applyFill="1" applyBorder="1" applyAlignment="1">
      <alignment horizontal="center" vertical="center"/>
    </xf>
    <xf numFmtId="169" fontId="12" fillId="6" borderId="85" xfId="0" applyNumberFormat="1" applyFont="1" applyFill="1" applyBorder="1" applyAlignment="1">
      <alignment horizontal="center" vertical="center"/>
    </xf>
    <xf numFmtId="0" fontId="12" fillId="15" borderId="29" xfId="0" applyFont="1" applyFill="1" applyBorder="1" applyAlignment="1">
      <alignment horizontal="left"/>
    </xf>
    <xf numFmtId="0" fontId="12" fillId="15" borderId="46" xfId="0" applyFont="1" applyFill="1" applyBorder="1" applyAlignment="1">
      <alignment horizontal="left"/>
    </xf>
    <xf numFmtId="0" fontId="11" fillId="8" borderId="39" xfId="0" applyFont="1" applyFill="1" applyBorder="1" applyAlignment="1">
      <alignment horizontal="center" vertical="center"/>
    </xf>
    <xf numFmtId="0" fontId="11" fillId="8" borderId="18" xfId="0" applyFont="1" applyFill="1" applyBorder="1" applyAlignment="1">
      <alignment horizontal="center" vertical="center"/>
    </xf>
    <xf numFmtId="0" fontId="11" fillId="8" borderId="31" xfId="0" applyFont="1" applyFill="1" applyBorder="1" applyAlignment="1">
      <alignment horizontal="center" vertical="center"/>
    </xf>
    <xf numFmtId="43" fontId="22" fillId="8" borderId="32" xfId="2" applyFont="1" applyFill="1" applyBorder="1" applyAlignment="1">
      <alignment horizontal="center" vertical="center"/>
    </xf>
    <xf numFmtId="43" fontId="22" fillId="8" borderId="34" xfId="2" applyFont="1" applyFill="1" applyBorder="1" applyAlignment="1">
      <alignment horizontal="center" vertical="center"/>
    </xf>
    <xf numFmtId="43" fontId="22" fillId="8" borderId="42" xfId="2" applyFont="1" applyFill="1" applyBorder="1" applyAlignment="1">
      <alignment horizontal="center" vertical="center"/>
    </xf>
    <xf numFmtId="43" fontId="22" fillId="8" borderId="43" xfId="2" applyFont="1" applyFill="1" applyBorder="1" applyAlignment="1">
      <alignment horizontal="center" vertical="center"/>
    </xf>
    <xf numFmtId="9" fontId="11" fillId="15" borderId="47" xfId="0" applyNumberFormat="1" applyFont="1" applyFill="1" applyBorder="1" applyAlignment="1">
      <alignment horizontal="center" vertical="center"/>
    </xf>
    <xf numFmtId="9" fontId="11" fillId="15" borderId="25" xfId="0" applyNumberFormat="1" applyFont="1" applyFill="1" applyBorder="1" applyAlignment="1">
      <alignment horizontal="center" vertical="center"/>
    </xf>
    <xf numFmtId="9" fontId="11" fillId="15" borderId="48" xfId="0" applyNumberFormat="1" applyFont="1" applyFill="1" applyBorder="1" applyAlignment="1">
      <alignment horizontal="center" vertical="center"/>
    </xf>
    <xf numFmtId="0" fontId="11" fillId="0" borderId="4" xfId="0" applyFont="1" applyFill="1" applyBorder="1" applyAlignment="1">
      <alignment horizontal="center" vertical="center"/>
    </xf>
    <xf numFmtId="0" fontId="11" fillId="0" borderId="6" xfId="0" applyFont="1" applyFill="1" applyBorder="1" applyAlignment="1">
      <alignment horizontal="center" vertical="center"/>
    </xf>
    <xf numFmtId="0" fontId="14" fillId="15" borderId="16" xfId="0" applyFont="1" applyFill="1" applyBorder="1" applyAlignment="1">
      <alignment horizontal="left"/>
    </xf>
    <xf numFmtId="0" fontId="14" fillId="15" borderId="17" xfId="0" applyFont="1" applyFill="1" applyBorder="1" applyAlignment="1">
      <alignment horizontal="left"/>
    </xf>
    <xf numFmtId="0" fontId="14" fillId="15" borderId="8" xfId="0" applyFont="1" applyFill="1" applyBorder="1" applyAlignment="1">
      <alignment horizontal="left"/>
    </xf>
    <xf numFmtId="0" fontId="14" fillId="15" borderId="7" xfId="0" applyFont="1" applyFill="1" applyBorder="1" applyAlignment="1">
      <alignment horizontal="left"/>
    </xf>
    <xf numFmtId="43" fontId="22" fillId="8" borderId="22" xfId="2" applyFont="1" applyFill="1" applyBorder="1" applyAlignment="1">
      <alignment horizontal="center" vertical="center"/>
    </xf>
    <xf numFmtId="43" fontId="22" fillId="8" borderId="60" xfId="2" applyFont="1" applyFill="1" applyBorder="1" applyAlignment="1">
      <alignment horizontal="center" vertical="center"/>
    </xf>
    <xf numFmtId="43" fontId="22" fillId="8" borderId="28" xfId="2" applyFont="1" applyFill="1" applyBorder="1" applyAlignment="1">
      <alignment horizontal="center" vertical="center"/>
    </xf>
    <xf numFmtId="43" fontId="22" fillId="8" borderId="39" xfId="2" applyFont="1" applyFill="1" applyBorder="1" applyAlignment="1">
      <alignment horizontal="center" vertical="center"/>
    </xf>
    <xf numFmtId="43" fontId="22" fillId="8" borderId="31" xfId="2" applyFont="1" applyFill="1" applyBorder="1" applyAlignment="1">
      <alignment horizontal="center" vertical="center"/>
    </xf>
    <xf numFmtId="0" fontId="11" fillId="0" borderId="5" xfId="0" applyFont="1" applyFill="1" applyBorder="1" applyAlignment="1">
      <alignment horizontal="center" vertical="center"/>
    </xf>
    <xf numFmtId="0" fontId="30" fillId="0" borderId="5" xfId="0" applyFont="1" applyFill="1" applyBorder="1" applyAlignment="1">
      <alignment horizontal="center" vertical="center"/>
    </xf>
    <xf numFmtId="0" fontId="30" fillId="0" borderId="6" xfId="0" applyFont="1" applyFill="1" applyBorder="1" applyAlignment="1">
      <alignment horizontal="center" vertical="center"/>
    </xf>
    <xf numFmtId="170" fontId="11" fillId="0" borderId="5" xfId="0" applyNumberFormat="1" applyFont="1" applyFill="1" applyBorder="1" applyAlignment="1">
      <alignment horizontal="center" vertical="center" wrapText="1"/>
    </xf>
    <xf numFmtId="170" fontId="11" fillId="0" borderId="6" xfId="0" applyNumberFormat="1" applyFont="1" applyFill="1" applyBorder="1" applyAlignment="1">
      <alignment horizontal="center" vertical="center" wrapText="1"/>
    </xf>
    <xf numFmtId="0" fontId="20" fillId="15" borderId="16" xfId="0" applyFont="1" applyFill="1" applyBorder="1" applyAlignment="1">
      <alignment horizontal="left"/>
    </xf>
    <xf numFmtId="0" fontId="20" fillId="15" borderId="17" xfId="0" applyFont="1" applyFill="1" applyBorder="1" applyAlignment="1">
      <alignment horizontal="left"/>
    </xf>
    <xf numFmtId="0" fontId="20" fillId="15" borderId="7" xfId="0" applyFont="1" applyFill="1" applyBorder="1" applyAlignment="1">
      <alignment horizontal="left"/>
    </xf>
    <xf numFmtId="0" fontId="26" fillId="2" borderId="13" xfId="0" applyFont="1" applyFill="1" applyBorder="1" applyAlignment="1">
      <alignment horizontal="center" vertical="top" wrapText="1"/>
    </xf>
    <xf numFmtId="0" fontId="26" fillId="2" borderId="8" xfId="0" applyFont="1" applyFill="1" applyBorder="1" applyAlignment="1">
      <alignment horizontal="center" vertical="top" wrapText="1"/>
    </xf>
    <xf numFmtId="0" fontId="26" fillId="2" borderId="9" xfId="0" applyFont="1" applyFill="1" applyBorder="1" applyAlignment="1">
      <alignment horizontal="center" vertical="top" wrapText="1"/>
    </xf>
    <xf numFmtId="0" fontId="26" fillId="2" borderId="15" xfId="0" applyFont="1" applyFill="1" applyBorder="1" applyAlignment="1">
      <alignment horizontal="center" vertical="top" wrapText="1"/>
    </xf>
    <xf numFmtId="0" fontId="26" fillId="2" borderId="11" xfId="0" applyFont="1" applyFill="1" applyBorder="1" applyAlignment="1">
      <alignment horizontal="center" vertical="top" wrapText="1"/>
    </xf>
    <xf numFmtId="0" fontId="26" fillId="2" borderId="12" xfId="0" applyFont="1" applyFill="1" applyBorder="1" applyAlignment="1">
      <alignment horizontal="center" vertical="top" wrapText="1"/>
    </xf>
    <xf numFmtId="0" fontId="14" fillId="5" borderId="16" xfId="0" applyFont="1" applyFill="1" applyBorder="1" applyAlignment="1">
      <alignment horizontal="left"/>
    </xf>
    <xf numFmtId="0" fontId="14" fillId="5" borderId="17" xfId="0" applyFont="1" applyFill="1" applyBorder="1" applyAlignment="1">
      <alignment horizontal="left"/>
    </xf>
    <xf numFmtId="0" fontId="14" fillId="5" borderId="7" xfId="0" applyFont="1" applyFill="1" applyBorder="1" applyAlignment="1">
      <alignment horizontal="left"/>
    </xf>
    <xf numFmtId="0" fontId="21" fillId="5" borderId="53" xfId="0" applyFont="1" applyFill="1" applyBorder="1" applyAlignment="1">
      <alignment horizontal="center" vertical="center"/>
    </xf>
    <xf numFmtId="0" fontId="21" fillId="5" borderId="54" xfId="0" applyFont="1" applyFill="1" applyBorder="1" applyAlignment="1">
      <alignment horizontal="center" vertical="center"/>
    </xf>
    <xf numFmtId="0" fontId="21" fillId="5" borderId="55" xfId="0" applyFont="1" applyFill="1" applyBorder="1" applyAlignment="1">
      <alignment horizontal="center" vertical="center"/>
    </xf>
    <xf numFmtId="0" fontId="21" fillId="5" borderId="54" xfId="0" applyFont="1" applyFill="1" applyBorder="1" applyAlignment="1">
      <alignment horizontal="center" vertical="center" wrapText="1"/>
    </xf>
    <xf numFmtId="0" fontId="21" fillId="5" borderId="55" xfId="0" applyFont="1" applyFill="1" applyBorder="1" applyAlignment="1">
      <alignment horizontal="center" vertical="center" wrapText="1"/>
    </xf>
    <xf numFmtId="0" fontId="21" fillId="5" borderId="16" xfId="0" applyFont="1" applyFill="1" applyBorder="1" applyAlignment="1">
      <alignment horizontal="center" vertical="center"/>
    </xf>
    <xf numFmtId="0" fontId="21" fillId="5" borderId="7" xfId="0" applyFont="1" applyFill="1" applyBorder="1" applyAlignment="1">
      <alignment horizontal="center" vertical="center"/>
    </xf>
    <xf numFmtId="0" fontId="21" fillId="5" borderId="4" xfId="0" applyFont="1" applyFill="1" applyBorder="1" applyAlignment="1">
      <alignment horizontal="center" vertical="center"/>
    </xf>
    <xf numFmtId="0" fontId="21" fillId="5" borderId="6" xfId="0" applyFont="1" applyFill="1" applyBorder="1" applyAlignment="1">
      <alignment horizontal="center" vertical="center"/>
    </xf>
    <xf numFmtId="0" fontId="11" fillId="5" borderId="53" xfId="0" applyFont="1" applyFill="1" applyBorder="1" applyAlignment="1">
      <alignment horizontal="center" vertical="center" wrapText="1"/>
    </xf>
    <xf numFmtId="0" fontId="11" fillId="5" borderId="54" xfId="0" applyFont="1" applyFill="1" applyBorder="1" applyAlignment="1">
      <alignment horizontal="center" vertical="center" wrapText="1"/>
    </xf>
    <xf numFmtId="0" fontId="11" fillId="5" borderId="55" xfId="0" applyFont="1" applyFill="1" applyBorder="1" applyAlignment="1">
      <alignment horizontal="center" vertical="center" wrapText="1"/>
    </xf>
    <xf numFmtId="0" fontId="11" fillId="5" borderId="27" xfId="0" applyFont="1" applyFill="1" applyBorder="1" applyAlignment="1">
      <alignment horizontal="center"/>
    </xf>
    <xf numFmtId="0" fontId="11" fillId="5" borderId="63" xfId="0" applyFont="1" applyFill="1" applyBorder="1" applyAlignment="1">
      <alignment horizontal="center"/>
    </xf>
    <xf numFmtId="0" fontId="11" fillId="5" borderId="39" xfId="0" applyFont="1" applyFill="1" applyBorder="1" applyAlignment="1">
      <alignment horizontal="center" vertical="center" wrapText="1"/>
    </xf>
    <xf numFmtId="0" fontId="11" fillId="5" borderId="47" xfId="0" applyFont="1" applyFill="1" applyBorder="1" applyAlignment="1">
      <alignment horizontal="center" vertical="center" wrapText="1"/>
    </xf>
    <xf numFmtId="0" fontId="11" fillId="5" borderId="49" xfId="0" applyFont="1" applyFill="1" applyBorder="1" applyAlignment="1">
      <alignment horizontal="center" vertical="center" wrapText="1"/>
    </xf>
    <xf numFmtId="0" fontId="11" fillId="5" borderId="69" xfId="0" applyFont="1" applyFill="1" applyBorder="1" applyAlignment="1">
      <alignment horizontal="center"/>
    </xf>
    <xf numFmtId="0" fontId="14" fillId="5" borderId="19" xfId="0" applyFont="1" applyFill="1" applyBorder="1" applyAlignment="1">
      <alignment horizontal="left"/>
    </xf>
    <xf numFmtId="0" fontId="14" fillId="5" borderId="21" xfId="0" applyFont="1" applyFill="1" applyBorder="1" applyAlignment="1">
      <alignment horizontal="left"/>
    </xf>
    <xf numFmtId="0" fontId="14" fillId="5" borderId="20" xfId="0" applyFont="1" applyFill="1" applyBorder="1" applyAlignment="1">
      <alignment horizontal="left"/>
    </xf>
    <xf numFmtId="0" fontId="11" fillId="5" borderId="39" xfId="0" applyFont="1" applyFill="1" applyBorder="1" applyAlignment="1">
      <alignment horizontal="center"/>
    </xf>
    <xf numFmtId="0" fontId="11" fillId="5" borderId="31" xfId="0" applyFont="1" applyFill="1" applyBorder="1" applyAlignment="1">
      <alignment horizontal="center"/>
    </xf>
    <xf numFmtId="0" fontId="11" fillId="5" borderId="4" xfId="0" applyFont="1" applyFill="1" applyBorder="1" applyAlignment="1">
      <alignment horizontal="center" vertical="center"/>
    </xf>
    <xf numFmtId="0" fontId="11" fillId="5" borderId="5" xfId="0" applyFont="1" applyFill="1" applyBorder="1" applyAlignment="1">
      <alignment horizontal="center" vertical="center"/>
    </xf>
    <xf numFmtId="0" fontId="14" fillId="6" borderId="16" xfId="0" applyFont="1" applyFill="1" applyBorder="1" applyAlignment="1">
      <alignment horizontal="left"/>
    </xf>
    <xf numFmtId="0" fontId="14" fillId="6" borderId="17" xfId="0" applyFont="1" applyFill="1" applyBorder="1" applyAlignment="1">
      <alignment horizontal="left"/>
    </xf>
    <xf numFmtId="0" fontId="14" fillId="6" borderId="7" xfId="0" applyFont="1" applyFill="1" applyBorder="1" applyAlignment="1">
      <alignment horizontal="left"/>
    </xf>
    <xf numFmtId="0" fontId="12" fillId="6" borderId="57" xfId="0" applyFont="1" applyFill="1" applyBorder="1" applyAlignment="1">
      <alignment horizontal="center" vertical="center"/>
    </xf>
    <xf numFmtId="0" fontId="12" fillId="6" borderId="32"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58" xfId="0" applyFont="1" applyFill="1" applyBorder="1" applyAlignment="1">
      <alignment horizontal="center" vertical="center"/>
    </xf>
    <xf numFmtId="0" fontId="12" fillId="6" borderId="42" xfId="0" applyFont="1" applyFill="1" applyBorder="1" applyAlignment="1">
      <alignment horizontal="center" vertical="center"/>
    </xf>
    <xf numFmtId="0" fontId="12" fillId="6" borderId="29" xfId="0" applyFont="1" applyFill="1" applyBorder="1" applyAlignment="1">
      <alignment horizontal="center" vertical="center"/>
    </xf>
    <xf numFmtId="0" fontId="12" fillId="6" borderId="40" xfId="0" applyFont="1" applyFill="1" applyBorder="1" applyAlignment="1">
      <alignment horizontal="center" vertical="center"/>
    </xf>
    <xf numFmtId="0" fontId="12" fillId="6" borderId="53" xfId="0" applyFont="1" applyFill="1" applyBorder="1" applyAlignment="1">
      <alignment horizontal="center" vertical="center" wrapText="1"/>
    </xf>
    <xf numFmtId="0" fontId="12" fillId="6" borderId="64" xfId="0" applyFont="1" applyFill="1" applyBorder="1" applyAlignment="1">
      <alignment horizontal="center" vertical="center" wrapText="1"/>
    </xf>
    <xf numFmtId="0" fontId="0" fillId="2" borderId="29" xfId="0" applyFill="1" applyBorder="1" applyAlignment="1">
      <alignment horizontal="center" vertical="center"/>
    </xf>
    <xf numFmtId="0" fontId="0" fillId="2" borderId="32" xfId="0" applyFill="1" applyBorder="1" applyAlignment="1">
      <alignment horizontal="center" vertical="center"/>
    </xf>
    <xf numFmtId="0" fontId="0" fillId="2" borderId="34" xfId="0" applyFill="1" applyBorder="1" applyAlignment="1">
      <alignment horizontal="center" vertical="center"/>
    </xf>
    <xf numFmtId="0" fontId="0" fillId="2" borderId="40" xfId="0" applyFill="1" applyBorder="1" applyAlignment="1">
      <alignment horizontal="center" vertical="center"/>
    </xf>
    <xf numFmtId="0" fontId="12" fillId="6" borderId="46" xfId="0" applyFont="1" applyFill="1" applyBorder="1" applyAlignment="1">
      <alignment horizontal="center" vertical="center" wrapText="1"/>
    </xf>
    <xf numFmtId="0" fontId="12" fillId="6" borderId="33" xfId="0" applyFont="1" applyFill="1" applyBorder="1" applyAlignment="1">
      <alignment horizontal="center" vertical="center" wrapText="1"/>
    </xf>
    <xf numFmtId="0" fontId="12" fillId="6" borderId="30" xfId="0" applyFont="1" applyFill="1" applyBorder="1" applyAlignment="1">
      <alignment horizontal="center" vertical="center"/>
    </xf>
    <xf numFmtId="0" fontId="12" fillId="6" borderId="59" xfId="0" applyFont="1" applyFill="1" applyBorder="1" applyAlignment="1">
      <alignment horizontal="center" vertical="center"/>
    </xf>
    <xf numFmtId="0" fontId="11" fillId="6" borderId="41" xfId="0" applyFont="1" applyFill="1" applyBorder="1" applyAlignment="1">
      <alignment horizontal="center"/>
    </xf>
    <xf numFmtId="0" fontId="11" fillId="6" borderId="36" xfId="0" applyFont="1" applyFill="1" applyBorder="1" applyAlignment="1">
      <alignment horizontal="center"/>
    </xf>
    <xf numFmtId="0" fontId="11" fillId="6" borderId="70" xfId="0" applyFont="1" applyFill="1" applyBorder="1" applyAlignment="1">
      <alignment horizontal="center"/>
    </xf>
    <xf numFmtId="0" fontId="1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4" fillId="5" borderId="16" xfId="0" applyFont="1" applyFill="1" applyBorder="1" applyAlignment="1">
      <alignment horizontal="center"/>
    </xf>
    <xf numFmtId="0" fontId="14" fillId="5" borderId="17" xfId="0" applyFont="1" applyFill="1" applyBorder="1" applyAlignment="1">
      <alignment horizontal="center"/>
    </xf>
    <xf numFmtId="0" fontId="14" fillId="5" borderId="7" xfId="0" applyFont="1" applyFill="1" applyBorder="1" applyAlignment="1">
      <alignment horizontal="center"/>
    </xf>
    <xf numFmtId="0" fontId="0" fillId="0" borderId="61" xfId="0" applyBorder="1" applyAlignment="1">
      <alignment horizontal="center" vertical="center"/>
    </xf>
    <xf numFmtId="0" fontId="0" fillId="0" borderId="44" xfId="0" applyBorder="1" applyAlignment="1">
      <alignment horizontal="center" vertical="center"/>
    </xf>
    <xf numFmtId="0" fontId="0" fillId="0" borderId="41" xfId="0" applyBorder="1" applyAlignment="1">
      <alignment horizontal="center" vertical="center"/>
    </xf>
    <xf numFmtId="0" fontId="12" fillId="5" borderId="19" xfId="0" applyFont="1" applyFill="1" applyBorder="1" applyAlignment="1">
      <alignment horizontal="right"/>
    </xf>
    <xf numFmtId="0" fontId="12" fillId="5" borderId="21" xfId="0" applyFont="1" applyFill="1" applyBorder="1" applyAlignment="1">
      <alignment horizontal="right"/>
    </xf>
    <xf numFmtId="0" fontId="12" fillId="5" borderId="20" xfId="0" applyFont="1" applyFill="1" applyBorder="1" applyAlignment="1">
      <alignment horizontal="right"/>
    </xf>
    <xf numFmtId="0" fontId="11" fillId="6" borderId="22" xfId="0" applyFont="1" applyFill="1" applyBorder="1" applyAlignment="1">
      <alignment horizontal="center" vertical="center" wrapText="1"/>
    </xf>
    <xf numFmtId="0" fontId="11" fillId="6" borderId="38" xfId="0" applyFont="1" applyFill="1" applyBorder="1" applyAlignment="1">
      <alignment horizontal="center" vertical="center"/>
    </xf>
    <xf numFmtId="0" fontId="11" fillId="6" borderId="62" xfId="0" applyFont="1" applyFill="1" applyBorder="1" applyAlignment="1">
      <alignment horizontal="center" vertical="center"/>
    </xf>
    <xf numFmtId="0" fontId="11" fillId="6" borderId="36" xfId="0" applyFont="1" applyFill="1" applyBorder="1" applyAlignment="1">
      <alignment horizontal="center" vertical="center"/>
    </xf>
    <xf numFmtId="0" fontId="0" fillId="0" borderId="61" xfId="0" applyBorder="1" applyAlignment="1">
      <alignment horizontal="center" vertical="center" wrapText="1"/>
    </xf>
    <xf numFmtId="0" fontId="0" fillId="0" borderId="44" xfId="0" applyBorder="1" applyAlignment="1">
      <alignment horizontal="center" vertical="center" wrapText="1"/>
    </xf>
    <xf numFmtId="0" fontId="0" fillId="0" borderId="41" xfId="0" applyBorder="1" applyAlignment="1">
      <alignment horizontal="center" vertical="center" wrapText="1"/>
    </xf>
    <xf numFmtId="0" fontId="11" fillId="6" borderId="29" xfId="0" applyFont="1" applyFill="1" applyBorder="1" applyAlignment="1">
      <alignment horizontal="center" vertical="center"/>
    </xf>
    <xf numFmtId="0" fontId="11" fillId="6" borderId="30" xfId="0" applyFont="1" applyFill="1" applyBorder="1" applyAlignment="1">
      <alignment horizontal="center" vertical="center"/>
    </xf>
    <xf numFmtId="0" fontId="11" fillId="6" borderId="46" xfId="0" applyFont="1" applyFill="1" applyBorder="1" applyAlignment="1">
      <alignment horizontal="center" vertical="center"/>
    </xf>
    <xf numFmtId="0" fontId="14" fillId="5" borderId="13" xfId="0" applyFont="1" applyFill="1" applyBorder="1" applyAlignment="1">
      <alignment horizontal="left"/>
    </xf>
    <xf numFmtId="0" fontId="14" fillId="5" borderId="8" xfId="0" applyFont="1" applyFill="1" applyBorder="1" applyAlignment="1">
      <alignment horizontal="left"/>
    </xf>
    <xf numFmtId="0" fontId="14" fillId="5" borderId="9" xfId="0" applyFont="1" applyFill="1" applyBorder="1" applyAlignment="1">
      <alignment horizontal="left"/>
    </xf>
    <xf numFmtId="0" fontId="11" fillId="6" borderId="34" xfId="0" applyFont="1" applyFill="1" applyBorder="1" applyAlignment="1">
      <alignment horizontal="center" vertical="center"/>
    </xf>
    <xf numFmtId="0" fontId="11" fillId="6" borderId="35" xfId="0" applyFont="1" applyFill="1" applyBorder="1" applyAlignment="1">
      <alignment horizontal="center" vertical="center"/>
    </xf>
    <xf numFmtId="0" fontId="0" fillId="7" borderId="19" xfId="0" applyFill="1" applyBorder="1" applyAlignment="1">
      <alignment horizontal="left"/>
    </xf>
    <xf numFmtId="0" fontId="0" fillId="7" borderId="20" xfId="0" applyFill="1" applyBorder="1" applyAlignment="1">
      <alignment horizontal="left"/>
    </xf>
    <xf numFmtId="0" fontId="0" fillId="7" borderId="16" xfId="0" applyFill="1" applyBorder="1" applyAlignment="1">
      <alignment horizontal="left"/>
    </xf>
    <xf numFmtId="0" fontId="0" fillId="7" borderId="7" xfId="0" applyFill="1" applyBorder="1" applyAlignment="1">
      <alignment horizontal="left"/>
    </xf>
    <xf numFmtId="0" fontId="0" fillId="0" borderId="57" xfId="0" applyBorder="1" applyAlignment="1">
      <alignment horizontal="left" vertical="center"/>
    </xf>
    <xf numFmtId="0" fontId="0" fillId="0" borderId="58" xfId="0" applyBorder="1" applyAlignment="1">
      <alignment horizontal="left" vertical="center"/>
    </xf>
    <xf numFmtId="0" fontId="0" fillId="0" borderId="32" xfId="0" applyBorder="1" applyAlignment="1">
      <alignment horizontal="center" vertical="center"/>
    </xf>
    <xf numFmtId="0" fontId="0" fillId="0" borderId="40" xfId="0" applyBorder="1" applyAlignment="1">
      <alignment horizontal="center" vertical="center"/>
    </xf>
    <xf numFmtId="0" fontId="0" fillId="0" borderId="32" xfId="0" applyBorder="1" applyAlignment="1">
      <alignment horizontal="left"/>
    </xf>
    <xf numFmtId="0" fontId="0" fillId="0" borderId="42" xfId="0" applyBorder="1" applyAlignment="1">
      <alignment horizontal="left"/>
    </xf>
    <xf numFmtId="0" fontId="11" fillId="6" borderId="19" xfId="0" applyFont="1" applyFill="1" applyBorder="1" applyAlignment="1">
      <alignment horizontal="left"/>
    </xf>
    <xf numFmtId="0" fontId="11" fillId="6" borderId="20" xfId="0" applyFont="1" applyFill="1" applyBorder="1" applyAlignment="1">
      <alignment horizontal="left"/>
    </xf>
    <xf numFmtId="0" fontId="0" fillId="0" borderId="44" xfId="0" applyBorder="1" applyAlignment="1">
      <alignment horizontal="left"/>
    </xf>
    <xf numFmtId="0" fontId="0" fillId="0" borderId="45" xfId="0" applyBorder="1" applyAlignment="1">
      <alignment horizontal="left"/>
    </xf>
    <xf numFmtId="0" fontId="0" fillId="0" borderId="57" xfId="0" applyBorder="1" applyAlignment="1">
      <alignment horizontal="left"/>
    </xf>
    <xf numFmtId="0" fontId="0" fillId="0" borderId="58" xfId="0" applyBorder="1" applyAlignment="1">
      <alignment horizontal="left"/>
    </xf>
    <xf numFmtId="0" fontId="0" fillId="0" borderId="40" xfId="0" applyBorder="1" applyAlignment="1">
      <alignment horizontal="left"/>
    </xf>
    <xf numFmtId="0" fontId="0" fillId="0" borderId="33" xfId="0" applyBorder="1" applyAlignment="1">
      <alignment horizontal="left"/>
    </xf>
    <xf numFmtId="0" fontId="15" fillId="18" borderId="0" xfId="0" applyFont="1" applyFill="1" applyAlignment="1">
      <alignment horizontal="center" vertical="center"/>
    </xf>
    <xf numFmtId="0" fontId="16" fillId="18" borderId="0" xfId="0" applyFont="1" applyFill="1" applyAlignment="1">
      <alignment horizontal="center" vertical="center"/>
    </xf>
    <xf numFmtId="0" fontId="0" fillId="2" borderId="24" xfId="0" applyFill="1" applyBorder="1" applyAlignment="1">
      <alignment horizontal="center"/>
    </xf>
    <xf numFmtId="0" fontId="0" fillId="2" borderId="2" xfId="0" applyFill="1" applyBorder="1" applyAlignment="1">
      <alignment horizontal="center"/>
    </xf>
    <xf numFmtId="2" fontId="11" fillId="9" borderId="24" xfId="0" applyNumberFormat="1" applyFont="1" applyFill="1" applyBorder="1" applyAlignment="1">
      <alignment horizontal="center"/>
    </xf>
    <xf numFmtId="2" fontId="11" fillId="9" borderId="2" xfId="0" applyNumberFormat="1" applyFont="1" applyFill="1" applyBorder="1" applyAlignment="1">
      <alignment horizontal="center"/>
    </xf>
    <xf numFmtId="0" fontId="0" fillId="5" borderId="24" xfId="0" applyFill="1" applyBorder="1" applyAlignment="1">
      <alignment horizontal="left"/>
    </xf>
    <xf numFmtId="0" fontId="0" fillId="5" borderId="2" xfId="0" applyFill="1" applyBorder="1" applyAlignment="1">
      <alignment horizontal="left"/>
    </xf>
    <xf numFmtId="0" fontId="0" fillId="2" borderId="53" xfId="0" applyFill="1" applyBorder="1" applyAlignment="1">
      <alignment horizontal="left" vertical="center" wrapText="1"/>
    </xf>
    <xf numFmtId="0" fontId="0" fillId="2" borderId="54" xfId="0" applyFill="1" applyBorder="1" applyAlignment="1">
      <alignment horizontal="left" vertical="center" wrapText="1"/>
    </xf>
    <xf numFmtId="0" fontId="0" fillId="2" borderId="64" xfId="0" applyFill="1" applyBorder="1" applyAlignment="1">
      <alignment horizontal="left" vertical="center" wrapText="1"/>
    </xf>
    <xf numFmtId="0" fontId="0" fillId="2" borderId="65" xfId="0" applyFill="1" applyBorder="1" applyAlignment="1">
      <alignment horizontal="left" vertical="center" wrapText="1"/>
    </xf>
    <xf numFmtId="0" fontId="11" fillId="5" borderId="16" xfId="0" applyFont="1" applyFill="1" applyBorder="1" applyAlignment="1">
      <alignment horizontal="center"/>
    </xf>
    <xf numFmtId="0" fontId="11" fillId="5" borderId="17" xfId="0" applyFont="1" applyFill="1" applyBorder="1" applyAlignment="1">
      <alignment horizontal="center"/>
    </xf>
    <xf numFmtId="0" fontId="11" fillId="5" borderId="7" xfId="0" applyFont="1" applyFill="1" applyBorder="1" applyAlignment="1">
      <alignment horizontal="center"/>
    </xf>
    <xf numFmtId="0" fontId="11" fillId="5" borderId="24" xfId="0" applyFont="1" applyFill="1" applyBorder="1" applyAlignment="1">
      <alignment horizontal="center"/>
    </xf>
    <xf numFmtId="0" fontId="11" fillId="5"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5" borderId="59"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2" borderId="24" xfId="0" applyFill="1" applyBorder="1" applyAlignment="1">
      <alignment horizontal="center" vertical="center" wrapText="1"/>
    </xf>
    <xf numFmtId="0" fontId="0" fillId="2" borderId="2" xfId="0" applyFill="1" applyBorder="1" applyAlignment="1">
      <alignment horizontal="center" vertical="center" wrapText="1"/>
    </xf>
    <xf numFmtId="170" fontId="11" fillId="14" borderId="24" xfId="0" applyNumberFormat="1" applyFont="1" applyFill="1" applyBorder="1" applyAlignment="1">
      <alignment horizontal="center"/>
    </xf>
    <xf numFmtId="170" fontId="11" fillId="14" borderId="2" xfId="0" applyNumberFormat="1" applyFont="1" applyFill="1" applyBorder="1" applyAlignment="1">
      <alignment horizontal="center"/>
    </xf>
    <xf numFmtId="0" fontId="11" fillId="5" borderId="24" xfId="0" applyFont="1" applyFill="1" applyBorder="1" applyAlignment="1">
      <alignment horizontal="center" vertical="center" wrapText="1"/>
    </xf>
    <xf numFmtId="0" fontId="11" fillId="5" borderId="25"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16" xfId="0" applyFont="1" applyFill="1" applyBorder="1" applyAlignment="1">
      <alignment horizontal="center" vertical="center"/>
    </xf>
    <xf numFmtId="0" fontId="11" fillId="5" borderId="17" xfId="0" applyFont="1" applyFill="1" applyBorder="1" applyAlignment="1">
      <alignment horizontal="center" vertical="center"/>
    </xf>
    <xf numFmtId="0" fontId="11" fillId="5" borderId="7" xfId="0" applyFont="1" applyFill="1" applyBorder="1" applyAlignment="1">
      <alignment horizontal="center" vertical="center"/>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7" xfId="0" applyFill="1" applyBorder="1" applyAlignment="1">
      <alignment horizontal="left" vertical="center" wrapText="1"/>
    </xf>
    <xf numFmtId="0" fontId="8" fillId="6" borderId="16" xfId="0" applyFont="1" applyFill="1" applyBorder="1" applyAlignment="1">
      <alignment horizontal="center"/>
    </xf>
    <xf numFmtId="0" fontId="8" fillId="6" borderId="17" xfId="0" applyFont="1" applyFill="1" applyBorder="1" applyAlignment="1">
      <alignment horizontal="center"/>
    </xf>
    <xf numFmtId="0" fontId="8" fillId="6" borderId="7" xfId="0" applyFont="1" applyFill="1" applyBorder="1" applyAlignment="1">
      <alignment horizontal="center"/>
    </xf>
    <xf numFmtId="0" fontId="0" fillId="6" borderId="16" xfId="0" applyFill="1" applyBorder="1" applyAlignment="1">
      <alignment horizontal="center"/>
    </xf>
    <xf numFmtId="0" fontId="0" fillId="6" borderId="7" xfId="0"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1" fillId="16" borderId="13" xfId="0" applyFont="1" applyFill="1" applyBorder="1" applyAlignment="1">
      <alignment horizontal="center"/>
    </xf>
    <xf numFmtId="0" fontId="11" fillId="16" borderId="8" xfId="0" applyFont="1" applyFill="1" applyBorder="1" applyAlignment="1">
      <alignment horizontal="center"/>
    </xf>
    <xf numFmtId="0" fontId="11" fillId="16" borderId="9" xfId="0" applyFont="1" applyFill="1" applyBorder="1" applyAlignment="1">
      <alignment horizontal="center"/>
    </xf>
    <xf numFmtId="0" fontId="11" fillId="16" borderId="15" xfId="0" applyFont="1" applyFill="1" applyBorder="1" applyAlignment="1">
      <alignment horizontal="center"/>
    </xf>
    <xf numFmtId="0" fontId="11" fillId="16" borderId="11" xfId="0" applyFont="1" applyFill="1" applyBorder="1" applyAlignment="1">
      <alignment horizontal="center"/>
    </xf>
    <xf numFmtId="0" fontId="11" fillId="16" borderId="12" xfId="0" applyFont="1" applyFill="1" applyBorder="1" applyAlignment="1">
      <alignment horizontal="center"/>
    </xf>
    <xf numFmtId="0" fontId="7" fillId="2" borderId="22"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2" borderId="23" xfId="0" applyFont="1" applyFill="1" applyBorder="1" applyAlignment="1">
      <alignment horizontal="left" vertical="top" wrapText="1"/>
    </xf>
    <xf numFmtId="43" fontId="12" fillId="10" borderId="29" xfId="2" applyFont="1" applyFill="1" applyBorder="1" applyAlignment="1">
      <alignment horizontal="left" wrapText="1"/>
    </xf>
    <xf numFmtId="165" fontId="0" fillId="10" borderId="30" xfId="0" applyNumberFormat="1" applyFill="1" applyBorder="1" applyAlignment="1">
      <alignment wrapText="1"/>
    </xf>
    <xf numFmtId="165" fontId="0" fillId="10" borderId="46" xfId="0" applyNumberFormat="1" applyFill="1" applyBorder="1" applyAlignment="1">
      <alignment wrapText="1"/>
    </xf>
    <xf numFmtId="43" fontId="12" fillId="8" borderId="44" xfId="2" applyFont="1" applyFill="1" applyBorder="1" applyAlignment="1">
      <alignment horizontal="center" wrapText="1"/>
    </xf>
    <xf numFmtId="43" fontId="22" fillId="8" borderId="26" xfId="2" applyFont="1" applyFill="1" applyBorder="1" applyAlignment="1">
      <alignment horizontal="center" vertical="center" wrapText="1"/>
    </xf>
    <xf numFmtId="43" fontId="22" fillId="8" borderId="45" xfId="2" applyFont="1" applyFill="1" applyBorder="1" applyAlignment="1">
      <alignment horizontal="center" vertical="center" wrapText="1"/>
    </xf>
    <xf numFmtId="0" fontId="11" fillId="8" borderId="34" xfId="0" applyFont="1" applyFill="1" applyBorder="1" applyAlignment="1">
      <alignment wrapText="1"/>
    </xf>
    <xf numFmtId="165" fontId="11" fillId="8" borderId="35" xfId="0" applyNumberFormat="1" applyFont="1" applyFill="1" applyBorder="1" applyAlignment="1">
      <alignment wrapText="1"/>
    </xf>
    <xf numFmtId="165" fontId="11" fillId="8" borderId="43" xfId="0" applyNumberFormat="1" applyFont="1" applyFill="1" applyBorder="1" applyAlignment="1">
      <alignment wrapText="1"/>
    </xf>
    <xf numFmtId="0" fontId="11" fillId="8" borderId="1" xfId="0" applyFont="1" applyFill="1" applyBorder="1" applyAlignment="1">
      <alignment horizontal="center"/>
    </xf>
    <xf numFmtId="0" fontId="14" fillId="15" borderId="16" xfId="0" applyFont="1" applyFill="1" applyBorder="1" applyAlignment="1">
      <alignment horizontal="left" wrapText="1"/>
    </xf>
    <xf numFmtId="0" fontId="14" fillId="15" borderId="17" xfId="0" applyFont="1" applyFill="1" applyBorder="1" applyAlignment="1">
      <alignment horizontal="left" wrapText="1"/>
    </xf>
    <xf numFmtId="0" fontId="14" fillId="15" borderId="7" xfId="0" applyFont="1" applyFill="1" applyBorder="1" applyAlignment="1">
      <alignment horizontal="left" wrapText="1"/>
    </xf>
    <xf numFmtId="178" fontId="0" fillId="10" borderId="23" xfId="6" applyNumberFormat="1" applyFont="1" applyFill="1" applyBorder="1" applyAlignment="1">
      <alignment vertical="center"/>
    </xf>
    <xf numFmtId="1" fontId="0" fillId="10" borderId="23" xfId="6" applyNumberFormat="1" applyFont="1" applyFill="1" applyBorder="1" applyAlignment="1">
      <alignment vertical="center"/>
    </xf>
    <xf numFmtId="1" fontId="0" fillId="10" borderId="23" xfId="0" applyNumberFormat="1" applyFill="1" applyBorder="1" applyAlignment="1">
      <alignment vertical="center"/>
    </xf>
    <xf numFmtId="178" fontId="0" fillId="6" borderId="23" xfId="6" applyNumberFormat="1" applyFont="1" applyFill="1" applyBorder="1" applyAlignment="1">
      <alignment vertical="center"/>
    </xf>
    <xf numFmtId="1" fontId="0" fillId="6" borderId="23" xfId="6" applyNumberFormat="1" applyFont="1" applyFill="1" applyBorder="1" applyAlignment="1">
      <alignment vertical="center"/>
    </xf>
    <xf numFmtId="1" fontId="0" fillId="6" borderId="23" xfId="0" applyNumberFormat="1" applyFill="1" applyBorder="1" applyAlignment="1">
      <alignment vertical="center"/>
    </xf>
    <xf numFmtId="43" fontId="22" fillId="8" borderId="38" xfId="2" applyFont="1" applyFill="1" applyBorder="1" applyAlignment="1">
      <alignment horizontal="center" vertical="center"/>
    </xf>
    <xf numFmtId="178" fontId="0" fillId="9" borderId="57" xfId="6" applyNumberFormat="1" applyFont="1" applyFill="1" applyBorder="1" applyAlignment="1">
      <alignment vertical="center"/>
    </xf>
    <xf numFmtId="168" fontId="0" fillId="9" borderId="3" xfId="0" applyNumberFormat="1" applyFill="1" applyBorder="1" applyAlignment="1">
      <alignment vertical="center"/>
    </xf>
    <xf numFmtId="43" fontId="22" fillId="8" borderId="1" xfId="2" applyFont="1" applyFill="1" applyBorder="1" applyAlignment="1">
      <alignment horizontal="center" vertical="center"/>
    </xf>
    <xf numFmtId="0" fontId="11" fillId="8" borderId="1" xfId="0" applyFont="1" applyFill="1" applyBorder="1" applyAlignment="1">
      <alignment horizontal="center" vertical="center" wrapText="1"/>
    </xf>
    <xf numFmtId="178" fontId="0" fillId="9" borderId="63" xfId="6" applyNumberFormat="1" applyFont="1" applyFill="1" applyBorder="1" applyAlignment="1">
      <alignment vertical="center"/>
    </xf>
    <xf numFmtId="0" fontId="29" fillId="0" borderId="18" xfId="0" applyFont="1" applyFill="1" applyBorder="1" applyAlignment="1">
      <alignment horizontal="center" vertical="center"/>
    </xf>
    <xf numFmtId="0" fontId="29" fillId="0" borderId="110" xfId="0" applyFont="1" applyFill="1" applyBorder="1" applyAlignment="1">
      <alignment horizontal="center" vertical="center"/>
    </xf>
    <xf numFmtId="0" fontId="30" fillId="0" borderId="4" xfId="0" applyFont="1" applyFill="1" applyBorder="1" applyAlignment="1">
      <alignment horizontal="center" vertical="center"/>
    </xf>
    <xf numFmtId="170" fontId="11" fillId="0" borderId="4" xfId="0" applyNumberFormat="1" applyFont="1" applyFill="1" applyBorder="1" applyAlignment="1">
      <alignment horizontal="center" vertical="center" wrapText="1"/>
    </xf>
    <xf numFmtId="0" fontId="29" fillId="0" borderId="53" xfId="0" applyNumberFormat="1" applyFont="1" applyFill="1" applyBorder="1" applyAlignment="1">
      <alignment horizontal="center" wrapText="1"/>
    </xf>
    <xf numFmtId="0" fontId="29" fillId="0" borderId="55" xfId="0" applyNumberFormat="1" applyFont="1" applyFill="1" applyBorder="1" applyAlignment="1">
      <alignment horizontal="center" wrapText="1"/>
    </xf>
    <xf numFmtId="0" fontId="11" fillId="0" borderId="0" xfId="0" applyFont="1" applyFill="1" applyBorder="1" applyAlignment="1">
      <alignment horizontal="center" vertical="center"/>
    </xf>
    <xf numFmtId="0" fontId="11" fillId="0" borderId="11" xfId="0" applyFont="1" applyFill="1" applyBorder="1" applyAlignment="1">
      <alignment horizontal="center" vertical="center"/>
    </xf>
    <xf numFmtId="177" fontId="29" fillId="0" borderId="25" xfId="0" applyNumberFormat="1" applyFont="1" applyFill="1" applyBorder="1" applyAlignment="1">
      <alignment horizontal="center" vertical="center"/>
    </xf>
    <xf numFmtId="0" fontId="11" fillId="0" borderId="8" xfId="0" applyFont="1" applyFill="1" applyBorder="1" applyAlignment="1">
      <alignment horizontal="center" vertical="center"/>
    </xf>
  </cellXfs>
  <cellStyles count="26">
    <cellStyle name="Euro" xfId="11"/>
    <cellStyle name="Hipervínculo" xfId="1" builtinId="8"/>
    <cellStyle name="Hipervínculo 2" xfId="14"/>
    <cellStyle name="Hipervínculo 3" xfId="17"/>
    <cellStyle name="Hipervínculo 4" xfId="16"/>
    <cellStyle name="Hipervínculo 5" xfId="20"/>
    <cellStyle name="Hyperlink 2" xfId="12"/>
    <cellStyle name="Millares" xfId="2" builtinId="3"/>
    <cellStyle name="Moneda" xfId="6" builtinId="4"/>
    <cellStyle name="Moneda 2" xfId="10"/>
    <cellStyle name="Moneda 2 2" xfId="23"/>
    <cellStyle name="Moneda 3" xfId="19"/>
    <cellStyle name="Moneda 3 2" xfId="25"/>
    <cellStyle name="Moneda 4" xfId="22"/>
    <cellStyle name="Moneda 5" xfId="8"/>
    <cellStyle name="Normal" xfId="0" builtinId="0"/>
    <cellStyle name="Normal 2" xfId="13"/>
    <cellStyle name="Normal 2 14" xfId="4"/>
    <cellStyle name="Normal 2 15" xfId="5"/>
    <cellStyle name="Normal 3" xfId="18"/>
    <cellStyle name="Normal 4" xfId="9"/>
    <cellStyle name="Normal 5" xfId="21"/>
    <cellStyle name="Normal 6" xfId="7"/>
    <cellStyle name="Porcentaje" xfId="3" builtinId="5"/>
    <cellStyle name="Porcentaje 2" xfId="15"/>
    <cellStyle name="Porcentaje 3" xfId="2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121458400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303646000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607292000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576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0</c:v>
                </c:pt>
                <c:pt idx="2">
                  <c:v>0</c:v>
                </c:pt>
              </c:numCache>
            </c:numRef>
          </c:val>
          <c:smooth val="0"/>
          <c:extLst>
            <c:ext xmlns:c16="http://schemas.microsoft.com/office/drawing/2014/chart" uri="{C3380CC4-5D6E-409C-BE32-E72D297353CC}">
              <c16:uniqueId val="{00000000-F8DF-4E16-9F13-7AC41150A311}"/>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egresos'!$B$9:$D$9</c:f>
              <c:numCache>
                <c:formatCode>General</c:formatCode>
                <c:ptCount val="3"/>
                <c:pt idx="0">
                  <c:v>2019</c:v>
                </c:pt>
                <c:pt idx="1">
                  <c:v>2020</c:v>
                </c:pt>
                <c:pt idx="2">
                  <c:v>2021</c:v>
                </c:pt>
              </c:numCache>
            </c:numRef>
          </c:cat>
          <c:val>
            <c:numRef>
              <c:f>'Mod. egresos'!$B$14:$D$14</c:f>
              <c:numCache>
                <c:formatCode>"$"\ #,##0.00</c:formatCode>
                <c:ptCount val="3"/>
                <c:pt idx="0">
                  <c:v>121458400</c:v>
                </c:pt>
                <c:pt idx="1">
                  <c:v>303646000</c:v>
                </c:pt>
                <c:pt idx="2">
                  <c:v>607292000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2582030</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7746090</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12910150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19365225</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27111315</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37439435</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50349585</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64550750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78751915</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94244095</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111027290</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129101500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664.1</c:v>
                </c:pt>
                <c:pt idx="1">
                  <c:v>1992.3000000000002</c:v>
                </c:pt>
                <c:pt idx="2">
                  <c:v>3320.5</c:v>
                </c:pt>
                <c:pt idx="3">
                  <c:v>4980.75</c:v>
                </c:pt>
                <c:pt idx="4">
                  <c:v>6973.05</c:v>
                </c:pt>
                <c:pt idx="5">
                  <c:v>9629.4500000000007</c:v>
                </c:pt>
                <c:pt idx="6">
                  <c:v>12949.95</c:v>
                </c:pt>
                <c:pt idx="7">
                  <c:v>16602.5</c:v>
                </c:pt>
                <c:pt idx="8">
                  <c:v>20255.05</c:v>
                </c:pt>
                <c:pt idx="9">
                  <c:v>24239.649999999998</c:v>
                </c:pt>
                <c:pt idx="10">
                  <c:v>28556.3</c:v>
                </c:pt>
                <c:pt idx="11">
                  <c:v>33205</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322.2</c:v>
                </c:pt>
                <c:pt idx="1">
                  <c:v>966.59999999999991</c:v>
                </c:pt>
                <c:pt idx="2">
                  <c:v>1611</c:v>
                </c:pt>
                <c:pt idx="3">
                  <c:v>2416.5</c:v>
                </c:pt>
                <c:pt idx="4">
                  <c:v>3383.1</c:v>
                </c:pt>
                <c:pt idx="5">
                  <c:v>4671.8999999999996</c:v>
                </c:pt>
                <c:pt idx="6">
                  <c:v>6282.9</c:v>
                </c:pt>
                <c:pt idx="7">
                  <c:v>8055</c:v>
                </c:pt>
                <c:pt idx="8">
                  <c:v>9827.1</c:v>
                </c:pt>
                <c:pt idx="9">
                  <c:v>11760.3</c:v>
                </c:pt>
                <c:pt idx="10">
                  <c:v>13854.599999999999</c:v>
                </c:pt>
                <c:pt idx="11">
                  <c:v>16109.999999999998</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228.3</c:v>
                </c:pt>
                <c:pt idx="1">
                  <c:v>684.90000000000009</c:v>
                </c:pt>
                <c:pt idx="2">
                  <c:v>1141.5</c:v>
                </c:pt>
                <c:pt idx="3">
                  <c:v>1712.25</c:v>
                </c:pt>
                <c:pt idx="4">
                  <c:v>2397.15</c:v>
                </c:pt>
                <c:pt idx="5">
                  <c:v>3310.3500000000004</c:v>
                </c:pt>
                <c:pt idx="6">
                  <c:v>4451.8500000000004</c:v>
                </c:pt>
                <c:pt idx="7">
                  <c:v>5707.5</c:v>
                </c:pt>
                <c:pt idx="8">
                  <c:v>6963.15</c:v>
                </c:pt>
                <c:pt idx="9">
                  <c:v>8332.9499999999989</c:v>
                </c:pt>
                <c:pt idx="10">
                  <c:v>9816.9</c:v>
                </c:pt>
                <c:pt idx="11">
                  <c:v>11415</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132716342</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139946026</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147175710</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156212815</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167057341</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181516709</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199590919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219472550</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239354181</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261043233</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284539706</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309843600</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34134.74</c:v>
                </c:pt>
                <c:pt idx="1">
                  <c:v>35994.22</c:v>
                </c:pt>
                <c:pt idx="2">
                  <c:v>37853.700000000004</c:v>
                </c:pt>
                <c:pt idx="3">
                  <c:v>40178.050000000003</c:v>
                </c:pt>
                <c:pt idx="4">
                  <c:v>42967.270000000004</c:v>
                </c:pt>
                <c:pt idx="5">
                  <c:v>46686.23</c:v>
                </c:pt>
                <c:pt idx="6">
                  <c:v>51334.93</c:v>
                </c:pt>
                <c:pt idx="7">
                  <c:v>56448.5</c:v>
                </c:pt>
                <c:pt idx="8">
                  <c:v>61562.07</c:v>
                </c:pt>
                <c:pt idx="9">
                  <c:v>67140.509999999995</c:v>
                </c:pt>
                <c:pt idx="10">
                  <c:v>73183.819999999992</c:v>
                </c:pt>
                <c:pt idx="11">
                  <c:v>79692</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16561.079999999998</c:v>
                </c:pt>
                <c:pt idx="1">
                  <c:v>17463.239999999998</c:v>
                </c:pt>
                <c:pt idx="2">
                  <c:v>18365.399999999998</c:v>
                </c:pt>
                <c:pt idx="3">
                  <c:v>19493.099999999999</c:v>
                </c:pt>
                <c:pt idx="4">
                  <c:v>20846.34</c:v>
                </c:pt>
                <c:pt idx="5">
                  <c:v>22650.66</c:v>
                </c:pt>
                <c:pt idx="6">
                  <c:v>24906.06</c:v>
                </c:pt>
                <c:pt idx="7">
                  <c:v>27387</c:v>
                </c:pt>
                <c:pt idx="8">
                  <c:v>29867.94</c:v>
                </c:pt>
                <c:pt idx="9">
                  <c:v>32574.42</c:v>
                </c:pt>
                <c:pt idx="10">
                  <c:v>35506.439999999995</c:v>
                </c:pt>
                <c:pt idx="11">
                  <c:v>38663.999999999993</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11734.62</c:v>
                </c:pt>
                <c:pt idx="1">
                  <c:v>12373.86</c:v>
                </c:pt>
                <c:pt idx="2">
                  <c:v>13013.1</c:v>
                </c:pt>
                <c:pt idx="3">
                  <c:v>13812.15</c:v>
                </c:pt>
                <c:pt idx="4">
                  <c:v>14771.01</c:v>
                </c:pt>
                <c:pt idx="5">
                  <c:v>16049.49</c:v>
                </c:pt>
                <c:pt idx="6">
                  <c:v>17647.59</c:v>
                </c:pt>
                <c:pt idx="7">
                  <c:v>19405.5</c:v>
                </c:pt>
                <c:pt idx="8">
                  <c:v>21163.41</c:v>
                </c:pt>
                <c:pt idx="9">
                  <c:v>23081.13</c:v>
                </c:pt>
                <c:pt idx="10">
                  <c:v>25158.66</c:v>
                </c:pt>
                <c:pt idx="11">
                  <c:v>27396</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ingresos'!$C$16</c:f>
              <c:strCache>
                <c:ptCount val="1"/>
                <c:pt idx="0">
                  <c:v>Ingresos 2020</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layout>
                <c:manualLayout>
                  <c:x val="8.8145964818999306E-2"/>
                  <c:y val="-2.34344614955110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ingresos'!$C$17:$C$19</c:f>
              <c:numCache>
                <c:formatCode>_-"$"\ * #,##0.00_-;\-"$"\ * #,##0.00_-;_-"$"\ * "-"??_-;_-@_-</c:formatCode>
                <c:ptCount val="3"/>
                <c:pt idx="0">
                  <c:v>43166500</c:v>
                </c:pt>
                <c:pt idx="1">
                  <c:v>40275000</c:v>
                </c:pt>
                <c:pt idx="2">
                  <c:v>45660000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rot="0"/>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ingresos'!$D$16</c:f>
              <c:strCache>
                <c:ptCount val="1"/>
                <c:pt idx="0">
                  <c:v>Ingresos 2021</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8374-4368-97F6-BBDA83FD1D3E}"/>
                </c:ext>
              </c:extLst>
            </c:dLbl>
            <c:dLbl>
              <c:idx val="1"/>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8374-4368-97F6-BBDA83FD1D3E}"/>
                </c:ext>
              </c:extLst>
            </c:dLbl>
            <c:dLbl>
              <c:idx val="2"/>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ingresos'!$D$17:$D$19</c:f>
              <c:numCache>
                <c:formatCode>_-"$"\ * #,##0.00_-;\-"$"\ * #,##0.00_-;_-"$"\ * "-"??_-;_-@_-</c:formatCode>
                <c:ptCount val="3"/>
                <c:pt idx="0">
                  <c:v>103599600</c:v>
                </c:pt>
                <c:pt idx="1">
                  <c:v>96660000</c:v>
                </c:pt>
                <c:pt idx="2">
                  <c:v>109584000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ingresos'!$E$16</c:f>
              <c:strCache>
                <c:ptCount val="1"/>
                <c:pt idx="0">
                  <c:v>Ingresos 2022</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EA85-40A9-9793-B381DA40BF8B}"/>
                </c:ext>
              </c:extLst>
            </c:dLbl>
            <c:dLbl>
              <c:idx val="2"/>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A-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ingresos'!$E$17:$E$19</c:f>
              <c:numCache>
                <c:formatCode>_-"$"\ * #,##0.00_-;\-"$"\ * #,##0.00_-;_-"$"\ * "-"??_-;_-@_-</c:formatCode>
                <c:ptCount val="3"/>
                <c:pt idx="0">
                  <c:v>0</c:v>
                </c:pt>
                <c:pt idx="1">
                  <c:v>0</c:v>
                </c:pt>
                <c:pt idx="2">
                  <c:v>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egresos'!$B$9:$D$9</c:f>
              <c:numCache>
                <c:formatCode>General</c:formatCode>
                <c:ptCount val="3"/>
                <c:pt idx="0">
                  <c:v>2019</c:v>
                </c:pt>
                <c:pt idx="1">
                  <c:v>2020</c:v>
                </c:pt>
                <c:pt idx="2">
                  <c:v>2021</c:v>
                </c:pt>
              </c:numCache>
            </c:numRef>
          </c:cat>
          <c:val>
            <c:numRef>
              <c:f>'Mod. egresos'!$B$10:$D$10</c:f>
              <c:numCache>
                <c:formatCode>"$"\ #,##0.00</c:formatCode>
                <c:ptCount val="3"/>
                <c:pt idx="0">
                  <c:v>2343935.7000000002</c:v>
                </c:pt>
                <c:pt idx="1">
                  <c:v>2614351.9749999996</c:v>
                </c:pt>
                <c:pt idx="2">
                  <c:v>2971977.4835000001</c:v>
                </c:pt>
              </c:numCache>
            </c:numRef>
          </c:val>
          <c:extLst>
            <c:ext xmlns:c16="http://schemas.microsoft.com/office/drawing/2014/chart" uri="{C3380CC4-5D6E-409C-BE32-E72D297353CC}">
              <c16:uniqueId val="{00000000-252F-41D5-9F1B-5A707FE5FD1F}"/>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egresos'!$B$9:$D$9</c:f>
              <c:numCache>
                <c:formatCode>General</c:formatCode>
                <c:ptCount val="3"/>
                <c:pt idx="0">
                  <c:v>2019</c:v>
                </c:pt>
                <c:pt idx="1">
                  <c:v>2020</c:v>
                </c:pt>
                <c:pt idx="2">
                  <c:v>2021</c:v>
                </c:pt>
              </c:numCache>
            </c:numRef>
          </c:cat>
          <c:val>
            <c:numRef>
              <c:f>'Mod. egresos'!$B$11:$D$11</c:f>
              <c:numCache>
                <c:formatCode>"$"\ #,##0.00</c:formatCode>
                <c:ptCount val="3"/>
                <c:pt idx="0">
                  <c:v>0</c:v>
                </c:pt>
                <c:pt idx="1">
                  <c:v>0</c:v>
                </c:pt>
                <c:pt idx="2">
                  <c:v>0</c:v>
                </c:pt>
              </c:numCache>
            </c:numRef>
          </c:val>
          <c:extLst>
            <c:ext xmlns:c16="http://schemas.microsoft.com/office/drawing/2014/chart" uri="{C3380CC4-5D6E-409C-BE32-E72D297353CC}">
              <c16:uniqueId val="{00000001-252F-41D5-9F1B-5A707FE5FD1F}"/>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egresos'!$B$9:$D$9</c:f>
              <c:numCache>
                <c:formatCode>General</c:formatCode>
                <c:ptCount val="3"/>
                <c:pt idx="0">
                  <c:v>2019</c:v>
                </c:pt>
                <c:pt idx="1">
                  <c:v>2020</c:v>
                </c:pt>
                <c:pt idx="2">
                  <c:v>2021</c:v>
                </c:pt>
              </c:numCache>
            </c:numRef>
          </c:cat>
          <c:val>
            <c:numRef>
              <c:f>'Mod. egresos'!$B$12:$D$12</c:f>
              <c:numCache>
                <c:formatCode>"$"\ #,##0.00</c:formatCode>
                <c:ptCount val="3"/>
                <c:pt idx="0">
                  <c:v>7341662.4450000012</c:v>
                </c:pt>
                <c:pt idx="1">
                  <c:v>8446303.9266666677</c:v>
                </c:pt>
                <c:pt idx="2">
                  <c:v>10262133.115833335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0</c:v>
                </c:pt>
                <c:pt idx="2">
                  <c:v>0</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hyperlink" Target="#Indice!A1"/><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900-000003000000}"/>
            </a:ext>
          </a:extLst>
        </xdr:cNvPr>
        <xdr:cNvSpPr/>
      </xdr:nvSpPr>
      <xdr:spPr>
        <a:xfrm>
          <a:off x="965387" y="215713"/>
          <a:ext cx="2682688"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A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B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D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295275</xdr:colOff>
      <xdr:row>0</xdr:row>
      <xdr:rowOff>238125</xdr:rowOff>
    </xdr:from>
    <xdr:to>
      <xdr:col>3</xdr:col>
      <xdr:colOff>47625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E00-000003000000}"/>
            </a:ext>
          </a:extLst>
        </xdr:cNvPr>
        <xdr:cNvSpPr/>
      </xdr:nvSpPr>
      <xdr:spPr>
        <a:xfrm>
          <a:off x="295275" y="238125"/>
          <a:ext cx="1288256"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314325</xdr:colOff>
      <xdr:row>0</xdr:row>
      <xdr:rowOff>238125</xdr:rowOff>
    </xdr:from>
    <xdr:to>
      <xdr:col>3</xdr:col>
      <xdr:colOff>116417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314325" y="238125"/>
          <a:ext cx="1453092"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10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600075</xdr:colOff>
      <xdr:row>2</xdr:row>
      <xdr:rowOff>19050</xdr:rowOff>
    </xdr:from>
    <xdr:to>
      <xdr:col>9</xdr:col>
      <xdr:colOff>333375</xdr:colOff>
      <xdr:row>17</xdr:row>
      <xdr:rowOff>28575</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62575" y="495300"/>
          <a:ext cx="3543300" cy="35433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solidFill>
          <a:schemeClr val="accent1">
            <a:lumMod val="20000"/>
            <a:lumOff val="80000"/>
          </a:schemeClr>
        </a:solid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solidFill>
          <a:schemeClr val="accent1">
            <a:lumMod val="20000"/>
            <a:lumOff val="80000"/>
          </a:schemeClr>
        </a:solidFill>
        <a:ln>
          <a:solidFill>
            <a:schemeClr val="accent1">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665173AD-B570-46BA-80BC-82B15A915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100</xdr:row>
      <xdr:rowOff>108454</xdr:rowOff>
    </xdr:to>
    <xdr:graphicFrame macro="">
      <xdr:nvGraphicFramePr>
        <xdr:cNvPr id="16" name="Gráfico 15">
          <a:extLst>
            <a:ext uri="{FF2B5EF4-FFF2-40B4-BE49-F238E27FC236}">
              <a16:creationId xmlns:a16="http://schemas.microsoft.com/office/drawing/2014/main" id="{C85DCBDB-93E3-4DD5-AE09-EA8FBD090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5</xdr:col>
      <xdr:colOff>326572</xdr:colOff>
      <xdr:row>2</xdr:row>
      <xdr:rowOff>176892</xdr:rowOff>
    </xdr:from>
    <xdr:to>
      <xdr:col>16</xdr:col>
      <xdr:colOff>280990</xdr:colOff>
      <xdr:row>24</xdr:row>
      <xdr:rowOff>13098</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31</xdr:row>
      <xdr:rowOff>16143</xdr:rowOff>
    </xdr:from>
    <xdr:to>
      <xdr:col>7</xdr:col>
      <xdr:colOff>807204</xdr:colOff>
      <xdr:row>69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31</xdr:row>
      <xdr:rowOff>16144</xdr:rowOff>
    </xdr:from>
    <xdr:to>
      <xdr:col>21</xdr:col>
      <xdr:colOff>468178</xdr:colOff>
      <xdr:row>69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7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6" name="Gráfico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8" name="Gráfico 7">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hyperlink" Target="https://www.indec.gob.ar/indec/web/Nivel4-Tema-2-24-85" TargetMode="External"/><Relationship Id="rId1" Type="http://schemas.openxmlformats.org/officeDocument/2006/relationships/hyperlink" Target="https://propamba.wordpress.com/amba/que-es-el-amb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C9:C36"/>
  <sheetViews>
    <sheetView topLeftCell="A10" zoomScale="80" zoomScaleNormal="80" workbookViewId="0">
      <selection activeCell="I22" sqref="I22"/>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283</v>
      </c>
    </row>
    <row r="32" spans="3:3" ht="18" x14ac:dyDescent="0.25">
      <c r="C32" s="3" t="s">
        <v>284</v>
      </c>
    </row>
    <row r="33" spans="3:3" ht="18" x14ac:dyDescent="0.25">
      <c r="C33" s="3" t="s">
        <v>285</v>
      </c>
    </row>
    <row r="34" spans="3:3" ht="18" x14ac:dyDescent="0.25">
      <c r="C34" s="3" t="s">
        <v>286</v>
      </c>
    </row>
    <row r="35" spans="3:3" ht="18" x14ac:dyDescent="0.25">
      <c r="C35" s="3" t="s">
        <v>287</v>
      </c>
    </row>
    <row r="36" spans="3:3" ht="18" x14ac:dyDescent="0.25">
      <c r="C36" s="3" t="s">
        <v>288</v>
      </c>
    </row>
  </sheetData>
  <hyperlinks>
    <hyperlink ref="C36" r:id="rId1" display="mailto:cristiangentile1@gmail.com"/>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topLeftCell="G1" zoomScale="85" zoomScaleNormal="85" workbookViewId="0">
      <pane ySplit="1" topLeftCell="A2" activePane="bottomLeft" state="frozen"/>
      <selection pane="bottomLeft" sqref="A1:L1"/>
    </sheetView>
  </sheetViews>
  <sheetFormatPr baseColWidth="10" defaultColWidth="11.42578125" defaultRowHeight="15" x14ac:dyDescent="0.25"/>
  <cols>
    <col min="1" max="1" width="11.42578125" style="1"/>
    <col min="2" max="2" width="48" style="1" customWidth="1"/>
    <col min="3" max="3" width="14.140625" style="1" bestFit="1" customWidth="1"/>
    <col min="4" max="4" width="19.140625" style="1" customWidth="1"/>
    <col min="5" max="5" width="14.5703125" style="1" customWidth="1"/>
    <col min="6" max="6" width="19.85546875" style="1" customWidth="1"/>
    <col min="7" max="7" width="15" style="1" bestFit="1" customWidth="1"/>
    <col min="8" max="8" width="15.5703125" style="1" customWidth="1"/>
    <col min="9" max="9" width="12.42578125" style="1" customWidth="1"/>
    <col min="10" max="10" width="16.7109375" style="1" customWidth="1"/>
    <col min="11" max="16384" width="11.42578125" style="1"/>
  </cols>
  <sheetData>
    <row r="1" spans="1:12" s="445" customFormat="1" ht="58.5" customHeight="1" x14ac:dyDescent="0.25">
      <c r="A1" s="447"/>
      <c r="B1" s="447"/>
      <c r="C1" s="447"/>
      <c r="D1" s="447"/>
      <c r="E1" s="447"/>
      <c r="F1" s="450" t="s">
        <v>8</v>
      </c>
      <c r="G1" s="451"/>
      <c r="H1" s="451"/>
      <c r="I1" s="447"/>
      <c r="J1" s="447"/>
      <c r="K1" s="447"/>
      <c r="L1" s="447"/>
    </row>
    <row r="2" spans="1:12" ht="15.75" thickBot="1" x14ac:dyDescent="0.3"/>
    <row r="3" spans="1:12" ht="27" thickBot="1" x14ac:dyDescent="0.45">
      <c r="B3" s="670" t="s">
        <v>35</v>
      </c>
      <c r="C3" s="671"/>
      <c r="D3" s="672"/>
      <c r="G3" s="723" t="s">
        <v>153</v>
      </c>
      <c r="H3" s="724"/>
      <c r="I3" s="724"/>
      <c r="J3" s="725"/>
    </row>
    <row r="4" spans="1:12" x14ac:dyDescent="0.25">
      <c r="B4" s="44">
        <v>2019</v>
      </c>
      <c r="C4" s="34">
        <v>2020</v>
      </c>
      <c r="D4" s="45">
        <v>2021</v>
      </c>
      <c r="G4" s="245" t="s">
        <v>154</v>
      </c>
      <c r="H4" s="246">
        <v>2019</v>
      </c>
      <c r="I4" s="246">
        <v>2020</v>
      </c>
      <c r="J4" s="247">
        <v>2021</v>
      </c>
    </row>
    <row r="5" spans="1:12" ht="15.75" thickBot="1" x14ac:dyDescent="0.3">
      <c r="B5" s="46">
        <f>Hipótesis!$C$24</f>
        <v>0.02</v>
      </c>
      <c r="C5" s="40">
        <f>Hipótesis!$C$25</f>
        <v>0.05</v>
      </c>
      <c r="D5" s="47">
        <f>Hipótesis!$C$26</f>
        <v>0.1</v>
      </c>
      <c r="G5" s="242">
        <f>$E$28</f>
        <v>2297572</v>
      </c>
      <c r="H5" s="243">
        <f>$E$45</f>
        <v>22999</v>
      </c>
      <c r="I5" s="243">
        <f>$E$63</f>
        <v>70262</v>
      </c>
      <c r="J5" s="244">
        <f>$E$81</f>
        <v>1306257</v>
      </c>
    </row>
    <row r="6" spans="1:12" ht="15.75" thickBot="1" x14ac:dyDescent="0.3">
      <c r="B6" s="48">
        <f>Hipótesis!$D$24</f>
        <v>121458400</v>
      </c>
      <c r="C6" s="49">
        <f>Hipótesis!$D$25</f>
        <v>303646000</v>
      </c>
      <c r="D6" s="50">
        <f>Hipótesis!$D$26</f>
        <v>607292000</v>
      </c>
    </row>
    <row r="8" spans="1:12" ht="15.75" thickBot="1" x14ac:dyDescent="0.3"/>
    <row r="9" spans="1:12" ht="27" thickBot="1" x14ac:dyDescent="0.45">
      <c r="B9" s="691" t="s">
        <v>155</v>
      </c>
      <c r="C9" s="692"/>
      <c r="D9" s="692"/>
      <c r="E9" s="692"/>
      <c r="F9" s="693"/>
    </row>
    <row r="10" spans="1:12" ht="15.75" x14ac:dyDescent="0.25">
      <c r="B10" s="268" t="s">
        <v>62</v>
      </c>
      <c r="C10" s="269" t="s">
        <v>59</v>
      </c>
      <c r="D10" s="269" t="s">
        <v>160</v>
      </c>
      <c r="E10" s="269" t="s">
        <v>96</v>
      </c>
      <c r="F10" s="270" t="s">
        <v>164</v>
      </c>
    </row>
    <row r="11" spans="1:12" x14ac:dyDescent="0.25">
      <c r="B11" s="249" t="s">
        <v>222</v>
      </c>
      <c r="C11" s="347">
        <v>20</v>
      </c>
      <c r="D11" s="241">
        <f>'Costos variables'!$E$20</f>
        <v>1360</v>
      </c>
      <c r="E11" s="241">
        <f>C11*D11</f>
        <v>27200</v>
      </c>
      <c r="F11" s="431"/>
    </row>
    <row r="12" spans="1:12" x14ac:dyDescent="0.25">
      <c r="B12" s="249" t="s">
        <v>223</v>
      </c>
      <c r="C12" s="347">
        <v>15</v>
      </c>
      <c r="D12" s="241">
        <f>'Costos variables'!$E$33</f>
        <v>5705</v>
      </c>
      <c r="E12" s="241">
        <f>C12*D12</f>
        <v>85575</v>
      </c>
      <c r="F12" s="431"/>
    </row>
    <row r="13" spans="1:12" x14ac:dyDescent="0.25">
      <c r="B13" s="249" t="s">
        <v>224</v>
      </c>
      <c r="C13" s="347">
        <v>10</v>
      </c>
      <c r="D13" s="241">
        <f>'Costos variables'!$E$46</f>
        <v>8105</v>
      </c>
      <c r="E13" s="241">
        <f>C13*D13</f>
        <v>81050</v>
      </c>
      <c r="F13" s="431"/>
    </row>
    <row r="14" spans="1:12" ht="15.75" x14ac:dyDescent="0.25">
      <c r="B14" s="249" t="s">
        <v>225</v>
      </c>
      <c r="C14" s="346" t="s">
        <v>190</v>
      </c>
      <c r="D14" s="346" t="s">
        <v>190</v>
      </c>
      <c r="E14" s="241">
        <f>10*D13+10*D12+10*D11</f>
        <v>151700</v>
      </c>
      <c r="F14" s="431"/>
    </row>
    <row r="15" spans="1:12" x14ac:dyDescent="0.25">
      <c r="B15" s="249" t="s">
        <v>156</v>
      </c>
      <c r="C15" s="133">
        <v>1</v>
      </c>
      <c r="D15" s="241">
        <v>20000</v>
      </c>
      <c r="E15" s="241">
        <f>C15*D15</f>
        <v>20000</v>
      </c>
      <c r="F15" s="261"/>
    </row>
    <row r="16" spans="1:12" x14ac:dyDescent="0.25">
      <c r="B16" s="249" t="s">
        <v>157</v>
      </c>
      <c r="C16" s="133">
        <v>1</v>
      </c>
      <c r="D16" s="241">
        <v>2850</v>
      </c>
      <c r="E16" s="241">
        <f t="shared" ref="E16:E27" si="0">C16*D16</f>
        <v>2850</v>
      </c>
      <c r="F16" s="262"/>
    </row>
    <row r="17" spans="2:6" x14ac:dyDescent="0.25">
      <c r="B17" s="249" t="s">
        <v>179</v>
      </c>
      <c r="C17" s="133">
        <v>1</v>
      </c>
      <c r="D17" s="241">
        <v>5000</v>
      </c>
      <c r="E17" s="241">
        <f t="shared" si="0"/>
        <v>5000</v>
      </c>
      <c r="F17" s="262"/>
    </row>
    <row r="18" spans="2:6" x14ac:dyDescent="0.25">
      <c r="B18" s="249" t="s">
        <v>159</v>
      </c>
      <c r="C18" s="133">
        <v>2</v>
      </c>
      <c r="D18" s="241">
        <v>2840</v>
      </c>
      <c r="E18" s="241">
        <f t="shared" si="0"/>
        <v>5680</v>
      </c>
      <c r="F18" s="262"/>
    </row>
    <row r="19" spans="2:6" x14ac:dyDescent="0.25">
      <c r="B19" s="249" t="s">
        <v>171</v>
      </c>
      <c r="C19" s="133">
        <v>5</v>
      </c>
      <c r="D19" s="241">
        <v>2600</v>
      </c>
      <c r="E19" s="241">
        <f t="shared" si="0"/>
        <v>13000</v>
      </c>
      <c r="F19" s="6"/>
    </row>
    <row r="20" spans="2:6" x14ac:dyDescent="0.25">
      <c r="B20" s="249" t="s">
        <v>204</v>
      </c>
      <c r="C20" s="133">
        <v>2</v>
      </c>
      <c r="D20" s="241">
        <v>736011</v>
      </c>
      <c r="E20" s="241">
        <f t="shared" si="0"/>
        <v>1472022</v>
      </c>
      <c r="F20" s="6"/>
    </row>
    <row r="21" spans="2:6" x14ac:dyDescent="0.25">
      <c r="B21" s="249" t="s">
        <v>170</v>
      </c>
      <c r="C21" s="133">
        <v>8</v>
      </c>
      <c r="D21" s="241">
        <v>17500</v>
      </c>
      <c r="E21" s="241">
        <f t="shared" si="0"/>
        <v>140000</v>
      </c>
      <c r="F21" s="262"/>
    </row>
    <row r="22" spans="2:6" x14ac:dyDescent="0.25">
      <c r="B22" s="249" t="s">
        <v>175</v>
      </c>
      <c r="C22" s="133">
        <v>2</v>
      </c>
      <c r="D22" s="241">
        <v>20170</v>
      </c>
      <c r="E22" s="241">
        <f t="shared" si="0"/>
        <v>40340</v>
      </c>
      <c r="F22" s="262"/>
    </row>
    <row r="23" spans="2:6" x14ac:dyDescent="0.25">
      <c r="B23" s="249" t="s">
        <v>168</v>
      </c>
      <c r="C23" s="133">
        <v>1</v>
      </c>
      <c r="D23" s="241">
        <v>4299</v>
      </c>
      <c r="E23" s="241">
        <f t="shared" si="0"/>
        <v>4299</v>
      </c>
      <c r="F23" s="261"/>
    </row>
    <row r="24" spans="2:6" x14ac:dyDescent="0.25">
      <c r="B24" s="249" t="s">
        <v>169</v>
      </c>
      <c r="C24" s="133">
        <v>6</v>
      </c>
      <c r="D24" s="241">
        <v>7480</v>
      </c>
      <c r="E24" s="241">
        <f t="shared" si="0"/>
        <v>44880</v>
      </c>
      <c r="F24" s="262"/>
    </row>
    <row r="25" spans="2:6" x14ac:dyDescent="0.25">
      <c r="B25" s="249" t="s">
        <v>167</v>
      </c>
      <c r="C25" s="133">
        <v>9</v>
      </c>
      <c r="D25" s="241">
        <v>3200</v>
      </c>
      <c r="E25" s="241">
        <f t="shared" si="0"/>
        <v>28800</v>
      </c>
      <c r="F25" s="262"/>
    </row>
    <row r="26" spans="2:6" x14ac:dyDescent="0.25">
      <c r="B26" s="249" t="s">
        <v>174</v>
      </c>
      <c r="C26" s="133">
        <v>24</v>
      </c>
      <c r="D26" s="241">
        <v>2299</v>
      </c>
      <c r="E26" s="241">
        <f t="shared" si="0"/>
        <v>55176</v>
      </c>
      <c r="F26" s="262"/>
    </row>
    <row r="27" spans="2:6" ht="15.75" thickBot="1" x14ac:dyDescent="0.3">
      <c r="B27" s="263" t="s">
        <v>165</v>
      </c>
      <c r="C27" s="264">
        <v>1</v>
      </c>
      <c r="D27" s="243">
        <v>120000</v>
      </c>
      <c r="E27" s="241">
        <f t="shared" si="0"/>
        <v>120000</v>
      </c>
      <c r="F27" s="265"/>
    </row>
    <row r="28" spans="2:6" ht="15.75" thickBot="1" x14ac:dyDescent="0.3">
      <c r="B28" s="718" t="s">
        <v>19</v>
      </c>
      <c r="C28" s="719"/>
      <c r="D28" s="720"/>
      <c r="E28" s="271">
        <f>SUM(E11:E27)</f>
        <v>2297572</v>
      </c>
    </row>
    <row r="29" spans="2:6" ht="15.75" thickBot="1" x14ac:dyDescent="0.3"/>
    <row r="30" spans="2:6" ht="27" thickBot="1" x14ac:dyDescent="0.45">
      <c r="B30" s="670" t="s">
        <v>161</v>
      </c>
      <c r="C30" s="671"/>
      <c r="D30" s="671"/>
      <c r="E30" s="672"/>
      <c r="F30" s="272"/>
    </row>
    <row r="31" spans="2:6" ht="15.75" x14ac:dyDescent="0.25">
      <c r="B31" s="268" t="s">
        <v>62</v>
      </c>
      <c r="C31" s="269" t="s">
        <v>59</v>
      </c>
      <c r="D31" s="269" t="s">
        <v>160</v>
      </c>
      <c r="E31" s="270" t="s">
        <v>96</v>
      </c>
    </row>
    <row r="32" spans="2:6" x14ac:dyDescent="0.25">
      <c r="B32" s="249" t="s">
        <v>156</v>
      </c>
      <c r="C32" s="133">
        <v>0</v>
      </c>
      <c r="D32" s="241">
        <v>20000</v>
      </c>
      <c r="E32" s="273">
        <f>C32*D32</f>
        <v>0</v>
      </c>
    </row>
    <row r="33" spans="2:8" x14ac:dyDescent="0.25">
      <c r="B33" s="249" t="s">
        <v>157</v>
      </c>
      <c r="C33" s="133">
        <v>0</v>
      </c>
      <c r="D33" s="241">
        <v>2850</v>
      </c>
      <c r="E33" s="273">
        <f t="shared" ref="E33:E44" si="1">C33*D33</f>
        <v>0</v>
      </c>
      <c r="G33" s="52"/>
      <c r="H33" s="52"/>
    </row>
    <row r="34" spans="2:8" x14ac:dyDescent="0.25">
      <c r="B34" s="249" t="s">
        <v>158</v>
      </c>
      <c r="C34" s="133">
        <v>0</v>
      </c>
      <c r="D34" s="241">
        <v>5000</v>
      </c>
      <c r="E34" s="273">
        <f t="shared" si="1"/>
        <v>0</v>
      </c>
      <c r="G34" s="52"/>
      <c r="H34" s="52"/>
    </row>
    <row r="35" spans="2:8" x14ac:dyDescent="0.25">
      <c r="B35" s="249" t="s">
        <v>159</v>
      </c>
      <c r="C35" s="133">
        <v>0</v>
      </c>
      <c r="D35" s="241">
        <v>2840</v>
      </c>
      <c r="E35" s="273">
        <f t="shared" si="1"/>
        <v>0</v>
      </c>
      <c r="G35" s="721"/>
      <c r="H35" s="721"/>
    </row>
    <row r="36" spans="2:8" x14ac:dyDescent="0.25">
      <c r="B36" s="249" t="s">
        <v>171</v>
      </c>
      <c r="C36" s="133">
        <v>0</v>
      </c>
      <c r="D36" s="241">
        <v>2600</v>
      </c>
      <c r="E36" s="273">
        <f t="shared" si="1"/>
        <v>0</v>
      </c>
      <c r="G36" s="722"/>
      <c r="H36" s="722"/>
    </row>
    <row r="37" spans="2:8" x14ac:dyDescent="0.25">
      <c r="B37" s="249" t="s">
        <v>204</v>
      </c>
      <c r="C37" s="133">
        <v>0</v>
      </c>
      <c r="D37" s="241">
        <v>736011</v>
      </c>
      <c r="E37" s="273">
        <f t="shared" si="1"/>
        <v>0</v>
      </c>
      <c r="G37" s="721"/>
      <c r="H37" s="721"/>
    </row>
    <row r="38" spans="2:8" x14ac:dyDescent="0.25">
      <c r="B38" s="249" t="s">
        <v>170</v>
      </c>
      <c r="C38" s="237">
        <v>1</v>
      </c>
      <c r="D38" s="241">
        <v>17500</v>
      </c>
      <c r="E38" s="273">
        <f t="shared" si="1"/>
        <v>17500</v>
      </c>
      <c r="G38" s="722"/>
      <c r="H38" s="722"/>
    </row>
    <row r="39" spans="2:8" x14ac:dyDescent="0.25">
      <c r="B39" s="249" t="s">
        <v>162</v>
      </c>
      <c r="C39" s="133">
        <v>0</v>
      </c>
      <c r="D39" s="241">
        <v>20170</v>
      </c>
      <c r="E39" s="273">
        <f t="shared" si="1"/>
        <v>0</v>
      </c>
      <c r="G39" s="722"/>
      <c r="H39" s="722"/>
    </row>
    <row r="40" spans="2:8" x14ac:dyDescent="0.25">
      <c r="B40" s="249" t="s">
        <v>168</v>
      </c>
      <c r="C40" s="133">
        <v>0</v>
      </c>
      <c r="D40" s="241">
        <v>4299</v>
      </c>
      <c r="E40" s="273">
        <f t="shared" si="1"/>
        <v>0</v>
      </c>
      <c r="G40" s="722"/>
      <c r="H40" s="722"/>
    </row>
    <row r="41" spans="2:8" x14ac:dyDescent="0.25">
      <c r="B41" s="249" t="s">
        <v>169</v>
      </c>
      <c r="C41" s="133">
        <v>0</v>
      </c>
      <c r="D41" s="241">
        <v>7480</v>
      </c>
      <c r="E41" s="273">
        <f t="shared" si="1"/>
        <v>0</v>
      </c>
      <c r="G41" s="721"/>
      <c r="H41" s="721"/>
    </row>
    <row r="42" spans="2:8" x14ac:dyDescent="0.25">
      <c r="B42" s="249" t="s">
        <v>167</v>
      </c>
      <c r="C42" s="237">
        <v>1</v>
      </c>
      <c r="D42" s="241">
        <v>3200</v>
      </c>
      <c r="E42" s="273">
        <f t="shared" si="1"/>
        <v>3200</v>
      </c>
      <c r="G42" s="721"/>
      <c r="H42" s="721"/>
    </row>
    <row r="43" spans="2:8" x14ac:dyDescent="0.25">
      <c r="B43" s="249" t="s">
        <v>163</v>
      </c>
      <c r="C43" s="237">
        <v>1</v>
      </c>
      <c r="D43" s="241">
        <v>2299</v>
      </c>
      <c r="E43" s="273">
        <f t="shared" si="1"/>
        <v>2299</v>
      </c>
      <c r="G43" s="52"/>
      <c r="H43" s="52"/>
    </row>
    <row r="44" spans="2:8" ht="15.75" thickBot="1" x14ac:dyDescent="0.3">
      <c r="B44" s="263" t="s">
        <v>165</v>
      </c>
      <c r="C44" s="264">
        <v>0</v>
      </c>
      <c r="D44" s="243">
        <v>120000</v>
      </c>
      <c r="E44" s="274">
        <f t="shared" si="1"/>
        <v>0</v>
      </c>
      <c r="G44" s="52"/>
      <c r="H44" s="52"/>
    </row>
    <row r="45" spans="2:8" ht="15.75" thickBot="1" x14ac:dyDescent="0.3">
      <c r="B45" s="718" t="s">
        <v>19</v>
      </c>
      <c r="C45" s="719"/>
      <c r="D45" s="720"/>
      <c r="E45" s="266">
        <f>SUM(E32:E44)</f>
        <v>22999</v>
      </c>
    </row>
    <row r="47" spans="2:8" ht="15.75" thickBot="1" x14ac:dyDescent="0.3"/>
    <row r="48" spans="2:8" ht="27" thickBot="1" x14ac:dyDescent="0.45">
      <c r="B48" s="670" t="s">
        <v>172</v>
      </c>
      <c r="C48" s="671"/>
      <c r="D48" s="671"/>
      <c r="E48" s="672"/>
    </row>
    <row r="49" spans="2:5" ht="15.75" x14ac:dyDescent="0.25">
      <c r="B49" s="268" t="s">
        <v>62</v>
      </c>
      <c r="C49" s="269" t="s">
        <v>59</v>
      </c>
      <c r="D49" s="269" t="s">
        <v>160</v>
      </c>
      <c r="E49" s="270" t="s">
        <v>96</v>
      </c>
    </row>
    <row r="50" spans="2:5" x14ac:dyDescent="0.25">
      <c r="B50" s="249" t="s">
        <v>156</v>
      </c>
      <c r="C50" s="133">
        <v>0</v>
      </c>
      <c r="D50" s="241">
        <v>20000</v>
      </c>
      <c r="E50" s="273">
        <f>C50*D50</f>
        <v>0</v>
      </c>
    </row>
    <row r="51" spans="2:5" x14ac:dyDescent="0.25">
      <c r="B51" s="249" t="s">
        <v>157</v>
      </c>
      <c r="C51" s="237">
        <v>1</v>
      </c>
      <c r="D51" s="241">
        <v>2850</v>
      </c>
      <c r="E51" s="273">
        <f t="shared" ref="E51:E62" si="2">C51*D51</f>
        <v>2850</v>
      </c>
    </row>
    <row r="52" spans="2:5" x14ac:dyDescent="0.25">
      <c r="B52" s="249" t="s">
        <v>158</v>
      </c>
      <c r="C52" s="237">
        <v>1</v>
      </c>
      <c r="D52" s="241">
        <v>5000</v>
      </c>
      <c r="E52" s="273">
        <f t="shared" si="2"/>
        <v>5000</v>
      </c>
    </row>
    <row r="53" spans="2:5" x14ac:dyDescent="0.25">
      <c r="B53" s="249" t="s">
        <v>159</v>
      </c>
      <c r="C53" s="237">
        <v>1</v>
      </c>
      <c r="D53" s="241">
        <v>2840</v>
      </c>
      <c r="E53" s="273">
        <f t="shared" si="2"/>
        <v>2840</v>
      </c>
    </row>
    <row r="54" spans="2:5" x14ac:dyDescent="0.25">
      <c r="B54" s="249" t="s">
        <v>171</v>
      </c>
      <c r="C54" s="237">
        <v>5</v>
      </c>
      <c r="D54" s="241">
        <v>2600</v>
      </c>
      <c r="E54" s="273">
        <f t="shared" si="2"/>
        <v>13000</v>
      </c>
    </row>
    <row r="55" spans="2:5" x14ac:dyDescent="0.25">
      <c r="B55" s="249" t="s">
        <v>204</v>
      </c>
      <c r="C55" s="133">
        <v>0</v>
      </c>
      <c r="D55" s="241">
        <v>736011</v>
      </c>
      <c r="E55" s="273">
        <f t="shared" si="2"/>
        <v>0</v>
      </c>
    </row>
    <row r="56" spans="2:5" x14ac:dyDescent="0.25">
      <c r="B56" s="249" t="s">
        <v>170</v>
      </c>
      <c r="C56" s="237">
        <v>1</v>
      </c>
      <c r="D56" s="241">
        <v>17500</v>
      </c>
      <c r="E56" s="273">
        <f t="shared" si="2"/>
        <v>17500</v>
      </c>
    </row>
    <row r="57" spans="2:5" x14ac:dyDescent="0.25">
      <c r="B57" s="249" t="s">
        <v>162</v>
      </c>
      <c r="C57" s="133">
        <v>0</v>
      </c>
      <c r="D57" s="241">
        <v>20170</v>
      </c>
      <c r="E57" s="273">
        <f t="shared" si="2"/>
        <v>0</v>
      </c>
    </row>
    <row r="58" spans="2:5" x14ac:dyDescent="0.25">
      <c r="B58" s="249" t="s">
        <v>168</v>
      </c>
      <c r="C58" s="133">
        <v>0</v>
      </c>
      <c r="D58" s="241">
        <v>4299</v>
      </c>
      <c r="E58" s="273">
        <f t="shared" si="2"/>
        <v>0</v>
      </c>
    </row>
    <row r="59" spans="2:5" x14ac:dyDescent="0.25">
      <c r="B59" s="249" t="s">
        <v>169</v>
      </c>
      <c r="C59" s="237">
        <v>1</v>
      </c>
      <c r="D59" s="241">
        <v>7480</v>
      </c>
      <c r="E59" s="273">
        <f t="shared" si="2"/>
        <v>7480</v>
      </c>
    </row>
    <row r="60" spans="2:5" x14ac:dyDescent="0.25">
      <c r="B60" s="249" t="s">
        <v>167</v>
      </c>
      <c r="C60" s="237">
        <v>1</v>
      </c>
      <c r="D60" s="241">
        <v>3200</v>
      </c>
      <c r="E60" s="273">
        <f t="shared" si="2"/>
        <v>3200</v>
      </c>
    </row>
    <row r="61" spans="2:5" x14ac:dyDescent="0.25">
      <c r="B61" s="249" t="s">
        <v>163</v>
      </c>
      <c r="C61" s="237">
        <v>8</v>
      </c>
      <c r="D61" s="241">
        <v>2299</v>
      </c>
      <c r="E61" s="273">
        <f t="shared" si="2"/>
        <v>18392</v>
      </c>
    </row>
    <row r="62" spans="2:5" ht="15.75" thickBot="1" x14ac:dyDescent="0.3">
      <c r="B62" s="263" t="s">
        <v>165</v>
      </c>
      <c r="C62" s="264">
        <v>0</v>
      </c>
      <c r="D62" s="243">
        <v>120000</v>
      </c>
      <c r="E62" s="274">
        <f t="shared" si="2"/>
        <v>0</v>
      </c>
    </row>
    <row r="63" spans="2:5" ht="15.75" thickBot="1" x14ac:dyDescent="0.3">
      <c r="B63" s="718" t="s">
        <v>19</v>
      </c>
      <c r="C63" s="719"/>
      <c r="D63" s="720"/>
      <c r="E63" s="266">
        <f>SUM(E50:E62)</f>
        <v>70262</v>
      </c>
    </row>
    <row r="65" spans="2:5" ht="15.75" thickBot="1" x14ac:dyDescent="0.3"/>
    <row r="66" spans="2:5" ht="27" thickBot="1" x14ac:dyDescent="0.45">
      <c r="B66" s="670" t="s">
        <v>173</v>
      </c>
      <c r="C66" s="671"/>
      <c r="D66" s="671"/>
      <c r="E66" s="672"/>
    </row>
    <row r="67" spans="2:5" ht="15.75" x14ac:dyDescent="0.25">
      <c r="B67" s="268" t="s">
        <v>62</v>
      </c>
      <c r="C67" s="269" t="s">
        <v>59</v>
      </c>
      <c r="D67" s="269" t="s">
        <v>160</v>
      </c>
      <c r="E67" s="270" t="s">
        <v>96</v>
      </c>
    </row>
    <row r="68" spans="2:5" x14ac:dyDescent="0.25">
      <c r="B68" s="249" t="s">
        <v>156</v>
      </c>
      <c r="C68" s="133">
        <v>0</v>
      </c>
      <c r="D68" s="241">
        <v>20000</v>
      </c>
      <c r="E68" s="273">
        <f>C68*D68</f>
        <v>0</v>
      </c>
    </row>
    <row r="69" spans="2:5" x14ac:dyDescent="0.25">
      <c r="B69" s="249" t="s">
        <v>157</v>
      </c>
      <c r="C69" s="133">
        <v>0</v>
      </c>
      <c r="D69" s="241">
        <v>2850</v>
      </c>
      <c r="E69" s="273">
        <f t="shared" ref="E69:E80" si="3">C69*D69</f>
        <v>0</v>
      </c>
    </row>
    <row r="70" spans="2:5" x14ac:dyDescent="0.25">
      <c r="B70" s="249" t="s">
        <v>158</v>
      </c>
      <c r="C70" s="133">
        <v>0</v>
      </c>
      <c r="D70" s="241">
        <v>5000</v>
      </c>
      <c r="E70" s="273">
        <f t="shared" si="3"/>
        <v>0</v>
      </c>
    </row>
    <row r="71" spans="2:5" x14ac:dyDescent="0.25">
      <c r="B71" s="249" t="s">
        <v>159</v>
      </c>
      <c r="C71" s="133">
        <v>0</v>
      </c>
      <c r="D71" s="241">
        <v>2840</v>
      </c>
      <c r="E71" s="273">
        <f t="shared" si="3"/>
        <v>0</v>
      </c>
    </row>
    <row r="72" spans="2:5" x14ac:dyDescent="0.25">
      <c r="B72" s="249" t="s">
        <v>171</v>
      </c>
      <c r="C72" s="133">
        <v>0</v>
      </c>
      <c r="D72" s="241">
        <v>2600</v>
      </c>
      <c r="E72" s="273">
        <f t="shared" si="3"/>
        <v>0</v>
      </c>
    </row>
    <row r="73" spans="2:5" x14ac:dyDescent="0.25">
      <c r="B73" s="249" t="s">
        <v>166</v>
      </c>
      <c r="C73" s="237">
        <v>1</v>
      </c>
      <c r="D73" s="241">
        <v>1234590</v>
      </c>
      <c r="E73" s="273">
        <f t="shared" si="3"/>
        <v>1234590</v>
      </c>
    </row>
    <row r="74" spans="2:5" x14ac:dyDescent="0.25">
      <c r="B74" s="249" t="s">
        <v>170</v>
      </c>
      <c r="C74" s="237">
        <v>2</v>
      </c>
      <c r="D74" s="241">
        <v>17500</v>
      </c>
      <c r="E74" s="273">
        <f t="shared" si="3"/>
        <v>35000</v>
      </c>
    </row>
    <row r="75" spans="2:5" x14ac:dyDescent="0.25">
      <c r="B75" s="249" t="s">
        <v>162</v>
      </c>
      <c r="C75" s="237">
        <v>1</v>
      </c>
      <c r="D75" s="241">
        <v>20170</v>
      </c>
      <c r="E75" s="273">
        <f t="shared" si="3"/>
        <v>20170</v>
      </c>
    </row>
    <row r="76" spans="2:5" x14ac:dyDescent="0.25">
      <c r="B76" s="249" t="s">
        <v>168</v>
      </c>
      <c r="C76" s="133">
        <v>0</v>
      </c>
      <c r="D76" s="241">
        <v>4299</v>
      </c>
      <c r="E76" s="273">
        <f t="shared" si="3"/>
        <v>0</v>
      </c>
    </row>
    <row r="77" spans="2:5" x14ac:dyDescent="0.25">
      <c r="B77" s="249" t="s">
        <v>169</v>
      </c>
      <c r="C77" s="133">
        <v>0</v>
      </c>
      <c r="D77" s="241">
        <v>7480</v>
      </c>
      <c r="E77" s="273">
        <f t="shared" si="3"/>
        <v>0</v>
      </c>
    </row>
    <row r="78" spans="2:5" x14ac:dyDescent="0.25">
      <c r="B78" s="249" t="s">
        <v>167</v>
      </c>
      <c r="C78" s="237">
        <v>3</v>
      </c>
      <c r="D78" s="241">
        <v>3200</v>
      </c>
      <c r="E78" s="273">
        <f t="shared" si="3"/>
        <v>9600</v>
      </c>
    </row>
    <row r="79" spans="2:5" x14ac:dyDescent="0.25">
      <c r="B79" s="249" t="s">
        <v>163</v>
      </c>
      <c r="C79" s="237">
        <v>3</v>
      </c>
      <c r="D79" s="241">
        <v>2299</v>
      </c>
      <c r="E79" s="273">
        <f t="shared" si="3"/>
        <v>6897</v>
      </c>
    </row>
    <row r="80" spans="2:5" ht="15.75" thickBot="1" x14ac:dyDescent="0.3">
      <c r="B80" s="263" t="s">
        <v>165</v>
      </c>
      <c r="C80" s="264">
        <v>0</v>
      </c>
      <c r="D80" s="243">
        <v>120000</v>
      </c>
      <c r="E80" s="244">
        <f t="shared" si="3"/>
        <v>0</v>
      </c>
    </row>
    <row r="81" spans="2:5" ht="15.75" thickBot="1" x14ac:dyDescent="0.3">
      <c r="B81" s="718" t="s">
        <v>19</v>
      </c>
      <c r="C81" s="719"/>
      <c r="D81" s="720"/>
      <c r="E81" s="266">
        <f>SUM(E68:E80)</f>
        <v>1306257</v>
      </c>
    </row>
  </sheetData>
  <mergeCells count="18">
    <mergeCell ref="B30:E30"/>
    <mergeCell ref="B48:E48"/>
    <mergeCell ref="B63:D63"/>
    <mergeCell ref="B3:D3"/>
    <mergeCell ref="G3:J3"/>
    <mergeCell ref="B28:D28"/>
    <mergeCell ref="B9:F9"/>
    <mergeCell ref="B66:E66"/>
    <mergeCell ref="B81:D81"/>
    <mergeCell ref="G35:H35"/>
    <mergeCell ref="G36:H36"/>
    <mergeCell ref="G37:H37"/>
    <mergeCell ref="G38:H38"/>
    <mergeCell ref="G39:H39"/>
    <mergeCell ref="G40:H40"/>
    <mergeCell ref="G41:H41"/>
    <mergeCell ref="G42:H42"/>
    <mergeCell ref="B45:D45"/>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topLeftCell="L1" zoomScale="80" zoomScaleNormal="80" workbookViewId="0">
      <pane ySplit="1" topLeftCell="A2" activePane="bottomLeft" state="frozen"/>
      <selection pane="bottomLeft" sqref="A1:O1"/>
    </sheetView>
  </sheetViews>
  <sheetFormatPr baseColWidth="10" defaultColWidth="11.42578125" defaultRowHeight="15" x14ac:dyDescent="0.25"/>
  <cols>
    <col min="1" max="1" width="11.42578125" style="1"/>
    <col min="2" max="2" width="19.28515625" style="1" customWidth="1"/>
    <col min="3" max="3" width="43.7109375" style="1" customWidth="1"/>
    <col min="4" max="4" width="15.28515625" style="1" bestFit="1" customWidth="1"/>
    <col min="5" max="5" width="22.140625" style="1" customWidth="1"/>
    <col min="6" max="6" width="17.5703125" style="1" customWidth="1"/>
    <col min="7" max="7" width="14.42578125" style="1" customWidth="1"/>
    <col min="8" max="8" width="11.42578125" style="1"/>
    <col min="9" max="9" width="15.28515625" style="1" customWidth="1"/>
    <col min="10" max="10" width="14.140625" style="1" bestFit="1" customWidth="1"/>
    <col min="11" max="11" width="15.28515625" style="1" customWidth="1"/>
    <col min="12" max="13" width="16.28515625" style="1" bestFit="1" customWidth="1"/>
    <col min="14" max="16384" width="11.42578125" style="1"/>
  </cols>
  <sheetData>
    <row r="1" spans="1:15" s="445" customFormat="1" ht="58.5" customHeight="1" x14ac:dyDescent="0.25">
      <c r="A1" s="447"/>
      <c r="B1" s="447"/>
      <c r="C1" s="447"/>
      <c r="D1" s="447"/>
      <c r="E1" s="447"/>
      <c r="F1" s="447"/>
      <c r="G1" s="450" t="s">
        <v>9</v>
      </c>
      <c r="H1" s="451"/>
      <c r="I1" s="447"/>
      <c r="J1" s="447"/>
      <c r="K1" s="447"/>
      <c r="L1" s="447"/>
      <c r="M1" s="447"/>
      <c r="N1" s="447"/>
      <c r="O1" s="447"/>
    </row>
    <row r="2" spans="1:15" ht="15.75" thickBot="1" x14ac:dyDescent="0.3"/>
    <row r="3" spans="1:15" ht="27" thickBot="1" x14ac:dyDescent="0.45">
      <c r="B3" s="670" t="s">
        <v>35</v>
      </c>
      <c r="C3" s="671"/>
      <c r="D3" s="672"/>
      <c r="E3" s="39"/>
      <c r="I3" s="670" t="s">
        <v>9</v>
      </c>
      <c r="J3" s="671"/>
      <c r="K3" s="672"/>
    </row>
    <row r="4" spans="1:15" x14ac:dyDescent="0.25">
      <c r="B4" s="34">
        <v>2019</v>
      </c>
      <c r="C4" s="34">
        <v>2020</v>
      </c>
      <c r="D4" s="34">
        <v>2021</v>
      </c>
      <c r="E4" s="76"/>
      <c r="I4" s="245">
        <v>2019</v>
      </c>
      <c r="J4" s="246">
        <v>2020</v>
      </c>
      <c r="K4" s="247">
        <v>2021</v>
      </c>
    </row>
    <row r="5" spans="1:15" ht="15.75" thickBot="1" x14ac:dyDescent="0.3">
      <c r="B5" s="40">
        <f>Hipótesis!$C$24</f>
        <v>0.02</v>
      </c>
      <c r="C5" s="40">
        <f>Hipótesis!$C$25</f>
        <v>0.05</v>
      </c>
      <c r="D5" s="40">
        <f>Hipótesis!$C$26</f>
        <v>0.1</v>
      </c>
      <c r="E5" s="135"/>
      <c r="I5" s="242">
        <f>$K$39</f>
        <v>141277.33333333334</v>
      </c>
      <c r="J5" s="243">
        <f>$L$39</f>
        <v>147660.56666666665</v>
      </c>
      <c r="K5" s="244">
        <f>$M$39</f>
        <v>162884.43333333335</v>
      </c>
    </row>
    <row r="6" spans="1:15" x14ac:dyDescent="0.25">
      <c r="B6" s="33">
        <f>Hipótesis!$D$24</f>
        <v>121458400</v>
      </c>
      <c r="C6" s="33">
        <f>Hipótesis!D25</f>
        <v>303646000</v>
      </c>
      <c r="D6" s="33">
        <f>Hipótesis!D26</f>
        <v>607292000</v>
      </c>
      <c r="E6" s="132"/>
    </row>
    <row r="7" spans="1:15" ht="15.75" thickBot="1" x14ac:dyDescent="0.3"/>
    <row r="8" spans="1:15" ht="27" thickBot="1" x14ac:dyDescent="0.45">
      <c r="B8" s="742" t="s">
        <v>9</v>
      </c>
      <c r="C8" s="743"/>
      <c r="D8" s="743"/>
      <c r="E8" s="743"/>
      <c r="F8" s="743"/>
      <c r="G8" s="743"/>
      <c r="H8" s="743"/>
      <c r="I8" s="743"/>
      <c r="J8" s="743"/>
      <c r="K8" s="743"/>
      <c r="L8" s="743"/>
      <c r="M8" s="744"/>
    </row>
    <row r="9" spans="1:15" x14ac:dyDescent="0.25">
      <c r="B9" s="739" t="s">
        <v>177</v>
      </c>
      <c r="C9" s="740" t="s">
        <v>62</v>
      </c>
      <c r="D9" s="740" t="s">
        <v>59</v>
      </c>
      <c r="E9" s="734" t="s">
        <v>160</v>
      </c>
      <c r="F9" s="732" t="s">
        <v>180</v>
      </c>
      <c r="G9" s="739" t="s">
        <v>181</v>
      </c>
      <c r="H9" s="740"/>
      <c r="I9" s="740"/>
      <c r="J9" s="741"/>
      <c r="K9" s="739" t="s">
        <v>176</v>
      </c>
      <c r="L9" s="740"/>
      <c r="M9" s="741"/>
    </row>
    <row r="10" spans="1:15" ht="15.75" thickBot="1" x14ac:dyDescent="0.3">
      <c r="B10" s="745"/>
      <c r="C10" s="746"/>
      <c r="D10" s="746"/>
      <c r="E10" s="735"/>
      <c r="F10" s="733"/>
      <c r="G10" s="316" t="s">
        <v>178</v>
      </c>
      <c r="H10" s="317" t="s">
        <v>63</v>
      </c>
      <c r="I10" s="317" t="s">
        <v>187</v>
      </c>
      <c r="J10" s="318" t="s">
        <v>188</v>
      </c>
      <c r="K10" s="316" t="s">
        <v>63</v>
      </c>
      <c r="L10" s="317" t="s">
        <v>187</v>
      </c>
      <c r="M10" s="318" t="s">
        <v>188</v>
      </c>
    </row>
    <row r="11" spans="1:15" x14ac:dyDescent="0.25">
      <c r="B11" s="736" t="s">
        <v>183</v>
      </c>
      <c r="C11" s="300" t="s">
        <v>156</v>
      </c>
      <c r="D11" s="301">
        <v>1</v>
      </c>
      <c r="E11" s="302">
        <v>20000</v>
      </c>
      <c r="F11" s="303">
        <v>10</v>
      </c>
      <c r="G11" s="304">
        <f>D11*E11</f>
        <v>20000</v>
      </c>
      <c r="H11" s="305">
        <v>0</v>
      </c>
      <c r="I11" s="305">
        <v>0</v>
      </c>
      <c r="J11" s="306">
        <v>0</v>
      </c>
      <c r="K11" s="307">
        <f>$G$11/$F$11</f>
        <v>2000</v>
      </c>
      <c r="L11" s="311">
        <f t="shared" ref="L11:M11" si="0">$G$11/$F$11</f>
        <v>2000</v>
      </c>
      <c r="M11" s="308">
        <f t="shared" si="0"/>
        <v>2000</v>
      </c>
    </row>
    <row r="12" spans="1:15" x14ac:dyDescent="0.25">
      <c r="B12" s="737"/>
      <c r="C12" s="277" t="s">
        <v>157</v>
      </c>
      <c r="D12" s="133">
        <v>1</v>
      </c>
      <c r="E12" s="241">
        <v>2850</v>
      </c>
      <c r="F12" s="282">
        <v>5</v>
      </c>
      <c r="G12" s="284">
        <f t="shared" ref="G12:G31" si="1">D12*E12</f>
        <v>2850</v>
      </c>
      <c r="H12" s="278">
        <v>0</v>
      </c>
      <c r="I12" s="278">
        <v>0</v>
      </c>
      <c r="J12" s="285">
        <v>0</v>
      </c>
      <c r="K12" s="291">
        <f>$G$12/$F$12</f>
        <v>570</v>
      </c>
      <c r="L12" s="280">
        <f t="shared" ref="L12:M12" si="2">$G$12/$F$12</f>
        <v>570</v>
      </c>
      <c r="M12" s="292">
        <f t="shared" si="2"/>
        <v>570</v>
      </c>
    </row>
    <row r="13" spans="1:15" x14ac:dyDescent="0.25">
      <c r="B13" s="737"/>
      <c r="C13" s="277" t="s">
        <v>157</v>
      </c>
      <c r="D13" s="133">
        <v>1</v>
      </c>
      <c r="E13" s="241">
        <f>E12</f>
        <v>2850</v>
      </c>
      <c r="F13" s="282">
        <v>5</v>
      </c>
      <c r="G13" s="286">
        <v>0</v>
      </c>
      <c r="H13" s="278">
        <v>0</v>
      </c>
      <c r="I13" s="279">
        <f>D13*E13</f>
        <v>2850</v>
      </c>
      <c r="J13" s="285">
        <v>0</v>
      </c>
      <c r="K13" s="293">
        <v>0</v>
      </c>
      <c r="L13" s="281">
        <v>0</v>
      </c>
      <c r="M13" s="292">
        <f>I13/F13</f>
        <v>570</v>
      </c>
    </row>
    <row r="14" spans="1:15" x14ac:dyDescent="0.25">
      <c r="B14" s="737"/>
      <c r="C14" s="277" t="s">
        <v>179</v>
      </c>
      <c r="D14" s="133">
        <v>1</v>
      </c>
      <c r="E14" s="241">
        <v>5000</v>
      </c>
      <c r="F14" s="282">
        <v>5</v>
      </c>
      <c r="G14" s="284">
        <f t="shared" si="1"/>
        <v>5000</v>
      </c>
      <c r="H14" s="278">
        <v>0</v>
      </c>
      <c r="I14" s="278">
        <v>0</v>
      </c>
      <c r="J14" s="285">
        <v>0</v>
      </c>
      <c r="K14" s="291">
        <f>$G$14/$F$14</f>
        <v>1000</v>
      </c>
      <c r="L14" s="280">
        <f t="shared" ref="L14:M14" si="3">$G$14/$F$14</f>
        <v>1000</v>
      </c>
      <c r="M14" s="292">
        <f t="shared" si="3"/>
        <v>1000</v>
      </c>
    </row>
    <row r="15" spans="1:15" x14ac:dyDescent="0.25">
      <c r="B15" s="737"/>
      <c r="C15" s="277" t="s">
        <v>179</v>
      </c>
      <c r="D15" s="133">
        <v>1</v>
      </c>
      <c r="E15" s="241">
        <f>E14</f>
        <v>5000</v>
      </c>
      <c r="F15" s="282">
        <v>5</v>
      </c>
      <c r="G15" s="286">
        <v>0</v>
      </c>
      <c r="H15" s="278">
        <v>0</v>
      </c>
      <c r="I15" s="279">
        <f>D15*E15</f>
        <v>5000</v>
      </c>
      <c r="J15" s="285">
        <v>0</v>
      </c>
      <c r="K15" s="293">
        <v>0</v>
      </c>
      <c r="L15" s="281">
        <v>0</v>
      </c>
      <c r="M15" s="292">
        <f>I15/F15</f>
        <v>1000</v>
      </c>
    </row>
    <row r="16" spans="1:15" x14ac:dyDescent="0.25">
      <c r="B16" s="737"/>
      <c r="C16" s="277" t="s">
        <v>159</v>
      </c>
      <c r="D16" s="133">
        <v>2</v>
      </c>
      <c r="E16" s="241">
        <v>2840</v>
      </c>
      <c r="F16" s="282">
        <v>5</v>
      </c>
      <c r="G16" s="284">
        <f t="shared" si="1"/>
        <v>5680</v>
      </c>
      <c r="H16" s="278">
        <v>0</v>
      </c>
      <c r="I16" s="278">
        <v>0</v>
      </c>
      <c r="J16" s="285">
        <v>0</v>
      </c>
      <c r="K16" s="291">
        <f>$G$16/$F$16</f>
        <v>1136</v>
      </c>
      <c r="L16" s="280">
        <f t="shared" ref="L16:M16" si="4">$G$16/$F$16</f>
        <v>1136</v>
      </c>
      <c r="M16" s="292">
        <f t="shared" si="4"/>
        <v>1136</v>
      </c>
    </row>
    <row r="17" spans="2:13" x14ac:dyDescent="0.25">
      <c r="B17" s="737"/>
      <c r="C17" s="277" t="s">
        <v>159</v>
      </c>
      <c r="D17" s="133">
        <v>1</v>
      </c>
      <c r="E17" s="241">
        <f>E16</f>
        <v>2840</v>
      </c>
      <c r="F17" s="283">
        <v>5</v>
      </c>
      <c r="G17" s="286">
        <v>0</v>
      </c>
      <c r="H17" s="278">
        <v>0</v>
      </c>
      <c r="I17" s="279">
        <f>D17*E17</f>
        <v>2840</v>
      </c>
      <c r="J17" s="285">
        <v>0</v>
      </c>
      <c r="K17" s="293">
        <v>0</v>
      </c>
      <c r="L17" s="281">
        <v>0</v>
      </c>
      <c r="M17" s="292">
        <f>I17/F17</f>
        <v>568</v>
      </c>
    </row>
    <row r="18" spans="2:13" x14ac:dyDescent="0.25">
      <c r="B18" s="737"/>
      <c r="C18" s="277" t="s">
        <v>182</v>
      </c>
      <c r="D18" s="133">
        <v>5</v>
      </c>
      <c r="E18" s="241">
        <v>2600</v>
      </c>
      <c r="F18" s="283">
        <v>5</v>
      </c>
      <c r="G18" s="284">
        <f t="shared" si="1"/>
        <v>13000</v>
      </c>
      <c r="H18" s="278">
        <v>0</v>
      </c>
      <c r="I18" s="278">
        <v>0</v>
      </c>
      <c r="J18" s="285">
        <v>0</v>
      </c>
      <c r="K18" s="291">
        <f>$G$18/$F$18</f>
        <v>2600</v>
      </c>
      <c r="L18" s="280">
        <f t="shared" ref="L18:M18" si="5">$G$18/$F$18</f>
        <v>2600</v>
      </c>
      <c r="M18" s="292">
        <f t="shared" si="5"/>
        <v>2600</v>
      </c>
    </row>
    <row r="19" spans="2:13" ht="15.75" thickBot="1" x14ac:dyDescent="0.3">
      <c r="B19" s="738"/>
      <c r="C19" s="309" t="s">
        <v>182</v>
      </c>
      <c r="D19" s="264">
        <v>5</v>
      </c>
      <c r="E19" s="243">
        <f>E18</f>
        <v>2600</v>
      </c>
      <c r="F19" s="315">
        <v>5</v>
      </c>
      <c r="G19" s="288">
        <v>0</v>
      </c>
      <c r="H19" s="289">
        <v>0</v>
      </c>
      <c r="I19" s="312">
        <f>E19*D19</f>
        <v>13000</v>
      </c>
      <c r="J19" s="313">
        <v>0</v>
      </c>
      <c r="K19" s="295">
        <v>0</v>
      </c>
      <c r="L19" s="296">
        <v>0</v>
      </c>
      <c r="M19" s="314">
        <f>I19/F19</f>
        <v>2600</v>
      </c>
    </row>
    <row r="20" spans="2:13" x14ac:dyDescent="0.25">
      <c r="B20" s="726" t="s">
        <v>184</v>
      </c>
      <c r="C20" s="249" t="s">
        <v>204</v>
      </c>
      <c r="D20" s="301">
        <v>2</v>
      </c>
      <c r="E20" s="241">
        <v>736011</v>
      </c>
      <c r="F20" s="303">
        <v>30</v>
      </c>
      <c r="G20" s="304">
        <f t="shared" si="1"/>
        <v>1472022</v>
      </c>
      <c r="H20" s="305">
        <v>0</v>
      </c>
      <c r="I20" s="305">
        <v>0</v>
      </c>
      <c r="J20" s="306">
        <v>0</v>
      </c>
      <c r="K20" s="307">
        <f>$G$20/$F$20</f>
        <v>49067.4</v>
      </c>
      <c r="L20" s="311">
        <f t="shared" ref="L20:M20" si="6">$G$20/$F$20</f>
        <v>49067.4</v>
      </c>
      <c r="M20" s="308">
        <f t="shared" si="6"/>
        <v>49067.4</v>
      </c>
    </row>
    <row r="21" spans="2:13" ht="15.75" thickBot="1" x14ac:dyDescent="0.3">
      <c r="B21" s="728"/>
      <c r="C21" s="249" t="s">
        <v>204</v>
      </c>
      <c r="D21" s="264">
        <v>1</v>
      </c>
      <c r="E21" s="243">
        <f>E20</f>
        <v>736011</v>
      </c>
      <c r="F21" s="310">
        <v>30</v>
      </c>
      <c r="G21" s="288">
        <v>0</v>
      </c>
      <c r="H21" s="289">
        <v>0</v>
      </c>
      <c r="I21" s="289">
        <v>0</v>
      </c>
      <c r="J21" s="290">
        <f>D21*E21</f>
        <v>736011</v>
      </c>
      <c r="K21" s="295">
        <v>0</v>
      </c>
      <c r="L21" s="296">
        <v>0</v>
      </c>
      <c r="M21" s="297">
        <v>0</v>
      </c>
    </row>
    <row r="22" spans="2:13" x14ac:dyDescent="0.25">
      <c r="B22" s="736" t="s">
        <v>185</v>
      </c>
      <c r="C22" s="300" t="s">
        <v>170</v>
      </c>
      <c r="D22" s="301">
        <v>8</v>
      </c>
      <c r="E22" s="302">
        <v>17500</v>
      </c>
      <c r="F22" s="303">
        <v>3</v>
      </c>
      <c r="G22" s="304">
        <f t="shared" si="1"/>
        <v>140000</v>
      </c>
      <c r="H22" s="305">
        <v>0</v>
      </c>
      <c r="I22" s="305">
        <v>0</v>
      </c>
      <c r="J22" s="306">
        <v>0</v>
      </c>
      <c r="K22" s="307">
        <f>$G$22/$F$22</f>
        <v>46666.666666666664</v>
      </c>
      <c r="L22" s="311">
        <f t="shared" ref="L22:M22" si="7">$G$22/$F$22</f>
        <v>46666.666666666664</v>
      </c>
      <c r="M22" s="308">
        <f t="shared" si="7"/>
        <v>46666.666666666664</v>
      </c>
    </row>
    <row r="23" spans="2:13" x14ac:dyDescent="0.25">
      <c r="B23" s="737"/>
      <c r="C23" s="277" t="s">
        <v>170</v>
      </c>
      <c r="D23" s="133">
        <v>1</v>
      </c>
      <c r="E23" s="241">
        <v>17500</v>
      </c>
      <c r="F23" s="282">
        <v>3</v>
      </c>
      <c r="G23" s="286">
        <v>0</v>
      </c>
      <c r="H23" s="279">
        <f>D23*E23</f>
        <v>17500</v>
      </c>
      <c r="I23" s="278">
        <v>0</v>
      </c>
      <c r="J23" s="285">
        <v>0</v>
      </c>
      <c r="K23" s="293">
        <v>0</v>
      </c>
      <c r="L23" s="280">
        <f>$H$23/$F$23</f>
        <v>5833.333333333333</v>
      </c>
      <c r="M23" s="292">
        <f>$H$23/$F$23</f>
        <v>5833.333333333333</v>
      </c>
    </row>
    <row r="24" spans="2:13" x14ac:dyDescent="0.25">
      <c r="B24" s="737"/>
      <c r="C24" s="277" t="s">
        <v>170</v>
      </c>
      <c r="D24" s="133">
        <v>1</v>
      </c>
      <c r="E24" s="241">
        <v>17500</v>
      </c>
      <c r="F24" s="282">
        <v>3</v>
      </c>
      <c r="G24" s="286">
        <v>0</v>
      </c>
      <c r="H24" s="278">
        <v>0</v>
      </c>
      <c r="I24" s="279">
        <f>D24*E24</f>
        <v>17500</v>
      </c>
      <c r="J24" s="285">
        <v>0</v>
      </c>
      <c r="K24" s="293">
        <v>0</v>
      </c>
      <c r="L24" s="281">
        <v>0</v>
      </c>
      <c r="M24" s="292">
        <f>I24/F24</f>
        <v>5833.333333333333</v>
      </c>
    </row>
    <row r="25" spans="2:13" x14ac:dyDescent="0.25">
      <c r="B25" s="737"/>
      <c r="C25" s="277" t="s">
        <v>170</v>
      </c>
      <c r="D25" s="133">
        <v>2</v>
      </c>
      <c r="E25" s="241">
        <v>17500</v>
      </c>
      <c r="F25" s="282">
        <v>3</v>
      </c>
      <c r="G25" s="286">
        <v>0</v>
      </c>
      <c r="H25" s="278">
        <v>0</v>
      </c>
      <c r="I25" s="278">
        <v>0</v>
      </c>
      <c r="J25" s="287">
        <f>D25*E25</f>
        <v>35000</v>
      </c>
      <c r="K25" s="293">
        <v>0</v>
      </c>
      <c r="L25" s="281">
        <v>0</v>
      </c>
      <c r="M25" s="294">
        <v>0</v>
      </c>
    </row>
    <row r="26" spans="2:13" x14ac:dyDescent="0.25">
      <c r="B26" s="737"/>
      <c r="C26" s="277" t="s">
        <v>175</v>
      </c>
      <c r="D26" s="133">
        <v>2</v>
      </c>
      <c r="E26" s="241">
        <v>20170</v>
      </c>
      <c r="F26" s="282">
        <v>3</v>
      </c>
      <c r="G26" s="284">
        <f t="shared" si="1"/>
        <v>40340</v>
      </c>
      <c r="H26" s="278">
        <v>0</v>
      </c>
      <c r="I26" s="278">
        <v>0</v>
      </c>
      <c r="J26" s="285">
        <v>0</v>
      </c>
      <c r="K26" s="291">
        <f>$G$26/$F$26</f>
        <v>13446.666666666666</v>
      </c>
      <c r="L26" s="280">
        <f t="shared" ref="L26:M26" si="8">$G$26/$F$26</f>
        <v>13446.666666666666</v>
      </c>
      <c r="M26" s="292">
        <f t="shared" si="8"/>
        <v>13446.666666666666</v>
      </c>
    </row>
    <row r="27" spans="2:13" x14ac:dyDescent="0.25">
      <c r="B27" s="737"/>
      <c r="C27" s="277" t="s">
        <v>175</v>
      </c>
      <c r="D27" s="133">
        <v>1</v>
      </c>
      <c r="E27" s="241">
        <v>20170</v>
      </c>
      <c r="F27" s="282">
        <v>3</v>
      </c>
      <c r="G27" s="286">
        <v>0</v>
      </c>
      <c r="H27" s="278">
        <v>0</v>
      </c>
      <c r="I27" s="278">
        <v>0</v>
      </c>
      <c r="J27" s="287">
        <f>D27*E27</f>
        <v>20170</v>
      </c>
      <c r="K27" s="293">
        <v>0</v>
      </c>
      <c r="L27" s="281">
        <v>0</v>
      </c>
      <c r="M27" s="294">
        <v>0</v>
      </c>
    </row>
    <row r="28" spans="2:13" x14ac:dyDescent="0.25">
      <c r="B28" s="737"/>
      <c r="C28" s="277" t="s">
        <v>168</v>
      </c>
      <c r="D28" s="133">
        <v>1</v>
      </c>
      <c r="E28" s="241">
        <v>4299</v>
      </c>
      <c r="F28" s="282">
        <v>3</v>
      </c>
      <c r="G28" s="284">
        <f t="shared" si="1"/>
        <v>4299</v>
      </c>
      <c r="H28" s="278">
        <v>0</v>
      </c>
      <c r="I28" s="278">
        <v>0</v>
      </c>
      <c r="J28" s="285">
        <v>0</v>
      </c>
      <c r="K28" s="291">
        <f>$G$28/$F$28</f>
        <v>1433</v>
      </c>
      <c r="L28" s="280">
        <f t="shared" ref="L28:M28" si="9">$G$28/$F$28</f>
        <v>1433</v>
      </c>
      <c r="M28" s="292">
        <f t="shared" si="9"/>
        <v>1433</v>
      </c>
    </row>
    <row r="29" spans="2:13" x14ac:dyDescent="0.25">
      <c r="B29" s="737"/>
      <c r="C29" s="277" t="s">
        <v>169</v>
      </c>
      <c r="D29" s="133">
        <v>6</v>
      </c>
      <c r="E29" s="241">
        <v>7480</v>
      </c>
      <c r="F29" s="282">
        <v>3</v>
      </c>
      <c r="G29" s="284">
        <f t="shared" si="1"/>
        <v>44880</v>
      </c>
      <c r="H29" s="278">
        <v>0</v>
      </c>
      <c r="I29" s="278">
        <v>0</v>
      </c>
      <c r="J29" s="285">
        <v>0</v>
      </c>
      <c r="K29" s="291">
        <f>$G$29/$F$29</f>
        <v>14960</v>
      </c>
      <c r="L29" s="280">
        <f t="shared" ref="L29:M29" si="10">$G$29/$F$29</f>
        <v>14960</v>
      </c>
      <c r="M29" s="292">
        <f t="shared" si="10"/>
        <v>14960</v>
      </c>
    </row>
    <row r="30" spans="2:13" ht="15.75" thickBot="1" x14ac:dyDescent="0.3">
      <c r="B30" s="738"/>
      <c r="C30" s="309" t="s">
        <v>169</v>
      </c>
      <c r="D30" s="264">
        <v>1</v>
      </c>
      <c r="E30" s="243">
        <v>7480</v>
      </c>
      <c r="F30" s="310">
        <v>3</v>
      </c>
      <c r="G30" s="288">
        <v>0</v>
      </c>
      <c r="H30" s="289">
        <v>0</v>
      </c>
      <c r="I30" s="312">
        <f>D30*E30</f>
        <v>7480</v>
      </c>
      <c r="J30" s="313">
        <v>0</v>
      </c>
      <c r="K30" s="295">
        <v>0</v>
      </c>
      <c r="L30" s="296">
        <v>0</v>
      </c>
      <c r="M30" s="314">
        <f>I30/F30</f>
        <v>2493.3333333333335</v>
      </c>
    </row>
    <row r="31" spans="2:13" x14ac:dyDescent="0.25">
      <c r="B31" s="726" t="s">
        <v>186</v>
      </c>
      <c r="C31" s="300" t="s">
        <v>167</v>
      </c>
      <c r="D31" s="301">
        <v>9</v>
      </c>
      <c r="E31" s="302">
        <v>3200</v>
      </c>
      <c r="F31" s="303">
        <v>10</v>
      </c>
      <c r="G31" s="304">
        <f t="shared" si="1"/>
        <v>28800</v>
      </c>
      <c r="H31" s="305">
        <v>0</v>
      </c>
      <c r="I31" s="305">
        <v>0</v>
      </c>
      <c r="J31" s="306">
        <v>0</v>
      </c>
      <c r="K31" s="307">
        <f>$G$31/$F$31</f>
        <v>2880</v>
      </c>
      <c r="L31" s="311">
        <f t="shared" ref="L31:M31" si="11">$G$31/$F$31</f>
        <v>2880</v>
      </c>
      <c r="M31" s="308">
        <f t="shared" si="11"/>
        <v>2880</v>
      </c>
    </row>
    <row r="32" spans="2:13" x14ac:dyDescent="0.25">
      <c r="B32" s="727"/>
      <c r="C32" s="277" t="s">
        <v>167</v>
      </c>
      <c r="D32" s="133">
        <v>1</v>
      </c>
      <c r="E32" s="241">
        <v>3200</v>
      </c>
      <c r="F32" s="282">
        <v>10</v>
      </c>
      <c r="G32" s="286">
        <v>0</v>
      </c>
      <c r="H32" s="279">
        <f>D32*E32</f>
        <v>3200</v>
      </c>
      <c r="I32" s="278">
        <v>0</v>
      </c>
      <c r="J32" s="285">
        <v>0</v>
      </c>
      <c r="K32" s="293">
        <v>0</v>
      </c>
      <c r="L32" s="280">
        <f>$H$32/$F$32</f>
        <v>320</v>
      </c>
      <c r="M32" s="292">
        <f>$H$32/$F$32</f>
        <v>320</v>
      </c>
    </row>
    <row r="33" spans="2:13" x14ac:dyDescent="0.25">
      <c r="B33" s="727"/>
      <c r="C33" s="277" t="s">
        <v>167</v>
      </c>
      <c r="D33" s="133">
        <v>1</v>
      </c>
      <c r="E33" s="241">
        <v>3200</v>
      </c>
      <c r="F33" s="282">
        <v>10</v>
      </c>
      <c r="G33" s="286">
        <v>0</v>
      </c>
      <c r="H33" s="278">
        <v>0</v>
      </c>
      <c r="I33" s="279">
        <f>D33*E33</f>
        <v>3200</v>
      </c>
      <c r="J33" s="285">
        <v>0</v>
      </c>
      <c r="K33" s="293">
        <v>0</v>
      </c>
      <c r="L33" s="281">
        <v>0</v>
      </c>
      <c r="M33" s="292">
        <f>I33/F33</f>
        <v>320</v>
      </c>
    </row>
    <row r="34" spans="2:13" x14ac:dyDescent="0.25">
      <c r="B34" s="727"/>
      <c r="C34" s="277" t="s">
        <v>167</v>
      </c>
      <c r="D34" s="133">
        <v>3</v>
      </c>
      <c r="E34" s="241">
        <v>3200</v>
      </c>
      <c r="F34" s="282">
        <v>10</v>
      </c>
      <c r="G34" s="286">
        <v>0</v>
      </c>
      <c r="H34" s="278">
        <v>0</v>
      </c>
      <c r="I34" s="278">
        <v>0</v>
      </c>
      <c r="J34" s="287">
        <f>D34*E34</f>
        <v>9600</v>
      </c>
      <c r="K34" s="293">
        <v>0</v>
      </c>
      <c r="L34" s="281">
        <v>0</v>
      </c>
      <c r="M34" s="294">
        <v>0</v>
      </c>
    </row>
    <row r="35" spans="2:13" x14ac:dyDescent="0.25">
      <c r="B35" s="727"/>
      <c r="C35" s="277" t="s">
        <v>174</v>
      </c>
      <c r="D35" s="133">
        <v>24</v>
      </c>
      <c r="E35" s="241">
        <v>2299</v>
      </c>
      <c r="F35" s="282">
        <v>10</v>
      </c>
      <c r="G35" s="284">
        <f>D35*E35</f>
        <v>55176</v>
      </c>
      <c r="H35" s="278">
        <v>0</v>
      </c>
      <c r="I35" s="278">
        <v>0</v>
      </c>
      <c r="J35" s="285">
        <v>0</v>
      </c>
      <c r="K35" s="291">
        <f>$G$35/$F$35</f>
        <v>5517.6</v>
      </c>
      <c r="L35" s="280">
        <f t="shared" ref="L35:M35" si="12">$G$35/$F$35</f>
        <v>5517.6</v>
      </c>
      <c r="M35" s="292">
        <f t="shared" si="12"/>
        <v>5517.6</v>
      </c>
    </row>
    <row r="36" spans="2:13" x14ac:dyDescent="0.25">
      <c r="B36" s="727"/>
      <c r="C36" s="277" t="s">
        <v>174</v>
      </c>
      <c r="D36" s="275">
        <v>1</v>
      </c>
      <c r="E36" s="241">
        <v>2299</v>
      </c>
      <c r="F36" s="282">
        <v>10</v>
      </c>
      <c r="G36" s="286">
        <v>0</v>
      </c>
      <c r="H36" s="279">
        <f>D36*E36</f>
        <v>2299</v>
      </c>
      <c r="I36" s="278">
        <v>0</v>
      </c>
      <c r="J36" s="285">
        <v>0</v>
      </c>
      <c r="K36" s="293">
        <v>0</v>
      </c>
      <c r="L36" s="280">
        <f>$H$36/$F$36</f>
        <v>229.9</v>
      </c>
      <c r="M36" s="292">
        <f>$H$36/$F$36</f>
        <v>229.9</v>
      </c>
    </row>
    <row r="37" spans="2:13" x14ac:dyDescent="0.25">
      <c r="B37" s="727"/>
      <c r="C37" s="277" t="s">
        <v>174</v>
      </c>
      <c r="D37" s="275">
        <v>8</v>
      </c>
      <c r="E37" s="241">
        <v>2299</v>
      </c>
      <c r="F37" s="282">
        <v>10</v>
      </c>
      <c r="G37" s="286">
        <v>0</v>
      </c>
      <c r="H37" s="278">
        <v>0</v>
      </c>
      <c r="I37" s="279">
        <f>D37*E37</f>
        <v>18392</v>
      </c>
      <c r="J37" s="285">
        <v>0</v>
      </c>
      <c r="K37" s="293">
        <v>0</v>
      </c>
      <c r="L37" s="281">
        <v>0</v>
      </c>
      <c r="M37" s="292">
        <f>I37/F37</f>
        <v>1839.2</v>
      </c>
    </row>
    <row r="38" spans="2:13" ht="15.75" thickBot="1" x14ac:dyDescent="0.3">
      <c r="B38" s="728"/>
      <c r="C38" s="309" t="s">
        <v>174</v>
      </c>
      <c r="D38" s="264">
        <v>3</v>
      </c>
      <c r="E38" s="243">
        <v>2299</v>
      </c>
      <c r="F38" s="310">
        <v>10</v>
      </c>
      <c r="G38" s="288">
        <v>0</v>
      </c>
      <c r="H38" s="289">
        <v>0</v>
      </c>
      <c r="I38" s="289">
        <v>0</v>
      </c>
      <c r="J38" s="290">
        <f>D38*E38</f>
        <v>6897</v>
      </c>
      <c r="K38" s="295">
        <v>0</v>
      </c>
      <c r="L38" s="296">
        <v>0</v>
      </c>
      <c r="M38" s="297">
        <v>0</v>
      </c>
    </row>
    <row r="39" spans="2:13" ht="16.5" thickBot="1" x14ac:dyDescent="0.3">
      <c r="B39" s="729" t="s">
        <v>145</v>
      </c>
      <c r="C39" s="730"/>
      <c r="D39" s="730"/>
      <c r="E39" s="730"/>
      <c r="F39" s="730"/>
      <c r="G39" s="730"/>
      <c r="H39" s="730"/>
      <c r="I39" s="730"/>
      <c r="J39" s="731"/>
      <c r="K39" s="319">
        <f t="shared" ref="K39:M39" si="13">SUM(K11:K38)</f>
        <v>141277.33333333334</v>
      </c>
      <c r="L39" s="298">
        <f t="shared" si="13"/>
        <v>147660.56666666665</v>
      </c>
      <c r="M39" s="299">
        <f t="shared" si="13"/>
        <v>162884.43333333335</v>
      </c>
    </row>
  </sheetData>
  <mergeCells count="15">
    <mergeCell ref="B3:D3"/>
    <mergeCell ref="I3:K3"/>
    <mergeCell ref="G9:J9"/>
    <mergeCell ref="K9:M9"/>
    <mergeCell ref="B8:M8"/>
    <mergeCell ref="B9:B10"/>
    <mergeCell ref="C9:C10"/>
    <mergeCell ref="D9:D10"/>
    <mergeCell ref="B31:B38"/>
    <mergeCell ref="B39:J39"/>
    <mergeCell ref="F9:F10"/>
    <mergeCell ref="E9:E10"/>
    <mergeCell ref="B11:B19"/>
    <mergeCell ref="B20:B21"/>
    <mergeCell ref="B22:B30"/>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topLeftCell="J1" zoomScale="80" zoomScaleNormal="80" workbookViewId="0">
      <pane ySplit="1" topLeftCell="A2" activePane="bottomLeft" state="frozen"/>
      <selection pane="bottomLeft" sqref="A1:O1"/>
    </sheetView>
  </sheetViews>
  <sheetFormatPr baseColWidth="10"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4.5703125" style="1" bestFit="1" customWidth="1"/>
    <col min="10" max="10" width="15.140625" style="1" customWidth="1"/>
    <col min="11" max="13" width="14" style="1" bestFit="1" customWidth="1"/>
    <col min="14" max="16384" width="11.42578125" style="1"/>
  </cols>
  <sheetData>
    <row r="1" spans="1:15" s="445" customFormat="1" ht="58.5" customHeight="1" x14ac:dyDescent="0.25">
      <c r="A1" s="447"/>
      <c r="B1" s="447"/>
      <c r="C1" s="447"/>
      <c r="D1" s="447"/>
      <c r="E1" s="450" t="s">
        <v>13</v>
      </c>
      <c r="F1" s="451"/>
      <c r="G1" s="451"/>
      <c r="H1" s="447"/>
      <c r="I1" s="447"/>
      <c r="J1" s="447"/>
      <c r="K1" s="447"/>
      <c r="L1" s="447"/>
      <c r="M1" s="447"/>
      <c r="N1" s="447"/>
      <c r="O1" s="447"/>
    </row>
    <row r="2" spans="1:15" ht="15.75" thickBot="1" x14ac:dyDescent="0.3"/>
    <row r="3" spans="1:15" ht="27" thickBot="1" x14ac:dyDescent="0.45">
      <c r="H3" s="77"/>
      <c r="K3" s="670" t="s">
        <v>35</v>
      </c>
      <c r="L3" s="671"/>
      <c r="M3" s="672"/>
    </row>
    <row r="4" spans="1:15" x14ac:dyDescent="0.25">
      <c r="H4" s="76"/>
      <c r="K4" s="34">
        <v>2019</v>
      </c>
      <c r="L4" s="34">
        <v>2020</v>
      </c>
      <c r="M4" s="34">
        <v>2021</v>
      </c>
    </row>
    <row r="5" spans="1:15" x14ac:dyDescent="0.25">
      <c r="H5" s="132"/>
      <c r="K5" s="40">
        <f>Hipótesis!$C$24</f>
        <v>0.02</v>
      </c>
      <c r="L5" s="40">
        <f>Hipótesis!$C$25</f>
        <v>0.05</v>
      </c>
      <c r="M5" s="40">
        <f>Hipótesis!$C$26</f>
        <v>0.1</v>
      </c>
    </row>
    <row r="6" spans="1:15" x14ac:dyDescent="0.25">
      <c r="H6" s="52"/>
      <c r="K6" s="33">
        <f>Hipótesis!$D$24</f>
        <v>121458400</v>
      </c>
      <c r="L6" s="33">
        <f>Hipótesis!$D$25</f>
        <v>303646000</v>
      </c>
      <c r="M6" s="33">
        <f>Hipótesis!$D$26</f>
        <v>607292000</v>
      </c>
    </row>
    <row r="7" spans="1:15" ht="15.75" thickBot="1" x14ac:dyDescent="0.3">
      <c r="H7" s="52"/>
    </row>
    <row r="8" spans="1:15" ht="27" thickBot="1" x14ac:dyDescent="0.45">
      <c r="H8" s="77"/>
      <c r="K8" s="670" t="s">
        <v>221</v>
      </c>
      <c r="L8" s="671"/>
      <c r="M8" s="672"/>
    </row>
    <row r="9" spans="1:15" ht="15.75" thickBot="1" x14ac:dyDescent="0.3">
      <c r="H9" s="76"/>
      <c r="K9" s="44">
        <v>2019</v>
      </c>
      <c r="L9" s="34">
        <v>2020</v>
      </c>
      <c r="M9" s="45">
        <v>2021</v>
      </c>
    </row>
    <row r="10" spans="1:15" ht="27" thickBot="1" x14ac:dyDescent="0.45">
      <c r="B10" s="691" t="s">
        <v>13</v>
      </c>
      <c r="C10" s="692"/>
      <c r="D10" s="692"/>
      <c r="E10" s="692"/>
      <c r="F10" s="692"/>
      <c r="G10" s="693"/>
      <c r="H10" s="132"/>
      <c r="J10" s="371" t="s">
        <v>189</v>
      </c>
      <c r="K10" s="376">
        <f>'Costos fijos'!$G$5</f>
        <v>2343935.7000000002</v>
      </c>
      <c r="L10" s="33">
        <f>'Costos fijos'!$H$5</f>
        <v>2614351.9749999996</v>
      </c>
      <c r="M10" s="377">
        <f>'Costos fijos'!$I$5</f>
        <v>2971977.4835000001</v>
      </c>
    </row>
    <row r="11" spans="1:15" ht="15.75" thickBot="1" x14ac:dyDescent="0.3">
      <c r="B11" s="757" t="s">
        <v>202</v>
      </c>
      <c r="C11" s="758"/>
      <c r="D11" s="323" t="s">
        <v>203</v>
      </c>
      <c r="E11" s="324">
        <v>2019</v>
      </c>
      <c r="F11" s="324">
        <v>2020</v>
      </c>
      <c r="G11" s="325">
        <v>2021</v>
      </c>
      <c r="H11" s="52"/>
      <c r="J11" s="371" t="s">
        <v>149</v>
      </c>
      <c r="K11" s="376" t="e">
        <f>'Costos variables'!$H$6</f>
        <v>#REF!</v>
      </c>
      <c r="L11" s="33" t="e">
        <f>'Costos variables'!$I$6</f>
        <v>#REF!</v>
      </c>
      <c r="M11" s="377" t="e">
        <f>'Costos variables'!$J$6</f>
        <v>#REF!</v>
      </c>
    </row>
    <row r="12" spans="1:15" ht="15.75" thickBot="1" x14ac:dyDescent="0.3">
      <c r="B12" s="751" t="s">
        <v>39</v>
      </c>
      <c r="C12" s="752"/>
      <c r="D12" s="276" t="s">
        <v>190</v>
      </c>
      <c r="E12" s="248">
        <f>K6</f>
        <v>121458400</v>
      </c>
      <c r="F12" s="248">
        <f>L6</f>
        <v>303646000</v>
      </c>
      <c r="G12" s="322">
        <f>M6</f>
        <v>607292000</v>
      </c>
      <c r="J12" s="371" t="s">
        <v>150</v>
      </c>
      <c r="K12" s="48">
        <f>'Costos RRHH'!$H$6</f>
        <v>7341662.4450000012</v>
      </c>
      <c r="L12" s="49">
        <f>'Costos RRHH'!$I$6</f>
        <v>8446303.9266666677</v>
      </c>
      <c r="M12" s="50">
        <f>'Costos RRHH'!$J$6</f>
        <v>10262133.115833335</v>
      </c>
    </row>
    <row r="13" spans="1:15" ht="15.75" thickBot="1" x14ac:dyDescent="0.3">
      <c r="B13" s="753" t="s">
        <v>191</v>
      </c>
      <c r="C13" s="321" t="s">
        <v>189</v>
      </c>
      <c r="D13" s="320" t="s">
        <v>190</v>
      </c>
      <c r="E13" s="241">
        <f t="shared" ref="E13:G15" si="0">K10</f>
        <v>2343935.7000000002</v>
      </c>
      <c r="F13" s="241">
        <f t="shared" si="0"/>
        <v>2614351.9749999996</v>
      </c>
      <c r="G13" s="273">
        <f t="shared" si="0"/>
        <v>2971977.4835000001</v>
      </c>
    </row>
    <row r="14" spans="1:15" ht="27" thickBot="1" x14ac:dyDescent="0.45">
      <c r="B14" s="753"/>
      <c r="C14" s="321" t="s">
        <v>149</v>
      </c>
      <c r="D14" s="320" t="s">
        <v>190</v>
      </c>
      <c r="E14" s="241" t="e">
        <f t="shared" si="0"/>
        <v>#REF!</v>
      </c>
      <c r="F14" s="241" t="e">
        <f t="shared" si="0"/>
        <v>#REF!</v>
      </c>
      <c r="G14" s="241" t="e">
        <f t="shared" si="0"/>
        <v>#REF!</v>
      </c>
      <c r="K14" s="670" t="s">
        <v>9</v>
      </c>
      <c r="L14" s="671"/>
      <c r="M14" s="672"/>
    </row>
    <row r="15" spans="1:15" ht="15.75" thickBot="1" x14ac:dyDescent="0.3">
      <c r="B15" s="754"/>
      <c r="C15" s="326" t="s">
        <v>150</v>
      </c>
      <c r="D15" s="327" t="s">
        <v>190</v>
      </c>
      <c r="E15" s="267">
        <f t="shared" si="0"/>
        <v>7341662.4450000012</v>
      </c>
      <c r="F15" s="267">
        <f t="shared" si="0"/>
        <v>8446303.9266666677</v>
      </c>
      <c r="G15" s="267">
        <f t="shared" si="0"/>
        <v>10262133.115833335</v>
      </c>
      <c r="K15" s="245">
        <v>2019</v>
      </c>
      <c r="L15" s="246">
        <v>2020</v>
      </c>
      <c r="M15" s="247">
        <v>2021</v>
      </c>
    </row>
    <row r="16" spans="1:15" ht="15.75" thickBot="1" x14ac:dyDescent="0.3">
      <c r="B16" s="747" t="s">
        <v>192</v>
      </c>
      <c r="C16" s="748"/>
      <c r="D16" s="328" t="s">
        <v>190</v>
      </c>
      <c r="E16" s="329" t="e">
        <f>E12-E13-E14-E15</f>
        <v>#REF!</v>
      </c>
      <c r="F16" s="329" t="e">
        <f t="shared" ref="F16:G16" si="1">F12-F13-F14-F15</f>
        <v>#REF!</v>
      </c>
      <c r="G16" s="330" t="e">
        <f t="shared" si="1"/>
        <v>#REF!</v>
      </c>
      <c r="K16" s="242">
        <f>Amortizaciones!$I$5</f>
        <v>141277.33333333334</v>
      </c>
      <c r="L16" s="243">
        <f>Amortizaciones!$J$5</f>
        <v>147660.56666666665</v>
      </c>
      <c r="M16" s="244">
        <f>Amortizaciones!$K$5</f>
        <v>162884.43333333335</v>
      </c>
    </row>
    <row r="17" spans="2:13" ht="15.75" thickBot="1" x14ac:dyDescent="0.3">
      <c r="B17" s="761" t="s">
        <v>193</v>
      </c>
      <c r="C17" s="762"/>
      <c r="D17" s="276" t="s">
        <v>190</v>
      </c>
      <c r="E17" s="248">
        <f>E12*0.03</f>
        <v>3643752</v>
      </c>
      <c r="F17" s="248">
        <f t="shared" ref="F17:G17" si="2">F12*0.03</f>
        <v>9109380</v>
      </c>
      <c r="G17" s="322">
        <f t="shared" si="2"/>
        <v>18218760</v>
      </c>
    </row>
    <row r="18" spans="2:13" ht="27" thickBot="1" x14ac:dyDescent="0.45">
      <c r="B18" s="755" t="s">
        <v>194</v>
      </c>
      <c r="C18" s="756"/>
      <c r="D18" s="320"/>
      <c r="E18" s="241" t="e">
        <f>E16-E17-K16</f>
        <v>#REF!</v>
      </c>
      <c r="F18" s="241" t="e">
        <f>F16-F17-L16</f>
        <v>#REF!</v>
      </c>
      <c r="G18" s="273" t="e">
        <f>G16-G17-M16</f>
        <v>#REF!</v>
      </c>
      <c r="J18" s="670" t="s">
        <v>153</v>
      </c>
      <c r="K18" s="671"/>
      <c r="L18" s="671"/>
      <c r="M18" s="672"/>
    </row>
    <row r="19" spans="2:13" ht="15.75" thickBot="1" x14ac:dyDescent="0.3">
      <c r="B19" s="763" t="s">
        <v>195</v>
      </c>
      <c r="C19" s="764"/>
      <c r="D19" s="327" t="s">
        <v>190</v>
      </c>
      <c r="E19" s="267">
        <v>0</v>
      </c>
      <c r="F19" s="267">
        <v>0</v>
      </c>
      <c r="G19" s="274" t="e">
        <f>F18*0.35</f>
        <v>#REF!</v>
      </c>
      <c r="J19" s="245" t="s">
        <v>154</v>
      </c>
      <c r="K19" s="246">
        <v>2019</v>
      </c>
      <c r="L19" s="246">
        <v>2020</v>
      </c>
      <c r="M19" s="247">
        <v>2021</v>
      </c>
    </row>
    <row r="20" spans="2:13" ht="15.75" thickBot="1" x14ac:dyDescent="0.3">
      <c r="B20" s="747" t="s">
        <v>196</v>
      </c>
      <c r="C20" s="748"/>
      <c r="D20" s="328" t="s">
        <v>190</v>
      </c>
      <c r="E20" s="329" t="e">
        <f>E16-E17-E19</f>
        <v>#REF!</v>
      </c>
      <c r="F20" s="329" t="e">
        <f>F16-F17-F19</f>
        <v>#REF!</v>
      </c>
      <c r="G20" s="330" t="e">
        <f>G16-G17-G19</f>
        <v>#REF!</v>
      </c>
      <c r="J20" s="242">
        <f>'Mod. inversión'!$G$5</f>
        <v>2297572</v>
      </c>
      <c r="K20" s="243">
        <f>'Mod. inversión'!$H$5</f>
        <v>22999</v>
      </c>
      <c r="L20" s="243">
        <f>'Mod. inversión'!$I$5</f>
        <v>70262</v>
      </c>
      <c r="M20" s="244">
        <f>'Mod. inversión'!$J$5</f>
        <v>1306257</v>
      </c>
    </row>
    <row r="21" spans="2:13" ht="15.75" thickBot="1" x14ac:dyDescent="0.3">
      <c r="B21" s="759" t="s">
        <v>197</v>
      </c>
      <c r="C21" s="760"/>
      <c r="D21" s="331">
        <f>-J20</f>
        <v>-2297572</v>
      </c>
      <c r="E21" s="332">
        <f>-K20</f>
        <v>-22999</v>
      </c>
      <c r="F21" s="332">
        <f>-L20</f>
        <v>-70262</v>
      </c>
      <c r="G21" s="333">
        <f>-M20</f>
        <v>-1306257</v>
      </c>
    </row>
    <row r="22" spans="2:13" ht="15.75" thickBot="1" x14ac:dyDescent="0.3">
      <c r="B22" s="749" t="s">
        <v>198</v>
      </c>
      <c r="C22" s="750"/>
      <c r="D22" s="341">
        <f>D21</f>
        <v>-2297572</v>
      </c>
      <c r="E22" s="329" t="e">
        <f>E20+E21</f>
        <v>#REF!</v>
      </c>
      <c r="F22" s="329" t="e">
        <f t="shared" ref="F22:G22" si="3">F20+F21</f>
        <v>#REF!</v>
      </c>
      <c r="G22" s="330" t="e">
        <f t="shared" si="3"/>
        <v>#REF!</v>
      </c>
    </row>
    <row r="25" spans="2:13" ht="15.75" thickBot="1" x14ac:dyDescent="0.3"/>
    <row r="26" spans="2:13" x14ac:dyDescent="0.25">
      <c r="F26" s="335" t="s">
        <v>199</v>
      </c>
      <c r="G26" s="336">
        <v>0.5</v>
      </c>
    </row>
    <row r="27" spans="2:13" x14ac:dyDescent="0.25">
      <c r="F27" s="337" t="s">
        <v>200</v>
      </c>
      <c r="G27" s="338"/>
    </row>
    <row r="28" spans="2:13" ht="15.75" thickBot="1" x14ac:dyDescent="0.3">
      <c r="F28" s="339" t="s">
        <v>201</v>
      </c>
      <c r="G28" s="340"/>
    </row>
    <row r="31" spans="2:13" ht="0.6" customHeight="1" x14ac:dyDescent="0.25">
      <c r="I31" s="342"/>
    </row>
    <row r="32" spans="2:13" x14ac:dyDescent="0.25">
      <c r="I32" s="342"/>
    </row>
    <row r="36" spans="4:9" x14ac:dyDescent="0.25">
      <c r="D36" s="42"/>
      <c r="E36" s="42"/>
      <c r="F36" s="42"/>
      <c r="G36" s="42"/>
      <c r="I36" s="43"/>
    </row>
    <row r="37" spans="4:9" x14ac:dyDescent="0.25">
      <c r="I37" s="43"/>
    </row>
    <row r="38" spans="4:9" x14ac:dyDescent="0.25">
      <c r="H38" s="334"/>
    </row>
  </sheetData>
  <mergeCells count="15">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zoomScale="80" zoomScaleNormal="80" workbookViewId="0">
      <pane xSplit="2" ySplit="5" topLeftCell="M6" activePane="bottomRight" state="frozen"/>
      <selection pane="topRight" activeCell="C1" sqref="C1"/>
      <selection pane="bottomLeft" activeCell="A6" sqref="A6"/>
      <selection pane="bottomRight" sqref="A1:N1"/>
    </sheetView>
  </sheetViews>
  <sheetFormatPr baseColWidth="10" defaultColWidth="11.42578125" defaultRowHeight="15" x14ac:dyDescent="0.25"/>
  <cols>
    <col min="1" max="1" width="11.42578125" style="1"/>
    <col min="2" max="2" width="13.5703125" style="1" customWidth="1"/>
    <col min="3" max="3" width="59.7109375" style="1" customWidth="1"/>
    <col min="4" max="4" width="49.85546875" style="1" customWidth="1"/>
    <col min="5" max="5" width="53.7109375" style="1" customWidth="1"/>
    <col min="6" max="7" width="11.42578125" style="1"/>
    <col min="8" max="8" width="15.5703125" style="1" customWidth="1"/>
    <col min="9" max="16384" width="11.42578125" style="1"/>
  </cols>
  <sheetData>
    <row r="1" spans="1:14" s="445" customFormat="1" ht="58.5" customHeight="1" x14ac:dyDescent="0.25">
      <c r="A1" s="447"/>
      <c r="B1" s="447"/>
      <c r="C1" s="447"/>
      <c r="D1" s="450" t="s">
        <v>11</v>
      </c>
      <c r="E1" s="447"/>
      <c r="F1" s="447"/>
      <c r="G1" s="451"/>
      <c r="H1" s="451"/>
      <c r="I1" s="447"/>
      <c r="J1" s="447"/>
      <c r="K1" s="447"/>
      <c r="L1" s="447"/>
      <c r="M1" s="447"/>
      <c r="N1" s="447"/>
    </row>
    <row r="3" spans="1:14" ht="15.75" thickBot="1" x14ac:dyDescent="0.3"/>
    <row r="4" spans="1:14" ht="27" thickBot="1" x14ac:dyDescent="0.45">
      <c r="B4" s="723" t="s">
        <v>11</v>
      </c>
      <c r="C4" s="724"/>
      <c r="D4" s="724"/>
      <c r="E4" s="724"/>
      <c r="F4" s="724"/>
      <c r="G4" s="725"/>
    </row>
    <row r="5" spans="1:14" ht="15.75" thickBot="1" x14ac:dyDescent="0.3">
      <c r="B5" s="404" t="s">
        <v>219</v>
      </c>
      <c r="C5" s="405" t="s">
        <v>205</v>
      </c>
      <c r="D5" s="405" t="s">
        <v>206</v>
      </c>
      <c r="E5" s="405" t="s">
        <v>207</v>
      </c>
      <c r="F5" s="406" t="s">
        <v>208</v>
      </c>
      <c r="G5" s="407" t="s">
        <v>209</v>
      </c>
      <c r="H5"/>
    </row>
    <row r="6" spans="1:14" ht="60" customHeight="1" thickBot="1" x14ac:dyDescent="0.3">
      <c r="B6" s="411">
        <v>1</v>
      </c>
      <c r="C6" s="428" t="s">
        <v>260</v>
      </c>
      <c r="D6" s="422" t="s">
        <v>261</v>
      </c>
      <c r="E6" s="422" t="s">
        <v>262</v>
      </c>
      <c r="F6" s="423" t="s">
        <v>211</v>
      </c>
      <c r="G6" s="424" t="s">
        <v>210</v>
      </c>
      <c r="H6" s="400"/>
    </row>
    <row r="7" spans="1:14" ht="61.5" customHeight="1" thickBot="1" x14ac:dyDescent="0.3">
      <c r="B7" s="414">
        <v>2</v>
      </c>
      <c r="C7" s="425" t="s">
        <v>227</v>
      </c>
      <c r="D7" s="368" t="s">
        <v>220</v>
      </c>
      <c r="E7" s="368" t="s">
        <v>226</v>
      </c>
      <c r="F7" s="426" t="s">
        <v>214</v>
      </c>
      <c r="G7" s="427" t="s">
        <v>210</v>
      </c>
      <c r="H7" s="400"/>
    </row>
    <row r="8" spans="1:14" ht="57.75" customHeight="1" thickBot="1" x14ac:dyDescent="0.3">
      <c r="B8" s="420">
        <v>3</v>
      </c>
      <c r="C8" s="421" t="s">
        <v>252</v>
      </c>
      <c r="D8" s="422" t="s">
        <v>251</v>
      </c>
      <c r="E8" s="422" t="s">
        <v>255</v>
      </c>
      <c r="F8" s="423" t="s">
        <v>214</v>
      </c>
      <c r="G8" s="424" t="s">
        <v>210</v>
      </c>
      <c r="H8" s="400"/>
    </row>
    <row r="9" spans="1:14" ht="33" customHeight="1" x14ac:dyDescent="0.25">
      <c r="B9" s="419">
        <v>4</v>
      </c>
      <c r="C9" s="408" t="s">
        <v>228</v>
      </c>
      <c r="D9" s="345" t="s">
        <v>230</v>
      </c>
      <c r="E9" s="345" t="s">
        <v>229</v>
      </c>
      <c r="F9" s="402" t="s">
        <v>211</v>
      </c>
      <c r="G9" s="403" t="s">
        <v>215</v>
      </c>
      <c r="H9" s="52"/>
    </row>
    <row r="10" spans="1:14" ht="30" x14ac:dyDescent="0.25">
      <c r="B10" s="412">
        <v>5</v>
      </c>
      <c r="C10" s="409" t="s">
        <v>216</v>
      </c>
      <c r="D10" s="343" t="s">
        <v>258</v>
      </c>
      <c r="E10" s="343" t="s">
        <v>217</v>
      </c>
      <c r="F10" s="79" t="s">
        <v>211</v>
      </c>
      <c r="G10" s="81" t="s">
        <v>215</v>
      </c>
      <c r="H10" s="52"/>
    </row>
    <row r="11" spans="1:14" ht="30" x14ac:dyDescent="0.25">
      <c r="B11" s="412">
        <v>6</v>
      </c>
      <c r="C11" s="409" t="s">
        <v>231</v>
      </c>
      <c r="D11" s="344" t="s">
        <v>259</v>
      </c>
      <c r="E11" s="344" t="s">
        <v>232</v>
      </c>
      <c r="F11" s="79" t="s">
        <v>211</v>
      </c>
      <c r="G11" s="81" t="s">
        <v>213</v>
      </c>
      <c r="H11" s="52"/>
    </row>
    <row r="12" spans="1:14" x14ac:dyDescent="0.25">
      <c r="B12" s="412">
        <v>7</v>
      </c>
      <c r="C12" s="409" t="s">
        <v>233</v>
      </c>
      <c r="D12" s="344"/>
      <c r="E12" s="344"/>
      <c r="F12" s="79" t="s">
        <v>214</v>
      </c>
      <c r="G12" s="81" t="s">
        <v>213</v>
      </c>
      <c r="H12" s="52"/>
    </row>
    <row r="13" spans="1:14" x14ac:dyDescent="0.25">
      <c r="B13" s="412">
        <v>8</v>
      </c>
      <c r="C13" s="409" t="s">
        <v>234</v>
      </c>
      <c r="D13" s="343"/>
      <c r="E13" s="343"/>
      <c r="F13" s="79" t="s">
        <v>214</v>
      </c>
      <c r="G13" s="81" t="s">
        <v>215</v>
      </c>
      <c r="H13" s="52"/>
    </row>
    <row r="14" spans="1:14" ht="15.75" thickBot="1" x14ac:dyDescent="0.3">
      <c r="B14" s="414">
        <v>9</v>
      </c>
      <c r="C14" s="415" t="s">
        <v>235</v>
      </c>
      <c r="D14" s="416"/>
      <c r="E14" s="416"/>
      <c r="F14" s="417" t="s">
        <v>214</v>
      </c>
      <c r="G14" s="418" t="s">
        <v>213</v>
      </c>
      <c r="H14" s="52"/>
    </row>
    <row r="15" spans="1:14" ht="68.25" customHeight="1" thickBot="1" x14ac:dyDescent="0.3">
      <c r="B15" s="420">
        <v>10</v>
      </c>
      <c r="C15" s="421" t="s">
        <v>248</v>
      </c>
      <c r="D15" s="422"/>
      <c r="E15" s="422"/>
      <c r="F15" s="423" t="s">
        <v>211</v>
      </c>
      <c r="G15" s="424" t="s">
        <v>210</v>
      </c>
      <c r="H15" s="400"/>
    </row>
    <row r="16" spans="1:14" x14ac:dyDescent="0.25">
      <c r="B16" s="419">
        <v>11</v>
      </c>
      <c r="C16" s="408" t="s">
        <v>236</v>
      </c>
      <c r="D16" s="345"/>
      <c r="E16" s="345"/>
      <c r="F16" s="402" t="s">
        <v>211</v>
      </c>
      <c r="G16" s="403" t="s">
        <v>215</v>
      </c>
      <c r="H16" s="52"/>
    </row>
    <row r="17" spans="2:8" x14ac:dyDescent="0.25">
      <c r="B17" s="412">
        <v>12</v>
      </c>
      <c r="C17" s="409" t="s">
        <v>237</v>
      </c>
      <c r="D17" s="343"/>
      <c r="E17" s="343"/>
      <c r="F17" s="79" t="s">
        <v>214</v>
      </c>
      <c r="G17" s="81" t="s">
        <v>215</v>
      </c>
      <c r="H17" s="52"/>
    </row>
    <row r="18" spans="2:8" ht="54.75" customHeight="1" x14ac:dyDescent="0.25">
      <c r="B18" s="412">
        <v>13</v>
      </c>
      <c r="C18" s="409" t="s">
        <v>238</v>
      </c>
      <c r="D18" s="343"/>
      <c r="E18" s="343"/>
      <c r="F18" s="79" t="s">
        <v>214</v>
      </c>
      <c r="G18" s="81" t="s">
        <v>210</v>
      </c>
      <c r="H18" s="52"/>
    </row>
    <row r="19" spans="2:8" x14ac:dyDescent="0.25">
      <c r="B19" s="412">
        <v>14</v>
      </c>
      <c r="C19" s="409" t="s">
        <v>240</v>
      </c>
      <c r="D19" s="343"/>
      <c r="E19" s="343"/>
      <c r="F19" s="79" t="s">
        <v>211</v>
      </c>
      <c r="G19" s="81" t="s">
        <v>210</v>
      </c>
      <c r="H19" s="400"/>
    </row>
    <row r="20" spans="2:8" ht="15.75" thickBot="1" x14ac:dyDescent="0.3">
      <c r="B20" s="413">
        <v>15</v>
      </c>
      <c r="C20" s="410" t="s">
        <v>239</v>
      </c>
      <c r="D20" s="401"/>
      <c r="E20" s="401"/>
      <c r="F20" s="80" t="s">
        <v>211</v>
      </c>
      <c r="G20" s="82" t="s">
        <v>211</v>
      </c>
      <c r="H20" s="52"/>
    </row>
    <row r="21" spans="2:8" x14ac:dyDescent="0.25">
      <c r="H21" s="52"/>
    </row>
    <row r="22" spans="2:8" x14ac:dyDescent="0.25">
      <c r="H22" s="52"/>
    </row>
  </sheetData>
  <mergeCells count="1">
    <mergeCell ref="B4:G4"/>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7"/>
  <sheetViews>
    <sheetView topLeftCell="F1" zoomScale="85" zoomScaleNormal="85" workbookViewId="0">
      <pane ySplit="1" topLeftCell="A2" activePane="bottomLeft" state="frozen"/>
      <selection pane="bottomLeft" sqref="A1:N1"/>
    </sheetView>
  </sheetViews>
  <sheetFormatPr baseColWidth="10"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445" customFormat="1" ht="58.5" customHeight="1" x14ac:dyDescent="0.25">
      <c r="A1" s="447"/>
      <c r="B1" s="447"/>
      <c r="C1" s="447"/>
      <c r="D1" s="447"/>
      <c r="E1" s="447"/>
      <c r="F1" s="447"/>
      <c r="G1" s="765" t="s">
        <v>242</v>
      </c>
      <c r="H1" s="766"/>
      <c r="I1" s="766"/>
      <c r="J1" s="447"/>
      <c r="K1" s="447"/>
      <c r="L1" s="447"/>
      <c r="M1" s="447"/>
      <c r="N1" s="447"/>
    </row>
    <row r="2" spans="1:38" ht="20.25" customHeight="1" thickBot="1" x14ac:dyDescent="0.3">
      <c r="G2" s="379"/>
      <c r="H2" s="380"/>
      <c r="I2" s="380"/>
    </row>
    <row r="3" spans="1:38" ht="15.75" thickBot="1" x14ac:dyDescent="0.3">
      <c r="B3" s="381"/>
      <c r="C3" s="382"/>
      <c r="D3" s="382"/>
      <c r="E3" s="382"/>
      <c r="F3" s="382"/>
      <c r="G3" s="382"/>
      <c r="H3" s="382"/>
      <c r="I3" s="382"/>
      <c r="J3" s="382"/>
      <c r="K3" s="382"/>
      <c r="L3" s="383"/>
    </row>
    <row r="4" spans="1:38" ht="15.75" thickBot="1" x14ac:dyDescent="0.3">
      <c r="B4" s="384"/>
      <c r="C4" s="777" t="s">
        <v>241</v>
      </c>
      <c r="D4" s="778"/>
      <c r="E4" s="778"/>
      <c r="F4" s="778"/>
      <c r="G4" s="778"/>
      <c r="H4" s="778"/>
      <c r="I4" s="778"/>
      <c r="J4" s="778"/>
      <c r="K4" s="779"/>
      <c r="L4" s="385"/>
      <c r="M4" s="83"/>
      <c r="N4" s="83"/>
      <c r="O4" s="83"/>
      <c r="P4" s="83"/>
      <c r="Q4" s="83"/>
      <c r="R4" s="83"/>
      <c r="S4" s="83"/>
      <c r="T4" s="83"/>
      <c r="U4" s="83"/>
      <c r="V4" s="83"/>
      <c r="W4" s="83"/>
      <c r="X4" s="83"/>
      <c r="Y4" s="83"/>
      <c r="Z4" s="83"/>
      <c r="AA4" s="83"/>
      <c r="AB4" s="83"/>
      <c r="AC4" s="83"/>
      <c r="AD4" s="83"/>
      <c r="AE4" s="83"/>
      <c r="AF4" s="83"/>
      <c r="AG4" s="83"/>
      <c r="AH4" s="83"/>
      <c r="AI4" s="83"/>
      <c r="AJ4" s="83"/>
      <c r="AK4" s="83"/>
      <c r="AL4" s="83"/>
    </row>
    <row r="5" spans="1:38" ht="15.75" thickBot="1" x14ac:dyDescent="0.3">
      <c r="B5" s="384"/>
      <c r="C5" s="386"/>
      <c r="D5" s="386"/>
      <c r="E5" s="386"/>
      <c r="F5" s="386"/>
      <c r="G5" s="386"/>
      <c r="H5" s="386"/>
      <c r="I5" s="386"/>
      <c r="J5" s="386"/>
      <c r="K5" s="386"/>
      <c r="L5" s="385"/>
      <c r="M5" s="83"/>
      <c r="N5" s="83"/>
      <c r="O5" s="83"/>
      <c r="P5" s="83"/>
      <c r="Q5" s="83"/>
      <c r="R5" s="83"/>
      <c r="S5" s="83"/>
      <c r="T5" s="83"/>
      <c r="U5" s="83"/>
      <c r="V5" s="83"/>
      <c r="W5" s="83"/>
      <c r="X5" s="83"/>
      <c r="Y5" s="83"/>
      <c r="Z5" s="83"/>
      <c r="AA5" s="83"/>
      <c r="AB5" s="83"/>
      <c r="AC5" s="83"/>
      <c r="AD5" s="83"/>
      <c r="AE5" s="83"/>
      <c r="AF5" s="83"/>
      <c r="AG5" s="83"/>
      <c r="AH5" s="83"/>
      <c r="AI5" s="83"/>
      <c r="AJ5" s="83"/>
      <c r="AK5" s="83"/>
      <c r="AL5" s="83"/>
    </row>
    <row r="6" spans="1:38" ht="15.75" thickBot="1" x14ac:dyDescent="0.3">
      <c r="B6" s="384"/>
      <c r="C6" s="52"/>
      <c r="D6" s="52"/>
      <c r="E6" s="52"/>
      <c r="F6" s="358" t="s">
        <v>35</v>
      </c>
      <c r="G6" s="350"/>
      <c r="H6" s="351"/>
      <c r="I6" s="386"/>
      <c r="J6" s="386"/>
      <c r="K6" s="101" t="s">
        <v>253</v>
      </c>
      <c r="L6" s="385"/>
      <c r="M6" s="83"/>
      <c r="N6" s="83"/>
      <c r="O6" s="83"/>
      <c r="P6" s="83"/>
      <c r="Q6" s="83"/>
      <c r="R6" s="83"/>
      <c r="S6" s="83"/>
      <c r="T6" s="83"/>
      <c r="U6" s="83"/>
      <c r="V6" s="83"/>
      <c r="W6" s="83"/>
      <c r="X6" s="83"/>
      <c r="Y6" s="83"/>
      <c r="Z6" s="83"/>
      <c r="AA6" s="83"/>
      <c r="AB6" s="83"/>
      <c r="AC6" s="83"/>
      <c r="AD6" s="83"/>
      <c r="AE6" s="83"/>
      <c r="AF6" s="83"/>
      <c r="AG6" s="83"/>
      <c r="AH6" s="83"/>
      <c r="AI6" s="83"/>
      <c r="AJ6" s="83"/>
      <c r="AK6" s="83"/>
      <c r="AL6" s="83"/>
    </row>
    <row r="7" spans="1:38" x14ac:dyDescent="0.25">
      <c r="B7" s="384"/>
      <c r="E7" s="52"/>
      <c r="F7" s="357">
        <v>2019</v>
      </c>
      <c r="G7" s="357">
        <v>2020</v>
      </c>
      <c r="H7" s="357">
        <v>2021</v>
      </c>
      <c r="I7" s="386"/>
      <c r="J7" s="386"/>
      <c r="K7" s="773" t="s">
        <v>248</v>
      </c>
      <c r="L7" s="385"/>
      <c r="M7" s="83"/>
      <c r="N7" s="83"/>
      <c r="O7" s="83"/>
      <c r="P7" s="83"/>
      <c r="Q7" s="83"/>
      <c r="R7" s="83"/>
      <c r="S7" s="83"/>
      <c r="T7" s="83"/>
      <c r="U7" s="83"/>
      <c r="V7" s="83"/>
      <c r="W7" s="83"/>
      <c r="X7" s="83"/>
      <c r="Y7" s="83"/>
      <c r="Z7" s="83"/>
      <c r="AA7" s="83"/>
      <c r="AB7" s="83"/>
      <c r="AC7" s="83"/>
      <c r="AD7" s="83"/>
      <c r="AE7" s="83"/>
      <c r="AF7" s="83"/>
      <c r="AG7" s="83"/>
      <c r="AH7" s="83"/>
      <c r="AI7" s="83"/>
      <c r="AJ7" s="83"/>
      <c r="AK7" s="83"/>
      <c r="AL7" s="83"/>
    </row>
    <row r="8" spans="1:38" x14ac:dyDescent="0.25">
      <c r="B8" s="384"/>
      <c r="E8" s="52"/>
      <c r="F8" s="352">
        <f>'Presupuesto financiero'!K5</f>
        <v>0.02</v>
      </c>
      <c r="G8" s="352">
        <f>'Presupuesto financiero'!L5</f>
        <v>0.05</v>
      </c>
      <c r="H8" s="352">
        <f>'Presupuesto financiero'!M5</f>
        <v>0.1</v>
      </c>
      <c r="I8" s="386"/>
      <c r="J8" s="386"/>
      <c r="K8" s="774"/>
      <c r="L8" s="385"/>
      <c r="M8" s="83"/>
      <c r="N8" s="83"/>
      <c r="O8" s="83"/>
      <c r="P8" s="83"/>
      <c r="Q8" s="83"/>
      <c r="R8" s="83"/>
      <c r="S8" s="83"/>
      <c r="T8" s="83"/>
      <c r="U8" s="83"/>
      <c r="V8" s="83"/>
      <c r="W8" s="83"/>
      <c r="X8" s="83"/>
      <c r="Y8" s="83"/>
      <c r="Z8" s="83"/>
      <c r="AA8" s="83"/>
      <c r="AB8" s="83"/>
      <c r="AC8" s="83"/>
      <c r="AD8" s="83"/>
      <c r="AE8" s="83"/>
      <c r="AF8" s="83"/>
      <c r="AG8" s="83"/>
      <c r="AH8" s="83"/>
      <c r="AI8" s="83"/>
      <c r="AJ8" s="83"/>
      <c r="AK8" s="83"/>
      <c r="AL8" s="83"/>
    </row>
    <row r="9" spans="1:38" ht="15.75" thickBot="1" x14ac:dyDescent="0.3">
      <c r="B9" s="384"/>
      <c r="E9" s="363" t="s">
        <v>249</v>
      </c>
      <c r="F9" s="374">
        <f>Hipótesis!$D$24</f>
        <v>121458400</v>
      </c>
      <c r="G9" s="374">
        <f>Hipótesis!$D$25</f>
        <v>303646000</v>
      </c>
      <c r="H9" s="374">
        <f>Hipótesis!$D$26</f>
        <v>607292000</v>
      </c>
      <c r="I9" s="386"/>
      <c r="J9" s="386"/>
      <c r="K9" s="775"/>
      <c r="L9" s="385"/>
      <c r="M9" s="83"/>
      <c r="N9" s="83"/>
      <c r="O9" s="83"/>
      <c r="P9" s="83"/>
      <c r="Q9" s="83"/>
      <c r="R9" s="83"/>
      <c r="S9" s="83"/>
      <c r="T9" s="83"/>
      <c r="U9" s="83"/>
      <c r="V9" s="83"/>
      <c r="W9" s="83"/>
      <c r="X9" s="83"/>
      <c r="Y9" s="83"/>
      <c r="Z9" s="83"/>
      <c r="AA9" s="83"/>
      <c r="AB9" s="83"/>
      <c r="AC9" s="83"/>
      <c r="AD9" s="83"/>
      <c r="AE9" s="83"/>
      <c r="AF9" s="83"/>
      <c r="AG9" s="83"/>
      <c r="AH9" s="83"/>
      <c r="AI9" s="83"/>
      <c r="AJ9" s="83"/>
      <c r="AK9" s="83"/>
      <c r="AL9" s="83"/>
    </row>
    <row r="10" spans="1:38" ht="15.75" thickBot="1" x14ac:dyDescent="0.3">
      <c r="B10" s="384"/>
      <c r="C10" s="52"/>
      <c r="D10" s="52"/>
      <c r="E10" s="363" t="s">
        <v>189</v>
      </c>
      <c r="F10" s="353">
        <f>'Presupuesto financiero'!K10</f>
        <v>2343935.7000000002</v>
      </c>
      <c r="G10" s="353">
        <f>'Presupuesto financiero'!L10</f>
        <v>2614351.9749999996</v>
      </c>
      <c r="H10" s="353">
        <f>'Presupuesto financiero'!M10</f>
        <v>2971977.4835000001</v>
      </c>
      <c r="I10" s="386"/>
      <c r="J10" s="386"/>
      <c r="K10" s="101" t="s">
        <v>206</v>
      </c>
      <c r="L10" s="385"/>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row>
    <row r="11" spans="1:38" x14ac:dyDescent="0.25">
      <c r="B11" s="384"/>
      <c r="C11" s="52"/>
      <c r="D11" s="52"/>
      <c r="E11" s="363" t="s">
        <v>149</v>
      </c>
      <c r="F11" s="353" t="e">
        <f>'Presupuesto financiero'!K11</f>
        <v>#REF!</v>
      </c>
      <c r="G11" s="353" t="e">
        <f>'Presupuesto financiero'!L11</f>
        <v>#REF!</v>
      </c>
      <c r="H11" s="353" t="e">
        <f>'Presupuesto financiero'!M11</f>
        <v>#REF!</v>
      </c>
      <c r="I11" s="386"/>
      <c r="J11" s="386"/>
      <c r="K11" s="776"/>
      <c r="L11" s="385"/>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row>
    <row r="12" spans="1:38" x14ac:dyDescent="0.25">
      <c r="B12" s="384"/>
      <c r="C12" s="52"/>
      <c r="D12" s="52"/>
      <c r="E12" s="363" t="s">
        <v>247</v>
      </c>
      <c r="F12" s="353">
        <f>'Presupuesto financiero'!K12</f>
        <v>7341662.4450000012</v>
      </c>
      <c r="G12" s="353">
        <f>'Presupuesto financiero'!L12</f>
        <v>8446303.9266666677</v>
      </c>
      <c r="H12" s="353">
        <f>'Presupuesto financiero'!M12</f>
        <v>10262133.115833335</v>
      </c>
      <c r="I12" s="386"/>
      <c r="J12" s="386"/>
      <c r="K12" s="774"/>
      <c r="L12" s="385"/>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row>
    <row r="13" spans="1:38" ht="15.75" thickBot="1" x14ac:dyDescent="0.3">
      <c r="B13" s="384"/>
      <c r="C13" s="52"/>
      <c r="D13" s="52"/>
      <c r="E13" s="52"/>
      <c r="F13" s="52"/>
      <c r="G13" s="52"/>
      <c r="H13" s="52"/>
      <c r="I13" s="386"/>
      <c r="J13" s="386"/>
      <c r="K13" s="775"/>
      <c r="L13" s="385"/>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row>
    <row r="14" spans="1:38" ht="16.5" customHeight="1" thickBot="1" x14ac:dyDescent="0.3">
      <c r="B14" s="384"/>
      <c r="C14" s="780" t="s">
        <v>264</v>
      </c>
      <c r="D14" s="781"/>
      <c r="E14" s="52"/>
      <c r="F14" s="373" t="s">
        <v>176</v>
      </c>
      <c r="G14" s="350"/>
      <c r="H14" s="351"/>
      <c r="I14" s="386"/>
      <c r="J14" s="386"/>
      <c r="K14" s="101" t="s">
        <v>207</v>
      </c>
      <c r="L14" s="385"/>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row>
    <row r="15" spans="1:38" ht="15.75" customHeight="1" x14ac:dyDescent="0.25">
      <c r="B15" s="384"/>
      <c r="C15" s="767">
        <v>2021</v>
      </c>
      <c r="D15" s="768"/>
      <c r="E15" s="52"/>
      <c r="F15" s="136">
        <v>2019</v>
      </c>
      <c r="G15" s="136">
        <v>2020</v>
      </c>
      <c r="H15" s="136">
        <v>2021</v>
      </c>
      <c r="I15" s="386"/>
      <c r="J15" s="386"/>
      <c r="K15" s="782" t="s">
        <v>263</v>
      </c>
      <c r="L15" s="385"/>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row>
    <row r="16" spans="1:38" ht="15.75" thickBot="1" x14ac:dyDescent="0.3">
      <c r="B16" s="384"/>
      <c r="C16" s="769">
        <v>0.8</v>
      </c>
      <c r="D16" s="770"/>
      <c r="E16" s="375"/>
      <c r="F16" s="353">
        <f>'Presupuesto financiero'!K16</f>
        <v>141277.33333333334</v>
      </c>
      <c r="G16" s="353">
        <f>'Presupuesto financiero'!L16</f>
        <v>147660.56666666665</v>
      </c>
      <c r="H16" s="353">
        <f>'Presupuesto financiero'!M16</f>
        <v>162884.43333333335</v>
      </c>
      <c r="I16" s="386"/>
      <c r="J16" s="386"/>
      <c r="K16" s="783"/>
      <c r="L16" s="385"/>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row>
    <row r="17" spans="2:38" x14ac:dyDescent="0.25">
      <c r="B17" s="384"/>
      <c r="C17" s="52"/>
      <c r="D17" s="52"/>
      <c r="E17" s="375"/>
      <c r="F17" s="42"/>
      <c r="G17" s="42"/>
      <c r="H17" s="42"/>
      <c r="I17" s="386"/>
      <c r="J17" s="386"/>
      <c r="K17" s="386"/>
      <c r="L17" s="385"/>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row>
    <row r="18" spans="2:38" x14ac:dyDescent="0.25">
      <c r="B18" s="384"/>
      <c r="C18" s="52"/>
      <c r="D18" s="52"/>
      <c r="E18" s="373" t="s">
        <v>153</v>
      </c>
      <c r="F18" s="350"/>
      <c r="G18" s="350"/>
      <c r="H18" s="351"/>
      <c r="I18" s="386"/>
      <c r="J18" s="386"/>
      <c r="K18" s="386"/>
      <c r="L18" s="385"/>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row>
    <row r="19" spans="2:38" x14ac:dyDescent="0.25">
      <c r="B19" s="384"/>
      <c r="C19" s="52"/>
      <c r="D19" s="52"/>
      <c r="E19" s="357" t="s">
        <v>154</v>
      </c>
      <c r="F19" s="357">
        <v>2019</v>
      </c>
      <c r="G19" s="357">
        <v>2020</v>
      </c>
      <c r="H19" s="357">
        <v>2021</v>
      </c>
      <c r="I19" s="386"/>
      <c r="J19" s="386"/>
      <c r="K19" s="386"/>
      <c r="L19" s="385"/>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row>
    <row r="20" spans="2:38" x14ac:dyDescent="0.25">
      <c r="B20" s="384"/>
      <c r="C20" s="52"/>
      <c r="D20" s="52"/>
      <c r="E20" s="353">
        <f>'Presupuesto financiero'!J20</f>
        <v>2297572</v>
      </c>
      <c r="F20" s="353">
        <f>'Presupuesto financiero'!K20</f>
        <v>22999</v>
      </c>
      <c r="G20" s="353">
        <f>'Presupuesto financiero'!L20</f>
        <v>70262</v>
      </c>
      <c r="H20" s="353">
        <f>'Presupuesto financiero'!M20</f>
        <v>1306257</v>
      </c>
      <c r="I20" s="386"/>
      <c r="J20" s="386"/>
      <c r="K20" s="386"/>
      <c r="L20" s="385"/>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row>
    <row r="21" spans="2:38" x14ac:dyDescent="0.25">
      <c r="B21" s="384"/>
      <c r="C21" s="52"/>
      <c r="D21" s="52"/>
      <c r="E21" s="52"/>
      <c r="F21" s="52"/>
      <c r="G21" s="52"/>
      <c r="H21" s="52"/>
      <c r="I21" s="386"/>
      <c r="J21" s="386"/>
      <c r="K21" s="386"/>
      <c r="L21" s="385"/>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row>
    <row r="22" spans="2:38" x14ac:dyDescent="0.25">
      <c r="B22" s="384"/>
      <c r="C22" s="52"/>
      <c r="D22" s="52"/>
      <c r="E22" s="360" t="s">
        <v>203</v>
      </c>
      <c r="F22" s="360">
        <v>2019</v>
      </c>
      <c r="G22" s="360">
        <v>2020</v>
      </c>
      <c r="H22" s="360">
        <v>2021</v>
      </c>
      <c r="I22" s="386"/>
      <c r="J22" s="386"/>
      <c r="K22" s="386"/>
      <c r="L22" s="385"/>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row>
    <row r="23" spans="2:38" x14ac:dyDescent="0.25">
      <c r="B23" s="384"/>
      <c r="C23" s="361" t="s">
        <v>39</v>
      </c>
      <c r="D23" s="362"/>
      <c r="E23" s="366" t="s">
        <v>190</v>
      </c>
      <c r="F23" s="367">
        <f>F9</f>
        <v>121458400</v>
      </c>
      <c r="G23" s="367">
        <f>G9</f>
        <v>303646000</v>
      </c>
      <c r="H23" s="429">
        <f>H9*$C$16</f>
        <v>485833600</v>
      </c>
      <c r="I23" s="386"/>
      <c r="J23" s="386"/>
      <c r="K23" s="386"/>
      <c r="L23" s="385"/>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row>
    <row r="24" spans="2:38" x14ac:dyDescent="0.25">
      <c r="B24" s="384"/>
      <c r="C24" s="784" t="s">
        <v>191</v>
      </c>
      <c r="D24" s="363" t="s">
        <v>244</v>
      </c>
      <c r="E24" s="366" t="s">
        <v>190</v>
      </c>
      <c r="F24" s="367">
        <f>F10</f>
        <v>2343935.7000000002</v>
      </c>
      <c r="G24" s="367">
        <f t="shared" ref="G24:H24" si="0">G10</f>
        <v>2614351.9749999996</v>
      </c>
      <c r="H24" s="367">
        <f t="shared" si="0"/>
        <v>2971977.4835000001</v>
      </c>
      <c r="I24" s="386"/>
      <c r="J24" s="386"/>
      <c r="K24" s="386"/>
      <c r="L24" s="385"/>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row>
    <row r="25" spans="2:38" x14ac:dyDescent="0.25">
      <c r="B25" s="384"/>
      <c r="C25" s="785"/>
      <c r="D25" s="363" t="s">
        <v>245</v>
      </c>
      <c r="E25" s="366" t="s">
        <v>190</v>
      </c>
      <c r="F25" s="367" t="e">
        <f>F11</f>
        <v>#REF!</v>
      </c>
      <c r="G25" s="367" t="e">
        <f t="shared" ref="G25" si="1">G11</f>
        <v>#REF!</v>
      </c>
      <c r="H25" s="429" t="e">
        <f>H11*C16</f>
        <v>#REF!</v>
      </c>
      <c r="I25" s="386"/>
      <c r="J25" s="386"/>
      <c r="K25" s="386"/>
      <c r="L25" s="385"/>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row>
    <row r="26" spans="2:38" x14ac:dyDescent="0.25">
      <c r="B26" s="384"/>
      <c r="C26" s="786"/>
      <c r="D26" s="363" t="s">
        <v>246</v>
      </c>
      <c r="E26" s="366" t="s">
        <v>190</v>
      </c>
      <c r="F26" s="367">
        <f>F12</f>
        <v>7341662.4450000012</v>
      </c>
      <c r="G26" s="367">
        <f t="shared" ref="G26:H26" si="2">G12</f>
        <v>8446303.9266666677</v>
      </c>
      <c r="H26" s="367">
        <f t="shared" si="2"/>
        <v>10262133.115833335</v>
      </c>
      <c r="I26" s="386"/>
      <c r="J26" s="386"/>
      <c r="K26" s="386"/>
      <c r="L26" s="385"/>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row>
    <row r="27" spans="2:38" x14ac:dyDescent="0.25">
      <c r="B27" s="384"/>
      <c r="C27" s="348" t="s">
        <v>192</v>
      </c>
      <c r="D27" s="349"/>
      <c r="E27" s="369" t="s">
        <v>190</v>
      </c>
      <c r="F27" s="370" t="e">
        <f>F23-F24-F25-F26</f>
        <v>#REF!</v>
      </c>
      <c r="G27" s="370" t="e">
        <f t="shared" ref="G27:H27" si="3">G23-G24-G25-G26</f>
        <v>#REF!</v>
      </c>
      <c r="H27" s="370" t="e">
        <f t="shared" si="3"/>
        <v>#REF!</v>
      </c>
      <c r="I27" s="386"/>
      <c r="J27" s="386"/>
      <c r="K27" s="386"/>
      <c r="L27" s="385"/>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row>
    <row r="28" spans="2:38" x14ac:dyDescent="0.25">
      <c r="B28" s="384"/>
      <c r="C28" s="364" t="s">
        <v>193</v>
      </c>
      <c r="D28" s="365"/>
      <c r="E28" s="79" t="s">
        <v>190</v>
      </c>
      <c r="F28" s="367">
        <f>F23*0.03</f>
        <v>3643752</v>
      </c>
      <c r="G28" s="367">
        <f t="shared" ref="G28:H28" si="4">G23*0.03</f>
        <v>9109380</v>
      </c>
      <c r="H28" s="367">
        <f t="shared" si="4"/>
        <v>14575008</v>
      </c>
      <c r="I28" s="386"/>
      <c r="J28" s="386"/>
      <c r="K28" s="386"/>
      <c r="L28" s="385"/>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row>
    <row r="29" spans="2:38" x14ac:dyDescent="0.25">
      <c r="B29" s="384"/>
      <c r="C29" s="771" t="s">
        <v>194</v>
      </c>
      <c r="D29" s="772"/>
      <c r="E29" s="79"/>
      <c r="F29" s="367" t="e">
        <f>F27-F28</f>
        <v>#REF!</v>
      </c>
      <c r="G29" s="367" t="e">
        <f>G27-G28-G16</f>
        <v>#REF!</v>
      </c>
      <c r="H29" s="367" t="e">
        <f>H27-H28-H16</f>
        <v>#REF!</v>
      </c>
      <c r="I29" s="386"/>
      <c r="J29" s="386"/>
      <c r="K29" s="386"/>
      <c r="L29" s="385"/>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row>
    <row r="30" spans="2:38" x14ac:dyDescent="0.25">
      <c r="B30" s="384"/>
      <c r="C30" s="364" t="s">
        <v>195</v>
      </c>
      <c r="D30" s="365"/>
      <c r="E30" s="79" t="s">
        <v>190</v>
      </c>
      <c r="F30" s="367">
        <v>0</v>
      </c>
      <c r="G30" s="367">
        <v>0</v>
      </c>
      <c r="H30" s="367" t="e">
        <f>0.35*G29</f>
        <v>#REF!</v>
      </c>
      <c r="I30" s="386"/>
      <c r="J30" s="386"/>
      <c r="K30" s="386"/>
      <c r="L30" s="385"/>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row>
    <row r="31" spans="2:38" x14ac:dyDescent="0.25">
      <c r="B31" s="384"/>
      <c r="C31" s="348" t="s">
        <v>196</v>
      </c>
      <c r="D31" s="349"/>
      <c r="E31" s="369" t="s">
        <v>190</v>
      </c>
      <c r="F31" s="370" t="e">
        <f>F27-F28-F30</f>
        <v>#REF!</v>
      </c>
      <c r="G31" s="370" t="e">
        <f t="shared" ref="G31:H31" si="5">G27-G28-G30</f>
        <v>#REF!</v>
      </c>
      <c r="H31" s="370" t="e">
        <f t="shared" si="5"/>
        <v>#REF!</v>
      </c>
      <c r="I31" s="386"/>
      <c r="J31" s="386"/>
      <c r="K31" s="386"/>
      <c r="L31" s="385"/>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row>
    <row r="32" spans="2:38" x14ac:dyDescent="0.25">
      <c r="B32" s="384"/>
      <c r="C32" s="364" t="s">
        <v>197</v>
      </c>
      <c r="D32" s="365"/>
      <c r="E32" s="367">
        <f>-E20</f>
        <v>-2297572</v>
      </c>
      <c r="F32" s="367">
        <f t="shared" ref="F32:H32" si="6">-F20</f>
        <v>-22999</v>
      </c>
      <c r="G32" s="367">
        <f t="shared" si="6"/>
        <v>-70262</v>
      </c>
      <c r="H32" s="367">
        <f t="shared" si="6"/>
        <v>-1306257</v>
      </c>
      <c r="I32" s="386"/>
      <c r="J32" s="386"/>
      <c r="K32" s="386"/>
      <c r="L32" s="385"/>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row>
    <row r="33" spans="2:38" x14ac:dyDescent="0.25">
      <c r="B33" s="384"/>
      <c r="C33" s="348" t="s">
        <v>198</v>
      </c>
      <c r="D33" s="349"/>
      <c r="E33" s="370">
        <f>E32</f>
        <v>-2297572</v>
      </c>
      <c r="F33" s="370" t="e">
        <f>F31+F32</f>
        <v>#REF!</v>
      </c>
      <c r="G33" s="370" t="e">
        <f t="shared" ref="G33:H33" si="7">G31+G32</f>
        <v>#REF!</v>
      </c>
      <c r="H33" s="370" t="e">
        <f t="shared" si="7"/>
        <v>#REF!</v>
      </c>
      <c r="I33" s="386"/>
      <c r="J33" s="386"/>
      <c r="K33" s="386"/>
      <c r="L33" s="385"/>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row>
    <row r="34" spans="2:38" x14ac:dyDescent="0.25">
      <c r="B34" s="384"/>
      <c r="C34" s="52"/>
      <c r="D34" s="52"/>
      <c r="E34" s="52"/>
      <c r="F34" s="52"/>
      <c r="G34" s="52"/>
      <c r="H34" s="52"/>
      <c r="I34" s="386"/>
      <c r="J34" s="386"/>
      <c r="K34" s="386"/>
      <c r="L34" s="385"/>
      <c r="M34" s="83"/>
      <c r="N34" s="83"/>
      <c r="O34" s="83"/>
      <c r="P34" s="83"/>
      <c r="Q34" s="83"/>
      <c r="R34" s="83"/>
      <c r="S34" s="83"/>
      <c r="T34" s="83"/>
      <c r="U34" s="83"/>
      <c r="V34" s="83"/>
      <c r="W34" s="83"/>
      <c r="X34" s="83"/>
      <c r="Y34" s="83"/>
      <c r="Z34" s="83"/>
      <c r="AA34" s="83"/>
      <c r="AB34" s="83"/>
      <c r="AC34" s="83"/>
      <c r="AD34" s="83"/>
      <c r="AE34" s="83"/>
      <c r="AF34" s="83"/>
      <c r="AG34" s="83"/>
      <c r="AH34" s="83"/>
      <c r="AI34" s="83"/>
      <c r="AJ34" s="83"/>
      <c r="AK34" s="83"/>
      <c r="AL34" s="83"/>
    </row>
    <row r="35" spans="2:38" x14ac:dyDescent="0.25">
      <c r="B35" s="384"/>
      <c r="C35" s="52"/>
      <c r="D35" s="52"/>
      <c r="E35" s="52"/>
      <c r="F35" s="52"/>
      <c r="G35" s="396" t="s">
        <v>199</v>
      </c>
      <c r="H35" s="397">
        <v>0.62</v>
      </c>
      <c r="I35" s="386"/>
      <c r="J35" s="386"/>
      <c r="K35" s="386"/>
      <c r="L35" s="385"/>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c r="AL35" s="83"/>
    </row>
    <row r="36" spans="2:38" x14ac:dyDescent="0.25">
      <c r="B36" s="384"/>
      <c r="C36" s="52"/>
      <c r="D36" s="52"/>
      <c r="E36" s="52"/>
      <c r="F36" s="52"/>
      <c r="G36" s="396" t="s">
        <v>200</v>
      </c>
      <c r="H36" s="398"/>
      <c r="I36" s="386"/>
      <c r="J36" s="386"/>
      <c r="K36" s="386"/>
      <c r="L36" s="385"/>
      <c r="M36" s="83"/>
      <c r="N36" s="83"/>
      <c r="O36" s="83"/>
      <c r="P36" s="83"/>
      <c r="Q36" s="83"/>
      <c r="R36" s="83"/>
      <c r="S36" s="83"/>
      <c r="T36" s="83"/>
      <c r="U36" s="83"/>
      <c r="V36" s="83"/>
      <c r="W36" s="83"/>
      <c r="X36" s="83"/>
      <c r="Y36" s="83"/>
      <c r="Z36" s="83"/>
      <c r="AA36" s="83"/>
      <c r="AB36" s="83"/>
      <c r="AC36" s="83"/>
      <c r="AD36" s="83"/>
      <c r="AE36" s="83"/>
      <c r="AF36" s="83"/>
      <c r="AG36" s="83"/>
      <c r="AH36" s="83"/>
      <c r="AI36" s="83"/>
      <c r="AJ36" s="83"/>
      <c r="AK36" s="83"/>
      <c r="AL36" s="83"/>
    </row>
    <row r="37" spans="2:38" x14ac:dyDescent="0.25">
      <c r="B37" s="384"/>
      <c r="C37" s="52"/>
      <c r="D37" s="52"/>
      <c r="E37" s="52"/>
      <c r="F37" s="52"/>
      <c r="G37" s="396" t="s">
        <v>201</v>
      </c>
      <c r="H37" s="399"/>
      <c r="I37" s="386"/>
      <c r="J37" s="386"/>
      <c r="K37" s="386"/>
      <c r="L37" s="385"/>
      <c r="M37" s="83"/>
      <c r="N37" s="83"/>
      <c r="O37" s="83"/>
      <c r="P37" s="83"/>
      <c r="Q37" s="83"/>
      <c r="R37" s="83"/>
      <c r="S37" s="83"/>
      <c r="T37" s="83"/>
      <c r="U37" s="83"/>
      <c r="V37" s="83"/>
      <c r="W37" s="83"/>
      <c r="X37" s="83"/>
      <c r="Y37" s="83"/>
      <c r="Z37" s="83"/>
      <c r="AA37" s="83"/>
      <c r="AB37" s="83"/>
      <c r="AC37" s="83"/>
      <c r="AD37" s="83"/>
      <c r="AE37" s="83"/>
      <c r="AF37" s="83"/>
      <c r="AG37" s="83"/>
      <c r="AH37" s="83"/>
      <c r="AI37" s="83"/>
      <c r="AJ37" s="83"/>
      <c r="AK37" s="83"/>
      <c r="AL37" s="83"/>
    </row>
    <row r="38" spans="2:38" ht="15.75" thickBot="1" x14ac:dyDescent="0.3">
      <c r="B38" s="387"/>
      <c r="C38" s="259"/>
      <c r="D38" s="259"/>
      <c r="E38" s="259"/>
      <c r="F38" s="259"/>
      <c r="G38" s="259"/>
      <c r="H38" s="259"/>
      <c r="I38" s="388"/>
      <c r="J38" s="388"/>
      <c r="K38" s="388"/>
      <c r="L38" s="389"/>
      <c r="M38" s="83"/>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83"/>
    </row>
    <row r="39" spans="2:38" x14ac:dyDescent="0.25">
      <c r="B39" s="83"/>
      <c r="I39" s="83"/>
      <c r="J39" s="83"/>
      <c r="K39" s="83"/>
      <c r="L39" s="83"/>
      <c r="M39" s="83"/>
      <c r="N39" s="83"/>
      <c r="O39" s="83"/>
      <c r="P39" s="83"/>
      <c r="Q39" s="83"/>
      <c r="R39" s="83"/>
      <c r="S39" s="83"/>
      <c r="T39" s="83"/>
      <c r="U39" s="83"/>
      <c r="V39" s="83"/>
      <c r="W39" s="83"/>
      <c r="X39" s="83"/>
      <c r="Y39" s="83"/>
      <c r="Z39" s="83"/>
      <c r="AA39" s="83"/>
      <c r="AB39" s="83"/>
      <c r="AC39" s="83"/>
      <c r="AD39" s="83"/>
      <c r="AE39" s="83"/>
      <c r="AF39" s="83"/>
      <c r="AG39" s="83"/>
      <c r="AH39" s="83"/>
      <c r="AI39" s="83"/>
      <c r="AJ39" s="83"/>
      <c r="AK39" s="83"/>
      <c r="AL39" s="83"/>
    </row>
    <row r="40" spans="2:38" x14ac:dyDescent="0.25">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row>
    <row r="41" spans="2:38" x14ac:dyDescent="0.25">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row>
    <row r="42" spans="2:38" x14ac:dyDescent="0.25">
      <c r="M42" s="83"/>
      <c r="N42" s="83"/>
      <c r="O42" s="83"/>
      <c r="P42" s="83"/>
      <c r="Q42" s="83"/>
      <c r="R42" s="83"/>
      <c r="S42" s="83"/>
      <c r="T42" s="83"/>
      <c r="U42" s="83"/>
      <c r="V42" s="83"/>
      <c r="W42" s="83"/>
      <c r="X42" s="83"/>
      <c r="Y42" s="83"/>
      <c r="Z42" s="83"/>
      <c r="AA42" s="83"/>
      <c r="AB42" s="83"/>
      <c r="AC42" s="83"/>
      <c r="AD42" s="83"/>
      <c r="AE42" s="83"/>
      <c r="AF42" s="83"/>
      <c r="AG42" s="83"/>
      <c r="AH42" s="83"/>
      <c r="AI42" s="83"/>
      <c r="AJ42" s="83"/>
      <c r="AK42" s="83"/>
      <c r="AL42" s="83"/>
    </row>
    <row r="77" spans="2:12" x14ac:dyDescent="0.25">
      <c r="B77" s="52"/>
      <c r="C77" s="52"/>
      <c r="D77" s="52"/>
      <c r="E77" s="52"/>
      <c r="F77" s="52"/>
      <c r="G77" s="52"/>
      <c r="H77" s="52"/>
      <c r="I77" s="52"/>
      <c r="J77" s="52"/>
      <c r="K77" s="52"/>
      <c r="L77" s="52"/>
    </row>
  </sheetData>
  <mergeCells count="10">
    <mergeCell ref="G1:I1"/>
    <mergeCell ref="C15:D15"/>
    <mergeCell ref="C16:D16"/>
    <mergeCell ref="C29:D29"/>
    <mergeCell ref="K7:K9"/>
    <mergeCell ref="K11:K13"/>
    <mergeCell ref="C4:K4"/>
    <mergeCell ref="C14:D14"/>
    <mergeCell ref="K15:K16"/>
    <mergeCell ref="C24:C26"/>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topLeftCell="G1" zoomScale="85" zoomScaleNormal="85" workbookViewId="0">
      <pane ySplit="1" topLeftCell="A2" activePane="bottomLeft" state="frozen"/>
      <selection pane="bottomLeft" sqref="A1:N1"/>
    </sheetView>
  </sheetViews>
  <sheetFormatPr baseColWidth="10"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4" s="445" customFormat="1" ht="58.5" customHeight="1" x14ac:dyDescent="0.25">
      <c r="A1" s="447"/>
      <c r="B1" s="447"/>
      <c r="C1" s="447"/>
      <c r="D1" s="447"/>
      <c r="E1" s="447"/>
      <c r="F1" s="765" t="s">
        <v>212</v>
      </c>
      <c r="G1" s="766"/>
      <c r="H1" s="766"/>
      <c r="I1" s="447"/>
      <c r="J1" s="447"/>
      <c r="K1" s="447"/>
      <c r="L1" s="447"/>
      <c r="M1" s="447"/>
      <c r="N1" s="447"/>
    </row>
    <row r="3" spans="1:14" ht="15.75" thickBot="1" x14ac:dyDescent="0.3"/>
    <row r="4" spans="1:14" ht="15.75" thickBot="1" x14ac:dyDescent="0.3">
      <c r="B4" s="390"/>
      <c r="C4" s="382"/>
      <c r="D4" s="382"/>
      <c r="E4" s="382"/>
      <c r="F4" s="382"/>
      <c r="G4" s="382"/>
      <c r="H4" s="382"/>
      <c r="I4" s="391"/>
      <c r="J4" s="391"/>
      <c r="K4" s="391"/>
      <c r="L4" s="392"/>
    </row>
    <row r="5" spans="1:14" ht="15.75" thickBot="1" x14ac:dyDescent="0.3">
      <c r="B5" s="384"/>
      <c r="C5" s="777" t="s">
        <v>250</v>
      </c>
      <c r="D5" s="778"/>
      <c r="E5" s="778"/>
      <c r="F5" s="778"/>
      <c r="G5" s="778"/>
      <c r="H5" s="778"/>
      <c r="I5" s="778"/>
      <c r="J5" s="778"/>
      <c r="K5" s="779"/>
      <c r="L5" s="385"/>
    </row>
    <row r="6" spans="1:14" ht="15.75" thickBot="1" x14ac:dyDescent="0.3">
      <c r="B6" s="384"/>
      <c r="C6" s="386"/>
      <c r="D6" s="386"/>
      <c r="E6" s="386"/>
      <c r="F6" s="386"/>
      <c r="G6" s="386"/>
      <c r="H6" s="386"/>
      <c r="I6" s="386"/>
      <c r="J6" s="386"/>
      <c r="K6" s="386"/>
      <c r="L6" s="385"/>
    </row>
    <row r="7" spans="1:14" ht="17.25" customHeight="1" thickBot="1" x14ac:dyDescent="0.3">
      <c r="B7" s="393"/>
      <c r="C7" s="52"/>
      <c r="D7" s="52"/>
      <c r="E7" s="52"/>
      <c r="F7" s="791" t="s">
        <v>35</v>
      </c>
      <c r="G7" s="792"/>
      <c r="H7" s="793"/>
      <c r="I7" s="386"/>
      <c r="J7" s="386"/>
      <c r="K7" s="101" t="s">
        <v>257</v>
      </c>
      <c r="L7" s="394"/>
    </row>
    <row r="8" spans="1:14" x14ac:dyDescent="0.25">
      <c r="B8" s="393"/>
      <c r="E8" s="52"/>
      <c r="F8" s="357">
        <v>2019</v>
      </c>
      <c r="G8" s="357">
        <v>2020</v>
      </c>
      <c r="H8" s="357">
        <v>2021</v>
      </c>
      <c r="I8" s="386"/>
      <c r="J8" s="386"/>
      <c r="K8" s="776" t="s">
        <v>252</v>
      </c>
      <c r="L8" s="394"/>
    </row>
    <row r="9" spans="1:14" x14ac:dyDescent="0.25">
      <c r="B9" s="393"/>
      <c r="E9" s="52"/>
      <c r="F9" s="352">
        <f>'Presupuesto financiero'!K5</f>
        <v>0.02</v>
      </c>
      <c r="G9" s="352">
        <f>'Presupuesto financiero'!L5</f>
        <v>0.05</v>
      </c>
      <c r="H9" s="352">
        <f>'Presupuesto financiero'!M5</f>
        <v>0.1</v>
      </c>
      <c r="I9" s="386"/>
      <c r="J9" s="386"/>
      <c r="K9" s="774"/>
      <c r="L9" s="394"/>
    </row>
    <row r="10" spans="1:14" ht="15.75" thickBot="1" x14ac:dyDescent="0.3">
      <c r="B10" s="393"/>
      <c r="E10" s="363" t="s">
        <v>249</v>
      </c>
      <c r="F10" s="374">
        <f>'Presupuesto financiero'!K6</f>
        <v>121458400</v>
      </c>
      <c r="G10" s="374">
        <f>'Presupuesto financiero'!L6</f>
        <v>303646000</v>
      </c>
      <c r="H10" s="374">
        <f>'Presupuesto financiero'!M6</f>
        <v>607292000</v>
      </c>
      <c r="I10" s="386"/>
      <c r="J10" s="386"/>
      <c r="K10" s="775"/>
      <c r="L10" s="394"/>
    </row>
    <row r="11" spans="1:14" ht="15.75" thickBot="1" x14ac:dyDescent="0.3">
      <c r="B11" s="393"/>
      <c r="C11" s="52"/>
      <c r="D11" s="52"/>
      <c r="E11" s="363" t="s">
        <v>189</v>
      </c>
      <c r="F11" s="353">
        <f>'Presupuesto financiero'!K10</f>
        <v>2343935.7000000002</v>
      </c>
      <c r="G11" s="353">
        <f>'Presupuesto financiero'!L10</f>
        <v>2614351.9749999996</v>
      </c>
      <c r="H11" s="353">
        <f>'Presupuesto financiero'!M10</f>
        <v>2971977.4835000001</v>
      </c>
      <c r="I11" s="386"/>
      <c r="J11" s="386"/>
      <c r="K11" s="101" t="s">
        <v>206</v>
      </c>
      <c r="L11" s="394"/>
    </row>
    <row r="12" spans="1:14" x14ac:dyDescent="0.25">
      <c r="B12" s="393"/>
      <c r="C12" s="52"/>
      <c r="D12" s="52"/>
      <c r="E12" s="363" t="s">
        <v>149</v>
      </c>
      <c r="F12" s="353" t="e">
        <f>'Presupuesto financiero'!K11</f>
        <v>#REF!</v>
      </c>
      <c r="G12" s="353" t="e">
        <f>'Presupuesto financiero'!L11</f>
        <v>#REF!</v>
      </c>
      <c r="H12" s="353" t="e">
        <f>'Presupuesto financiero'!M11</f>
        <v>#REF!</v>
      </c>
      <c r="I12" s="386"/>
      <c r="J12" s="386"/>
      <c r="K12" s="776" t="s">
        <v>251</v>
      </c>
      <c r="L12" s="394"/>
    </row>
    <row r="13" spans="1:14" x14ac:dyDescent="0.25">
      <c r="B13" s="393"/>
      <c r="C13" s="52"/>
      <c r="D13" s="52"/>
      <c r="E13" s="363" t="s">
        <v>247</v>
      </c>
      <c r="F13" s="353">
        <f>'Presupuesto financiero'!K12</f>
        <v>7341662.4450000012</v>
      </c>
      <c r="G13" s="353">
        <f>'Presupuesto financiero'!L12</f>
        <v>8446303.9266666677</v>
      </c>
      <c r="H13" s="353">
        <f>'Presupuesto financiero'!M12</f>
        <v>10262133.115833335</v>
      </c>
      <c r="I13" s="386"/>
      <c r="J13" s="386"/>
      <c r="K13" s="774"/>
      <c r="L13" s="394"/>
    </row>
    <row r="14" spans="1:14" ht="15.75" thickBot="1" x14ac:dyDescent="0.3">
      <c r="B14" s="393"/>
      <c r="C14" s="52"/>
      <c r="D14" s="52"/>
      <c r="E14" s="52"/>
      <c r="F14" s="52"/>
      <c r="G14" s="52"/>
      <c r="H14" s="52"/>
      <c r="I14" s="386"/>
      <c r="J14" s="386"/>
      <c r="K14" s="775"/>
      <c r="L14" s="394"/>
    </row>
    <row r="15" spans="1:14" ht="15.75" thickBot="1" x14ac:dyDescent="0.3">
      <c r="B15" s="393"/>
      <c r="C15" s="371" t="s">
        <v>243</v>
      </c>
      <c r="D15" s="372"/>
      <c r="E15" s="52"/>
      <c r="F15" s="373" t="s">
        <v>176</v>
      </c>
      <c r="G15" s="350"/>
      <c r="H15" s="351"/>
      <c r="I15" s="386"/>
      <c r="J15" s="386"/>
      <c r="K15" s="101" t="s">
        <v>207</v>
      </c>
      <c r="L15" s="394"/>
    </row>
    <row r="16" spans="1:14" ht="30.75" customHeight="1" thickBot="1" x14ac:dyDescent="0.3">
      <c r="B16" s="393"/>
      <c r="C16" s="787" t="s">
        <v>256</v>
      </c>
      <c r="D16" s="788"/>
      <c r="E16" s="52"/>
      <c r="F16" s="136">
        <v>2019</v>
      </c>
      <c r="G16" s="136">
        <v>2020</v>
      </c>
      <c r="H16" s="136">
        <v>2021</v>
      </c>
      <c r="I16" s="386"/>
      <c r="J16" s="386"/>
      <c r="K16" s="378" t="s">
        <v>255</v>
      </c>
      <c r="L16" s="394"/>
    </row>
    <row r="17" spans="2:12" x14ac:dyDescent="0.25">
      <c r="B17" s="393"/>
      <c r="C17" s="789">
        <v>3800000</v>
      </c>
      <c r="D17" s="790"/>
      <c r="E17" s="375"/>
      <c r="F17" s="353">
        <f>'Presupuesto financiero'!K16</f>
        <v>141277.33333333334</v>
      </c>
      <c r="G17" s="353">
        <f>'Presupuesto financiero'!L16</f>
        <v>147660.56666666665</v>
      </c>
      <c r="H17" s="353">
        <f>'Presupuesto financiero'!M16</f>
        <v>162884.43333333335</v>
      </c>
      <c r="I17" s="386"/>
      <c r="J17" s="386"/>
      <c r="K17" s="386"/>
      <c r="L17" s="394"/>
    </row>
    <row r="18" spans="2:12" x14ac:dyDescent="0.25">
      <c r="B18" s="393"/>
      <c r="C18" s="52"/>
      <c r="D18" s="52"/>
      <c r="E18" s="375"/>
      <c r="F18" s="42"/>
      <c r="G18" s="42"/>
      <c r="H18" s="42"/>
      <c r="I18" s="386"/>
      <c r="J18" s="386"/>
      <c r="K18" s="386"/>
      <c r="L18" s="394"/>
    </row>
    <row r="19" spans="2:12" x14ac:dyDescent="0.25">
      <c r="B19" s="393"/>
      <c r="C19" s="52"/>
      <c r="D19" s="52"/>
      <c r="E19" s="373" t="s">
        <v>153</v>
      </c>
      <c r="F19" s="350"/>
      <c r="G19" s="350"/>
      <c r="H19" s="351"/>
      <c r="I19" s="386"/>
      <c r="J19" s="386"/>
      <c r="K19" s="386"/>
      <c r="L19" s="394"/>
    </row>
    <row r="20" spans="2:12" x14ac:dyDescent="0.25">
      <c r="B20" s="393"/>
      <c r="C20" s="52"/>
      <c r="D20" s="52"/>
      <c r="E20" s="357" t="s">
        <v>154</v>
      </c>
      <c r="F20" s="357">
        <v>2019</v>
      </c>
      <c r="G20" s="357">
        <v>2020</v>
      </c>
      <c r="H20" s="357">
        <v>2021</v>
      </c>
      <c r="I20" s="386"/>
      <c r="J20" s="386"/>
      <c r="K20" s="386"/>
      <c r="L20" s="394"/>
    </row>
    <row r="21" spans="2:12" x14ac:dyDescent="0.25">
      <c r="B21" s="393"/>
      <c r="C21" s="52"/>
      <c r="D21" s="52"/>
      <c r="E21" s="353">
        <f>'Presupuesto financiero'!J20</f>
        <v>2297572</v>
      </c>
      <c r="F21" s="353">
        <f>'Presupuesto financiero'!K20</f>
        <v>22999</v>
      </c>
      <c r="G21" s="353">
        <f>'Presupuesto financiero'!L20</f>
        <v>70262</v>
      </c>
      <c r="H21" s="353">
        <f>'Presupuesto financiero'!M20</f>
        <v>1306257</v>
      </c>
      <c r="I21" s="386"/>
      <c r="J21" s="386"/>
      <c r="K21" s="386"/>
      <c r="L21" s="394"/>
    </row>
    <row r="22" spans="2:12" x14ac:dyDescent="0.25">
      <c r="B22" s="393"/>
      <c r="C22" s="52"/>
      <c r="D22" s="52"/>
      <c r="E22" s="52"/>
      <c r="F22" s="52"/>
      <c r="G22" s="52"/>
      <c r="H22" s="52"/>
      <c r="I22" s="386"/>
      <c r="J22" s="386"/>
      <c r="K22" s="386"/>
      <c r="L22" s="394"/>
    </row>
    <row r="23" spans="2:12" x14ac:dyDescent="0.25">
      <c r="B23" s="393"/>
      <c r="C23" s="52"/>
      <c r="D23" s="52"/>
      <c r="E23" s="360" t="s">
        <v>203</v>
      </c>
      <c r="F23" s="360">
        <v>2019</v>
      </c>
      <c r="G23" s="360">
        <v>2020</v>
      </c>
      <c r="H23" s="360">
        <v>2021</v>
      </c>
      <c r="I23" s="386"/>
      <c r="J23" s="386"/>
      <c r="K23" s="386"/>
      <c r="L23" s="394"/>
    </row>
    <row r="24" spans="2:12" x14ac:dyDescent="0.25">
      <c r="B24" s="393"/>
      <c r="C24" s="361" t="s">
        <v>39</v>
      </c>
      <c r="D24" s="362"/>
      <c r="E24" s="366" t="s">
        <v>190</v>
      </c>
      <c r="F24" s="367">
        <f t="shared" ref="F24:H25" si="0">F10</f>
        <v>121458400</v>
      </c>
      <c r="G24" s="367">
        <f t="shared" si="0"/>
        <v>303646000</v>
      </c>
      <c r="H24" s="367">
        <f t="shared" si="0"/>
        <v>607292000</v>
      </c>
      <c r="I24" s="386"/>
      <c r="J24" s="386"/>
      <c r="K24" s="386"/>
      <c r="L24" s="394"/>
    </row>
    <row r="25" spans="2:12" x14ac:dyDescent="0.25">
      <c r="B25" s="393"/>
      <c r="C25" s="784" t="s">
        <v>191</v>
      </c>
      <c r="D25" s="363" t="s">
        <v>244</v>
      </c>
      <c r="E25" s="366" t="s">
        <v>190</v>
      </c>
      <c r="F25" s="367">
        <f t="shared" si="0"/>
        <v>2343935.7000000002</v>
      </c>
      <c r="G25" s="367">
        <f t="shared" si="0"/>
        <v>2614351.9749999996</v>
      </c>
      <c r="H25" s="367">
        <f t="shared" si="0"/>
        <v>2971977.4835000001</v>
      </c>
      <c r="I25" s="386"/>
      <c r="J25" s="386"/>
      <c r="K25" s="386"/>
      <c r="L25" s="394"/>
    </row>
    <row r="26" spans="2:12" x14ac:dyDescent="0.25">
      <c r="B26" s="393"/>
      <c r="C26" s="785"/>
      <c r="D26" s="363" t="s">
        <v>245</v>
      </c>
      <c r="E26" s="366" t="s">
        <v>190</v>
      </c>
      <c r="F26" s="367" t="e">
        <f>F12</f>
        <v>#REF!</v>
      </c>
      <c r="G26" s="395" t="e">
        <f>G12+C17</f>
        <v>#REF!</v>
      </c>
      <c r="H26" s="367" t="e">
        <f>H12</f>
        <v>#REF!</v>
      </c>
      <c r="I26" s="386"/>
      <c r="J26" s="386"/>
      <c r="K26" s="386"/>
      <c r="L26" s="394"/>
    </row>
    <row r="27" spans="2:12" x14ac:dyDescent="0.25">
      <c r="B27" s="393"/>
      <c r="C27" s="786"/>
      <c r="D27" s="363" t="s">
        <v>246</v>
      </c>
      <c r="E27" s="366" t="s">
        <v>190</v>
      </c>
      <c r="F27" s="367">
        <f>F13</f>
        <v>7341662.4450000012</v>
      </c>
      <c r="G27" s="367">
        <f>G13</f>
        <v>8446303.9266666677</v>
      </c>
      <c r="H27" s="367">
        <f>H13</f>
        <v>10262133.115833335</v>
      </c>
      <c r="I27" s="386"/>
      <c r="J27" s="386"/>
      <c r="K27" s="386"/>
      <c r="L27" s="394"/>
    </row>
    <row r="28" spans="2:12" x14ac:dyDescent="0.25">
      <c r="B28" s="393"/>
      <c r="C28" s="348" t="s">
        <v>192</v>
      </c>
      <c r="D28" s="349"/>
      <c r="E28" s="369" t="s">
        <v>190</v>
      </c>
      <c r="F28" s="370" t="e">
        <f>F24-F25-F26-F27</f>
        <v>#REF!</v>
      </c>
      <c r="G28" s="370" t="e">
        <f>G24-G25-G26-G27</f>
        <v>#REF!</v>
      </c>
      <c r="H28" s="370" t="e">
        <f>H24-H25-H26-H27</f>
        <v>#REF!</v>
      </c>
      <c r="I28" s="386"/>
      <c r="J28" s="386"/>
      <c r="K28" s="386"/>
      <c r="L28" s="394"/>
    </row>
    <row r="29" spans="2:12" x14ac:dyDescent="0.25">
      <c r="B29" s="393"/>
      <c r="C29" s="364" t="s">
        <v>193</v>
      </c>
      <c r="D29" s="365"/>
      <c r="E29" s="79" t="s">
        <v>190</v>
      </c>
      <c r="F29" s="367">
        <f>F24*0.03</f>
        <v>3643752</v>
      </c>
      <c r="G29" s="367">
        <f>G24*0.03</f>
        <v>9109380</v>
      </c>
      <c r="H29" s="367">
        <f>H24*0.03</f>
        <v>18218760</v>
      </c>
      <c r="I29" s="386"/>
      <c r="J29" s="386"/>
      <c r="K29" s="386"/>
      <c r="L29" s="394"/>
    </row>
    <row r="30" spans="2:12" x14ac:dyDescent="0.25">
      <c r="B30" s="393"/>
      <c r="C30" s="771" t="s">
        <v>194</v>
      </c>
      <c r="D30" s="772"/>
      <c r="E30" s="79"/>
      <c r="F30" s="367" t="e">
        <f>F28-F29</f>
        <v>#REF!</v>
      </c>
      <c r="G30" s="367" t="e">
        <f>G28-G29-G17</f>
        <v>#REF!</v>
      </c>
      <c r="H30" s="367" t="e">
        <f>H28-H29</f>
        <v>#REF!</v>
      </c>
      <c r="I30" s="386"/>
      <c r="J30" s="386"/>
      <c r="K30" s="386"/>
      <c r="L30" s="394"/>
    </row>
    <row r="31" spans="2:12" x14ac:dyDescent="0.25">
      <c r="B31" s="393"/>
      <c r="C31" s="364" t="s">
        <v>195</v>
      </c>
      <c r="D31" s="365"/>
      <c r="E31" s="79" t="s">
        <v>190</v>
      </c>
      <c r="F31" s="367">
        <v>0</v>
      </c>
      <c r="G31" s="367">
        <v>0</v>
      </c>
      <c r="H31" s="367">
        <v>0</v>
      </c>
      <c r="I31" s="386"/>
      <c r="J31" s="386"/>
      <c r="K31" s="386"/>
      <c r="L31" s="394"/>
    </row>
    <row r="32" spans="2:12" x14ac:dyDescent="0.25">
      <c r="B32" s="393"/>
      <c r="C32" s="348" t="s">
        <v>196</v>
      </c>
      <c r="D32" s="349"/>
      <c r="E32" s="369" t="s">
        <v>190</v>
      </c>
      <c r="F32" s="370" t="e">
        <f>F28-F29-F31</f>
        <v>#REF!</v>
      </c>
      <c r="G32" s="370" t="e">
        <f>G28-G29-G31</f>
        <v>#REF!</v>
      </c>
      <c r="H32" s="370" t="e">
        <f>H28-H29-H31</f>
        <v>#REF!</v>
      </c>
      <c r="I32" s="386"/>
      <c r="J32" s="386"/>
      <c r="K32" s="386"/>
      <c r="L32" s="394"/>
    </row>
    <row r="33" spans="2:12" x14ac:dyDescent="0.25">
      <c r="B33" s="393"/>
      <c r="C33" s="364" t="s">
        <v>197</v>
      </c>
      <c r="D33" s="365"/>
      <c r="E33" s="367">
        <f>-E21</f>
        <v>-2297572</v>
      </c>
      <c r="F33" s="367">
        <f>-F21</f>
        <v>-22999</v>
      </c>
      <c r="G33" s="367">
        <f>-G21</f>
        <v>-70262</v>
      </c>
      <c r="H33" s="367">
        <f>-H21</f>
        <v>-1306257</v>
      </c>
      <c r="I33" s="386"/>
      <c r="J33" s="386"/>
      <c r="K33" s="386"/>
      <c r="L33" s="394"/>
    </row>
    <row r="34" spans="2:12" x14ac:dyDescent="0.25">
      <c r="B34" s="393"/>
      <c r="C34" s="348" t="s">
        <v>198</v>
      </c>
      <c r="D34" s="349"/>
      <c r="E34" s="370">
        <f>E33</f>
        <v>-2297572</v>
      </c>
      <c r="F34" s="370" t="e">
        <f>F32+F33</f>
        <v>#REF!</v>
      </c>
      <c r="G34" s="370" t="e">
        <f>G32+G33</f>
        <v>#REF!</v>
      </c>
      <c r="H34" s="370" t="e">
        <f>H32+H33</f>
        <v>#REF!</v>
      </c>
      <c r="I34" s="386"/>
      <c r="J34" s="386"/>
      <c r="K34" s="386"/>
      <c r="L34" s="394"/>
    </row>
    <row r="35" spans="2:12" x14ac:dyDescent="0.25">
      <c r="B35" s="393"/>
      <c r="C35" s="52"/>
      <c r="D35" s="52"/>
      <c r="E35" s="52"/>
      <c r="F35" s="52"/>
      <c r="G35" s="52"/>
      <c r="H35" s="52"/>
      <c r="I35" s="386"/>
      <c r="J35" s="386"/>
      <c r="K35" s="386"/>
      <c r="L35" s="394"/>
    </row>
    <row r="36" spans="2:12" x14ac:dyDescent="0.25">
      <c r="B36" s="393"/>
      <c r="C36" s="52"/>
      <c r="D36" s="52"/>
      <c r="E36" s="52"/>
      <c r="F36" s="52"/>
      <c r="G36" s="396" t="s">
        <v>199</v>
      </c>
      <c r="H36" s="397">
        <v>0.62</v>
      </c>
      <c r="I36" s="386"/>
      <c r="J36" s="386"/>
      <c r="K36" s="386"/>
      <c r="L36" s="394"/>
    </row>
    <row r="37" spans="2:12" x14ac:dyDescent="0.25">
      <c r="B37" s="393"/>
      <c r="C37" s="52"/>
      <c r="D37" s="52"/>
      <c r="E37" s="52"/>
      <c r="F37" s="52"/>
      <c r="G37" s="396" t="s">
        <v>200</v>
      </c>
      <c r="H37" s="398"/>
      <c r="I37" s="386"/>
      <c r="J37" s="386"/>
      <c r="K37" s="386"/>
      <c r="L37" s="394"/>
    </row>
    <row r="38" spans="2:12" x14ac:dyDescent="0.25">
      <c r="B38" s="393"/>
      <c r="C38" s="52"/>
      <c r="D38" s="52"/>
      <c r="E38" s="52"/>
      <c r="F38" s="52"/>
      <c r="G38" s="396" t="s">
        <v>201</v>
      </c>
      <c r="H38" s="399"/>
      <c r="I38" s="386"/>
      <c r="J38" s="386"/>
      <c r="K38" s="386"/>
      <c r="L38" s="394"/>
    </row>
    <row r="39" spans="2:12" x14ac:dyDescent="0.25">
      <c r="B39" s="393"/>
      <c r="C39" s="52"/>
      <c r="D39" s="52"/>
      <c r="E39" s="52"/>
      <c r="F39" s="52"/>
      <c r="G39" s="52"/>
      <c r="H39" s="52"/>
      <c r="I39" s="52"/>
      <c r="J39" s="52"/>
      <c r="K39" s="52"/>
      <c r="L39" s="394"/>
    </row>
    <row r="40" spans="2:12" ht="15.75" thickBot="1" x14ac:dyDescent="0.3">
      <c r="B40" s="258"/>
      <c r="C40" s="259"/>
      <c r="D40" s="259"/>
      <c r="E40" s="259"/>
      <c r="F40" s="259"/>
      <c r="G40" s="259"/>
      <c r="H40" s="259"/>
      <c r="I40" s="259"/>
      <c r="J40" s="259"/>
      <c r="K40" s="259"/>
      <c r="L40" s="260"/>
    </row>
  </sheetData>
  <mergeCells count="9">
    <mergeCell ref="F1:H1"/>
    <mergeCell ref="C25:C27"/>
    <mergeCell ref="C16:D16"/>
    <mergeCell ref="C17:D17"/>
    <mergeCell ref="C30:D30"/>
    <mergeCell ref="C5:K5"/>
    <mergeCell ref="K8:K10"/>
    <mergeCell ref="K12:K14"/>
    <mergeCell ref="F7:H7"/>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L1" zoomScale="90" zoomScaleNormal="90" workbookViewId="0">
      <pane ySplit="1" topLeftCell="A2" activePane="bottomLeft" state="frozen"/>
      <selection pane="bottomLeft" sqref="A1:N1"/>
    </sheetView>
  </sheetViews>
  <sheetFormatPr baseColWidth="10"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4" s="445" customFormat="1" ht="58.5" customHeight="1" x14ac:dyDescent="0.25">
      <c r="A1" s="447"/>
      <c r="B1" s="447"/>
      <c r="C1" s="447"/>
      <c r="D1" s="447"/>
      <c r="E1" s="447"/>
      <c r="F1" s="765" t="s">
        <v>218</v>
      </c>
      <c r="G1" s="766"/>
      <c r="H1" s="766"/>
      <c r="I1" s="447"/>
      <c r="J1" s="447"/>
      <c r="K1" s="447"/>
      <c r="L1" s="447"/>
      <c r="M1" s="447"/>
      <c r="N1" s="447"/>
    </row>
    <row r="2" spans="1:14" ht="15.75" thickBot="1" x14ac:dyDescent="0.3"/>
    <row r="3" spans="1:14" ht="15.75" thickBot="1" x14ac:dyDescent="0.3">
      <c r="B3" s="381"/>
      <c r="C3" s="382"/>
      <c r="D3" s="382"/>
      <c r="E3" s="382"/>
      <c r="F3" s="382"/>
      <c r="G3" s="382"/>
      <c r="H3" s="382"/>
      <c r="I3" s="382"/>
      <c r="J3" s="382"/>
      <c r="K3" s="382"/>
      <c r="L3" s="383"/>
    </row>
    <row r="4" spans="1:14" ht="15.75" thickBot="1" x14ac:dyDescent="0.3">
      <c r="B4" s="393"/>
      <c r="C4" s="794" t="s">
        <v>254</v>
      </c>
      <c r="D4" s="795"/>
      <c r="E4" s="795"/>
      <c r="F4" s="795"/>
      <c r="G4" s="795"/>
      <c r="H4" s="795"/>
      <c r="I4" s="795"/>
      <c r="J4" s="795"/>
      <c r="K4" s="796"/>
      <c r="L4" s="394"/>
    </row>
    <row r="5" spans="1:14" ht="15.75" thickBot="1" x14ac:dyDescent="0.3">
      <c r="B5" s="393"/>
      <c r="C5" s="386"/>
      <c r="D5" s="386"/>
      <c r="E5" s="386"/>
      <c r="F5" s="386"/>
      <c r="G5" s="386"/>
      <c r="H5" s="386"/>
      <c r="I5" s="386"/>
      <c r="J5" s="386"/>
      <c r="K5" s="386"/>
      <c r="L5" s="394"/>
    </row>
    <row r="6" spans="1:14" ht="15.75" thickBot="1" x14ac:dyDescent="0.3">
      <c r="B6" s="393"/>
      <c r="C6" s="52"/>
      <c r="D6" s="52"/>
      <c r="E6" s="52"/>
      <c r="F6" s="791" t="s">
        <v>35</v>
      </c>
      <c r="G6" s="792"/>
      <c r="H6" s="793"/>
      <c r="I6" s="386"/>
      <c r="J6" s="386"/>
      <c r="K6" s="101" t="s">
        <v>265</v>
      </c>
      <c r="L6" s="394"/>
    </row>
    <row r="7" spans="1:14" x14ac:dyDescent="0.25">
      <c r="B7" s="393"/>
      <c r="E7" s="52"/>
      <c r="F7" s="357">
        <v>2019</v>
      </c>
      <c r="G7" s="357">
        <v>2020</v>
      </c>
      <c r="H7" s="357">
        <v>2021</v>
      </c>
      <c r="I7" s="386"/>
      <c r="J7" s="386"/>
      <c r="K7" s="776" t="s">
        <v>260</v>
      </c>
      <c r="L7" s="394"/>
    </row>
    <row r="8" spans="1:14" x14ac:dyDescent="0.25">
      <c r="B8" s="393"/>
      <c r="E8" s="52"/>
      <c r="F8" s="352">
        <f>'Presupuesto financiero'!K5</f>
        <v>0.02</v>
      </c>
      <c r="G8" s="352">
        <f>'Presupuesto financiero'!L5</f>
        <v>0.05</v>
      </c>
      <c r="H8" s="352">
        <f>'Presupuesto financiero'!M5</f>
        <v>0.1</v>
      </c>
      <c r="I8" s="386"/>
      <c r="J8" s="386"/>
      <c r="K8" s="774"/>
      <c r="L8" s="394"/>
    </row>
    <row r="9" spans="1:14" ht="15.75" thickBot="1" x14ac:dyDescent="0.3">
      <c r="B9" s="393"/>
      <c r="E9" s="363" t="s">
        <v>249</v>
      </c>
      <c r="F9" s="374">
        <f>'Presupuesto financiero'!K6</f>
        <v>121458400</v>
      </c>
      <c r="G9" s="374">
        <f>'Presupuesto financiero'!L6</f>
        <v>303646000</v>
      </c>
      <c r="H9" s="374">
        <f>'Presupuesto financiero'!M6</f>
        <v>607292000</v>
      </c>
      <c r="I9" s="386"/>
      <c r="J9" s="386"/>
      <c r="K9" s="775"/>
      <c r="L9" s="394"/>
    </row>
    <row r="10" spans="1:14" ht="15.75" thickBot="1" x14ac:dyDescent="0.3">
      <c r="B10" s="393"/>
      <c r="C10" s="52"/>
      <c r="D10" s="52"/>
      <c r="E10" s="363" t="s">
        <v>189</v>
      </c>
      <c r="F10" s="353">
        <f>'Presupuesto financiero'!K10</f>
        <v>2343935.7000000002</v>
      </c>
      <c r="G10" s="353">
        <f>'Presupuesto financiero'!L10</f>
        <v>2614351.9749999996</v>
      </c>
      <c r="H10" s="353">
        <f>'Presupuesto financiero'!M10</f>
        <v>2971977.4835000001</v>
      </c>
      <c r="I10" s="386"/>
      <c r="J10" s="386"/>
      <c r="K10" s="101" t="s">
        <v>206</v>
      </c>
      <c r="L10" s="394"/>
    </row>
    <row r="11" spans="1:14" x14ac:dyDescent="0.25">
      <c r="B11" s="393"/>
      <c r="C11" s="52"/>
      <c r="D11" s="52"/>
      <c r="E11" s="363" t="s">
        <v>149</v>
      </c>
      <c r="F11" s="353" t="e">
        <f>'Presupuesto financiero'!K11</f>
        <v>#REF!</v>
      </c>
      <c r="G11" s="353" t="e">
        <f>'Presupuesto financiero'!L11</f>
        <v>#REF!</v>
      </c>
      <c r="H11" s="353" t="e">
        <f>'Presupuesto financiero'!M11</f>
        <v>#REF!</v>
      </c>
      <c r="I11" s="386"/>
      <c r="J11" s="386"/>
      <c r="K11" s="776"/>
      <c r="L11" s="394"/>
    </row>
    <row r="12" spans="1:14" x14ac:dyDescent="0.25">
      <c r="B12" s="393"/>
      <c r="C12" s="52"/>
      <c r="D12" s="52"/>
      <c r="E12" s="363" t="s">
        <v>247</v>
      </c>
      <c r="F12" s="353">
        <f>'Presupuesto financiero'!K12</f>
        <v>7341662.4450000012</v>
      </c>
      <c r="G12" s="353">
        <f>'Presupuesto financiero'!L12</f>
        <v>8446303.9266666677</v>
      </c>
      <c r="H12" s="353">
        <f>'Presupuesto financiero'!M12</f>
        <v>10262133.115833335</v>
      </c>
      <c r="I12" s="386"/>
      <c r="J12" s="386"/>
      <c r="K12" s="774"/>
      <c r="L12" s="394"/>
    </row>
    <row r="13" spans="1:14" ht="15.75" thickBot="1" x14ac:dyDescent="0.3">
      <c r="B13" s="393"/>
      <c r="C13" s="52"/>
      <c r="D13" s="52"/>
      <c r="E13" s="52"/>
      <c r="F13" s="52"/>
      <c r="G13" s="52"/>
      <c r="H13" s="52"/>
      <c r="I13" s="386"/>
      <c r="J13" s="386"/>
      <c r="K13" s="775"/>
      <c r="L13" s="394"/>
    </row>
    <row r="14" spans="1:14" ht="15.75" thickBot="1" x14ac:dyDescent="0.3">
      <c r="B14" s="393"/>
      <c r="C14" s="780" t="s">
        <v>264</v>
      </c>
      <c r="D14" s="781"/>
      <c r="E14" s="52"/>
      <c r="F14" s="373" t="s">
        <v>176</v>
      </c>
      <c r="G14" s="350"/>
      <c r="H14" s="351"/>
      <c r="I14" s="386"/>
      <c r="J14" s="386"/>
      <c r="K14" s="101" t="s">
        <v>207</v>
      </c>
      <c r="L14" s="394"/>
    </row>
    <row r="15" spans="1:14" ht="20.25" customHeight="1" thickBot="1" x14ac:dyDescent="0.3">
      <c r="B15" s="393"/>
      <c r="C15" s="357">
        <v>2020</v>
      </c>
      <c r="D15" s="357">
        <v>2021</v>
      </c>
      <c r="E15" s="52"/>
      <c r="F15" s="136">
        <v>2019</v>
      </c>
      <c r="G15" s="136">
        <v>2020</v>
      </c>
      <c r="H15" s="136">
        <v>2021</v>
      </c>
      <c r="I15" s="386"/>
      <c r="J15" s="386"/>
      <c r="K15" s="378" t="s">
        <v>262</v>
      </c>
      <c r="L15" s="394"/>
    </row>
    <row r="16" spans="1:14" x14ac:dyDescent="0.25">
      <c r="B16" s="393"/>
      <c r="C16" s="430">
        <v>0.9</v>
      </c>
      <c r="D16" s="430">
        <v>0.9</v>
      </c>
      <c r="E16" s="375"/>
      <c r="F16" s="353">
        <f>'Presupuesto financiero'!K16</f>
        <v>141277.33333333334</v>
      </c>
      <c r="G16" s="353">
        <f>'Presupuesto financiero'!L16</f>
        <v>147660.56666666665</v>
      </c>
      <c r="H16" s="353">
        <f>'Presupuesto financiero'!M16</f>
        <v>162884.43333333335</v>
      </c>
      <c r="I16" s="386"/>
      <c r="J16" s="386"/>
      <c r="K16" s="386"/>
      <c r="L16" s="394"/>
    </row>
    <row r="17" spans="2:12" x14ac:dyDescent="0.25">
      <c r="B17" s="393"/>
      <c r="C17" s="52"/>
      <c r="D17" s="52"/>
      <c r="E17" s="375"/>
      <c r="F17" s="42"/>
      <c r="G17" s="42"/>
      <c r="H17" s="42"/>
      <c r="I17" s="386"/>
      <c r="J17" s="386"/>
      <c r="K17" s="386"/>
      <c r="L17" s="394"/>
    </row>
    <row r="18" spans="2:12" x14ac:dyDescent="0.25">
      <c r="B18" s="393"/>
      <c r="C18" s="52"/>
      <c r="D18" s="52"/>
      <c r="E18" s="373" t="s">
        <v>153</v>
      </c>
      <c r="F18" s="350"/>
      <c r="G18" s="350"/>
      <c r="H18" s="351"/>
      <c r="I18" s="386"/>
      <c r="J18" s="386"/>
      <c r="K18" s="386"/>
      <c r="L18" s="394"/>
    </row>
    <row r="19" spans="2:12" x14ac:dyDescent="0.25">
      <c r="B19" s="393"/>
      <c r="C19" s="52"/>
      <c r="D19" s="52"/>
      <c r="E19" s="357" t="s">
        <v>154</v>
      </c>
      <c r="F19" s="357">
        <v>2019</v>
      </c>
      <c r="G19" s="357">
        <v>2020</v>
      </c>
      <c r="H19" s="357">
        <v>2021</v>
      </c>
      <c r="I19" s="386"/>
      <c r="J19" s="386"/>
      <c r="K19" s="386"/>
      <c r="L19" s="394"/>
    </row>
    <row r="20" spans="2:12" x14ac:dyDescent="0.25">
      <c r="B20" s="393"/>
      <c r="C20" s="52"/>
      <c r="D20" s="52"/>
      <c r="E20" s="353">
        <f>'Presupuesto financiero'!J20</f>
        <v>2297572</v>
      </c>
      <c r="F20" s="353">
        <f>'Presupuesto financiero'!K20</f>
        <v>22999</v>
      </c>
      <c r="G20" s="353">
        <f>'Presupuesto financiero'!L20</f>
        <v>70262</v>
      </c>
      <c r="H20" s="353">
        <f>'Presupuesto financiero'!M20</f>
        <v>1306257</v>
      </c>
      <c r="I20" s="386"/>
      <c r="J20" s="386"/>
      <c r="K20" s="386"/>
      <c r="L20" s="394"/>
    </row>
    <row r="21" spans="2:12" x14ac:dyDescent="0.25">
      <c r="B21" s="393"/>
      <c r="C21" s="52"/>
      <c r="D21" s="52"/>
      <c r="E21" s="52"/>
      <c r="F21" s="52"/>
      <c r="G21" s="52"/>
      <c r="H21" s="52"/>
      <c r="I21" s="386"/>
      <c r="J21" s="386"/>
      <c r="K21" s="386"/>
      <c r="L21" s="394"/>
    </row>
    <row r="22" spans="2:12" x14ac:dyDescent="0.25">
      <c r="B22" s="393"/>
      <c r="C22" s="52"/>
      <c r="D22" s="52"/>
      <c r="E22" s="360" t="s">
        <v>203</v>
      </c>
      <c r="F22" s="360">
        <v>2019</v>
      </c>
      <c r="G22" s="360">
        <v>2020</v>
      </c>
      <c r="H22" s="360">
        <v>2021</v>
      </c>
      <c r="I22" s="386"/>
      <c r="J22" s="386"/>
      <c r="K22" s="386"/>
      <c r="L22" s="394"/>
    </row>
    <row r="23" spans="2:12" x14ac:dyDescent="0.25">
      <c r="B23" s="393"/>
      <c r="C23" s="361" t="s">
        <v>39</v>
      </c>
      <c r="D23" s="362"/>
      <c r="E23" s="366" t="s">
        <v>190</v>
      </c>
      <c r="F23" s="367">
        <f>F9</f>
        <v>121458400</v>
      </c>
      <c r="G23" s="429">
        <f>G9*C16</f>
        <v>273281400</v>
      </c>
      <c r="H23" s="429">
        <f>H9*D16</f>
        <v>546562800</v>
      </c>
      <c r="I23" s="386"/>
      <c r="J23" s="386"/>
      <c r="K23" s="386"/>
      <c r="L23" s="394"/>
    </row>
    <row r="24" spans="2:12" x14ac:dyDescent="0.25">
      <c r="B24" s="393"/>
      <c r="C24" s="784" t="s">
        <v>191</v>
      </c>
      <c r="D24" s="363" t="s">
        <v>244</v>
      </c>
      <c r="E24" s="366" t="s">
        <v>190</v>
      </c>
      <c r="F24" s="367">
        <f>F10</f>
        <v>2343935.7000000002</v>
      </c>
      <c r="G24" s="367">
        <f>G10</f>
        <v>2614351.9749999996</v>
      </c>
      <c r="H24" s="367">
        <f>H10</f>
        <v>2971977.4835000001</v>
      </c>
      <c r="I24" s="386"/>
      <c r="J24" s="386"/>
      <c r="K24" s="386"/>
      <c r="L24" s="394"/>
    </row>
    <row r="25" spans="2:12" x14ac:dyDescent="0.25">
      <c r="B25" s="393"/>
      <c r="C25" s="785"/>
      <c r="D25" s="363" t="s">
        <v>245</v>
      </c>
      <c r="E25" s="366" t="s">
        <v>190</v>
      </c>
      <c r="F25" s="367" t="e">
        <f>F11</f>
        <v>#REF!</v>
      </c>
      <c r="G25" s="429" t="e">
        <f>G11*C16</f>
        <v>#REF!</v>
      </c>
      <c r="H25" s="429" t="e">
        <f>H11*D16</f>
        <v>#REF!</v>
      </c>
      <c r="I25" s="386"/>
      <c r="J25" s="386"/>
      <c r="K25" s="386"/>
      <c r="L25" s="394"/>
    </row>
    <row r="26" spans="2:12" x14ac:dyDescent="0.25">
      <c r="B26" s="393"/>
      <c r="C26" s="786"/>
      <c r="D26" s="363" t="s">
        <v>246</v>
      </c>
      <c r="E26" s="366" t="s">
        <v>190</v>
      </c>
      <c r="F26" s="367">
        <f>F12</f>
        <v>7341662.4450000012</v>
      </c>
      <c r="G26" s="367">
        <f>G12</f>
        <v>8446303.9266666677</v>
      </c>
      <c r="H26" s="367">
        <f>H12</f>
        <v>10262133.115833335</v>
      </c>
      <c r="I26" s="386"/>
      <c r="J26" s="386"/>
      <c r="K26" s="386"/>
      <c r="L26" s="394"/>
    </row>
    <row r="27" spans="2:12" x14ac:dyDescent="0.25">
      <c r="B27" s="393"/>
      <c r="C27" s="364" t="s">
        <v>192</v>
      </c>
      <c r="D27" s="365"/>
      <c r="E27" s="369" t="s">
        <v>190</v>
      </c>
      <c r="F27" s="370" t="e">
        <f>F23-F24-F25-F26</f>
        <v>#REF!</v>
      </c>
      <c r="G27" s="370" t="e">
        <f>G23-G24-G25-G26</f>
        <v>#REF!</v>
      </c>
      <c r="H27" s="370" t="e">
        <f>H23-H24-H25-H26</f>
        <v>#REF!</v>
      </c>
      <c r="I27" s="386"/>
      <c r="J27" s="386"/>
      <c r="K27" s="386"/>
      <c r="L27" s="394"/>
    </row>
    <row r="28" spans="2:12" x14ac:dyDescent="0.25">
      <c r="B28" s="393"/>
      <c r="C28" s="364" t="s">
        <v>193</v>
      </c>
      <c r="D28" s="365"/>
      <c r="E28" s="79" t="s">
        <v>190</v>
      </c>
      <c r="F28" s="367">
        <f>F23*0.03</f>
        <v>3643752</v>
      </c>
      <c r="G28" s="367">
        <f>G23*0.03</f>
        <v>8198442</v>
      </c>
      <c r="H28" s="367">
        <f>H23*0.03</f>
        <v>16396884</v>
      </c>
      <c r="I28" s="386"/>
      <c r="J28" s="386"/>
      <c r="K28" s="386"/>
      <c r="L28" s="394"/>
    </row>
    <row r="29" spans="2:12" x14ac:dyDescent="0.25">
      <c r="B29" s="393"/>
      <c r="C29" s="771" t="s">
        <v>194</v>
      </c>
      <c r="D29" s="772"/>
      <c r="E29" s="79"/>
      <c r="F29" s="367" t="e">
        <f>F27-F28</f>
        <v>#REF!</v>
      </c>
      <c r="G29" s="367" t="e">
        <f>G27-G28-G16</f>
        <v>#REF!</v>
      </c>
      <c r="H29" s="367" t="e">
        <f>H27-H28-H16</f>
        <v>#REF!</v>
      </c>
      <c r="I29" s="386"/>
      <c r="J29" s="386"/>
      <c r="K29" s="386"/>
      <c r="L29" s="394"/>
    </row>
    <row r="30" spans="2:12" x14ac:dyDescent="0.25">
      <c r="B30" s="393"/>
      <c r="C30" s="364" t="s">
        <v>195</v>
      </c>
      <c r="D30" s="365"/>
      <c r="E30" s="79" t="s">
        <v>190</v>
      </c>
      <c r="F30" s="367">
        <v>0</v>
      </c>
      <c r="G30" s="367">
        <v>0</v>
      </c>
      <c r="H30" s="367" t="e">
        <f>0.35*G29</f>
        <v>#REF!</v>
      </c>
      <c r="I30" s="386"/>
      <c r="J30" s="386"/>
      <c r="K30" s="386"/>
      <c r="L30" s="394"/>
    </row>
    <row r="31" spans="2:12" x14ac:dyDescent="0.25">
      <c r="B31" s="393"/>
      <c r="C31" s="364" t="s">
        <v>196</v>
      </c>
      <c r="D31" s="365"/>
      <c r="E31" s="369" t="s">
        <v>190</v>
      </c>
      <c r="F31" s="370" t="e">
        <f>F27-F28-F30</f>
        <v>#REF!</v>
      </c>
      <c r="G31" s="370" t="e">
        <f>G27-G28-G30</f>
        <v>#REF!</v>
      </c>
      <c r="H31" s="370" t="e">
        <f>H27-H28-H30</f>
        <v>#REF!</v>
      </c>
      <c r="I31" s="386"/>
      <c r="J31" s="386"/>
      <c r="K31" s="386"/>
      <c r="L31" s="394"/>
    </row>
    <row r="32" spans="2:12" x14ac:dyDescent="0.25">
      <c r="B32" s="393"/>
      <c r="C32" s="364" t="s">
        <v>197</v>
      </c>
      <c r="D32" s="365"/>
      <c r="E32" s="367">
        <f>-E20</f>
        <v>-2297572</v>
      </c>
      <c r="F32" s="367">
        <f>-F20</f>
        <v>-22999</v>
      </c>
      <c r="G32" s="367">
        <f>-G20</f>
        <v>-70262</v>
      </c>
      <c r="H32" s="367">
        <f>-H20</f>
        <v>-1306257</v>
      </c>
      <c r="I32" s="386"/>
      <c r="J32" s="386"/>
      <c r="K32" s="386"/>
      <c r="L32" s="394"/>
    </row>
    <row r="33" spans="2:12" x14ac:dyDescent="0.25">
      <c r="B33" s="393"/>
      <c r="C33" s="364" t="s">
        <v>198</v>
      </c>
      <c r="D33" s="365"/>
      <c r="E33" s="370">
        <f>E32</f>
        <v>-2297572</v>
      </c>
      <c r="F33" s="370" t="e">
        <f>F31+F32</f>
        <v>#REF!</v>
      </c>
      <c r="G33" s="370" t="e">
        <f>G31+G32</f>
        <v>#REF!</v>
      </c>
      <c r="H33" s="370" t="e">
        <f>H31+H32</f>
        <v>#REF!</v>
      </c>
      <c r="I33" s="386"/>
      <c r="J33" s="386"/>
      <c r="K33" s="386"/>
      <c r="L33" s="394"/>
    </row>
    <row r="34" spans="2:12" x14ac:dyDescent="0.25">
      <c r="B34" s="393"/>
      <c r="C34" s="52"/>
      <c r="D34" s="52"/>
      <c r="E34" s="52"/>
      <c r="F34" s="52"/>
      <c r="G34" s="52"/>
      <c r="H34" s="52"/>
      <c r="I34" s="386"/>
      <c r="J34" s="386"/>
      <c r="K34" s="386"/>
      <c r="L34" s="394"/>
    </row>
    <row r="35" spans="2:12" x14ac:dyDescent="0.25">
      <c r="B35" s="393"/>
      <c r="C35" s="52"/>
      <c r="D35" s="52"/>
      <c r="E35" s="52"/>
      <c r="F35" s="52"/>
      <c r="G35" s="359" t="s">
        <v>199</v>
      </c>
      <c r="H35" s="354">
        <v>0.62</v>
      </c>
      <c r="I35" s="386"/>
      <c r="J35" s="386"/>
      <c r="K35" s="386"/>
      <c r="L35" s="394"/>
    </row>
    <row r="36" spans="2:12" x14ac:dyDescent="0.25">
      <c r="B36" s="393"/>
      <c r="C36" s="52"/>
      <c r="D36" s="52"/>
      <c r="E36" s="52"/>
      <c r="F36" s="52"/>
      <c r="G36" s="359" t="s">
        <v>200</v>
      </c>
      <c r="H36" s="355"/>
      <c r="I36" s="386"/>
      <c r="J36" s="386"/>
      <c r="K36" s="386"/>
      <c r="L36" s="394"/>
    </row>
    <row r="37" spans="2:12" x14ac:dyDescent="0.25">
      <c r="B37" s="393"/>
      <c r="C37" s="52"/>
      <c r="D37" s="52"/>
      <c r="E37" s="52"/>
      <c r="F37" s="52"/>
      <c r="G37" s="359" t="s">
        <v>201</v>
      </c>
      <c r="H37" s="356"/>
      <c r="I37" s="386"/>
      <c r="J37" s="386"/>
      <c r="K37" s="386"/>
      <c r="L37" s="394"/>
    </row>
    <row r="38" spans="2:12" ht="15.75" thickBot="1" x14ac:dyDescent="0.3">
      <c r="B38" s="258"/>
      <c r="C38" s="259"/>
      <c r="D38" s="259"/>
      <c r="E38" s="259"/>
      <c r="F38" s="259"/>
      <c r="G38" s="259"/>
      <c r="H38" s="259"/>
      <c r="I38" s="259"/>
      <c r="J38" s="259"/>
      <c r="K38" s="259"/>
      <c r="L38" s="260"/>
    </row>
  </sheetData>
  <mergeCells count="8">
    <mergeCell ref="C29:D29"/>
    <mergeCell ref="F6:H6"/>
    <mergeCell ref="F1:H1"/>
    <mergeCell ref="C14:D14"/>
    <mergeCell ref="C24:C26"/>
    <mergeCell ref="C4:K4"/>
    <mergeCell ref="K7:K9"/>
    <mergeCell ref="K11:K13"/>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zoomScale="70" zoomScaleNormal="70" workbookViewId="0">
      <pane ySplit="1" topLeftCell="A17" activePane="bottomLeft" state="frozen"/>
      <selection pane="bottomLeft"/>
    </sheetView>
  </sheetViews>
  <sheetFormatPr baseColWidth="10"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0.42578125" style="1" customWidth="1"/>
    <col min="8" max="8" width="24.28515625" style="1" bestFit="1" customWidth="1"/>
    <col min="9" max="9" width="16.7109375" style="1" bestFit="1" customWidth="1"/>
    <col min="10" max="11" width="20.28515625" style="1" bestFit="1" customWidth="1"/>
    <col min="12" max="12" width="6.28515625" style="1" customWidth="1"/>
    <col min="13" max="13" width="34.140625" style="1" customWidth="1"/>
    <col min="14" max="14" width="28.42578125" style="1" customWidth="1"/>
    <col min="15" max="16384" width="11.42578125" style="1"/>
  </cols>
  <sheetData>
    <row r="1" spans="1:15" s="445" customFormat="1" ht="58.5" customHeight="1" x14ac:dyDescent="0.25">
      <c r="A1" s="446"/>
      <c r="B1" s="446"/>
      <c r="C1" s="446"/>
      <c r="D1" s="446"/>
      <c r="E1" s="446"/>
      <c r="F1" s="448" t="s">
        <v>12</v>
      </c>
      <c r="G1" s="449"/>
      <c r="H1" s="449"/>
      <c r="I1" s="446"/>
      <c r="J1" s="446"/>
      <c r="K1" s="446"/>
      <c r="L1" s="446"/>
      <c r="M1" s="446"/>
      <c r="N1" s="446"/>
      <c r="O1" s="446"/>
    </row>
    <row r="2" spans="1:15" ht="15.75" thickBot="1" x14ac:dyDescent="0.3"/>
    <row r="3" spans="1:15" ht="21.75" thickBot="1" x14ac:dyDescent="0.4">
      <c r="C3" s="800" t="s">
        <v>267</v>
      </c>
      <c r="D3" s="801"/>
      <c r="E3" s="801"/>
      <c r="F3" s="801"/>
      <c r="G3" s="801"/>
      <c r="H3" s="801"/>
      <c r="I3" s="801"/>
      <c r="J3" s="801"/>
      <c r="K3" s="801"/>
      <c r="L3" s="801"/>
      <c r="M3" s="801"/>
      <c r="N3" s="802"/>
    </row>
    <row r="4" spans="1:15" ht="15.75" thickBot="1" x14ac:dyDescent="0.3"/>
    <row r="5" spans="1:15" ht="15.75" customHeight="1" thickBot="1" x14ac:dyDescent="0.3">
      <c r="C5" s="101" t="s">
        <v>265</v>
      </c>
      <c r="F5" s="52"/>
      <c r="G5" s="52"/>
      <c r="H5" s="52"/>
      <c r="I5" s="791" t="s">
        <v>35</v>
      </c>
      <c r="J5" s="792"/>
      <c r="K5" s="793"/>
    </row>
    <row r="6" spans="1:15" x14ac:dyDescent="0.25">
      <c r="C6" s="776" t="s">
        <v>260</v>
      </c>
      <c r="H6" s="52"/>
      <c r="I6" s="357">
        <v>2019</v>
      </c>
      <c r="J6" s="357">
        <v>2020</v>
      </c>
      <c r="K6" s="357">
        <v>2021</v>
      </c>
    </row>
    <row r="7" spans="1:15" x14ac:dyDescent="0.25">
      <c r="C7" s="774"/>
      <c r="H7" s="52"/>
      <c r="I7" s="352">
        <f>'Escenario 3'!F8</f>
        <v>0.02</v>
      </c>
      <c r="J7" s="352">
        <f>'Escenario 3'!G8</f>
        <v>0.05</v>
      </c>
      <c r="K7" s="352">
        <f>'Escenario 3'!H8</f>
        <v>0.1</v>
      </c>
    </row>
    <row r="8" spans="1:15" ht="15.75" thickBot="1" x14ac:dyDescent="0.3">
      <c r="C8" s="775"/>
      <c r="H8" s="363" t="s">
        <v>249</v>
      </c>
      <c r="I8" s="374">
        <f>'Escenario 3'!F9</f>
        <v>121458400</v>
      </c>
      <c r="J8" s="374">
        <f>'Escenario 3'!G9</f>
        <v>303646000</v>
      </c>
      <c r="K8" s="374">
        <f>'Escenario 3'!H9</f>
        <v>607292000</v>
      </c>
    </row>
    <row r="9" spans="1:15" ht="15.75" thickBot="1" x14ac:dyDescent="0.3">
      <c r="C9" s="101" t="s">
        <v>206</v>
      </c>
      <c r="F9" s="52"/>
      <c r="G9" s="52"/>
      <c r="H9" s="363" t="s">
        <v>189</v>
      </c>
      <c r="I9" s="353">
        <f>'Escenario 3'!F10</f>
        <v>2343935.7000000002</v>
      </c>
      <c r="J9" s="353">
        <f>'Escenario 3'!G10</f>
        <v>2614351.9749999996</v>
      </c>
      <c r="K9" s="353">
        <f>'Escenario 3'!H10</f>
        <v>2971977.4835000001</v>
      </c>
    </row>
    <row r="10" spans="1:15" x14ac:dyDescent="0.25">
      <c r="C10" s="776" t="s">
        <v>261</v>
      </c>
      <c r="F10" s="52"/>
      <c r="G10" s="52"/>
      <c r="H10" s="363" t="s">
        <v>149</v>
      </c>
      <c r="I10" s="353" t="e">
        <f>'Escenario 3'!F11</f>
        <v>#REF!</v>
      </c>
      <c r="J10" s="353" t="e">
        <f>'Escenario 3'!G11</f>
        <v>#REF!</v>
      </c>
      <c r="K10" s="353" t="e">
        <f>'Escenario 3'!H11</f>
        <v>#REF!</v>
      </c>
    </row>
    <row r="11" spans="1:15" x14ac:dyDescent="0.25">
      <c r="C11" s="774"/>
      <c r="F11" s="52"/>
      <c r="G11" s="52"/>
      <c r="H11" s="363" t="s">
        <v>247</v>
      </c>
      <c r="I11" s="353">
        <f>'Escenario 3'!F12</f>
        <v>7341662.4450000012</v>
      </c>
      <c r="J11" s="353">
        <f>'Escenario 3'!G12</f>
        <v>8446303.9266666677</v>
      </c>
      <c r="K11" s="353">
        <f>'Escenario 3'!H12</f>
        <v>10262133.115833335</v>
      </c>
    </row>
    <row r="12" spans="1:15" ht="15.75" thickBot="1" x14ac:dyDescent="0.3">
      <c r="C12" s="775"/>
      <c r="F12" s="52"/>
      <c r="G12" s="52"/>
      <c r="H12" s="52"/>
      <c r="I12" s="52"/>
      <c r="J12" s="52"/>
      <c r="K12" s="52"/>
    </row>
    <row r="13" spans="1:15" ht="15.75" thickBot="1" x14ac:dyDescent="0.3">
      <c r="C13" s="101" t="s">
        <v>207</v>
      </c>
      <c r="H13" s="52"/>
      <c r="I13" s="373" t="s">
        <v>176</v>
      </c>
      <c r="J13" s="350"/>
      <c r="K13" s="351"/>
    </row>
    <row r="14" spans="1:15" ht="19.5" customHeight="1" thickBot="1" x14ac:dyDescent="0.3">
      <c r="C14" s="378" t="s">
        <v>262</v>
      </c>
      <c r="H14" s="52"/>
      <c r="I14" s="136">
        <v>2019</v>
      </c>
      <c r="J14" s="136">
        <v>2020</v>
      </c>
      <c r="K14" s="136">
        <v>2021</v>
      </c>
    </row>
    <row r="15" spans="1:15" x14ac:dyDescent="0.25">
      <c r="H15" s="375"/>
      <c r="I15" s="353">
        <f>'Escenario 3'!F16</f>
        <v>141277.33333333334</v>
      </c>
      <c r="J15" s="353">
        <f>'Escenario 3'!G16</f>
        <v>147660.56666666665</v>
      </c>
      <c r="K15" s="353">
        <f>'Escenario 3'!H16</f>
        <v>162884.43333333335</v>
      </c>
    </row>
    <row r="16" spans="1:15" ht="15.75" thickBot="1" x14ac:dyDescent="0.3">
      <c r="C16" s="52"/>
      <c r="F16" s="52"/>
      <c r="G16" s="52"/>
      <c r="H16" s="375"/>
      <c r="I16" s="42"/>
      <c r="J16" s="42"/>
      <c r="K16" s="42"/>
    </row>
    <row r="17" spans="3:14" ht="15.75" thickBot="1" x14ac:dyDescent="0.3">
      <c r="C17" s="441" t="s">
        <v>266</v>
      </c>
      <c r="F17" s="52"/>
      <c r="G17" s="52"/>
      <c r="H17" s="373" t="s">
        <v>153</v>
      </c>
      <c r="I17" s="350"/>
      <c r="J17" s="350"/>
      <c r="K17" s="351"/>
    </row>
    <row r="18" spans="3:14" ht="15" customHeight="1" x14ac:dyDescent="0.25">
      <c r="C18" s="805" t="s">
        <v>274</v>
      </c>
      <c r="F18" s="52"/>
      <c r="G18" s="52"/>
      <c r="H18" s="357" t="s">
        <v>154</v>
      </c>
      <c r="I18" s="357">
        <v>2019</v>
      </c>
      <c r="J18" s="357">
        <v>2020</v>
      </c>
      <c r="K18" s="357">
        <v>2021</v>
      </c>
    </row>
    <row r="19" spans="3:14" ht="30" customHeight="1" x14ac:dyDescent="0.25">
      <c r="C19" s="806"/>
      <c r="F19" s="52"/>
      <c r="G19" s="52"/>
      <c r="H19" s="353">
        <f>'Escenario 3'!E20</f>
        <v>2297572</v>
      </c>
      <c r="I19" s="353">
        <f>'Escenario 3'!F20</f>
        <v>22999</v>
      </c>
      <c r="J19" s="353">
        <f>'Escenario 3'!G20</f>
        <v>70262</v>
      </c>
      <c r="K19" s="353">
        <f>'Escenario 3'!H20</f>
        <v>1306257</v>
      </c>
    </row>
    <row r="20" spans="3:14" x14ac:dyDescent="0.25">
      <c r="C20" s="806"/>
      <c r="F20" s="52"/>
      <c r="G20" s="52"/>
      <c r="H20" s="52"/>
      <c r="I20" s="52"/>
      <c r="J20" s="52"/>
      <c r="K20" s="52"/>
    </row>
    <row r="21" spans="3:14" x14ac:dyDescent="0.25">
      <c r="C21" s="806"/>
      <c r="F21" s="52"/>
      <c r="G21" s="52"/>
      <c r="H21" s="360" t="s">
        <v>203</v>
      </c>
      <c r="I21" s="360">
        <v>2019</v>
      </c>
      <c r="J21" s="360">
        <v>2020</v>
      </c>
      <c r="K21" s="360">
        <v>2021</v>
      </c>
      <c r="M21" s="780" t="s">
        <v>269</v>
      </c>
      <c r="N21" s="781"/>
    </row>
    <row r="22" spans="3:14" x14ac:dyDescent="0.25">
      <c r="C22" s="806"/>
      <c r="F22" s="361" t="s">
        <v>39</v>
      </c>
      <c r="G22" s="362"/>
      <c r="H22" s="366" t="s">
        <v>190</v>
      </c>
      <c r="I22" s="367">
        <f>I8</f>
        <v>121458400</v>
      </c>
      <c r="J22" s="429">
        <f>J8*M23</f>
        <v>273281400</v>
      </c>
      <c r="K22" s="429">
        <f>K8*N23</f>
        <v>558708640</v>
      </c>
      <c r="M22" s="357">
        <v>2020</v>
      </c>
      <c r="N22" s="357">
        <v>2021</v>
      </c>
    </row>
    <row r="23" spans="3:14" x14ac:dyDescent="0.25">
      <c r="C23" s="806"/>
      <c r="F23" s="784" t="s">
        <v>191</v>
      </c>
      <c r="G23" s="363" t="s">
        <v>244</v>
      </c>
      <c r="H23" s="366" t="s">
        <v>190</v>
      </c>
      <c r="I23" s="367">
        <f>I9</f>
        <v>2343935.7000000002</v>
      </c>
      <c r="J23" s="367">
        <f>J9</f>
        <v>2614351.9749999996</v>
      </c>
      <c r="K23" s="367">
        <f>K9</f>
        <v>2971977.4835000001</v>
      </c>
      <c r="M23" s="430">
        <v>0.9</v>
      </c>
      <c r="N23" s="430">
        <v>0.92</v>
      </c>
    </row>
    <row r="24" spans="3:14" x14ac:dyDescent="0.25">
      <c r="C24" s="806"/>
      <c r="F24" s="785"/>
      <c r="G24" s="363" t="s">
        <v>245</v>
      </c>
      <c r="H24" s="366" t="s">
        <v>190</v>
      </c>
      <c r="I24" s="367" t="e">
        <f>I10</f>
        <v>#REF!</v>
      </c>
      <c r="J24" s="429" t="e">
        <f>J10*M23</f>
        <v>#REF!</v>
      </c>
      <c r="K24" s="429" t="e">
        <f>K10*N23</f>
        <v>#REF!</v>
      </c>
    </row>
    <row r="25" spans="3:14" x14ac:dyDescent="0.25">
      <c r="C25" s="806"/>
      <c r="F25" s="786"/>
      <c r="G25" s="363" t="s">
        <v>246</v>
      </c>
      <c r="H25" s="366" t="s">
        <v>190</v>
      </c>
      <c r="I25" s="367">
        <f>I11</f>
        <v>7341662.4450000012</v>
      </c>
      <c r="J25" s="443">
        <f>J11-N30</f>
        <v>7896645.1166666672</v>
      </c>
      <c r="K25" s="444">
        <f>K11-N31</f>
        <v>8465054.0258333348</v>
      </c>
    </row>
    <row r="26" spans="3:14" x14ac:dyDescent="0.25">
      <c r="C26" s="806"/>
      <c r="F26" s="364" t="s">
        <v>192</v>
      </c>
      <c r="G26" s="365"/>
      <c r="H26" s="369" t="s">
        <v>190</v>
      </c>
      <c r="I26" s="370" t="e">
        <f>I22-I23-I24-I25</f>
        <v>#REF!</v>
      </c>
      <c r="J26" s="370" t="e">
        <f>J22-J23-J24-J25</f>
        <v>#REF!</v>
      </c>
      <c r="K26" s="370" t="e">
        <f>K22-K23-K24-K25</f>
        <v>#REF!</v>
      </c>
    </row>
    <row r="27" spans="3:14" x14ac:dyDescent="0.25">
      <c r="C27" s="806"/>
      <c r="F27" s="364" t="s">
        <v>193</v>
      </c>
      <c r="G27" s="365"/>
      <c r="H27" s="79" t="s">
        <v>190</v>
      </c>
      <c r="I27" s="367">
        <f>I22*0.03</f>
        <v>3643752</v>
      </c>
      <c r="J27" s="367">
        <f>J22*0.03</f>
        <v>8198442</v>
      </c>
      <c r="K27" s="367">
        <f>K22*0.03</f>
        <v>16761259.199999999</v>
      </c>
    </row>
    <row r="28" spans="3:14" x14ac:dyDescent="0.25">
      <c r="C28" s="806"/>
      <c r="F28" s="771" t="s">
        <v>194</v>
      </c>
      <c r="G28" s="772"/>
      <c r="H28" s="79"/>
      <c r="I28" s="367" t="e">
        <f>I26-I27</f>
        <v>#REF!</v>
      </c>
      <c r="J28" s="367" t="e">
        <f>J26-J27-J15</f>
        <v>#REF!</v>
      </c>
      <c r="K28" s="367" t="e">
        <f>K26-K27-K15</f>
        <v>#REF!</v>
      </c>
      <c r="M28" s="780" t="s">
        <v>270</v>
      </c>
      <c r="N28" s="781"/>
    </row>
    <row r="29" spans="3:14" x14ac:dyDescent="0.25">
      <c r="C29" s="806"/>
      <c r="F29" s="364" t="s">
        <v>195</v>
      </c>
      <c r="G29" s="365"/>
      <c r="H29" s="79" t="s">
        <v>190</v>
      </c>
      <c r="I29" s="367">
        <v>0</v>
      </c>
      <c r="J29" s="367">
        <v>0</v>
      </c>
      <c r="K29" s="367" t="e">
        <f>0.35*J28</f>
        <v>#REF!</v>
      </c>
      <c r="M29" s="438" t="s">
        <v>271</v>
      </c>
      <c r="N29" s="442">
        <v>1234590</v>
      </c>
    </row>
    <row r="30" spans="3:14" x14ac:dyDescent="0.25">
      <c r="C30" s="806"/>
      <c r="F30" s="364" t="s">
        <v>196</v>
      </c>
      <c r="G30" s="365"/>
      <c r="H30" s="369" t="s">
        <v>190</v>
      </c>
      <c r="I30" s="370" t="e">
        <f>I26-I27-I29</f>
        <v>#REF!</v>
      </c>
      <c r="J30" s="370" t="e">
        <f>J26-J27-J29</f>
        <v>#REF!</v>
      </c>
      <c r="K30" s="370" t="e">
        <f>K26-K27-K29</f>
        <v>#REF!</v>
      </c>
      <c r="M30" s="439" t="s">
        <v>273</v>
      </c>
      <c r="N30" s="443">
        <f>549658.81</f>
        <v>549658.81000000006</v>
      </c>
    </row>
    <row r="31" spans="3:14" x14ac:dyDescent="0.25">
      <c r="C31" s="806"/>
      <c r="F31" s="364" t="s">
        <v>197</v>
      </c>
      <c r="G31" s="365"/>
      <c r="H31" s="367">
        <f>-H19</f>
        <v>-2297572</v>
      </c>
      <c r="I31" s="367">
        <f>-I19</f>
        <v>-22999</v>
      </c>
      <c r="J31" s="367">
        <f>-J19</f>
        <v>-70262</v>
      </c>
      <c r="K31" s="442">
        <f>-K19+N29</f>
        <v>-71667</v>
      </c>
      <c r="M31" s="439" t="s">
        <v>272</v>
      </c>
      <c r="N31" s="444">
        <f>634277.41+824488.21+338313.47</f>
        <v>1797079.09</v>
      </c>
    </row>
    <row r="32" spans="3:14" x14ac:dyDescent="0.25">
      <c r="C32" s="806"/>
      <c r="F32" s="364" t="s">
        <v>198</v>
      </c>
      <c r="G32" s="365"/>
      <c r="H32" s="370">
        <f>H31</f>
        <v>-2297572</v>
      </c>
      <c r="I32" s="370" t="e">
        <f>I30+I31</f>
        <v>#REF!</v>
      </c>
      <c r="J32" s="370" t="e">
        <f>J30+J31</f>
        <v>#REF!</v>
      </c>
      <c r="K32" s="370" t="e">
        <f>K30+K31</f>
        <v>#REF!</v>
      </c>
    </row>
    <row r="33" spans="3:14" ht="15.75" thickBot="1" x14ac:dyDescent="0.3">
      <c r="C33" s="806"/>
      <c r="F33" s="52"/>
      <c r="G33" s="52"/>
      <c r="H33" s="52"/>
      <c r="I33" s="52"/>
      <c r="J33" s="52"/>
      <c r="K33" s="52"/>
      <c r="N33" s="440"/>
    </row>
    <row r="34" spans="3:14" ht="15.75" thickBot="1" x14ac:dyDescent="0.3">
      <c r="C34" s="806"/>
      <c r="F34" s="52"/>
      <c r="G34" s="803" t="s">
        <v>218</v>
      </c>
      <c r="H34" s="804"/>
      <c r="I34" s="52"/>
      <c r="J34" s="803" t="s">
        <v>268</v>
      </c>
      <c r="K34" s="804"/>
    </row>
    <row r="35" spans="3:14" x14ac:dyDescent="0.25">
      <c r="C35" s="806"/>
      <c r="F35" s="52"/>
      <c r="G35" s="432" t="s">
        <v>199</v>
      </c>
      <c r="H35" s="433">
        <v>0.62</v>
      </c>
      <c r="I35" s="52"/>
      <c r="J35" s="432" t="s">
        <v>199</v>
      </c>
      <c r="K35" s="433">
        <v>0.62</v>
      </c>
    </row>
    <row r="36" spans="3:14" x14ac:dyDescent="0.25">
      <c r="C36" s="806"/>
      <c r="F36" s="52"/>
      <c r="G36" s="434" t="s">
        <v>200</v>
      </c>
      <c r="H36" s="435"/>
      <c r="I36" s="52"/>
      <c r="J36" s="434" t="s">
        <v>200</v>
      </c>
      <c r="K36" s="435"/>
    </row>
    <row r="37" spans="3:14" ht="15.75" thickBot="1" x14ac:dyDescent="0.3">
      <c r="C37" s="806"/>
      <c r="G37" s="436" t="s">
        <v>201</v>
      </c>
      <c r="H37" s="437"/>
      <c r="J37" s="436" t="s">
        <v>201</v>
      </c>
      <c r="K37" s="437"/>
    </row>
    <row r="38" spans="3:14" x14ac:dyDescent="0.25">
      <c r="C38" s="806"/>
    </row>
    <row r="39" spans="3:14" ht="15.75" thickBot="1" x14ac:dyDescent="0.3">
      <c r="C39" s="807"/>
    </row>
    <row r="40" spans="3:14" ht="15" customHeight="1" x14ac:dyDescent="0.25">
      <c r="G40" s="808" t="s">
        <v>72</v>
      </c>
      <c r="H40" s="809"/>
      <c r="I40" s="809"/>
      <c r="J40" s="809"/>
      <c r="K40" s="810"/>
    </row>
    <row r="41" spans="3:14" ht="3" customHeight="1" thickBot="1" x14ac:dyDescent="0.3">
      <c r="G41" s="811"/>
      <c r="H41" s="812"/>
      <c r="I41" s="812"/>
      <c r="J41" s="812"/>
      <c r="K41" s="813"/>
    </row>
    <row r="42" spans="3:14" ht="69.75" customHeight="1" thickBot="1" x14ac:dyDescent="0.3">
      <c r="G42" s="797" t="s">
        <v>275</v>
      </c>
      <c r="H42" s="798"/>
      <c r="I42" s="798"/>
      <c r="J42" s="798"/>
      <c r="K42" s="799"/>
    </row>
  </sheetData>
  <mergeCells count="13">
    <mergeCell ref="G42:K42"/>
    <mergeCell ref="C3:N3"/>
    <mergeCell ref="G34:H34"/>
    <mergeCell ref="J34:K34"/>
    <mergeCell ref="M28:N28"/>
    <mergeCell ref="C18:C39"/>
    <mergeCell ref="G40:K41"/>
    <mergeCell ref="C6:C8"/>
    <mergeCell ref="C10:C12"/>
    <mergeCell ref="I5:K5"/>
    <mergeCell ref="M21:N21"/>
    <mergeCell ref="F23:F25"/>
    <mergeCell ref="F28:G28"/>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D6" sqref="D6"/>
    </sheetView>
  </sheetViews>
  <sheetFormatPr baseColWidth="10"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row r="1" spans="1:10" ht="33.75" customHeight="1" x14ac:dyDescent="0.25">
      <c r="B1" s="21"/>
      <c r="C1" s="17" t="s">
        <v>17</v>
      </c>
      <c r="D1" s="9"/>
      <c r="E1" s="6"/>
    </row>
    <row r="2" spans="1:10" x14ac:dyDescent="0.25">
      <c r="B2" s="15" t="s">
        <v>16</v>
      </c>
      <c r="C2" s="22">
        <v>3072029</v>
      </c>
      <c r="D2" s="8"/>
      <c r="E2" s="7"/>
      <c r="H2" s="10">
        <v>2019</v>
      </c>
      <c r="I2" s="11">
        <v>3072029</v>
      </c>
      <c r="J2" s="12"/>
    </row>
    <row r="3" spans="1:10" x14ac:dyDescent="0.25">
      <c r="B3" s="20" t="s">
        <v>18</v>
      </c>
      <c r="C3" s="16">
        <v>44938712</v>
      </c>
      <c r="D3" s="8"/>
      <c r="E3" s="7"/>
      <c r="H3" s="13">
        <v>2019</v>
      </c>
      <c r="I3" s="14">
        <v>17370144</v>
      </c>
      <c r="J3" s="12"/>
    </row>
    <row r="4" spans="1:10" x14ac:dyDescent="0.25">
      <c r="B4" s="15" t="s">
        <v>24</v>
      </c>
      <c r="C4" s="16">
        <f>C3*32/100</f>
        <v>14380387.84</v>
      </c>
      <c r="E4" s="7"/>
      <c r="H4" s="10">
        <v>2019</v>
      </c>
      <c r="I4" s="11">
        <v>44938712</v>
      </c>
      <c r="J4" s="12">
        <f>I4*32/100</f>
        <v>14380387.84</v>
      </c>
    </row>
    <row r="5" spans="1:10" x14ac:dyDescent="0.25">
      <c r="B5" s="18" t="s">
        <v>19</v>
      </c>
      <c r="C5" s="19">
        <f>C4+C2</f>
        <v>17452416.84</v>
      </c>
    </row>
    <row r="6" spans="1:10" x14ac:dyDescent="0.25">
      <c r="B6" s="6"/>
    </row>
    <row r="7" spans="1:10" x14ac:dyDescent="0.25">
      <c r="A7" t="s">
        <v>21</v>
      </c>
      <c r="B7" s="6" t="s">
        <v>20</v>
      </c>
    </row>
    <row r="8" spans="1:10" x14ac:dyDescent="0.25">
      <c r="A8" t="s">
        <v>23</v>
      </c>
      <c r="B8" s="6" t="s">
        <v>22</v>
      </c>
    </row>
    <row r="11" spans="1:10" ht="15.75" thickBot="1" x14ac:dyDescent="0.3">
      <c r="B11" s="1"/>
      <c r="C11" s="1"/>
      <c r="D11" s="1"/>
      <c r="E11" s="1"/>
      <c r="F11" s="1"/>
      <c r="G11" s="1"/>
      <c r="H11" s="1"/>
      <c r="I11" s="1"/>
      <c r="J11" s="1"/>
    </row>
    <row r="12" spans="1:10" ht="27" thickBot="1" x14ac:dyDescent="0.45">
      <c r="B12" s="670" t="s">
        <v>15</v>
      </c>
      <c r="C12" s="671"/>
      <c r="D12" s="671"/>
      <c r="E12" s="671"/>
      <c r="F12" s="671"/>
      <c r="G12" s="671"/>
      <c r="H12" s="671"/>
      <c r="I12" s="671"/>
      <c r="J12" s="672"/>
    </row>
    <row r="13" spans="1:10" ht="18.75" x14ac:dyDescent="0.25">
      <c r="B13" s="814" t="s">
        <v>34</v>
      </c>
      <c r="C13" s="815"/>
      <c r="D13" s="815"/>
      <c r="E13" s="815"/>
      <c r="F13" s="815"/>
      <c r="G13" s="815"/>
      <c r="H13" s="815"/>
      <c r="I13" s="815"/>
      <c r="J13" s="816"/>
    </row>
    <row r="14" spans="1:10" x14ac:dyDescent="0.25">
      <c r="B14" s="1"/>
      <c r="C14" s="1"/>
      <c r="D14" s="1"/>
      <c r="E14" s="1"/>
      <c r="F14" s="1"/>
      <c r="G14" s="1"/>
      <c r="H14" s="1"/>
      <c r="I14" s="1"/>
      <c r="J14" s="1"/>
    </row>
    <row r="15" spans="1:10" x14ac:dyDescent="0.25">
      <c r="B15" s="21"/>
      <c r="C15" s="24" t="s">
        <v>26</v>
      </c>
      <c r="D15" s="1"/>
      <c r="E15" s="1"/>
      <c r="F15" s="1"/>
      <c r="G15" s="1"/>
      <c r="H15" s="1"/>
      <c r="I15" s="1"/>
      <c r="J15" s="1"/>
    </row>
    <row r="16" spans="1:10" x14ac:dyDescent="0.25">
      <c r="B16" s="36" t="s">
        <v>16</v>
      </c>
      <c r="C16" s="25">
        <v>3072029</v>
      </c>
      <c r="D16" s="1"/>
      <c r="E16" s="1"/>
      <c r="F16" s="1"/>
      <c r="G16" s="1"/>
      <c r="H16" s="1"/>
      <c r="I16" s="1"/>
      <c r="J16" s="1"/>
    </row>
    <row r="17" spans="2:10" x14ac:dyDescent="0.25">
      <c r="B17" s="37" t="s">
        <v>18</v>
      </c>
      <c r="C17" s="26">
        <v>44938712</v>
      </c>
      <c r="D17" s="1"/>
      <c r="E17" s="1"/>
      <c r="F17" s="1"/>
      <c r="G17" s="1"/>
      <c r="H17" s="1"/>
      <c r="I17" s="1"/>
      <c r="J17" s="1"/>
    </row>
    <row r="18" spans="2:10" x14ac:dyDescent="0.25">
      <c r="B18" s="36" t="s">
        <v>24</v>
      </c>
      <c r="C18" s="26">
        <f>ROUND(C17*32/100,0)</f>
        <v>14380388</v>
      </c>
      <c r="D18" s="1"/>
      <c r="E18" s="1"/>
      <c r="F18" s="1"/>
      <c r="G18" s="1"/>
      <c r="H18" s="1"/>
      <c r="I18" s="1"/>
      <c r="J18" s="1"/>
    </row>
    <row r="19" spans="2:10" x14ac:dyDescent="0.25">
      <c r="B19" s="38" t="s">
        <v>27</v>
      </c>
      <c r="C19" s="27">
        <f>C18+C16</f>
        <v>17452417</v>
      </c>
      <c r="D19" s="1" t="s">
        <v>25</v>
      </c>
      <c r="E19" s="1"/>
      <c r="F19" s="1"/>
      <c r="G19" s="1"/>
      <c r="H19" s="1"/>
      <c r="I19" s="1"/>
      <c r="J19" s="1"/>
    </row>
  </sheetData>
  <mergeCells count="2">
    <mergeCell ref="B12:J12"/>
    <mergeCell ref="B13:J13"/>
  </mergeCells>
  <hyperlinks>
    <hyperlink ref="B7" r:id="rId1"/>
    <hyperlink ref="B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C1:F18"/>
  <sheetViews>
    <sheetView workbookViewId="0">
      <selection activeCell="C9" sqref="C9"/>
    </sheetView>
  </sheetViews>
  <sheetFormatPr baseColWidth="10" defaultColWidth="11.42578125" defaultRowHeight="15" x14ac:dyDescent="0.25"/>
  <cols>
    <col min="1" max="1" width="11.42578125" style="445"/>
    <col min="2" max="2" width="13" style="445" bestFit="1" customWidth="1"/>
    <col min="3" max="3" width="11.42578125" style="445"/>
    <col min="4" max="4" width="35.5703125" style="445" customWidth="1"/>
    <col min="5" max="16384" width="11.42578125" style="445"/>
  </cols>
  <sheetData>
    <row r="1" spans="3:6" ht="15.75" thickBot="1" x14ac:dyDescent="0.3">
      <c r="D1" s="457"/>
    </row>
    <row r="2" spans="3:6" ht="21.75" thickBot="1" x14ac:dyDescent="0.4">
      <c r="C2" s="456"/>
      <c r="D2" s="458" t="s">
        <v>14</v>
      </c>
    </row>
    <row r="3" spans="3:6" ht="15.75" thickBot="1" x14ac:dyDescent="0.3">
      <c r="D3" s="456"/>
    </row>
    <row r="4" spans="3:6" ht="18.75" x14ac:dyDescent="0.25">
      <c r="C4" s="456"/>
      <c r="D4" s="453" t="s">
        <v>1</v>
      </c>
    </row>
    <row r="5" spans="3:6" ht="18.75" x14ac:dyDescent="0.25">
      <c r="C5" s="456"/>
      <c r="D5" s="454" t="s">
        <v>2</v>
      </c>
    </row>
    <row r="6" spans="3:6" ht="18.75" x14ac:dyDescent="0.25">
      <c r="C6" s="456"/>
      <c r="D6" s="454" t="s">
        <v>3</v>
      </c>
    </row>
    <row r="7" spans="3:6" ht="18.75" x14ac:dyDescent="0.25">
      <c r="C7" s="456"/>
      <c r="D7" s="454" t="s">
        <v>4</v>
      </c>
    </row>
    <row r="8" spans="3:6" ht="18.75" x14ac:dyDescent="0.25">
      <c r="C8" s="456"/>
      <c r="D8" s="454" t="s">
        <v>5</v>
      </c>
      <c r="F8" s="481"/>
    </row>
    <row r="9" spans="3:6" ht="18.75" x14ac:dyDescent="0.25">
      <c r="C9" s="456"/>
      <c r="D9" s="454" t="s">
        <v>6</v>
      </c>
    </row>
    <row r="10" spans="3:6" ht="18.75" x14ac:dyDescent="0.25">
      <c r="C10" s="456"/>
      <c r="D10" s="454" t="s">
        <v>7</v>
      </c>
    </row>
    <row r="11" spans="3:6" ht="18.75" x14ac:dyDescent="0.25">
      <c r="C11" s="456"/>
      <c r="D11" s="454" t="s">
        <v>8</v>
      </c>
    </row>
    <row r="12" spans="3:6" ht="18.75" x14ac:dyDescent="0.25">
      <c r="C12" s="456"/>
      <c r="D12" s="454" t="s">
        <v>9</v>
      </c>
    </row>
    <row r="13" spans="3:6" ht="18.75" x14ac:dyDescent="0.25">
      <c r="C13" s="456"/>
      <c r="D13" s="454" t="s">
        <v>10</v>
      </c>
    </row>
    <row r="14" spans="3:6" ht="18.75" x14ac:dyDescent="0.25">
      <c r="C14" s="456"/>
      <c r="D14" s="454" t="s">
        <v>11</v>
      </c>
    </row>
    <row r="15" spans="3:6" ht="18.75" x14ac:dyDescent="0.25">
      <c r="C15" s="456"/>
      <c r="D15" s="454" t="s">
        <v>242</v>
      </c>
    </row>
    <row r="16" spans="3:6" ht="18.75" x14ac:dyDescent="0.25">
      <c r="C16" s="456"/>
      <c r="D16" s="454" t="s">
        <v>212</v>
      </c>
    </row>
    <row r="17" spans="3:4" ht="18.75" x14ac:dyDescent="0.25">
      <c r="C17" s="456"/>
      <c r="D17" s="454" t="s">
        <v>218</v>
      </c>
    </row>
    <row r="18" spans="3:4" ht="19.5" thickBot="1" x14ac:dyDescent="0.3">
      <c r="C18" s="456"/>
      <c r="D18" s="455" t="s">
        <v>12</v>
      </c>
    </row>
  </sheetData>
  <hyperlinks>
    <hyperlink ref="D4" location="Hipótesis!A1" display="Hipótesis"/>
    <hyperlink ref="D5" location="'Proy. Ventas'!A1" display="Proyección de ventas"/>
    <hyperlink ref="D6" location="'Mod. Ingresos'!A1" display="Modelo de ingresos"/>
    <hyperlink ref="D7" location="'Costos Fijos'!A1" display="Estructura de costos fijos"/>
    <hyperlink ref="D8" location="'Costos Variables'!A1" display="Estructura de costos variables"/>
    <hyperlink ref="D9" location="'Costos RRHH'!A1" display="Estructura de costos de RRHH"/>
    <hyperlink ref="D10" location="'Mod. Egresos'!A1" display="Modelo de egresos"/>
    <hyperlink ref="D11" location="'Mod. Inversión'!A1" display="Modelo de inversión"/>
    <hyperlink ref="D12" location="Amortizaciones!A1" display="Amortizaciones"/>
    <hyperlink ref="D13" location="'Presupuesto financiero'!A1" display="Presupuesto Financiero"/>
    <hyperlink ref="D14" location="'Matriz Riesgo'!A1" display="Matriz de riesgos"/>
    <hyperlink ref="D15" location="'Escenario 1'!A1" display="Escenario 1"/>
    <hyperlink ref="D18" location="'Plan de Contingencia'!A1" display="Plan de contingencia"/>
    <hyperlink ref="D16" location="'Escenario 2'!A1" display="Escenario 2"/>
    <hyperlink ref="D17" location="'Escenario 3'!A1" display="Escenario 3"/>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N57"/>
  <sheetViews>
    <sheetView zoomScale="80" zoomScaleNormal="80" workbookViewId="0">
      <pane ySplit="1" topLeftCell="A8" activePane="bottomLeft" state="frozen"/>
      <selection pane="bottomLeft" activeCell="C27" sqref="C27"/>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461" customFormat="1" ht="58.5" customHeight="1" thickBot="1" x14ac:dyDescent="0.3">
      <c r="A1" s="460"/>
      <c r="E1" s="462" t="s">
        <v>1</v>
      </c>
      <c r="F1" s="463"/>
      <c r="G1" s="463"/>
    </row>
    <row r="2" spans="1:11" ht="15.75" thickBot="1" x14ac:dyDescent="0.3">
      <c r="C2" s="5"/>
    </row>
    <row r="3" spans="1:11" ht="24.75" customHeight="1" thickBot="1" x14ac:dyDescent="0.45">
      <c r="B3" s="589" t="s">
        <v>65</v>
      </c>
      <c r="C3" s="590"/>
      <c r="D3" s="590"/>
      <c r="E3" s="590"/>
      <c r="F3" s="590"/>
      <c r="G3" s="590"/>
      <c r="H3" s="590"/>
      <c r="I3" s="590"/>
      <c r="J3" s="591"/>
    </row>
    <row r="4" spans="1:11" ht="165" customHeight="1" thickBot="1" x14ac:dyDescent="0.3">
      <c r="B4" s="598" t="s">
        <v>281</v>
      </c>
      <c r="C4" s="599"/>
      <c r="D4" s="599"/>
      <c r="E4" s="599"/>
      <c r="F4" s="599"/>
      <c r="G4" s="599"/>
      <c r="H4" s="599"/>
      <c r="I4" s="599"/>
      <c r="J4" s="600"/>
      <c r="K4" s="4"/>
    </row>
    <row r="6" spans="1:11" ht="15.75" thickBot="1" x14ac:dyDescent="0.3"/>
    <row r="7" spans="1:11" ht="27" thickBot="1" x14ac:dyDescent="0.45">
      <c r="B7" s="601" t="s">
        <v>66</v>
      </c>
      <c r="C7" s="602"/>
      <c r="D7" s="602"/>
      <c r="E7" s="602"/>
      <c r="F7" s="602"/>
      <c r="G7" s="602"/>
      <c r="H7" s="602"/>
      <c r="I7" s="602"/>
      <c r="J7" s="603"/>
    </row>
    <row r="8" spans="1:11" ht="73.5" customHeight="1" thickBot="1" x14ac:dyDescent="0.3">
      <c r="B8" s="604" t="s">
        <v>282</v>
      </c>
      <c r="C8" s="605"/>
      <c r="D8" s="605"/>
      <c r="E8" s="605"/>
      <c r="F8" s="605"/>
      <c r="G8" s="605"/>
      <c r="H8" s="605"/>
      <c r="I8" s="605"/>
      <c r="J8" s="606"/>
    </row>
    <row r="9" spans="1:11" ht="18.75" x14ac:dyDescent="0.25">
      <c r="B9" s="74"/>
      <c r="C9" s="74"/>
      <c r="D9" s="74"/>
      <c r="E9" s="74"/>
      <c r="F9" s="74"/>
      <c r="G9" s="74"/>
      <c r="H9" s="74"/>
      <c r="I9" s="74"/>
      <c r="J9" s="74"/>
    </row>
    <row r="10" spans="1:11" ht="19.5" thickBot="1" x14ac:dyDescent="0.3">
      <c r="B10" s="74"/>
      <c r="C10" s="74"/>
      <c r="D10" s="74"/>
      <c r="E10" s="74"/>
      <c r="F10" s="74"/>
      <c r="G10" s="74"/>
      <c r="H10" s="74"/>
      <c r="I10" s="74"/>
      <c r="J10" s="74"/>
    </row>
    <row r="11" spans="1:11" ht="18.75" x14ac:dyDescent="0.25">
      <c r="B11" s="475" t="s">
        <v>276</v>
      </c>
      <c r="C11" s="476" t="s">
        <v>277</v>
      </c>
      <c r="D11" s="477" t="s">
        <v>38</v>
      </c>
      <c r="E11" s="74"/>
      <c r="F11" s="74"/>
      <c r="G11" s="74"/>
      <c r="H11" s="74"/>
      <c r="I11" s="74"/>
      <c r="J11" s="74"/>
    </row>
    <row r="12" spans="1:11" ht="21" customHeight="1" thickBot="1" x14ac:dyDescent="0.3">
      <c r="B12" s="478">
        <v>1214584</v>
      </c>
      <c r="C12" s="479">
        <v>5000</v>
      </c>
      <c r="D12" s="480">
        <f>B12*C12</f>
        <v>6072920000</v>
      </c>
      <c r="E12" s="74"/>
      <c r="F12" s="74"/>
      <c r="G12" s="74"/>
      <c r="H12" s="74"/>
      <c r="I12" s="74"/>
      <c r="J12" s="74"/>
    </row>
    <row r="13" spans="1:11" ht="20.25" customHeight="1" x14ac:dyDescent="0.25">
      <c r="B13" s="74"/>
      <c r="C13" s="74"/>
      <c r="D13" s="74"/>
      <c r="E13" s="74"/>
      <c r="F13" s="74"/>
      <c r="G13" s="74"/>
      <c r="H13" s="74"/>
      <c r="I13" s="74"/>
      <c r="J13" s="74"/>
    </row>
    <row r="14" spans="1:11" ht="12.75" customHeight="1" thickBot="1" x14ac:dyDescent="0.3"/>
    <row r="15" spans="1:11" ht="27" thickBot="1" x14ac:dyDescent="0.45">
      <c r="B15" s="607" t="s">
        <v>67</v>
      </c>
      <c r="C15" s="608"/>
      <c r="D15" s="608"/>
      <c r="E15" s="608"/>
      <c r="F15" s="608"/>
      <c r="G15" s="608"/>
      <c r="H15" s="608"/>
      <c r="I15" s="608"/>
      <c r="J15" s="609"/>
    </row>
    <row r="16" spans="1:11" ht="43.5" customHeight="1" thickBot="1" x14ac:dyDescent="0.3">
      <c r="B16" s="610" t="s">
        <v>322</v>
      </c>
      <c r="C16" s="611"/>
      <c r="D16" s="611"/>
      <c r="E16" s="611"/>
      <c r="F16" s="611"/>
      <c r="G16" s="611"/>
      <c r="H16" s="611"/>
      <c r="I16" s="611"/>
      <c r="J16" s="612"/>
    </row>
    <row r="17" spans="2:14" ht="15.75" x14ac:dyDescent="0.25">
      <c r="B17" s="23"/>
      <c r="C17" s="23"/>
      <c r="D17" s="23"/>
      <c r="E17" s="23"/>
      <c r="F17" s="23"/>
      <c r="G17" s="23"/>
      <c r="H17" s="23"/>
      <c r="I17" s="23"/>
      <c r="J17" s="23"/>
      <c r="K17" s="23"/>
      <c r="L17" s="23"/>
      <c r="M17" s="23"/>
      <c r="N17" s="23"/>
    </row>
    <row r="18" spans="2:14" ht="15.75" x14ac:dyDescent="0.25">
      <c r="E18" s="23"/>
      <c r="F18" s="23"/>
      <c r="G18" s="23"/>
      <c r="H18" s="23"/>
      <c r="I18" s="23"/>
      <c r="J18" s="23"/>
      <c r="K18" s="23"/>
      <c r="L18" s="23"/>
      <c r="M18" s="23"/>
      <c r="N18" s="23"/>
    </row>
    <row r="19" spans="2:14" ht="15.75" x14ac:dyDescent="0.25">
      <c r="E19" s="23"/>
      <c r="F19" s="23"/>
      <c r="G19" s="23"/>
      <c r="H19" s="23"/>
      <c r="I19" s="23"/>
      <c r="J19" s="23"/>
      <c r="K19" s="23"/>
      <c r="L19" s="23"/>
      <c r="M19" s="23"/>
      <c r="N19" s="23"/>
    </row>
    <row r="20" spans="2:14" ht="15.75" x14ac:dyDescent="0.25">
      <c r="D20" s="23"/>
      <c r="E20" s="23"/>
      <c r="F20" s="23"/>
      <c r="G20" s="23"/>
      <c r="H20" s="23"/>
      <c r="I20" s="23"/>
      <c r="J20" s="23"/>
      <c r="K20" s="23"/>
      <c r="L20" s="23"/>
      <c r="M20" s="23"/>
      <c r="N20" s="23"/>
    </row>
    <row r="21" spans="2:14" ht="16.5" thickBot="1" x14ac:dyDescent="0.3">
      <c r="B21" s="23"/>
      <c r="C21" s="23"/>
      <c r="D21" s="23"/>
      <c r="E21" s="23"/>
      <c r="F21" s="23"/>
      <c r="G21" s="23"/>
      <c r="H21" s="23"/>
      <c r="I21" s="23"/>
      <c r="J21" s="23"/>
      <c r="K21" s="23"/>
      <c r="L21" s="23"/>
      <c r="M21" s="23"/>
      <c r="N21" s="23"/>
    </row>
    <row r="22" spans="2:14" ht="27" thickBot="1" x14ac:dyDescent="0.3">
      <c r="B22" s="592" t="s">
        <v>64</v>
      </c>
      <c r="C22" s="593"/>
      <c r="D22" s="594"/>
      <c r="E22" s="23"/>
      <c r="F22" s="23"/>
      <c r="G22" s="23"/>
      <c r="H22" s="23"/>
      <c r="I22" s="23"/>
      <c r="J22" s="23"/>
      <c r="K22" s="23"/>
      <c r="L22" s="23"/>
      <c r="M22" s="23"/>
      <c r="N22" s="23"/>
    </row>
    <row r="23" spans="2:14" ht="19.5" thickBot="1" x14ac:dyDescent="0.3">
      <c r="B23" s="472" t="s">
        <v>36</v>
      </c>
      <c r="C23" s="473" t="s">
        <v>37</v>
      </c>
      <c r="D23" s="474" t="s">
        <v>19</v>
      </c>
      <c r="E23" s="23"/>
      <c r="F23" s="23"/>
      <c r="G23" s="23"/>
      <c r="H23" s="23"/>
      <c r="I23" s="23"/>
      <c r="J23" s="23"/>
      <c r="K23" s="23"/>
      <c r="L23" s="23"/>
      <c r="M23" s="23"/>
      <c r="N23" s="23"/>
    </row>
    <row r="24" spans="2:14" ht="15.75" x14ac:dyDescent="0.25">
      <c r="B24" s="465">
        <v>2020</v>
      </c>
      <c r="C24" s="464">
        <v>0.02</v>
      </c>
      <c r="D24" s="466">
        <f>C24*$D$12</f>
        <v>121458400</v>
      </c>
      <c r="E24" s="23"/>
      <c r="F24" s="23"/>
      <c r="G24" s="23"/>
      <c r="H24" s="23"/>
      <c r="I24" s="23"/>
      <c r="J24" s="23"/>
      <c r="K24" s="23"/>
      <c r="L24" s="23"/>
      <c r="M24" s="23"/>
      <c r="N24" s="23"/>
    </row>
    <row r="25" spans="2:14" ht="15.75" x14ac:dyDescent="0.25">
      <c r="B25" s="467">
        <v>2021</v>
      </c>
      <c r="C25" s="28">
        <v>0.05</v>
      </c>
      <c r="D25" s="468">
        <f t="shared" ref="D25:D26" si="0">C25*$D$12</f>
        <v>303646000</v>
      </c>
      <c r="E25" s="23"/>
      <c r="F25" s="23"/>
      <c r="G25" s="23"/>
      <c r="H25" s="23"/>
      <c r="I25" s="23"/>
      <c r="J25" s="23"/>
      <c r="K25" s="23"/>
      <c r="L25" s="23"/>
      <c r="M25" s="23"/>
      <c r="N25" s="23"/>
    </row>
    <row r="26" spans="2:14" ht="16.5" thickBot="1" x14ac:dyDescent="0.3">
      <c r="B26" s="469">
        <v>2022</v>
      </c>
      <c r="C26" s="470">
        <v>0.1</v>
      </c>
      <c r="D26" s="471">
        <f t="shared" si="0"/>
        <v>607292000</v>
      </c>
      <c r="E26" s="23"/>
      <c r="F26" s="23"/>
      <c r="G26" s="23"/>
      <c r="H26" s="23"/>
      <c r="I26" s="23"/>
      <c r="J26" s="23"/>
      <c r="K26" s="23"/>
      <c r="L26" s="23"/>
      <c r="M26" s="23"/>
      <c r="N26" s="23"/>
    </row>
    <row r="27" spans="2:14" ht="15.75" x14ac:dyDescent="0.25">
      <c r="B27" s="23"/>
      <c r="C27" s="59"/>
      <c r="D27" s="60"/>
      <c r="E27" s="23"/>
      <c r="F27" s="23"/>
      <c r="G27" s="23"/>
      <c r="H27" s="23"/>
      <c r="I27" s="23"/>
      <c r="J27" s="23"/>
      <c r="K27" s="23"/>
      <c r="L27" s="23"/>
      <c r="M27" s="23"/>
      <c r="N27" s="23"/>
    </row>
    <row r="28" spans="2:14" ht="15.75" x14ac:dyDescent="0.25">
      <c r="B28" s="23"/>
      <c r="C28" s="59"/>
      <c r="D28" s="60"/>
      <c r="E28" s="23"/>
      <c r="F28" s="23"/>
      <c r="G28" s="23"/>
      <c r="H28" s="23"/>
      <c r="I28" s="23"/>
      <c r="J28" s="23"/>
      <c r="K28" s="23"/>
      <c r="L28" s="23"/>
      <c r="M28" s="23"/>
      <c r="N28" s="23"/>
    </row>
    <row r="29" spans="2:14" ht="15.75" x14ac:dyDescent="0.25">
      <c r="B29" s="23"/>
      <c r="C29" s="59"/>
      <c r="D29" s="60"/>
      <c r="E29" s="23"/>
      <c r="F29" s="23"/>
      <c r="G29" s="23"/>
      <c r="H29" s="23"/>
      <c r="I29" s="23"/>
      <c r="J29" s="23"/>
      <c r="K29" s="23"/>
      <c r="L29" s="23"/>
      <c r="M29" s="23"/>
      <c r="N29" s="23"/>
    </row>
    <row r="30" spans="2:14" ht="15.75" x14ac:dyDescent="0.25">
      <c r="B30" s="23"/>
      <c r="C30" s="59"/>
      <c r="D30" s="60"/>
      <c r="E30" s="23"/>
      <c r="F30" s="23"/>
      <c r="G30" s="23"/>
      <c r="H30" s="23"/>
      <c r="I30" s="23"/>
      <c r="J30" s="23"/>
      <c r="K30" s="23"/>
      <c r="L30" s="23"/>
      <c r="M30" s="23"/>
      <c r="N30" s="23"/>
    </row>
    <row r="31" spans="2:14" ht="15.75" x14ac:dyDescent="0.25">
      <c r="B31" s="23"/>
      <c r="C31" s="59"/>
      <c r="D31" s="60"/>
      <c r="E31" s="23"/>
      <c r="F31" s="23"/>
      <c r="G31" s="23"/>
      <c r="H31" s="23"/>
      <c r="I31" s="23"/>
      <c r="J31" s="23"/>
      <c r="K31" s="23"/>
      <c r="L31" s="23"/>
      <c r="M31" s="23"/>
      <c r="N31" s="23"/>
    </row>
    <row r="32" spans="2:14" ht="16.5" thickBot="1" x14ac:dyDescent="0.3">
      <c r="B32" s="23"/>
      <c r="C32" s="23"/>
      <c r="D32" s="23"/>
      <c r="E32" s="23"/>
      <c r="F32" s="23"/>
      <c r="H32" s="23"/>
      <c r="I32" s="23"/>
      <c r="J32" s="23"/>
      <c r="K32" s="23"/>
      <c r="L32" s="23"/>
      <c r="M32" s="23"/>
      <c r="N32" s="23"/>
    </row>
    <row r="33" spans="1:14" ht="27" thickBot="1" x14ac:dyDescent="0.45">
      <c r="B33" s="589" t="s">
        <v>68</v>
      </c>
      <c r="C33" s="590"/>
      <c r="D33" s="590"/>
      <c r="E33" s="590"/>
      <c r="F33" s="591"/>
      <c r="H33" s="63"/>
      <c r="I33" s="63"/>
      <c r="J33" s="63"/>
      <c r="K33" s="63"/>
      <c r="L33" s="63"/>
      <c r="M33" s="63"/>
      <c r="N33" s="63"/>
    </row>
    <row r="34" spans="1:14" ht="27" thickBot="1" x14ac:dyDescent="0.45">
      <c r="A34" s="52"/>
      <c r="B34" s="39"/>
      <c r="C34" s="39"/>
      <c r="D34" s="39"/>
      <c r="E34" s="39"/>
      <c r="F34" s="39"/>
      <c r="G34" s="52"/>
      <c r="H34" s="63"/>
      <c r="I34" s="63"/>
      <c r="J34" s="63"/>
      <c r="K34" s="63"/>
      <c r="L34" s="63"/>
      <c r="M34" s="63"/>
      <c r="N34" s="63"/>
    </row>
    <row r="35" spans="1:14" ht="27" thickBot="1" x14ac:dyDescent="0.45">
      <c r="B35" s="589" t="s">
        <v>30</v>
      </c>
      <c r="C35" s="613"/>
      <c r="D35" s="613"/>
      <c r="E35" s="613"/>
      <c r="F35" s="614"/>
    </row>
    <row r="36" spans="1:14" ht="15" customHeight="1" x14ac:dyDescent="0.25">
      <c r="B36" s="595" t="s">
        <v>29</v>
      </c>
      <c r="C36" s="615" t="s">
        <v>291</v>
      </c>
      <c r="D36" s="615"/>
      <c r="E36" s="615"/>
      <c r="F36" s="615"/>
    </row>
    <row r="37" spans="1:14" ht="15" customHeight="1" x14ac:dyDescent="0.25">
      <c r="B37" s="596"/>
      <c r="C37" s="615"/>
      <c r="D37" s="615"/>
      <c r="E37" s="615"/>
      <c r="F37" s="615"/>
    </row>
    <row r="38" spans="1:14" ht="15.75" customHeight="1" x14ac:dyDescent="0.25">
      <c r="B38" s="596"/>
      <c r="C38" s="615"/>
      <c r="D38" s="615"/>
      <c r="E38" s="615"/>
      <c r="F38" s="615"/>
    </row>
    <row r="39" spans="1:14" ht="15" customHeight="1" x14ac:dyDescent="0.25">
      <c r="B39" s="596"/>
      <c r="C39" s="585" t="s">
        <v>289</v>
      </c>
      <c r="D39" s="585"/>
      <c r="E39" s="585"/>
      <c r="F39" s="585"/>
    </row>
    <row r="40" spans="1:14" ht="15" customHeight="1" x14ac:dyDescent="0.25">
      <c r="B40" s="596"/>
      <c r="C40" s="585"/>
      <c r="D40" s="585"/>
      <c r="E40" s="585"/>
      <c r="F40" s="585"/>
    </row>
    <row r="41" spans="1:14" ht="15.75" customHeight="1" x14ac:dyDescent="0.25">
      <c r="B41" s="596"/>
      <c r="C41" s="585"/>
      <c r="D41" s="585"/>
      <c r="E41" s="585"/>
      <c r="F41" s="585"/>
    </row>
    <row r="42" spans="1:14" ht="15" customHeight="1" x14ac:dyDescent="0.25">
      <c r="B42" s="596"/>
      <c r="C42" s="586" t="s">
        <v>290</v>
      </c>
      <c r="D42" s="586"/>
      <c r="E42" s="586"/>
      <c r="F42" s="586"/>
    </row>
    <row r="43" spans="1:14" ht="15" customHeight="1" x14ac:dyDescent="0.25">
      <c r="B43" s="596"/>
      <c r="C43" s="586"/>
      <c r="D43" s="586"/>
      <c r="E43" s="586"/>
      <c r="F43" s="586"/>
    </row>
    <row r="44" spans="1:14" ht="15.75" customHeight="1" thickBot="1" x14ac:dyDescent="0.3">
      <c r="B44" s="597"/>
      <c r="C44" s="586"/>
      <c r="D44" s="586"/>
      <c r="E44" s="586"/>
      <c r="F44" s="586"/>
    </row>
    <row r="46" spans="1:14" ht="15.75" thickBot="1" x14ac:dyDescent="0.3"/>
    <row r="47" spans="1:14" ht="27" thickBot="1" x14ac:dyDescent="0.45">
      <c r="B47" s="587" t="s">
        <v>28</v>
      </c>
      <c r="C47" s="588"/>
    </row>
    <row r="48" spans="1:14" ht="16.5" thickBot="1" x14ac:dyDescent="0.3">
      <c r="B48" s="482" t="s">
        <v>31</v>
      </c>
      <c r="C48" s="483" t="s">
        <v>32</v>
      </c>
    </row>
    <row r="49" spans="2:3" ht="15.75" customHeight="1" x14ac:dyDescent="0.25">
      <c r="B49" s="616" t="s">
        <v>291</v>
      </c>
      <c r="C49" s="625">
        <v>1300</v>
      </c>
    </row>
    <row r="50" spans="2:3" x14ac:dyDescent="0.25">
      <c r="B50" s="617"/>
      <c r="C50" s="625"/>
    </row>
    <row r="51" spans="2:3" ht="15.75" thickBot="1" x14ac:dyDescent="0.3">
      <c r="B51" s="618"/>
      <c r="C51" s="626"/>
    </row>
    <row r="52" spans="2:3" ht="15.75" customHeight="1" x14ac:dyDescent="0.25">
      <c r="B52" s="619" t="s">
        <v>289</v>
      </c>
      <c r="C52" s="627">
        <v>2500</v>
      </c>
    </row>
    <row r="53" spans="2:3" ht="15.75" customHeight="1" x14ac:dyDescent="0.25">
      <c r="B53" s="620"/>
      <c r="C53" s="628"/>
    </row>
    <row r="54" spans="2:3" ht="16.5" customHeight="1" thickBot="1" x14ac:dyDescent="0.3">
      <c r="B54" s="621"/>
      <c r="C54" s="629"/>
    </row>
    <row r="55" spans="2:3" ht="15.75" customHeight="1" x14ac:dyDescent="0.25">
      <c r="B55" s="622" t="s">
        <v>290</v>
      </c>
      <c r="C55" s="630">
        <v>4000</v>
      </c>
    </row>
    <row r="56" spans="2:3" x14ac:dyDescent="0.25">
      <c r="B56" s="623"/>
      <c r="C56" s="631"/>
    </row>
    <row r="57" spans="2:3" ht="15.75" thickBot="1" x14ac:dyDescent="0.3">
      <c r="B57" s="624"/>
      <c r="C57" s="632"/>
    </row>
  </sheetData>
  <mergeCells count="20">
    <mergeCell ref="B49:B51"/>
    <mergeCell ref="B52:B54"/>
    <mergeCell ref="B55:B57"/>
    <mergeCell ref="C49:C51"/>
    <mergeCell ref="C52:C54"/>
    <mergeCell ref="C55:C57"/>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29"/>
  <sheetViews>
    <sheetView zoomScale="60" zoomScaleNormal="60" workbookViewId="0">
      <pane xSplit="2" ySplit="1" topLeftCell="C74" activePane="bottomRight" state="frozen"/>
      <selection pane="topRight" activeCell="C1" sqref="C1"/>
      <selection pane="bottomLeft" activeCell="A2" sqref="A2"/>
      <selection pane="bottomRight" activeCell="C136" sqref="C136"/>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3" width="26.85546875" style="1" customWidth="1"/>
    <col min="14" max="14" width="33.7109375" style="1" customWidth="1"/>
    <col min="15" max="15" width="26" style="1" customWidth="1"/>
    <col min="16" max="17" width="28.42578125" style="1" customWidth="1"/>
    <col min="18" max="18" width="27.5703125" style="1" customWidth="1"/>
    <col min="19" max="19" width="27" style="1" customWidth="1"/>
    <col min="20" max="20" width="35.5703125" style="1" customWidth="1"/>
    <col min="21" max="21" width="27.85546875" style="1" customWidth="1"/>
    <col min="22" max="22" width="24.85546875" style="1" customWidth="1"/>
    <col min="23" max="23" width="35.5703125" style="1" customWidth="1"/>
    <col min="24" max="24" width="35.140625" style="1" customWidth="1"/>
    <col min="25" max="25" width="24.5703125" style="1" customWidth="1"/>
    <col min="26" max="26" width="31.28515625" style="1" customWidth="1"/>
    <col min="27" max="27" width="26.85546875" style="1" customWidth="1"/>
    <col min="28" max="28" width="24.28515625" style="1" customWidth="1"/>
    <col min="29" max="29" width="31.140625" style="1" customWidth="1"/>
    <col min="30" max="30" width="39.42578125" style="1" customWidth="1"/>
    <col min="31" max="32" width="35.5703125" style="1" customWidth="1"/>
    <col min="33" max="33" width="42.140625" style="1" customWidth="1"/>
    <col min="34" max="34" width="26.28515625" style="1" customWidth="1"/>
    <col min="35" max="35" width="29.140625" style="1" customWidth="1"/>
    <col min="36" max="36" width="16.5703125" style="1" customWidth="1"/>
    <col min="37" max="37" width="26.140625" style="1" customWidth="1"/>
    <col min="38" max="38" width="31.85546875" style="1" customWidth="1"/>
    <col min="39" max="39" width="19" style="1" customWidth="1"/>
    <col min="40" max="40" width="24" style="1" customWidth="1"/>
    <col min="41" max="41" width="18.7109375" style="1" bestFit="1" customWidth="1"/>
    <col min="42" max="16384" width="11.42578125" style="1"/>
  </cols>
  <sheetData>
    <row r="1" spans="1:61" s="459" customFormat="1" ht="58.5" customHeight="1" x14ac:dyDescent="0.25">
      <c r="B1" s="484" t="s">
        <v>2</v>
      </c>
      <c r="I1" s="485"/>
      <c r="J1" s="485"/>
      <c r="K1" s="485"/>
      <c r="L1" s="485"/>
      <c r="M1" s="485"/>
      <c r="N1" s="485"/>
    </row>
    <row r="4" spans="1:61" ht="15.75" thickBot="1" x14ac:dyDescent="0.3">
      <c r="A4" s="29"/>
      <c r="B4" s="29"/>
      <c r="C4" s="29"/>
      <c r="D4" s="29"/>
      <c r="E4" s="29"/>
      <c r="F4" s="29"/>
      <c r="G4" s="29"/>
      <c r="H4" s="29"/>
      <c r="I4" s="32"/>
      <c r="J4" s="32"/>
      <c r="K4" s="32"/>
      <c r="L4" s="32"/>
      <c r="M4" s="32"/>
      <c r="N4" s="32"/>
      <c r="O4" s="32"/>
      <c r="P4" s="32"/>
      <c r="Q4" s="32"/>
      <c r="R4" s="32"/>
      <c r="S4" s="32"/>
      <c r="T4" s="32"/>
      <c r="U4" s="32"/>
      <c r="V4" s="32"/>
      <c r="W4" s="32"/>
      <c r="X4" s="32"/>
      <c r="Y4" s="32"/>
      <c r="Z4" s="32"/>
      <c r="AA4" s="32"/>
      <c r="AB4" s="32"/>
      <c r="AC4" s="32"/>
      <c r="AD4" s="32"/>
      <c r="AE4" s="32"/>
      <c r="AF4" s="32"/>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row>
    <row r="5" spans="1:61" s="52" customFormat="1" ht="27" thickBot="1" x14ac:dyDescent="0.45">
      <c r="A5" s="30"/>
      <c r="B5" s="647" t="s">
        <v>35</v>
      </c>
      <c r="C5" s="648"/>
      <c r="D5" s="650"/>
      <c r="E5" s="541"/>
      <c r="F5" s="1"/>
      <c r="G5" s="1"/>
      <c r="H5" s="1"/>
      <c r="I5" s="647" t="s">
        <v>61</v>
      </c>
      <c r="J5" s="648"/>
      <c r="K5" s="648"/>
      <c r="L5" s="648"/>
      <c r="M5" s="648"/>
      <c r="N5" s="648"/>
      <c r="O5" s="648"/>
      <c r="P5" s="650"/>
      <c r="Q5" s="541"/>
      <c r="R5" s="39"/>
      <c r="S5" s="39"/>
      <c r="T5" s="39"/>
      <c r="U5" s="39"/>
      <c r="V5" s="39"/>
      <c r="W5" s="39"/>
      <c r="X5" s="39"/>
      <c r="Y5" s="39"/>
      <c r="Z5" s="39"/>
      <c r="AA5" s="39"/>
      <c r="AB5" s="39"/>
      <c r="AC5" s="39"/>
      <c r="AD5" s="39"/>
      <c r="AV5" s="32"/>
      <c r="AW5" s="32"/>
      <c r="AX5" s="32"/>
      <c r="AY5" s="32"/>
      <c r="AZ5" s="32"/>
      <c r="BA5" s="32"/>
      <c r="BB5" s="32"/>
      <c r="BC5" s="32"/>
      <c r="BD5" s="32"/>
      <c r="BE5" s="32"/>
      <c r="BF5" s="32"/>
      <c r="BG5" s="32"/>
      <c r="BH5" s="32"/>
      <c r="BI5" s="32"/>
    </row>
    <row r="6" spans="1:61" s="52" customFormat="1" ht="30" customHeight="1" x14ac:dyDescent="0.25">
      <c r="A6" s="31"/>
      <c r="B6" s="486">
        <v>2020</v>
      </c>
      <c r="C6" s="487">
        <v>2021</v>
      </c>
      <c r="D6" s="488">
        <v>2022</v>
      </c>
      <c r="E6" s="542"/>
      <c r="F6" s="1"/>
      <c r="G6" s="1"/>
      <c r="H6" s="1"/>
      <c r="I6" s="664" t="s">
        <v>292</v>
      </c>
      <c r="J6" s="665"/>
      <c r="K6" s="665"/>
      <c r="L6" s="665"/>
      <c r="M6" s="665"/>
      <c r="N6" s="665"/>
      <c r="O6" s="665"/>
      <c r="P6" s="666"/>
      <c r="Q6" s="545"/>
      <c r="R6" s="51"/>
      <c r="S6" s="51"/>
      <c r="T6" s="51"/>
      <c r="U6" s="51"/>
      <c r="V6" s="51"/>
      <c r="W6" s="51"/>
      <c r="X6" s="51"/>
      <c r="Y6" s="51"/>
      <c r="Z6" s="51"/>
      <c r="AA6" s="51"/>
      <c r="AB6" s="51"/>
      <c r="AC6" s="51"/>
      <c r="AD6" s="51"/>
      <c r="AV6" s="32"/>
      <c r="AW6" s="32"/>
      <c r="AX6" s="32"/>
      <c r="AY6" s="32"/>
      <c r="AZ6" s="32"/>
      <c r="BA6" s="32"/>
      <c r="BB6" s="32"/>
      <c r="BC6" s="32"/>
      <c r="BD6" s="32"/>
      <c r="BE6" s="32"/>
      <c r="BF6" s="32"/>
      <c r="BG6" s="32"/>
      <c r="BH6" s="32"/>
      <c r="BI6" s="32"/>
    </row>
    <row r="7" spans="1:61" s="52" customFormat="1" ht="15" customHeight="1" thickBot="1" x14ac:dyDescent="0.3">
      <c r="A7" s="31"/>
      <c r="B7" s="46">
        <f>Hipótesis!C24</f>
        <v>0.02</v>
      </c>
      <c r="C7" s="40">
        <f>Hipótesis!C25</f>
        <v>0.05</v>
      </c>
      <c r="D7" s="47">
        <f>Hipótesis!C26</f>
        <v>0.1</v>
      </c>
      <c r="E7" s="135"/>
      <c r="F7" s="1"/>
      <c r="G7" s="1"/>
      <c r="H7" s="1"/>
      <c r="I7" s="667"/>
      <c r="J7" s="668"/>
      <c r="K7" s="668"/>
      <c r="L7" s="668"/>
      <c r="M7" s="668"/>
      <c r="N7" s="668"/>
      <c r="O7" s="668"/>
      <c r="P7" s="669"/>
      <c r="Q7" s="545"/>
      <c r="R7" s="51"/>
      <c r="S7" s="51"/>
      <c r="T7" s="51"/>
      <c r="U7" s="51"/>
      <c r="V7" s="51"/>
      <c r="W7" s="51"/>
      <c r="X7" s="51"/>
      <c r="Y7" s="51"/>
      <c r="Z7" s="51"/>
      <c r="AA7" s="51"/>
      <c r="AB7" s="51"/>
      <c r="AC7" s="51"/>
      <c r="AD7" s="51"/>
      <c r="AV7" s="32"/>
      <c r="AW7" s="32"/>
      <c r="AX7" s="32"/>
      <c r="AY7" s="32"/>
      <c r="AZ7" s="32"/>
      <c r="BA7" s="32"/>
      <c r="BB7" s="32"/>
      <c r="BC7" s="32"/>
      <c r="BD7" s="32"/>
      <c r="BE7" s="32"/>
      <c r="BF7" s="32"/>
      <c r="BG7" s="32"/>
      <c r="BH7" s="32"/>
      <c r="BI7" s="32"/>
    </row>
    <row r="8" spans="1:61" s="52" customFormat="1" ht="15.75" customHeight="1" thickBot="1" x14ac:dyDescent="0.3">
      <c r="A8" s="31"/>
      <c r="B8" s="48">
        <f>Hipótesis!D24</f>
        <v>121458400</v>
      </c>
      <c r="C8" s="49">
        <f>Hipótesis!D25</f>
        <v>303646000</v>
      </c>
      <c r="D8" s="50">
        <f>Hipótesis!D26</f>
        <v>607292000</v>
      </c>
      <c r="E8" s="132"/>
      <c r="F8" s="1"/>
      <c r="G8" s="1"/>
      <c r="H8" s="1"/>
      <c r="I8" s="491"/>
      <c r="J8" s="491"/>
      <c r="K8" s="491"/>
      <c r="L8" s="491"/>
      <c r="M8" s="491"/>
      <c r="N8" s="491"/>
      <c r="O8" s="491"/>
      <c r="P8" s="491"/>
      <c r="Q8" s="491"/>
      <c r="R8" s="51"/>
      <c r="S8" s="51"/>
      <c r="T8" s="51"/>
      <c r="U8" s="51"/>
      <c r="V8" s="51"/>
      <c r="W8" s="51"/>
      <c r="X8" s="51"/>
      <c r="Y8" s="51"/>
      <c r="Z8" s="51"/>
      <c r="AA8" s="51"/>
      <c r="AB8" s="51"/>
      <c r="AC8" s="51"/>
      <c r="AD8" s="51"/>
      <c r="AV8" s="32"/>
      <c r="AW8" s="32"/>
      <c r="AX8" s="32"/>
      <c r="AY8" s="32"/>
      <c r="AZ8" s="32"/>
      <c r="BA8" s="32"/>
      <c r="BB8" s="32"/>
      <c r="BC8" s="32"/>
      <c r="BD8" s="32"/>
      <c r="BE8" s="32"/>
      <c r="BF8" s="32"/>
      <c r="BG8" s="32"/>
      <c r="BH8" s="32"/>
      <c r="BI8" s="32"/>
    </row>
    <row r="9" spans="1:61" s="52" customFormat="1" ht="15" customHeight="1" x14ac:dyDescent="0.25">
      <c r="A9" s="29"/>
      <c r="B9" s="29"/>
      <c r="C9" s="29"/>
      <c r="D9" s="29"/>
      <c r="E9" s="29"/>
      <c r="F9" s="1"/>
      <c r="G9" s="1"/>
      <c r="H9" s="1"/>
      <c r="I9" s="491"/>
      <c r="J9" s="491"/>
      <c r="K9" s="491"/>
      <c r="L9" s="491"/>
      <c r="M9" s="491"/>
      <c r="N9" s="491"/>
      <c r="O9" s="491"/>
      <c r="P9" s="491"/>
      <c r="Q9" s="491"/>
      <c r="R9" s="51"/>
      <c r="S9" s="51"/>
      <c r="T9" s="51"/>
      <c r="U9" s="51"/>
      <c r="V9" s="51"/>
      <c r="W9" s="51"/>
      <c r="X9" s="51"/>
      <c r="Y9" s="51"/>
      <c r="Z9" s="51"/>
      <c r="AA9" s="51"/>
      <c r="AB9" s="51"/>
      <c r="AC9" s="51"/>
      <c r="AD9" s="51"/>
      <c r="AV9" s="32"/>
      <c r="AW9" s="32"/>
      <c r="AX9" s="32"/>
      <c r="AY9" s="32"/>
      <c r="AZ9" s="32"/>
      <c r="BA9" s="32"/>
      <c r="BB9" s="32"/>
      <c r="BC9" s="32"/>
      <c r="BD9" s="32"/>
      <c r="BE9" s="32"/>
      <c r="BF9" s="32"/>
      <c r="BG9" s="32"/>
      <c r="BH9" s="32"/>
      <c r="BI9" s="32"/>
    </row>
    <row r="10" spans="1:61" s="52" customFormat="1" ht="15" customHeight="1" x14ac:dyDescent="0.25">
      <c r="A10" s="29" t="s">
        <v>54</v>
      </c>
      <c r="B10" s="29"/>
      <c r="C10" s="29"/>
      <c r="D10" s="29"/>
      <c r="E10" s="29"/>
      <c r="F10" s="1"/>
      <c r="G10" s="1"/>
      <c r="H10" s="1"/>
      <c r="I10" s="491"/>
      <c r="J10" s="491"/>
      <c r="K10" s="491"/>
      <c r="L10" s="491"/>
      <c r="M10" s="491"/>
      <c r="N10" s="491"/>
      <c r="O10" s="491"/>
      <c r="P10" s="491"/>
      <c r="Q10" s="491"/>
      <c r="R10" s="51"/>
      <c r="S10" s="51"/>
      <c r="T10" s="51"/>
      <c r="U10" s="51"/>
      <c r="V10" s="51"/>
      <c r="W10" s="51"/>
      <c r="X10" s="51"/>
      <c r="Y10" s="51"/>
      <c r="Z10" s="51"/>
      <c r="AA10" s="51"/>
      <c r="AB10" s="51"/>
      <c r="AC10" s="51"/>
      <c r="AD10" s="51"/>
      <c r="AV10" s="32"/>
      <c r="AW10" s="32"/>
      <c r="AX10" s="32"/>
      <c r="AY10" s="32"/>
      <c r="AZ10" s="32"/>
      <c r="BA10" s="32"/>
      <c r="BB10" s="32"/>
      <c r="BC10" s="32"/>
      <c r="BD10" s="32"/>
      <c r="BE10" s="32"/>
      <c r="BF10" s="32"/>
      <c r="BG10" s="32"/>
      <c r="BH10" s="32"/>
      <c r="BI10" s="32"/>
    </row>
    <row r="11" spans="1:61" s="52" customFormat="1" ht="15" customHeight="1" x14ac:dyDescent="0.25">
      <c r="A11" s="29"/>
      <c r="B11" s="29"/>
      <c r="C11" s="29"/>
      <c r="D11" s="491"/>
      <c r="E11" s="491"/>
      <c r="F11" s="1"/>
      <c r="G11" s="1"/>
      <c r="H11" s="1"/>
      <c r="I11" s="491"/>
      <c r="J11" s="491"/>
      <c r="K11" s="491"/>
      <c r="M11" s="491"/>
      <c r="N11" s="491"/>
      <c r="O11" s="491"/>
      <c r="P11" s="491"/>
      <c r="Q11" s="491"/>
      <c r="R11" s="51"/>
      <c r="S11" s="51"/>
      <c r="T11" s="51"/>
      <c r="U11" s="51"/>
      <c r="V11" s="51"/>
      <c r="W11" s="51"/>
      <c r="X11" s="51"/>
      <c r="Y11" s="51"/>
      <c r="Z11" s="51"/>
      <c r="AA11" s="51"/>
      <c r="AB11" s="51"/>
      <c r="AC11" s="51"/>
      <c r="AD11" s="51"/>
      <c r="AV11" s="32"/>
      <c r="AW11" s="32"/>
      <c r="AX11" s="32"/>
      <c r="AY11" s="32"/>
      <c r="AZ11" s="32"/>
      <c r="BA11" s="32"/>
      <c r="BB11" s="32"/>
      <c r="BC11" s="32"/>
      <c r="BD11" s="32"/>
      <c r="BE11" s="32"/>
      <c r="BF11" s="32"/>
      <c r="BG11" s="32"/>
      <c r="BH11" s="32"/>
      <c r="BI11" s="32"/>
    </row>
    <row r="12" spans="1:61" s="52" customFormat="1" ht="14.25" customHeight="1" x14ac:dyDescent="0.25">
      <c r="A12" s="29"/>
      <c r="B12" s="29"/>
      <c r="C12" s="29"/>
      <c r="D12" s="29"/>
      <c r="E12" s="29"/>
      <c r="F12" s="29"/>
      <c r="G12" s="29"/>
      <c r="H12" s="29"/>
      <c r="I12" s="491"/>
      <c r="J12" s="491"/>
      <c r="K12" s="491"/>
      <c r="L12" s="491"/>
      <c r="M12" s="491"/>
      <c r="N12" s="491"/>
      <c r="O12" s="491"/>
      <c r="P12" s="491"/>
      <c r="Q12" s="491"/>
      <c r="R12" s="51"/>
      <c r="S12" s="51"/>
      <c r="T12" s="51"/>
      <c r="U12" s="51"/>
      <c r="V12" s="51"/>
      <c r="W12" s="51"/>
      <c r="X12" s="51"/>
      <c r="Y12" s="51"/>
      <c r="Z12" s="51"/>
      <c r="AA12" s="51"/>
      <c r="AB12" s="51"/>
      <c r="AC12" s="51"/>
      <c r="AD12" s="51"/>
      <c r="AV12" s="32"/>
      <c r="AW12" s="32"/>
      <c r="AX12" s="32"/>
      <c r="AY12" s="32"/>
      <c r="AZ12" s="32"/>
      <c r="BA12" s="32"/>
      <c r="BB12" s="32"/>
      <c r="BC12" s="32"/>
      <c r="BD12" s="32"/>
      <c r="BE12" s="32"/>
      <c r="BF12" s="32"/>
      <c r="BG12" s="32"/>
      <c r="BH12" s="32"/>
      <c r="BI12" s="32"/>
    </row>
    <row r="13" spans="1:61" x14ac:dyDescent="0.25">
      <c r="A13" s="29"/>
      <c r="B13" s="29"/>
      <c r="C13" s="29"/>
      <c r="D13" s="29"/>
      <c r="E13" s="29"/>
      <c r="F13" s="29"/>
      <c r="G13" s="29"/>
      <c r="H13" s="29"/>
      <c r="I13" s="32"/>
      <c r="J13" s="32"/>
      <c r="K13" s="32"/>
      <c r="L13" s="32"/>
      <c r="M13" s="32"/>
      <c r="N13" s="32"/>
      <c r="O13" s="32"/>
      <c r="P13" s="32"/>
      <c r="Q13" s="32"/>
      <c r="R13" s="32"/>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row>
    <row r="14" spans="1:61" ht="15.75" thickBot="1" x14ac:dyDescent="0.3">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row>
    <row r="15" spans="1:61" ht="27" thickBot="1" x14ac:dyDescent="0.45">
      <c r="A15" s="647" t="s">
        <v>52</v>
      </c>
      <c r="B15" s="648"/>
      <c r="C15" s="648"/>
      <c r="D15" s="648"/>
      <c r="E15" s="648"/>
      <c r="F15" s="648"/>
      <c r="G15" s="648"/>
      <c r="H15" s="649"/>
      <c r="I15" s="649"/>
      <c r="J15" s="649"/>
      <c r="K15" s="649"/>
      <c r="L15" s="648"/>
      <c r="M15" s="648"/>
      <c r="N15" s="648"/>
      <c r="O15" s="648"/>
      <c r="P15" s="648"/>
      <c r="Q15" s="648"/>
      <c r="R15" s="648"/>
      <c r="S15" s="648"/>
      <c r="T15" s="648"/>
      <c r="U15" s="648"/>
      <c r="V15" s="648"/>
      <c r="W15" s="648"/>
      <c r="X15" s="648"/>
      <c r="Y15" s="648"/>
      <c r="Z15" s="648"/>
      <c r="AA15" s="648"/>
      <c r="AB15" s="648"/>
      <c r="AC15" s="648"/>
      <c r="AD15" s="648"/>
      <c r="AE15" s="648"/>
      <c r="AF15" s="648"/>
      <c r="AG15" s="648"/>
      <c r="AH15" s="648"/>
      <c r="AI15" s="648"/>
      <c r="AJ15" s="648"/>
      <c r="AK15" s="648"/>
      <c r="AL15" s="648"/>
      <c r="AM15" s="648"/>
      <c r="AN15" s="650"/>
      <c r="AO15" s="29"/>
      <c r="AP15" s="29"/>
      <c r="AQ15" s="29"/>
      <c r="AR15" s="29"/>
      <c r="AS15" s="29"/>
      <c r="AT15" s="29"/>
      <c r="AU15" s="29"/>
      <c r="AV15" s="29"/>
      <c r="AW15" s="29"/>
      <c r="AX15" s="29"/>
      <c r="AY15" s="29"/>
      <c r="AZ15" s="29"/>
      <c r="BA15" s="29"/>
      <c r="BB15" s="29"/>
      <c r="BC15" s="29"/>
      <c r="BD15" s="29"/>
      <c r="BE15" s="29"/>
      <c r="BF15" s="29"/>
      <c r="BG15" s="29"/>
      <c r="BH15" s="29"/>
      <c r="BI15" s="29"/>
    </row>
    <row r="16" spans="1:61" x14ac:dyDescent="0.25">
      <c r="A16" s="651" t="s">
        <v>31</v>
      </c>
      <c r="B16" s="651" t="s">
        <v>32</v>
      </c>
      <c r="C16" s="654" t="s">
        <v>60</v>
      </c>
      <c r="D16" s="655"/>
      <c r="E16" s="635" t="s">
        <v>40</v>
      </c>
      <c r="F16" s="636"/>
      <c r="G16" s="637"/>
      <c r="H16" s="635" t="s">
        <v>41</v>
      </c>
      <c r="I16" s="636"/>
      <c r="J16" s="637"/>
      <c r="K16" s="635" t="s">
        <v>42</v>
      </c>
      <c r="L16" s="636"/>
      <c r="M16" s="637"/>
      <c r="N16" s="635" t="s">
        <v>43</v>
      </c>
      <c r="O16" s="636"/>
      <c r="P16" s="637"/>
      <c r="Q16" s="635" t="s">
        <v>44</v>
      </c>
      <c r="R16" s="636"/>
      <c r="S16" s="637"/>
      <c r="T16" s="635" t="s">
        <v>45</v>
      </c>
      <c r="U16" s="636"/>
      <c r="V16" s="637"/>
      <c r="W16" s="635" t="s">
        <v>46</v>
      </c>
      <c r="X16" s="636"/>
      <c r="Y16" s="637"/>
      <c r="Z16" s="635" t="s">
        <v>47</v>
      </c>
      <c r="AA16" s="636"/>
      <c r="AB16" s="637"/>
      <c r="AC16" s="635" t="s">
        <v>48</v>
      </c>
      <c r="AD16" s="636"/>
      <c r="AE16" s="637"/>
      <c r="AF16" s="635" t="s">
        <v>49</v>
      </c>
      <c r="AG16" s="636"/>
      <c r="AH16" s="637"/>
      <c r="AI16" s="635" t="s">
        <v>50</v>
      </c>
      <c r="AJ16" s="636"/>
      <c r="AK16" s="637"/>
      <c r="AL16" s="635" t="s">
        <v>51</v>
      </c>
      <c r="AM16" s="636"/>
      <c r="AN16" s="637"/>
      <c r="AO16" s="29"/>
      <c r="AP16" s="29"/>
      <c r="AQ16" s="29"/>
      <c r="AR16" s="29"/>
      <c r="AS16" s="29"/>
      <c r="AT16" s="29"/>
      <c r="AU16" s="29"/>
      <c r="AV16" s="29"/>
      <c r="AW16" s="29"/>
      <c r="AX16" s="29"/>
      <c r="AY16" s="29"/>
      <c r="AZ16" s="29"/>
      <c r="BA16" s="29"/>
      <c r="BB16" s="29"/>
      <c r="BC16" s="29"/>
      <c r="BD16" s="29"/>
      <c r="BE16" s="29"/>
      <c r="BF16" s="29"/>
      <c r="BG16" s="29"/>
      <c r="BH16" s="29"/>
      <c r="BI16" s="29"/>
    </row>
    <row r="17" spans="1:61" x14ac:dyDescent="0.25">
      <c r="A17" s="652"/>
      <c r="B17" s="652"/>
      <c r="C17" s="638" t="s">
        <v>59</v>
      </c>
      <c r="D17" s="640" t="s">
        <v>39</v>
      </c>
      <c r="E17" s="642">
        <v>0.02</v>
      </c>
      <c r="F17" s="643"/>
      <c r="G17" s="644"/>
      <c r="H17" s="642">
        <v>0.04</v>
      </c>
      <c r="I17" s="643"/>
      <c r="J17" s="644"/>
      <c r="K17" s="642">
        <v>0.04</v>
      </c>
      <c r="L17" s="643"/>
      <c r="M17" s="644"/>
      <c r="N17" s="642">
        <v>0.05</v>
      </c>
      <c r="O17" s="643"/>
      <c r="P17" s="644"/>
      <c r="Q17" s="642">
        <v>0.06</v>
      </c>
      <c r="R17" s="643"/>
      <c r="S17" s="644"/>
      <c r="T17" s="642">
        <v>0.08</v>
      </c>
      <c r="U17" s="643"/>
      <c r="V17" s="644"/>
      <c r="W17" s="642">
        <v>0.1</v>
      </c>
      <c r="X17" s="643"/>
      <c r="Y17" s="644"/>
      <c r="Z17" s="642">
        <v>0.11</v>
      </c>
      <c r="AA17" s="643"/>
      <c r="AB17" s="644"/>
      <c r="AC17" s="642">
        <v>0.11</v>
      </c>
      <c r="AD17" s="643"/>
      <c r="AE17" s="644"/>
      <c r="AF17" s="642">
        <v>0.12</v>
      </c>
      <c r="AG17" s="643"/>
      <c r="AH17" s="644"/>
      <c r="AI17" s="642">
        <v>0.13</v>
      </c>
      <c r="AJ17" s="643"/>
      <c r="AK17" s="644"/>
      <c r="AL17" s="642">
        <v>0.14000000000000001</v>
      </c>
      <c r="AM17" s="643"/>
      <c r="AN17" s="644"/>
      <c r="AO17" s="29"/>
      <c r="AP17" s="29"/>
      <c r="AQ17" s="29"/>
      <c r="AR17" s="29"/>
      <c r="AS17" s="29"/>
      <c r="AT17" s="29"/>
      <c r="AU17" s="29"/>
      <c r="AV17" s="29"/>
      <c r="AW17" s="29"/>
      <c r="AX17" s="29"/>
      <c r="AY17" s="29"/>
      <c r="AZ17" s="29"/>
      <c r="BA17" s="29"/>
      <c r="BB17" s="29"/>
      <c r="BC17" s="29"/>
      <c r="BD17" s="29"/>
      <c r="BE17" s="29"/>
      <c r="BF17" s="29"/>
      <c r="BG17" s="29"/>
      <c r="BH17" s="29"/>
      <c r="BI17" s="29"/>
    </row>
    <row r="18" spans="1:61" ht="15.75" customHeight="1" thickBot="1" x14ac:dyDescent="0.3">
      <c r="A18" s="653"/>
      <c r="B18" s="653"/>
      <c r="C18" s="639"/>
      <c r="D18" s="641"/>
      <c r="E18" s="543"/>
      <c r="F18" s="492" t="s">
        <v>59</v>
      </c>
      <c r="G18" s="539" t="s">
        <v>39</v>
      </c>
      <c r="H18" s="494"/>
      <c r="I18" s="563" t="s">
        <v>59</v>
      </c>
      <c r="J18" s="493" t="s">
        <v>39</v>
      </c>
      <c r="K18" s="538"/>
      <c r="L18" s="492" t="s">
        <v>59</v>
      </c>
      <c r="M18" s="493" t="s">
        <v>39</v>
      </c>
      <c r="N18" s="538"/>
      <c r="O18" s="494" t="s">
        <v>59</v>
      </c>
      <c r="P18" s="493" t="s">
        <v>39</v>
      </c>
      <c r="Q18" s="538"/>
      <c r="R18" s="494" t="s">
        <v>59</v>
      </c>
      <c r="S18" s="493" t="s">
        <v>39</v>
      </c>
      <c r="T18" s="538"/>
      <c r="U18" s="494" t="s">
        <v>59</v>
      </c>
      <c r="V18" s="493" t="s">
        <v>39</v>
      </c>
      <c r="W18" s="538"/>
      <c r="X18" s="494" t="s">
        <v>59</v>
      </c>
      <c r="Y18" s="493" t="s">
        <v>39</v>
      </c>
      <c r="Z18" s="538"/>
      <c r="AA18" s="494" t="s">
        <v>59</v>
      </c>
      <c r="AB18" s="493" t="s">
        <v>39</v>
      </c>
      <c r="AC18" s="538"/>
      <c r="AD18" s="494" t="s">
        <v>59</v>
      </c>
      <c r="AE18" s="493" t="s">
        <v>39</v>
      </c>
      <c r="AF18" s="538"/>
      <c r="AG18" s="494" t="s">
        <v>59</v>
      </c>
      <c r="AH18" s="493" t="s">
        <v>39</v>
      </c>
      <c r="AI18" s="538"/>
      <c r="AJ18" s="494" t="s">
        <v>59</v>
      </c>
      <c r="AK18" s="493" t="s">
        <v>39</v>
      </c>
      <c r="AL18" s="538"/>
      <c r="AM18" s="494" t="s">
        <v>59</v>
      </c>
      <c r="AN18" s="493" t="s">
        <v>39</v>
      </c>
      <c r="AO18" s="29"/>
      <c r="AP18" s="29"/>
      <c r="AQ18" s="29"/>
      <c r="AR18" s="29"/>
      <c r="AS18" s="29"/>
      <c r="AT18" s="29"/>
      <c r="AU18" s="29"/>
      <c r="AV18" s="29"/>
      <c r="AW18" s="29"/>
      <c r="AX18" s="29"/>
      <c r="AY18" s="29"/>
      <c r="AZ18" s="29"/>
      <c r="BA18" s="29"/>
      <c r="BB18" s="29"/>
      <c r="BC18" s="29"/>
      <c r="BD18" s="29"/>
      <c r="BE18" s="29"/>
      <c r="BF18" s="29"/>
      <c r="BG18" s="29"/>
      <c r="BH18" s="29"/>
      <c r="BI18" s="29"/>
    </row>
    <row r="19" spans="1:61" ht="33" customHeight="1" thickBot="1" x14ac:dyDescent="0.3">
      <c r="A19" s="514" t="s">
        <v>291</v>
      </c>
      <c r="B19" s="511">
        <f>Hipótesis!C49</f>
        <v>1300</v>
      </c>
      <c r="C19" s="510">
        <v>33205</v>
      </c>
      <c r="D19" s="562">
        <f>B19*C19</f>
        <v>43166500</v>
      </c>
      <c r="E19" s="557">
        <f>C19*E17</f>
        <v>664.1</v>
      </c>
      <c r="F19" s="549">
        <f>E19</f>
        <v>664.1</v>
      </c>
      <c r="G19" s="558">
        <f>F19*B19</f>
        <v>863330</v>
      </c>
      <c r="H19" s="561">
        <f>(C19*H17)</f>
        <v>1328.2</v>
      </c>
      <c r="I19" s="549">
        <f>H19 + F19</f>
        <v>1992.3000000000002</v>
      </c>
      <c r="J19" s="558">
        <f>B19*I19</f>
        <v>2589990.0000000005</v>
      </c>
      <c r="K19" s="561">
        <f>C19*K17</f>
        <v>1328.2</v>
      </c>
      <c r="L19" s="549">
        <f>K19+ I19</f>
        <v>3320.5</v>
      </c>
      <c r="M19" s="558">
        <f>B19*L19</f>
        <v>4316650</v>
      </c>
      <c r="N19" s="561">
        <f>C19*N17</f>
        <v>1660.25</v>
      </c>
      <c r="O19" s="549">
        <f>N19+L19</f>
        <v>4980.75</v>
      </c>
      <c r="P19" s="558">
        <f>B19*O19</f>
        <v>6474975</v>
      </c>
      <c r="Q19" s="561">
        <f>C19*Q17</f>
        <v>1992.3</v>
      </c>
      <c r="R19" s="549">
        <f>Q19+O19</f>
        <v>6973.05</v>
      </c>
      <c r="S19" s="558">
        <f>B19*R19</f>
        <v>9064965</v>
      </c>
      <c r="T19" s="561">
        <f>C19*T17</f>
        <v>2656.4</v>
      </c>
      <c r="U19" s="549">
        <f>T19+R19</f>
        <v>9629.4500000000007</v>
      </c>
      <c r="V19" s="558">
        <f>B19*U19</f>
        <v>12518285.000000002</v>
      </c>
      <c r="W19" s="561">
        <f>C19*W17</f>
        <v>3320.5</v>
      </c>
      <c r="X19" s="549">
        <f>W19+U19</f>
        <v>12949.95</v>
      </c>
      <c r="Y19" s="558">
        <f>B19*X19</f>
        <v>16834935</v>
      </c>
      <c r="Z19" s="561">
        <f>C19*Z17</f>
        <v>3652.55</v>
      </c>
      <c r="AA19" s="549">
        <f>Z19+X19</f>
        <v>16602.5</v>
      </c>
      <c r="AB19" s="558">
        <f>B19*AA19</f>
        <v>21583250</v>
      </c>
      <c r="AC19" s="561">
        <f>C19*AC17</f>
        <v>3652.55</v>
      </c>
      <c r="AD19" s="549">
        <f>AC19+AA19</f>
        <v>20255.05</v>
      </c>
      <c r="AE19" s="558">
        <f>B19*AD19</f>
        <v>26331565</v>
      </c>
      <c r="AF19" s="561">
        <f>C19*AF17</f>
        <v>3984.6</v>
      </c>
      <c r="AG19" s="549">
        <f>AF19+AD19</f>
        <v>24239.649999999998</v>
      </c>
      <c r="AH19" s="558">
        <f>B19*AG19</f>
        <v>31511544.999999996</v>
      </c>
      <c r="AI19" s="556">
        <f>C19*AI17</f>
        <v>4316.6500000000005</v>
      </c>
      <c r="AJ19" s="549">
        <f>AI19+AG19</f>
        <v>28556.3</v>
      </c>
      <c r="AK19" s="553">
        <f>B19*AJ19</f>
        <v>37123190</v>
      </c>
      <c r="AL19" s="551">
        <f>C19*AL17</f>
        <v>4648.7000000000007</v>
      </c>
      <c r="AM19" s="549">
        <f>AL19+AJ19</f>
        <v>33205</v>
      </c>
      <c r="AN19" s="511">
        <f>B19*AM19</f>
        <v>43166500</v>
      </c>
    </row>
    <row r="20" spans="1:61" ht="33" customHeight="1" thickBot="1" x14ac:dyDescent="0.3">
      <c r="A20" s="515" t="s">
        <v>289</v>
      </c>
      <c r="B20" s="512">
        <f>Hipótesis!C52</f>
        <v>2500</v>
      </c>
      <c r="C20" s="489">
        <v>16110</v>
      </c>
      <c r="D20" s="564">
        <f t="shared" ref="D20:D21" si="0">B20*C20</f>
        <v>40275000</v>
      </c>
      <c r="E20" s="566">
        <f>C20*E17</f>
        <v>322.2</v>
      </c>
      <c r="F20" s="552">
        <f t="shared" ref="F20:F21" si="1">E20</f>
        <v>322.2</v>
      </c>
      <c r="G20" s="559">
        <f t="shared" ref="G20" si="2">F20*B20</f>
        <v>805500</v>
      </c>
      <c r="H20" s="567">
        <f>(C20*H17)</f>
        <v>644.4</v>
      </c>
      <c r="I20" s="552">
        <f t="shared" ref="I20:I21" si="3">H20 + F20</f>
        <v>966.59999999999991</v>
      </c>
      <c r="J20" s="559">
        <f t="shared" ref="J20" si="4">B20*I20</f>
        <v>2416500</v>
      </c>
      <c r="K20" s="567">
        <f>C20*K17</f>
        <v>644.4</v>
      </c>
      <c r="L20" s="552">
        <f t="shared" ref="L20:L21" si="5">K20+ I20</f>
        <v>1611</v>
      </c>
      <c r="M20" s="559">
        <f t="shared" ref="M20" si="6">B20*L20</f>
        <v>4027500</v>
      </c>
      <c r="N20" s="567">
        <f>C20*N17</f>
        <v>805.5</v>
      </c>
      <c r="O20" s="552">
        <f t="shared" ref="O20:O21" si="7">N20+L20</f>
        <v>2416.5</v>
      </c>
      <c r="P20" s="559">
        <f t="shared" ref="P20" si="8">B20*O20</f>
        <v>6041250</v>
      </c>
      <c r="Q20" s="567">
        <f>C20*Q17</f>
        <v>966.59999999999991</v>
      </c>
      <c r="R20" s="552">
        <f t="shared" ref="R20:R21" si="9">Q20+O20</f>
        <v>3383.1</v>
      </c>
      <c r="S20" s="559">
        <f t="shared" ref="S20" si="10">B20*R20</f>
        <v>8457750</v>
      </c>
      <c r="T20" s="567">
        <f>C20*T17</f>
        <v>1288.8</v>
      </c>
      <c r="U20" s="552">
        <f t="shared" ref="U20:U21" si="11">T20+R20</f>
        <v>4671.8999999999996</v>
      </c>
      <c r="V20" s="559">
        <f t="shared" ref="V20" si="12">B20*U20</f>
        <v>11679750</v>
      </c>
      <c r="W20" s="567">
        <f>C20*W17</f>
        <v>1611</v>
      </c>
      <c r="X20" s="552">
        <f t="shared" ref="X20:X21" si="13">W20+U20</f>
        <v>6282.9</v>
      </c>
      <c r="Y20" s="559">
        <f t="shared" ref="Y20" si="14">B20*X20</f>
        <v>15707250</v>
      </c>
      <c r="Z20" s="567">
        <f>C20*Z17</f>
        <v>1772.1</v>
      </c>
      <c r="AA20" s="552">
        <f t="shared" ref="AA20:AA21" si="15">Z20+X20</f>
        <v>8055</v>
      </c>
      <c r="AB20" s="559">
        <f t="shared" ref="AB20" si="16">B20*AA20</f>
        <v>20137500</v>
      </c>
      <c r="AC20" s="567">
        <f>C20*AC17</f>
        <v>1772.1</v>
      </c>
      <c r="AD20" s="552">
        <f t="shared" ref="AD20:AD21" si="17">AC20+AA20</f>
        <v>9827.1</v>
      </c>
      <c r="AE20" s="559">
        <f t="shared" ref="AE20" si="18">B20*AD20</f>
        <v>24567750</v>
      </c>
      <c r="AF20" s="567">
        <f>C20*AF17</f>
        <v>1933.1999999999998</v>
      </c>
      <c r="AG20" s="552">
        <f t="shared" ref="AG20:AG21" si="19">AF20+AD20</f>
        <v>11760.3</v>
      </c>
      <c r="AH20" s="559">
        <f t="shared" ref="AH20" si="20">B20*AG20</f>
        <v>29400750</v>
      </c>
      <c r="AI20" s="568">
        <f>C20*AI17</f>
        <v>2094.3000000000002</v>
      </c>
      <c r="AJ20" s="552">
        <f t="shared" ref="AJ20:AJ21" si="21">AI20+AG20</f>
        <v>13854.599999999999</v>
      </c>
      <c r="AK20" s="554">
        <f t="shared" ref="AK20" si="22">B20*AJ20</f>
        <v>34636500</v>
      </c>
      <c r="AL20" s="569">
        <f>C20*AL17</f>
        <v>2255.4</v>
      </c>
      <c r="AM20" s="552">
        <f t="shared" ref="AM20:AM21" si="23">AL20+AJ20</f>
        <v>16109.999999999998</v>
      </c>
      <c r="AN20" s="512">
        <f t="shared" ref="AN20" si="24">B20*AM20</f>
        <v>40274999.999999993</v>
      </c>
    </row>
    <row r="21" spans="1:61" ht="33" customHeight="1" thickBot="1" x14ac:dyDescent="0.3">
      <c r="A21" s="516" t="s">
        <v>290</v>
      </c>
      <c r="B21" s="513">
        <f>Hipótesis!C55</f>
        <v>4000</v>
      </c>
      <c r="C21" s="490">
        <v>11415</v>
      </c>
      <c r="D21" s="565">
        <f t="shared" si="0"/>
        <v>45660000</v>
      </c>
      <c r="E21" s="570">
        <f>C21*E17</f>
        <v>228.3</v>
      </c>
      <c r="F21" s="571">
        <f t="shared" si="1"/>
        <v>228.3</v>
      </c>
      <c r="G21" s="560">
        <f t="shared" ref="G21" si="25">F21*B21</f>
        <v>913200</v>
      </c>
      <c r="H21" s="572">
        <f>(C21*H17)</f>
        <v>456.6</v>
      </c>
      <c r="I21" s="571">
        <f t="shared" si="3"/>
        <v>684.90000000000009</v>
      </c>
      <c r="J21" s="560">
        <f t="shared" ref="J21" si="26">B21*I21</f>
        <v>2739600.0000000005</v>
      </c>
      <c r="K21" s="572">
        <f>C21*K17</f>
        <v>456.6</v>
      </c>
      <c r="L21" s="571">
        <f t="shared" si="5"/>
        <v>1141.5</v>
      </c>
      <c r="M21" s="560">
        <f t="shared" ref="M21" si="27">B21*L21</f>
        <v>4566000</v>
      </c>
      <c r="N21" s="572">
        <f>C21*N17</f>
        <v>570.75</v>
      </c>
      <c r="O21" s="571">
        <f t="shared" si="7"/>
        <v>1712.25</v>
      </c>
      <c r="P21" s="560">
        <f t="shared" ref="P21" si="28">B21*O21</f>
        <v>6849000</v>
      </c>
      <c r="Q21" s="572">
        <f>C21*Q17</f>
        <v>684.9</v>
      </c>
      <c r="R21" s="571">
        <f t="shared" si="9"/>
        <v>2397.15</v>
      </c>
      <c r="S21" s="560">
        <f t="shared" ref="S21" si="29">B21*R21</f>
        <v>9588600</v>
      </c>
      <c r="T21" s="572">
        <f>C21*T17</f>
        <v>913.2</v>
      </c>
      <c r="U21" s="571">
        <f t="shared" si="11"/>
        <v>3310.3500000000004</v>
      </c>
      <c r="V21" s="560">
        <f t="shared" ref="V21" si="30">B21*U21</f>
        <v>13241400.000000002</v>
      </c>
      <c r="W21" s="572">
        <f>C21*W17</f>
        <v>1141.5</v>
      </c>
      <c r="X21" s="571">
        <f t="shared" si="13"/>
        <v>4451.8500000000004</v>
      </c>
      <c r="Y21" s="560">
        <f t="shared" ref="Y21" si="31">B21*X21</f>
        <v>17807400</v>
      </c>
      <c r="Z21" s="572">
        <f>C21*Z17</f>
        <v>1255.6500000000001</v>
      </c>
      <c r="AA21" s="571">
        <f t="shared" si="15"/>
        <v>5707.5</v>
      </c>
      <c r="AB21" s="560">
        <f t="shared" ref="AB21" si="32">B21*AA21</f>
        <v>22830000</v>
      </c>
      <c r="AC21" s="572">
        <f>C21*AC17</f>
        <v>1255.6500000000001</v>
      </c>
      <c r="AD21" s="571">
        <f t="shared" si="17"/>
        <v>6963.15</v>
      </c>
      <c r="AE21" s="560">
        <f t="shared" ref="AE21" si="33">B21*AD21</f>
        <v>27852600</v>
      </c>
      <c r="AF21" s="572">
        <f>C21*AF17</f>
        <v>1369.8</v>
      </c>
      <c r="AG21" s="571">
        <f t="shared" si="19"/>
        <v>8332.9499999999989</v>
      </c>
      <c r="AH21" s="560">
        <f t="shared" ref="AH21" si="34">B21*AG21</f>
        <v>33331799.999999996</v>
      </c>
      <c r="AI21" s="573">
        <f>C21*AI17</f>
        <v>1483.95</v>
      </c>
      <c r="AJ21" s="571">
        <f t="shared" si="21"/>
        <v>9816.9</v>
      </c>
      <c r="AK21" s="555">
        <f t="shared" ref="AK21" si="35">B21*AJ21</f>
        <v>39267600</v>
      </c>
      <c r="AL21" s="574">
        <f>C21*AL17</f>
        <v>1598.1000000000001</v>
      </c>
      <c r="AM21" s="571">
        <f t="shared" si="23"/>
        <v>11415</v>
      </c>
      <c r="AN21" s="550">
        <f t="shared" ref="AN21" si="36">B21*AM21</f>
        <v>45660000</v>
      </c>
    </row>
    <row r="22" spans="1:61" ht="16.5" thickBot="1" x14ac:dyDescent="0.3">
      <c r="A22" s="633" t="s">
        <v>69</v>
      </c>
      <c r="B22" s="634"/>
      <c r="C22" s="496">
        <f>SUM(C19:C21)</f>
        <v>60730</v>
      </c>
      <c r="D22" s="495">
        <f>SUM(D19:D21)</f>
        <v>129101500</v>
      </c>
      <c r="E22" s="575"/>
      <c r="F22" s="547"/>
      <c r="G22" s="548">
        <f>SUM(G19:G21)</f>
        <v>2582030</v>
      </c>
      <c r="H22" s="576"/>
      <c r="I22" s="547"/>
      <c r="J22" s="548">
        <f>SUM(J19:J21)</f>
        <v>7746090</v>
      </c>
      <c r="K22" s="576"/>
      <c r="L22" s="547"/>
      <c r="M22" s="548">
        <f>SUM(M19:M21)</f>
        <v>12910150</v>
      </c>
      <c r="N22" s="576"/>
      <c r="O22" s="547"/>
      <c r="P22" s="548">
        <f>SUM(P19:P21)</f>
        <v>19365225</v>
      </c>
      <c r="Q22" s="576"/>
      <c r="R22" s="547"/>
      <c r="S22" s="548">
        <f>SUM(S19:S21)</f>
        <v>27111315</v>
      </c>
      <c r="T22" s="576"/>
      <c r="U22" s="547"/>
      <c r="V22" s="548">
        <f>SUM(V19:V21)</f>
        <v>37439435</v>
      </c>
      <c r="W22" s="576"/>
      <c r="X22" s="547"/>
      <c r="Y22" s="548">
        <f>SUM(Y19:Y21)</f>
        <v>50349585</v>
      </c>
      <c r="Z22" s="576"/>
      <c r="AA22" s="547"/>
      <c r="AB22" s="548">
        <f>SUM(AB19:AB21)</f>
        <v>64550750</v>
      </c>
      <c r="AC22" s="576"/>
      <c r="AD22" s="547"/>
      <c r="AE22" s="548">
        <f>SUM(AE19:AE21)</f>
        <v>78751915</v>
      </c>
      <c r="AF22" s="576"/>
      <c r="AG22" s="547"/>
      <c r="AH22" s="548">
        <f>SUM(AH19:AH21)</f>
        <v>94244095</v>
      </c>
      <c r="AI22" s="576"/>
      <c r="AJ22" s="547"/>
      <c r="AK22" s="548">
        <f>SUM(AK19:AK21)</f>
        <v>111027290</v>
      </c>
      <c r="AL22" s="576"/>
      <c r="AM22" s="547"/>
      <c r="AN22" s="548">
        <f>SUM(AN19:AN21)</f>
        <v>129101500</v>
      </c>
      <c r="AO22" s="43"/>
    </row>
    <row r="23" spans="1:61" x14ac:dyDescent="0.25">
      <c r="D23" s="35"/>
      <c r="E23" s="35"/>
      <c r="L23" s="41"/>
      <c r="M23" s="41"/>
      <c r="N23" s="41"/>
      <c r="O23" s="41"/>
      <c r="P23" s="41"/>
      <c r="Q23" s="41"/>
      <c r="S23" s="41"/>
      <c r="T23" s="41"/>
      <c r="U23" s="41"/>
      <c r="V23" s="41"/>
      <c r="W23" s="41"/>
      <c r="X23" s="41"/>
      <c r="Y23" s="41"/>
      <c r="Z23" s="41"/>
      <c r="AA23" s="41"/>
      <c r="AB23" s="41"/>
      <c r="AC23" s="41"/>
      <c r="AD23" s="41"/>
      <c r="AE23" s="41"/>
      <c r="AF23" s="41"/>
      <c r="AG23" s="41"/>
      <c r="AH23" s="41"/>
      <c r="AI23" s="41"/>
      <c r="AJ23" s="41"/>
      <c r="AK23" s="41"/>
      <c r="AL23" s="41"/>
      <c r="AN23" s="41"/>
    </row>
    <row r="25" spans="1:61" ht="19.5" customHeight="1" x14ac:dyDescent="0.25">
      <c r="A25" s="497"/>
      <c r="B25" s="498"/>
      <c r="C25" s="499"/>
      <c r="D25" s="499"/>
      <c r="E25" s="499"/>
      <c r="F25" s="499"/>
      <c r="G25" s="499"/>
      <c r="H25" s="499"/>
      <c r="I25" s="499"/>
      <c r="J25" s="499"/>
      <c r="K25" s="499"/>
      <c r="L25" s="499"/>
      <c r="M25" s="499"/>
      <c r="N25" s="499"/>
      <c r="O25" s="499"/>
      <c r="P25" s="499"/>
      <c r="Q25" s="499"/>
      <c r="R25" s="499"/>
      <c r="S25" s="499"/>
      <c r="T25" s="499"/>
      <c r="U25" s="499"/>
      <c r="V25" s="499"/>
      <c r="W25" s="499"/>
      <c r="X25" s="499"/>
      <c r="Y25" s="499"/>
      <c r="Z25" s="499"/>
      <c r="AA25" s="499"/>
      <c r="AB25" s="499"/>
      <c r="AC25" s="499"/>
      <c r="AD25" s="499"/>
      <c r="AE25" s="499"/>
      <c r="AF25" s="499"/>
      <c r="AG25" s="499"/>
      <c r="AH25" s="499"/>
      <c r="AI25" s="499"/>
      <c r="AJ25" s="499"/>
      <c r="AK25" s="499"/>
      <c r="AL25" s="499"/>
      <c r="AM25" s="499"/>
      <c r="AN25" s="499"/>
    </row>
    <row r="26" spans="1:61" ht="16.5" customHeight="1" x14ac:dyDescent="0.35">
      <c r="A26" s="500"/>
      <c r="B26" s="500"/>
      <c r="C26" s="500"/>
      <c r="D26" s="500"/>
      <c r="E26" s="500"/>
      <c r="F26" s="501"/>
      <c r="G26" s="501"/>
      <c r="H26" s="501"/>
      <c r="I26" s="501"/>
      <c r="J26" s="501"/>
      <c r="K26" s="501"/>
      <c r="L26" s="501"/>
      <c r="M26" s="501"/>
      <c r="N26" s="501"/>
      <c r="O26" s="501"/>
      <c r="P26" s="501"/>
      <c r="Q26" s="501"/>
      <c r="R26" s="501"/>
      <c r="S26" s="501"/>
      <c r="T26" s="501"/>
      <c r="U26" s="501"/>
      <c r="V26" s="501"/>
      <c r="W26" s="501"/>
      <c r="X26" s="501"/>
      <c r="Y26" s="501"/>
      <c r="Z26" s="501"/>
      <c r="AA26" s="501"/>
      <c r="AB26" s="501"/>
      <c r="AC26" s="501"/>
      <c r="AD26" s="501"/>
      <c r="AE26" s="501"/>
      <c r="AF26" s="501"/>
      <c r="AG26" s="501"/>
      <c r="AH26" s="501"/>
      <c r="AI26" s="501"/>
      <c r="AJ26" s="501"/>
      <c r="AK26" s="501"/>
      <c r="AL26" s="501"/>
      <c r="AM26" s="501"/>
      <c r="AN26" s="501"/>
    </row>
    <row r="27" spans="1:61" ht="15.75" customHeight="1" x14ac:dyDescent="0.25">
      <c r="A27" s="500"/>
      <c r="B27" s="500"/>
      <c r="C27" s="502"/>
      <c r="D27" s="502"/>
      <c r="E27" s="502"/>
      <c r="F27" s="503"/>
      <c r="G27" s="503"/>
      <c r="H27" s="503"/>
      <c r="I27" s="503"/>
      <c r="J27" s="503"/>
      <c r="K27" s="503"/>
      <c r="L27" s="503"/>
      <c r="M27" s="503"/>
      <c r="N27" s="503"/>
      <c r="O27" s="503"/>
      <c r="P27" s="503"/>
      <c r="Q27" s="503"/>
      <c r="R27" s="503"/>
      <c r="S27" s="503"/>
      <c r="T27" s="503"/>
      <c r="U27" s="503"/>
      <c r="V27" s="503"/>
      <c r="W27" s="503"/>
      <c r="X27" s="503"/>
      <c r="Y27" s="503"/>
      <c r="Z27" s="503"/>
      <c r="AA27" s="503"/>
      <c r="AB27" s="503"/>
      <c r="AC27" s="503"/>
      <c r="AD27" s="503"/>
      <c r="AE27" s="503"/>
      <c r="AF27" s="503"/>
      <c r="AG27" s="503"/>
      <c r="AH27" s="503"/>
      <c r="AI27" s="503"/>
      <c r="AJ27" s="503"/>
      <c r="AK27" s="503"/>
      <c r="AL27" s="503"/>
      <c r="AM27" s="503"/>
      <c r="AN27" s="503"/>
    </row>
    <row r="28" spans="1:61" ht="15" customHeight="1" x14ac:dyDescent="0.25">
      <c r="A28" s="504"/>
      <c r="B28" s="504"/>
      <c r="C28" s="505"/>
      <c r="D28" s="506"/>
      <c r="E28" s="506"/>
      <c r="F28" s="507"/>
      <c r="G28" s="507"/>
      <c r="H28" s="507"/>
      <c r="I28" s="507"/>
      <c r="J28" s="507"/>
      <c r="K28" s="507"/>
      <c r="L28" s="507"/>
      <c r="M28" s="507"/>
      <c r="N28" s="507"/>
      <c r="O28" s="507"/>
      <c r="P28" s="507"/>
      <c r="Q28" s="507"/>
      <c r="R28" s="507"/>
      <c r="S28" s="507"/>
      <c r="T28" s="507"/>
      <c r="U28" s="507"/>
      <c r="V28" s="507"/>
      <c r="W28" s="507"/>
      <c r="X28" s="507"/>
      <c r="Y28" s="507"/>
      <c r="Z28" s="507"/>
      <c r="AA28" s="507"/>
      <c r="AB28" s="507"/>
      <c r="AC28" s="507"/>
      <c r="AD28" s="507"/>
      <c r="AE28" s="507"/>
      <c r="AF28" s="507"/>
      <c r="AG28" s="507"/>
      <c r="AH28" s="507"/>
      <c r="AI28" s="507"/>
      <c r="AJ28" s="507"/>
      <c r="AK28" s="507"/>
      <c r="AL28" s="507"/>
      <c r="AM28" s="507"/>
      <c r="AN28" s="507"/>
    </row>
    <row r="29" spans="1:61" ht="15" customHeight="1" x14ac:dyDescent="0.25">
      <c r="A29" s="504"/>
      <c r="B29" s="504"/>
      <c r="C29" s="505"/>
      <c r="D29" s="508"/>
      <c r="E29" s="508"/>
      <c r="F29" s="507"/>
      <c r="G29" s="507"/>
      <c r="H29" s="507"/>
      <c r="I29" s="507"/>
      <c r="J29" s="507"/>
      <c r="K29" s="507"/>
      <c r="L29" s="507"/>
      <c r="M29" s="507"/>
      <c r="N29" s="507"/>
      <c r="O29" s="507"/>
      <c r="P29" s="507"/>
      <c r="Q29" s="507"/>
      <c r="R29" s="507"/>
      <c r="S29" s="507"/>
      <c r="T29" s="507"/>
      <c r="U29" s="507"/>
      <c r="V29" s="507"/>
      <c r="W29" s="507"/>
      <c r="X29" s="507"/>
      <c r="Y29" s="507"/>
      <c r="Z29" s="507"/>
      <c r="AA29" s="507"/>
      <c r="AB29" s="507"/>
      <c r="AC29" s="507"/>
      <c r="AD29" s="507"/>
      <c r="AE29" s="507"/>
      <c r="AF29" s="507"/>
      <c r="AG29" s="507"/>
      <c r="AH29" s="507"/>
      <c r="AI29" s="507"/>
      <c r="AJ29" s="507"/>
      <c r="AK29" s="507"/>
      <c r="AL29" s="507"/>
      <c r="AM29" s="507"/>
      <c r="AN29" s="507"/>
    </row>
    <row r="30" spans="1:61" ht="15" customHeight="1" x14ac:dyDescent="0.25">
      <c r="A30" s="504"/>
      <c r="B30" s="504"/>
      <c r="C30" s="505"/>
      <c r="D30" s="508"/>
      <c r="E30" s="508"/>
      <c r="F30" s="507"/>
      <c r="G30" s="507"/>
      <c r="H30" s="507"/>
      <c r="I30" s="507"/>
      <c r="J30" s="507"/>
      <c r="K30" s="507"/>
      <c r="L30" s="507"/>
      <c r="M30" s="507"/>
      <c r="N30" s="507"/>
      <c r="O30" s="507"/>
      <c r="P30" s="507"/>
      <c r="Q30" s="507"/>
      <c r="R30" s="507"/>
      <c r="S30" s="507"/>
      <c r="T30" s="507"/>
      <c r="U30" s="507"/>
      <c r="V30" s="507"/>
      <c r="W30" s="507"/>
      <c r="X30" s="507"/>
      <c r="Y30" s="507"/>
      <c r="Z30" s="507"/>
      <c r="AA30" s="507"/>
      <c r="AB30" s="507"/>
      <c r="AC30" s="507"/>
      <c r="AD30" s="507"/>
      <c r="AE30" s="507"/>
      <c r="AF30" s="507"/>
      <c r="AG30" s="507"/>
      <c r="AH30" s="507"/>
      <c r="AI30" s="507"/>
      <c r="AJ30" s="507"/>
      <c r="AK30" s="507"/>
      <c r="AL30" s="507"/>
      <c r="AM30" s="507"/>
      <c r="AN30" s="507"/>
    </row>
    <row r="31" spans="1:61" ht="15" customHeight="1" x14ac:dyDescent="0.25">
      <c r="A31" s="504"/>
      <c r="B31" s="504"/>
      <c r="C31" s="505"/>
      <c r="D31" s="508"/>
      <c r="E31" s="508"/>
      <c r="F31" s="507"/>
      <c r="G31" s="507"/>
      <c r="H31" s="507"/>
      <c r="I31" s="507"/>
      <c r="J31" s="507"/>
      <c r="K31" s="507"/>
      <c r="L31" s="507"/>
      <c r="M31" s="507"/>
      <c r="N31" s="507"/>
      <c r="O31" s="507"/>
      <c r="P31" s="507"/>
      <c r="Q31" s="507"/>
      <c r="R31" s="507"/>
      <c r="S31" s="507"/>
      <c r="T31" s="507"/>
      <c r="U31" s="507"/>
      <c r="V31" s="507"/>
      <c r="W31" s="507"/>
      <c r="X31" s="507"/>
      <c r="Y31" s="507"/>
      <c r="Z31" s="507"/>
      <c r="AA31" s="507"/>
      <c r="AB31" s="507"/>
      <c r="AC31" s="507"/>
      <c r="AD31" s="507"/>
      <c r="AE31" s="507"/>
      <c r="AF31" s="507"/>
      <c r="AG31" s="507"/>
      <c r="AH31" s="507"/>
      <c r="AI31" s="507"/>
      <c r="AJ31" s="507"/>
      <c r="AK31" s="507"/>
      <c r="AL31" s="507"/>
      <c r="AM31" s="507"/>
      <c r="AN31" s="507"/>
    </row>
    <row r="32" spans="1:61" ht="15" customHeight="1" x14ac:dyDescent="0.25">
      <c r="A32" s="504"/>
      <c r="B32" s="504"/>
      <c r="C32" s="505"/>
      <c r="D32" s="508"/>
      <c r="E32" s="508"/>
      <c r="F32" s="507"/>
      <c r="G32" s="507"/>
      <c r="H32" s="507"/>
      <c r="I32" s="507"/>
      <c r="J32" s="507"/>
      <c r="K32" s="507"/>
      <c r="L32" s="507"/>
      <c r="M32" s="507"/>
      <c r="N32" s="507"/>
      <c r="O32" s="507"/>
      <c r="P32" s="507"/>
      <c r="Q32" s="507"/>
      <c r="R32" s="507"/>
      <c r="S32" s="507"/>
      <c r="T32" s="507"/>
      <c r="U32" s="507"/>
      <c r="V32" s="507"/>
      <c r="W32" s="507"/>
      <c r="X32" s="507"/>
      <c r="Y32" s="507"/>
      <c r="Z32" s="507"/>
      <c r="AA32" s="507"/>
      <c r="AB32" s="507"/>
      <c r="AC32" s="507"/>
      <c r="AD32" s="507"/>
      <c r="AE32" s="507"/>
      <c r="AF32" s="507"/>
      <c r="AG32" s="507"/>
      <c r="AH32" s="507"/>
      <c r="AI32" s="507"/>
      <c r="AJ32" s="507"/>
      <c r="AK32" s="507"/>
      <c r="AL32" s="507"/>
      <c r="AM32" s="507"/>
      <c r="AN32" s="507"/>
    </row>
    <row r="33" spans="1:40" ht="15" customHeight="1" x14ac:dyDescent="0.25">
      <c r="A33" s="504"/>
      <c r="B33" s="504"/>
      <c r="C33" s="505"/>
      <c r="D33" s="508"/>
      <c r="E33" s="508"/>
      <c r="F33" s="507"/>
      <c r="G33" s="507"/>
      <c r="H33" s="507"/>
      <c r="I33" s="507"/>
      <c r="J33" s="507"/>
      <c r="K33" s="507"/>
      <c r="L33" s="507"/>
      <c r="M33" s="507"/>
      <c r="N33" s="507"/>
      <c r="O33" s="507"/>
      <c r="P33" s="507"/>
      <c r="Q33" s="507"/>
      <c r="R33" s="507"/>
      <c r="S33" s="507"/>
      <c r="T33" s="507"/>
      <c r="U33" s="507"/>
      <c r="V33" s="507"/>
      <c r="W33" s="507"/>
      <c r="X33" s="507"/>
      <c r="Y33" s="507"/>
      <c r="Z33" s="507"/>
      <c r="AA33" s="507"/>
      <c r="AB33" s="507"/>
      <c r="AC33" s="507"/>
      <c r="AD33" s="507"/>
      <c r="AE33" s="507"/>
      <c r="AF33" s="507"/>
      <c r="AG33" s="507"/>
      <c r="AH33" s="507"/>
      <c r="AI33" s="507"/>
      <c r="AJ33" s="507"/>
      <c r="AK33" s="507"/>
      <c r="AL33" s="507"/>
      <c r="AM33" s="507"/>
      <c r="AN33" s="507"/>
    </row>
    <row r="34" spans="1:40" ht="15" customHeight="1" x14ac:dyDescent="0.25">
      <c r="A34" s="504"/>
      <c r="B34" s="504"/>
      <c r="C34" s="505"/>
      <c r="D34" s="508"/>
      <c r="E34" s="508"/>
      <c r="F34" s="507"/>
      <c r="G34" s="507"/>
      <c r="H34" s="507"/>
      <c r="I34" s="507"/>
      <c r="J34" s="507"/>
      <c r="K34" s="507"/>
      <c r="L34" s="507"/>
      <c r="M34" s="507"/>
      <c r="N34" s="507"/>
      <c r="O34" s="507"/>
      <c r="P34" s="507"/>
      <c r="Q34" s="507"/>
      <c r="R34" s="507"/>
      <c r="S34" s="507"/>
      <c r="T34" s="507"/>
      <c r="U34" s="507"/>
      <c r="V34" s="507"/>
      <c r="W34" s="507"/>
      <c r="X34" s="507"/>
      <c r="Y34" s="507"/>
      <c r="Z34" s="507"/>
      <c r="AA34" s="507"/>
      <c r="AB34" s="507"/>
      <c r="AC34" s="507"/>
      <c r="AD34" s="507"/>
      <c r="AE34" s="507"/>
      <c r="AF34" s="507"/>
      <c r="AG34" s="507"/>
      <c r="AH34" s="507"/>
      <c r="AI34" s="507"/>
      <c r="AJ34" s="507"/>
      <c r="AK34" s="507"/>
      <c r="AL34" s="507"/>
      <c r="AM34" s="507"/>
      <c r="AN34" s="507"/>
    </row>
    <row r="35" spans="1:40" ht="15" customHeight="1" x14ac:dyDescent="0.25">
      <c r="A35" s="504"/>
      <c r="B35" s="504"/>
      <c r="C35" s="505"/>
      <c r="D35" s="508"/>
      <c r="E35" s="508"/>
      <c r="F35" s="507"/>
      <c r="G35" s="507"/>
      <c r="H35" s="507"/>
      <c r="I35" s="507"/>
      <c r="J35" s="507"/>
      <c r="K35" s="507"/>
      <c r="L35" s="507"/>
      <c r="M35" s="507"/>
      <c r="N35" s="507"/>
      <c r="O35" s="507"/>
      <c r="P35" s="507"/>
      <c r="Q35" s="507"/>
      <c r="R35" s="507"/>
      <c r="S35" s="507"/>
      <c r="T35" s="507"/>
      <c r="U35" s="507"/>
      <c r="V35" s="507"/>
      <c r="W35" s="507"/>
      <c r="X35" s="507"/>
      <c r="Y35" s="507"/>
      <c r="Z35" s="507"/>
      <c r="AA35" s="507"/>
      <c r="AB35" s="507"/>
      <c r="AC35" s="507"/>
      <c r="AD35" s="507"/>
      <c r="AE35" s="507"/>
      <c r="AF35" s="507"/>
      <c r="AG35" s="507"/>
      <c r="AH35" s="507"/>
      <c r="AI35" s="507"/>
      <c r="AJ35" s="507"/>
      <c r="AK35" s="507"/>
      <c r="AL35" s="507"/>
      <c r="AM35" s="507"/>
      <c r="AN35" s="507"/>
    </row>
    <row r="36" spans="1:40" ht="15" customHeight="1" x14ac:dyDescent="0.25">
      <c r="A36" s="504"/>
      <c r="B36" s="504"/>
      <c r="C36" s="505"/>
      <c r="D36" s="508"/>
      <c r="E36" s="508"/>
      <c r="F36" s="507"/>
      <c r="G36" s="507"/>
      <c r="H36" s="507"/>
      <c r="I36" s="507"/>
      <c r="J36" s="507"/>
      <c r="K36" s="507"/>
      <c r="L36" s="507"/>
      <c r="M36" s="507"/>
      <c r="N36" s="507"/>
      <c r="O36" s="507"/>
      <c r="P36" s="507"/>
      <c r="Q36" s="507"/>
      <c r="R36" s="507"/>
      <c r="S36" s="507"/>
      <c r="T36" s="507"/>
      <c r="U36" s="507"/>
      <c r="V36" s="507"/>
      <c r="W36" s="507"/>
      <c r="X36" s="507"/>
      <c r="Y36" s="507"/>
      <c r="Z36" s="507"/>
      <c r="AA36" s="507"/>
      <c r="AB36" s="507"/>
      <c r="AC36" s="507"/>
      <c r="AD36" s="507"/>
      <c r="AE36" s="507"/>
      <c r="AF36" s="507"/>
      <c r="AG36" s="507"/>
      <c r="AH36" s="507"/>
      <c r="AI36" s="507"/>
      <c r="AJ36" s="507"/>
      <c r="AK36" s="507"/>
      <c r="AL36" s="507"/>
      <c r="AM36" s="507"/>
      <c r="AN36" s="507"/>
    </row>
    <row r="37" spans="1:40" ht="15" customHeight="1" x14ac:dyDescent="0.25">
      <c r="A37" s="504"/>
      <c r="B37" s="504"/>
      <c r="C37" s="505"/>
      <c r="D37" s="508"/>
      <c r="E37" s="508"/>
      <c r="F37" s="507"/>
      <c r="G37" s="507"/>
      <c r="H37" s="507"/>
      <c r="I37" s="507"/>
      <c r="J37" s="507"/>
      <c r="K37" s="507"/>
      <c r="L37" s="507"/>
      <c r="M37" s="507"/>
      <c r="N37" s="507"/>
      <c r="O37" s="507"/>
      <c r="P37" s="507"/>
      <c r="Q37" s="507"/>
      <c r="R37" s="507"/>
      <c r="S37" s="507"/>
      <c r="T37" s="507"/>
      <c r="U37" s="507"/>
      <c r="V37" s="507"/>
      <c r="W37" s="507"/>
      <c r="X37" s="507"/>
      <c r="Y37" s="507"/>
      <c r="Z37" s="507"/>
      <c r="AA37" s="507"/>
      <c r="AB37" s="507"/>
      <c r="AC37" s="507"/>
      <c r="AD37" s="507"/>
      <c r="AE37" s="507"/>
      <c r="AF37" s="507"/>
      <c r="AG37" s="507"/>
      <c r="AH37" s="507"/>
      <c r="AI37" s="507"/>
      <c r="AJ37" s="507"/>
      <c r="AK37" s="507"/>
      <c r="AL37" s="507"/>
      <c r="AM37" s="507"/>
      <c r="AN37" s="507"/>
    </row>
    <row r="38" spans="1:40" ht="15" customHeight="1" x14ac:dyDescent="0.25">
      <c r="A38" s="504"/>
      <c r="B38" s="504"/>
      <c r="C38" s="505"/>
      <c r="D38" s="508"/>
      <c r="E38" s="508"/>
      <c r="F38" s="507"/>
      <c r="G38" s="507"/>
      <c r="H38" s="507"/>
      <c r="I38" s="507"/>
      <c r="J38" s="507"/>
      <c r="K38" s="507"/>
      <c r="L38" s="507"/>
      <c r="M38" s="507"/>
      <c r="N38" s="507"/>
      <c r="O38" s="507"/>
      <c r="P38" s="507"/>
      <c r="Q38" s="507"/>
      <c r="R38" s="507"/>
      <c r="S38" s="507"/>
      <c r="T38" s="507"/>
      <c r="U38" s="507"/>
      <c r="V38" s="507"/>
      <c r="W38" s="507"/>
      <c r="X38" s="507"/>
      <c r="Y38" s="507"/>
      <c r="Z38" s="507"/>
      <c r="AA38" s="507"/>
      <c r="AB38" s="507"/>
      <c r="AC38" s="507"/>
      <c r="AD38" s="507"/>
      <c r="AE38" s="507"/>
      <c r="AF38" s="507"/>
      <c r="AG38" s="507"/>
      <c r="AH38" s="507"/>
      <c r="AI38" s="507"/>
      <c r="AJ38" s="507"/>
      <c r="AK38" s="507"/>
      <c r="AL38" s="507"/>
      <c r="AM38" s="507"/>
      <c r="AN38" s="507"/>
    </row>
    <row r="39" spans="1:40" ht="15" customHeight="1" x14ac:dyDescent="0.25">
      <c r="A39" s="504"/>
      <c r="B39" s="504"/>
      <c r="C39" s="505"/>
      <c r="D39" s="508"/>
      <c r="E39" s="508"/>
      <c r="F39" s="507"/>
      <c r="G39" s="507"/>
      <c r="H39" s="507"/>
      <c r="I39" s="507"/>
      <c r="J39" s="507"/>
      <c r="K39" s="507"/>
      <c r="L39" s="507"/>
      <c r="M39" s="507"/>
      <c r="N39" s="507"/>
      <c r="O39" s="507"/>
      <c r="P39" s="507"/>
      <c r="Q39" s="507"/>
      <c r="R39" s="507"/>
      <c r="S39" s="507"/>
      <c r="T39" s="507"/>
      <c r="U39" s="507"/>
      <c r="V39" s="507"/>
      <c r="W39" s="507"/>
      <c r="X39" s="507"/>
      <c r="Y39" s="507"/>
      <c r="Z39" s="507"/>
      <c r="AA39" s="507"/>
      <c r="AB39" s="507"/>
      <c r="AC39" s="507"/>
      <c r="AD39" s="507"/>
      <c r="AE39" s="507"/>
      <c r="AF39" s="507"/>
      <c r="AG39" s="507"/>
      <c r="AH39" s="507"/>
      <c r="AI39" s="507"/>
      <c r="AJ39" s="503"/>
      <c r="AK39" s="503"/>
      <c r="AL39" s="503"/>
      <c r="AM39" s="507"/>
      <c r="AN39" s="507"/>
    </row>
    <row r="40" spans="1:40" ht="15" customHeight="1" x14ac:dyDescent="0.25">
      <c r="A40" s="504"/>
      <c r="B40" s="504"/>
      <c r="C40" s="505"/>
      <c r="D40" s="508"/>
      <c r="E40" s="508"/>
      <c r="F40" s="507"/>
      <c r="G40" s="507"/>
      <c r="H40" s="507"/>
      <c r="I40" s="507"/>
      <c r="J40" s="507"/>
      <c r="K40" s="507"/>
      <c r="L40" s="507"/>
      <c r="M40" s="507"/>
      <c r="N40" s="507"/>
      <c r="O40" s="507"/>
      <c r="P40" s="507"/>
      <c r="Q40" s="507"/>
      <c r="R40" s="507"/>
      <c r="S40" s="507"/>
      <c r="T40" s="507"/>
      <c r="U40" s="507"/>
      <c r="V40" s="507"/>
      <c r="W40" s="507"/>
      <c r="X40" s="507"/>
      <c r="Y40" s="507"/>
      <c r="Z40" s="507"/>
      <c r="AA40" s="507"/>
      <c r="AB40" s="507"/>
      <c r="AC40" s="507"/>
      <c r="AD40" s="507"/>
      <c r="AE40" s="507"/>
      <c r="AF40" s="507"/>
      <c r="AG40" s="507"/>
      <c r="AH40" s="507"/>
      <c r="AI40" s="507"/>
      <c r="AJ40" s="507"/>
      <c r="AK40" s="507"/>
      <c r="AL40" s="507"/>
      <c r="AM40" s="507"/>
      <c r="AN40" s="507"/>
    </row>
    <row r="41" spans="1:40" ht="15" customHeight="1" x14ac:dyDescent="0.25"/>
    <row r="42" spans="1:40" ht="15" customHeight="1" x14ac:dyDescent="0.25">
      <c r="A42" s="504"/>
      <c r="B42" s="504"/>
      <c r="C42" s="505"/>
      <c r="D42" s="508"/>
      <c r="E42" s="508"/>
      <c r="F42" s="507"/>
      <c r="G42" s="507"/>
      <c r="H42" s="507"/>
      <c r="I42" s="507"/>
      <c r="J42" s="507"/>
      <c r="K42" s="507"/>
      <c r="L42" s="507"/>
      <c r="M42" s="507"/>
      <c r="N42" s="507"/>
      <c r="O42" s="507"/>
      <c r="P42" s="507"/>
      <c r="Q42" s="507"/>
      <c r="R42" s="507"/>
      <c r="S42" s="507"/>
      <c r="T42" s="507"/>
      <c r="U42" s="507"/>
      <c r="V42" s="507"/>
      <c r="W42" s="507"/>
      <c r="X42" s="507"/>
      <c r="Y42" s="507"/>
      <c r="Z42" s="507"/>
      <c r="AA42" s="507"/>
      <c r="AB42" s="507"/>
      <c r="AC42" s="507"/>
      <c r="AD42" s="507"/>
      <c r="AE42" s="507"/>
      <c r="AF42" s="507"/>
      <c r="AG42" s="507"/>
      <c r="AH42" s="507"/>
      <c r="AI42" s="507"/>
      <c r="AJ42" s="507"/>
      <c r="AK42" s="507"/>
      <c r="AL42" s="507"/>
      <c r="AM42" s="507"/>
      <c r="AN42" s="507"/>
    </row>
    <row r="43" spans="1:40" ht="30" customHeight="1" x14ac:dyDescent="0.25"/>
    <row r="44" spans="1:40" ht="15" customHeight="1" x14ac:dyDescent="0.25">
      <c r="A44" s="504"/>
      <c r="B44" s="504"/>
      <c r="C44" s="505"/>
      <c r="D44" s="508"/>
      <c r="E44" s="508"/>
      <c r="F44" s="507"/>
      <c r="G44" s="507"/>
      <c r="H44" s="507"/>
      <c r="I44" s="507"/>
      <c r="J44" s="507"/>
      <c r="K44" s="507"/>
      <c r="L44" s="507"/>
      <c r="M44" s="507"/>
      <c r="N44" s="507"/>
      <c r="O44" s="507"/>
      <c r="P44" s="507"/>
      <c r="Q44" s="507"/>
      <c r="R44" s="507"/>
      <c r="S44" s="507"/>
      <c r="T44" s="507"/>
      <c r="U44" s="507"/>
      <c r="V44" s="507"/>
      <c r="W44" s="507"/>
      <c r="X44" s="507"/>
      <c r="Y44" s="507"/>
      <c r="Z44" s="507"/>
      <c r="AA44" s="507"/>
      <c r="AB44" s="507"/>
      <c r="AC44" s="507"/>
      <c r="AD44" s="507"/>
      <c r="AE44" s="507"/>
      <c r="AF44" s="507"/>
      <c r="AG44" s="507"/>
      <c r="AH44" s="507"/>
      <c r="AI44" s="507"/>
      <c r="AJ44" s="507"/>
      <c r="AK44" s="507"/>
      <c r="AL44" s="507"/>
      <c r="AM44" s="507"/>
      <c r="AN44" s="507"/>
    </row>
    <row r="45" spans="1:40" ht="29.25" customHeight="1" x14ac:dyDescent="0.25">
      <c r="A45" s="504"/>
      <c r="B45" s="504"/>
      <c r="C45" s="505"/>
      <c r="D45" s="508"/>
      <c r="E45" s="508"/>
      <c r="F45" s="507"/>
      <c r="G45" s="507"/>
      <c r="H45" s="507"/>
      <c r="I45" s="507"/>
      <c r="J45" s="507"/>
      <c r="K45" s="507"/>
      <c r="L45" s="507"/>
      <c r="M45" s="507"/>
      <c r="N45" s="507"/>
      <c r="O45" s="507"/>
      <c r="P45" s="507"/>
      <c r="Q45" s="507"/>
      <c r="R45" s="507"/>
      <c r="S45" s="507"/>
      <c r="T45" s="507"/>
      <c r="U45" s="507"/>
      <c r="V45" s="507"/>
      <c r="W45" s="507"/>
      <c r="X45" s="507"/>
      <c r="Y45" s="507"/>
      <c r="Z45" s="507"/>
      <c r="AA45" s="507"/>
      <c r="AB45" s="507"/>
      <c r="AC45" s="507"/>
      <c r="AD45" s="507"/>
      <c r="AE45" s="507"/>
      <c r="AF45" s="507"/>
      <c r="AG45" s="507"/>
      <c r="AH45" s="507"/>
      <c r="AI45" s="507"/>
      <c r="AJ45" s="507"/>
      <c r="AK45" s="507"/>
      <c r="AL45" s="507"/>
      <c r="AM45" s="507"/>
      <c r="AN45" s="507"/>
    </row>
    <row r="46" spans="1:40" ht="15" customHeight="1" x14ac:dyDescent="0.25">
      <c r="A46" s="504"/>
      <c r="B46" s="504"/>
      <c r="C46" s="505"/>
      <c r="D46" s="508"/>
      <c r="E46" s="508"/>
      <c r="F46" s="507"/>
      <c r="G46" s="507"/>
      <c r="H46" s="507"/>
      <c r="I46" s="507"/>
      <c r="J46" s="507"/>
      <c r="K46" s="507"/>
      <c r="L46" s="507"/>
      <c r="M46" s="507"/>
      <c r="N46" s="507"/>
      <c r="O46" s="507"/>
      <c r="P46" s="507"/>
      <c r="Q46" s="507"/>
      <c r="R46" s="507"/>
      <c r="S46" s="507"/>
      <c r="T46" s="507"/>
      <c r="U46" s="507"/>
      <c r="V46" s="507"/>
      <c r="W46" s="507"/>
      <c r="X46" s="507"/>
      <c r="Y46" s="507"/>
      <c r="Z46" s="507"/>
      <c r="AA46" s="507"/>
      <c r="AB46" s="507"/>
      <c r="AC46" s="507"/>
      <c r="AD46" s="507"/>
      <c r="AE46" s="507"/>
      <c r="AF46" s="507"/>
      <c r="AG46" s="507"/>
      <c r="AH46" s="507"/>
      <c r="AI46" s="507"/>
      <c r="AJ46" s="503"/>
      <c r="AK46" s="503"/>
      <c r="AL46" s="503"/>
      <c r="AM46" s="507"/>
      <c r="AN46" s="507"/>
    </row>
    <row r="47" spans="1:40" ht="15" customHeight="1" x14ac:dyDescent="0.25">
      <c r="A47" s="504"/>
      <c r="B47" s="504"/>
      <c r="C47" s="505"/>
      <c r="D47" s="508"/>
      <c r="E47" s="508"/>
      <c r="F47" s="507"/>
      <c r="G47" s="507"/>
      <c r="H47" s="507"/>
      <c r="I47" s="507"/>
      <c r="J47" s="507"/>
      <c r="K47" s="507"/>
      <c r="L47" s="507"/>
      <c r="M47" s="507"/>
      <c r="N47" s="507"/>
      <c r="O47" s="507"/>
      <c r="P47" s="507"/>
      <c r="Q47" s="507"/>
      <c r="R47" s="507"/>
      <c r="S47" s="507"/>
      <c r="T47" s="507"/>
      <c r="U47" s="507"/>
      <c r="V47" s="507"/>
      <c r="W47" s="507"/>
      <c r="X47" s="507"/>
      <c r="Y47" s="507"/>
      <c r="Z47" s="507"/>
      <c r="AA47" s="507"/>
      <c r="AB47" s="507"/>
      <c r="AC47" s="507"/>
      <c r="AD47" s="507"/>
      <c r="AE47" s="507"/>
      <c r="AF47" s="507"/>
      <c r="AG47" s="507"/>
      <c r="AH47" s="507"/>
      <c r="AI47" s="507"/>
      <c r="AJ47" s="507"/>
      <c r="AK47" s="507"/>
      <c r="AL47" s="507"/>
      <c r="AM47" s="507"/>
      <c r="AN47" s="507"/>
    </row>
    <row r="48" spans="1:40" ht="15" customHeight="1" x14ac:dyDescent="0.25"/>
    <row r="49" spans="1:61" ht="15" customHeight="1" x14ac:dyDescent="0.25">
      <c r="A49" s="504"/>
      <c r="B49" s="504"/>
      <c r="C49" s="505"/>
      <c r="D49" s="508"/>
      <c r="E49" s="508"/>
      <c r="F49" s="507"/>
      <c r="G49" s="507"/>
      <c r="H49" s="507"/>
      <c r="I49" s="507"/>
      <c r="J49" s="507"/>
      <c r="K49" s="507"/>
      <c r="L49" s="507"/>
      <c r="M49" s="507"/>
      <c r="N49" s="507"/>
      <c r="O49" s="507"/>
      <c r="P49" s="507"/>
      <c r="Q49" s="507"/>
      <c r="R49" s="507"/>
      <c r="S49" s="507"/>
      <c r="T49" s="507"/>
      <c r="U49" s="507"/>
      <c r="V49" s="507"/>
      <c r="W49" s="507"/>
      <c r="X49" s="507"/>
      <c r="Y49" s="507"/>
      <c r="Z49" s="507"/>
      <c r="AA49" s="507"/>
      <c r="AB49" s="507"/>
      <c r="AC49" s="507"/>
      <c r="AD49" s="507"/>
      <c r="AE49" s="507"/>
      <c r="AF49" s="507"/>
      <c r="AG49" s="507"/>
      <c r="AH49" s="507"/>
      <c r="AI49" s="507"/>
      <c r="AJ49" s="507"/>
      <c r="AK49" s="507"/>
      <c r="AL49" s="507"/>
      <c r="AM49" s="507"/>
      <c r="AN49" s="507"/>
    </row>
    <row r="50" spans="1:61" ht="15" customHeight="1" x14ac:dyDescent="0.25">
      <c r="A50" s="504"/>
      <c r="B50" s="504"/>
      <c r="C50" s="505"/>
      <c r="D50" s="508"/>
      <c r="E50" s="508"/>
      <c r="F50" s="507"/>
      <c r="G50" s="507"/>
      <c r="H50" s="507"/>
      <c r="I50" s="507"/>
      <c r="J50" s="507"/>
      <c r="K50" s="507"/>
      <c r="L50" s="507"/>
      <c r="M50" s="507"/>
      <c r="N50" s="507"/>
      <c r="O50" s="507"/>
      <c r="P50" s="507"/>
      <c r="Q50" s="507"/>
      <c r="R50" s="507"/>
      <c r="S50" s="507"/>
      <c r="T50" s="507"/>
      <c r="U50" s="507"/>
      <c r="V50" s="507"/>
      <c r="W50" s="507"/>
      <c r="X50" s="507"/>
      <c r="Y50" s="507"/>
      <c r="Z50" s="507"/>
      <c r="AA50" s="507"/>
      <c r="AB50" s="507"/>
      <c r="AC50" s="507"/>
      <c r="AD50" s="507"/>
      <c r="AE50" s="507"/>
      <c r="AF50" s="507"/>
      <c r="AG50" s="507"/>
      <c r="AH50" s="507"/>
      <c r="AI50" s="507"/>
      <c r="AJ50" s="507"/>
      <c r="AK50" s="507"/>
      <c r="AL50" s="507"/>
      <c r="AM50" s="507"/>
      <c r="AN50" s="507"/>
    </row>
    <row r="51" spans="1:61" ht="15" customHeight="1" thickBot="1" x14ac:dyDescent="0.3"/>
    <row r="52" spans="1:61" ht="36.75" customHeight="1" thickBot="1" x14ac:dyDescent="0.45">
      <c r="A52" s="661" t="s">
        <v>293</v>
      </c>
      <c r="B52" s="662"/>
      <c r="C52" s="662"/>
      <c r="D52" s="662"/>
      <c r="E52" s="662"/>
      <c r="F52" s="662"/>
      <c r="G52" s="662"/>
      <c r="H52" s="662"/>
      <c r="I52" s="662"/>
      <c r="J52" s="662"/>
      <c r="K52" s="662"/>
      <c r="L52" s="662"/>
      <c r="M52" s="662"/>
      <c r="N52" s="662"/>
      <c r="O52" s="662"/>
      <c r="P52" s="662"/>
      <c r="Q52" s="662"/>
      <c r="R52" s="662"/>
      <c r="S52" s="662"/>
      <c r="T52" s="662"/>
      <c r="U52" s="662"/>
      <c r="V52" s="662"/>
      <c r="W52" s="662"/>
      <c r="X52" s="663"/>
      <c r="Y52" s="579"/>
      <c r="Z52" s="579"/>
      <c r="AA52" s="579"/>
      <c r="AB52" s="579"/>
      <c r="AC52" s="579"/>
      <c r="AD52" s="579"/>
      <c r="AE52" s="579"/>
      <c r="AF52" s="579"/>
      <c r="AG52" s="579"/>
      <c r="AH52" s="579"/>
      <c r="AI52" s="580"/>
      <c r="AJ52" s="524"/>
      <c r="AK52" s="524"/>
      <c r="AL52" s="524"/>
      <c r="AM52" s="524"/>
      <c r="AN52" s="524"/>
    </row>
    <row r="53" spans="1:61" ht="15" customHeight="1" x14ac:dyDescent="0.25">
      <c r="B53" s="657" t="s">
        <v>297</v>
      </c>
      <c r="C53" s="656" t="s">
        <v>298</v>
      </c>
      <c r="D53" s="659" t="s">
        <v>299</v>
      </c>
      <c r="E53" s="645" t="s">
        <v>300</v>
      </c>
      <c r="F53" s="656" t="s">
        <v>301</v>
      </c>
      <c r="G53" s="656" t="s">
        <v>302</v>
      </c>
      <c r="H53" s="656" t="s">
        <v>303</v>
      </c>
      <c r="I53" s="656" t="s">
        <v>304</v>
      </c>
      <c r="J53" s="656" t="s">
        <v>305</v>
      </c>
      <c r="K53" s="656" t="s">
        <v>306</v>
      </c>
      <c r="L53" s="656" t="s">
        <v>307</v>
      </c>
      <c r="M53" s="645" t="s">
        <v>308</v>
      </c>
      <c r="N53" s="645" t="s">
        <v>309</v>
      </c>
      <c r="O53" s="645" t="s">
        <v>310</v>
      </c>
      <c r="P53" s="645" t="s">
        <v>311</v>
      </c>
      <c r="Q53" s="645" t="s">
        <v>312</v>
      </c>
      <c r="R53" s="645" t="s">
        <v>313</v>
      </c>
      <c r="S53" s="656" t="s">
        <v>314</v>
      </c>
      <c r="T53" s="656" t="s">
        <v>315</v>
      </c>
      <c r="U53" s="645" t="s">
        <v>316</v>
      </c>
      <c r="V53" s="645" t="s">
        <v>317</v>
      </c>
      <c r="W53" s="656" t="s">
        <v>318</v>
      </c>
      <c r="X53" s="645" t="s">
        <v>319</v>
      </c>
      <c r="Y53" s="52"/>
      <c r="Z53" s="52"/>
      <c r="AA53" s="52"/>
      <c r="AB53" s="52"/>
      <c r="AC53" s="518"/>
      <c r="AD53" s="52"/>
      <c r="AE53" s="52"/>
      <c r="AF53" s="518"/>
      <c r="AG53" s="52"/>
      <c r="AH53" s="52"/>
      <c r="AI53" s="518"/>
      <c r="AJ53" s="503"/>
      <c r="AK53" s="503"/>
      <c r="AL53" s="503"/>
      <c r="AM53" s="507"/>
      <c r="AN53" s="507"/>
    </row>
    <row r="54" spans="1:61" ht="35.25" customHeight="1" thickBot="1" x14ac:dyDescent="0.3">
      <c r="B54" s="658"/>
      <c r="C54" s="646"/>
      <c r="D54" s="660"/>
      <c r="E54" s="646"/>
      <c r="F54" s="646"/>
      <c r="G54" s="646"/>
      <c r="H54" s="646"/>
      <c r="I54" s="646"/>
      <c r="J54" s="646"/>
      <c r="K54" s="646"/>
      <c r="L54" s="646"/>
      <c r="M54" s="646"/>
      <c r="N54" s="646"/>
      <c r="O54" s="646"/>
      <c r="P54" s="646"/>
      <c r="Q54" s="646"/>
      <c r="R54" s="646"/>
      <c r="S54" s="646"/>
      <c r="T54" s="646"/>
      <c r="U54" s="646"/>
      <c r="V54" s="646"/>
      <c r="W54" s="646"/>
      <c r="X54" s="646"/>
      <c r="AA54" s="52"/>
      <c r="AB54" s="52"/>
      <c r="AC54" s="519"/>
      <c r="AD54" s="52"/>
      <c r="AE54" s="52"/>
      <c r="AF54" s="519"/>
      <c r="AG54" s="52"/>
      <c r="AH54" s="52"/>
      <c r="AI54" s="505"/>
      <c r="AJ54" s="503"/>
      <c r="AK54" s="503"/>
      <c r="AL54" s="503"/>
      <c r="AM54" s="507"/>
      <c r="AN54" s="507"/>
    </row>
    <row r="55" spans="1:61" ht="15" customHeight="1" x14ac:dyDescent="0.25">
      <c r="A55" s="525" t="s">
        <v>294</v>
      </c>
      <c r="B55" s="522">
        <v>80</v>
      </c>
      <c r="C55" s="522">
        <v>160</v>
      </c>
      <c r="D55" s="530">
        <v>160</v>
      </c>
      <c r="E55" s="522">
        <v>160</v>
      </c>
      <c r="F55" s="522">
        <v>160</v>
      </c>
      <c r="G55" s="522">
        <v>160</v>
      </c>
      <c r="H55" s="522">
        <v>160</v>
      </c>
      <c r="I55" s="522">
        <v>160</v>
      </c>
      <c r="J55" s="522">
        <v>160</v>
      </c>
      <c r="K55" s="520">
        <v>160</v>
      </c>
      <c r="L55" s="522">
        <v>160</v>
      </c>
      <c r="M55" s="522">
        <v>160</v>
      </c>
      <c r="N55" s="522">
        <v>160</v>
      </c>
      <c r="O55" s="522">
        <v>160</v>
      </c>
      <c r="P55" s="522">
        <v>160</v>
      </c>
      <c r="Q55" s="522">
        <v>160</v>
      </c>
      <c r="R55" s="522">
        <v>160</v>
      </c>
      <c r="S55" s="522">
        <v>160</v>
      </c>
      <c r="T55" s="522">
        <v>160</v>
      </c>
      <c r="U55" s="522">
        <v>160</v>
      </c>
      <c r="V55" s="522">
        <v>160</v>
      </c>
      <c r="W55" s="522">
        <v>160</v>
      </c>
      <c r="X55" s="520">
        <v>160</v>
      </c>
      <c r="AA55" s="52"/>
      <c r="AB55" s="52"/>
      <c r="AC55" s="546"/>
      <c r="AD55" s="52"/>
      <c r="AE55" s="52"/>
      <c r="AF55" s="546"/>
      <c r="AG55" s="52"/>
      <c r="AH55" s="52"/>
      <c r="AI55" s="519"/>
      <c r="AJ55" s="507"/>
      <c r="AK55" s="507"/>
      <c r="AL55" s="507"/>
      <c r="AM55" s="507"/>
      <c r="AN55" s="507"/>
    </row>
    <row r="56" spans="1:61" ht="15" customHeight="1" x14ac:dyDescent="0.25">
      <c r="A56" s="525" t="s">
        <v>295</v>
      </c>
      <c r="B56" s="532">
        <v>180000</v>
      </c>
      <c r="C56" s="532">
        <v>130000</v>
      </c>
      <c r="D56" s="533">
        <v>60000</v>
      </c>
      <c r="E56" s="532">
        <v>45000</v>
      </c>
      <c r="F56" s="532">
        <v>60000</v>
      </c>
      <c r="G56" s="532">
        <v>60000</v>
      </c>
      <c r="H56" s="532">
        <v>80000</v>
      </c>
      <c r="I56" s="532">
        <v>45000</v>
      </c>
      <c r="J56" s="532">
        <v>100000</v>
      </c>
      <c r="K56" s="534">
        <v>60000</v>
      </c>
      <c r="L56" s="532">
        <v>120000</v>
      </c>
      <c r="M56" s="532">
        <v>65000</v>
      </c>
      <c r="N56" s="532">
        <v>45000</v>
      </c>
      <c r="O56" s="532">
        <v>150000</v>
      </c>
      <c r="P56" s="532">
        <v>80000</v>
      </c>
      <c r="Q56" s="532">
        <v>75000</v>
      </c>
      <c r="R56" s="532">
        <v>45000</v>
      </c>
      <c r="S56" s="532">
        <v>55000</v>
      </c>
      <c r="T56" s="532">
        <v>55000</v>
      </c>
      <c r="U56" s="532">
        <v>150000</v>
      </c>
      <c r="V56" s="532">
        <v>80000</v>
      </c>
      <c r="W56" s="532">
        <v>80000</v>
      </c>
      <c r="X56" s="534">
        <v>70000</v>
      </c>
      <c r="AA56" s="52"/>
      <c r="AB56" s="52"/>
      <c r="AC56" s="519"/>
      <c r="AD56" s="52"/>
      <c r="AE56" s="52"/>
      <c r="AF56" s="519"/>
      <c r="AG56" s="52"/>
      <c r="AH56" s="52"/>
      <c r="AI56" s="546"/>
      <c r="AJ56" s="507"/>
      <c r="AK56" s="507"/>
      <c r="AL56" s="507"/>
      <c r="AM56" s="507"/>
      <c r="AN56" s="507"/>
    </row>
    <row r="57" spans="1:61" ht="15.75" customHeight="1" thickBot="1" x14ac:dyDescent="0.3">
      <c r="A57" s="526" t="s">
        <v>296</v>
      </c>
      <c r="B57" s="523">
        <v>1</v>
      </c>
      <c r="C57" s="523">
        <v>1</v>
      </c>
      <c r="D57" s="531">
        <v>1</v>
      </c>
      <c r="E57" s="523">
        <v>1</v>
      </c>
      <c r="F57" s="523">
        <v>1</v>
      </c>
      <c r="G57" s="523">
        <v>1</v>
      </c>
      <c r="H57" s="523">
        <v>1</v>
      </c>
      <c r="I57" s="523">
        <v>1</v>
      </c>
      <c r="J57" s="523">
        <v>1</v>
      </c>
      <c r="K57" s="521">
        <v>1</v>
      </c>
      <c r="L57" s="523">
        <v>1</v>
      </c>
      <c r="M57" s="523">
        <v>1</v>
      </c>
      <c r="N57" s="523">
        <v>1</v>
      </c>
      <c r="O57" s="523">
        <v>1</v>
      </c>
      <c r="P57" s="523">
        <v>1</v>
      </c>
      <c r="Q57" s="523">
        <v>1</v>
      </c>
      <c r="R57" s="523">
        <v>1</v>
      </c>
      <c r="S57" s="523">
        <v>1</v>
      </c>
      <c r="T57" s="523">
        <v>1</v>
      </c>
      <c r="U57" s="523">
        <v>1</v>
      </c>
      <c r="V57" s="523">
        <v>1</v>
      </c>
      <c r="W57" s="523">
        <v>1</v>
      </c>
      <c r="X57" s="521">
        <v>1</v>
      </c>
      <c r="AA57" s="507"/>
      <c r="AB57" s="507"/>
      <c r="AC57" s="507"/>
      <c r="AD57" s="507"/>
      <c r="AE57" s="507"/>
      <c r="AF57" s="507"/>
      <c r="AG57" s="507"/>
      <c r="AH57" s="507"/>
      <c r="AI57" s="519"/>
      <c r="AJ57" s="507"/>
      <c r="AK57" s="507"/>
      <c r="AL57" s="507"/>
      <c r="AM57" s="507"/>
      <c r="AN57" s="507"/>
    </row>
    <row r="58" spans="1:61" ht="37.5" customHeight="1" thickBot="1" x14ac:dyDescent="0.35">
      <c r="A58" s="527" t="s">
        <v>321</v>
      </c>
      <c r="B58" s="529">
        <f>SUM(B56:AF56)</f>
        <v>1890000</v>
      </c>
      <c r="C58" s="505"/>
      <c r="D58" s="509"/>
      <c r="E58" s="509"/>
      <c r="F58" s="507"/>
      <c r="G58" s="507"/>
      <c r="H58" s="507"/>
      <c r="I58" s="507"/>
      <c r="J58" s="507"/>
      <c r="K58" s="507"/>
      <c r="L58" s="507"/>
      <c r="M58" s="507"/>
      <c r="N58" s="507"/>
      <c r="O58" s="507"/>
      <c r="P58" s="507"/>
      <c r="Q58" s="507"/>
      <c r="R58" s="507"/>
      <c r="S58" s="507"/>
      <c r="T58" s="507"/>
      <c r="U58" s="507"/>
      <c r="V58" s="507"/>
      <c r="W58" s="507"/>
      <c r="X58" s="507"/>
      <c r="Y58" s="507"/>
      <c r="Z58" s="507"/>
      <c r="AA58" s="52"/>
      <c r="AB58" s="52"/>
      <c r="AC58" s="52"/>
      <c r="AD58" s="52"/>
      <c r="AE58" s="52"/>
      <c r="AF58" s="52"/>
      <c r="AG58" s="52"/>
      <c r="AH58" s="52"/>
      <c r="AI58" s="507"/>
      <c r="AJ58" s="507"/>
      <c r="AK58" s="507"/>
      <c r="AL58" s="507"/>
      <c r="AM58" s="507"/>
      <c r="AN58" s="507"/>
    </row>
    <row r="59" spans="1:61" ht="30" customHeight="1" thickBot="1" x14ac:dyDescent="0.3">
      <c r="A59" s="528" t="s">
        <v>320</v>
      </c>
      <c r="B59" s="529">
        <f>B58*12</f>
        <v>22680000</v>
      </c>
      <c r="C59" s="505"/>
      <c r="D59" s="509"/>
      <c r="E59" s="509"/>
      <c r="F59" s="507"/>
      <c r="G59" s="507"/>
      <c r="H59" s="507"/>
      <c r="I59" s="507"/>
      <c r="J59" s="507"/>
      <c r="K59" s="507"/>
      <c r="L59" s="507"/>
      <c r="M59" s="507"/>
      <c r="N59" s="507"/>
      <c r="O59" s="507"/>
      <c r="P59" s="507"/>
      <c r="Q59" s="507"/>
      <c r="R59" s="507"/>
      <c r="S59" s="507"/>
      <c r="T59" s="507"/>
      <c r="U59" s="507"/>
      <c r="V59" s="507"/>
      <c r="W59" s="507"/>
      <c r="X59" s="507"/>
      <c r="Y59" s="507"/>
      <c r="Z59" s="507"/>
      <c r="AA59" s="507"/>
      <c r="AB59" s="507"/>
      <c r="AC59" s="507"/>
      <c r="AD59" s="507"/>
      <c r="AE59" s="507"/>
      <c r="AF59" s="507"/>
      <c r="AG59" s="507"/>
      <c r="AH59" s="507"/>
      <c r="AI59" s="507"/>
      <c r="AJ59" s="507"/>
      <c r="AK59" s="507"/>
      <c r="AL59" s="507"/>
      <c r="AM59" s="507"/>
      <c r="AN59" s="507"/>
    </row>
    <row r="60" spans="1:61" ht="18.75" customHeight="1" x14ac:dyDescent="0.25">
      <c r="A60" s="61"/>
      <c r="B60" s="61"/>
      <c r="C60" s="52"/>
      <c r="D60" s="42"/>
      <c r="E60" s="42"/>
      <c r="F60" s="62"/>
      <c r="G60" s="62"/>
      <c r="H60" s="517"/>
      <c r="I60" s="62"/>
      <c r="J60" s="62"/>
      <c r="K60" s="517"/>
      <c r="L60" s="62"/>
      <c r="M60" s="62"/>
      <c r="N60" s="517"/>
      <c r="O60" s="62"/>
      <c r="P60" s="62"/>
      <c r="Q60" s="517"/>
      <c r="R60" s="62"/>
      <c r="S60" s="62"/>
      <c r="T60" s="517"/>
      <c r="U60" s="62"/>
      <c r="V60" s="62"/>
      <c r="W60" s="517"/>
      <c r="X60" s="62"/>
      <c r="Y60" s="62"/>
      <c r="Z60" s="517"/>
      <c r="AA60" s="62"/>
      <c r="AB60" s="62"/>
      <c r="AC60" s="517"/>
      <c r="AD60" s="62"/>
      <c r="AE60" s="62"/>
      <c r="AF60" s="517"/>
      <c r="AG60" s="62"/>
      <c r="AH60" s="62"/>
      <c r="AI60" s="517"/>
      <c r="AJ60" s="62"/>
      <c r="AK60" s="62"/>
      <c r="AL60" s="517"/>
      <c r="AM60" s="62"/>
      <c r="AN60" s="62"/>
    </row>
    <row r="61" spans="1:61" ht="18" customHeight="1" x14ac:dyDescent="0.25">
      <c r="A61" s="70"/>
      <c r="B61" s="70"/>
      <c r="C61" s="71"/>
      <c r="D61" s="72"/>
      <c r="E61" s="72"/>
      <c r="F61" s="73"/>
      <c r="G61" s="73"/>
      <c r="H61" s="73"/>
      <c r="I61" s="73"/>
      <c r="J61" s="73"/>
      <c r="K61" s="73"/>
      <c r="L61" s="73"/>
      <c r="M61" s="73"/>
      <c r="N61" s="73"/>
      <c r="O61" s="73"/>
      <c r="P61" s="73"/>
      <c r="Q61" s="73"/>
      <c r="R61" s="73"/>
      <c r="S61" s="73"/>
      <c r="T61" s="73"/>
      <c r="U61" s="73"/>
      <c r="V61" s="73"/>
      <c r="W61" s="73"/>
      <c r="X61" s="73"/>
      <c r="Y61" s="73"/>
      <c r="Z61" s="73"/>
      <c r="AA61" s="73"/>
      <c r="AB61" s="73"/>
      <c r="AC61" s="73"/>
      <c r="AD61" s="73"/>
      <c r="AE61" s="73"/>
      <c r="AF61" s="73"/>
      <c r="AG61" s="73"/>
      <c r="AH61" s="73"/>
      <c r="AI61" s="73"/>
      <c r="AJ61" s="73"/>
      <c r="AK61" s="73"/>
      <c r="AL61" s="73"/>
      <c r="AM61" s="73"/>
      <c r="AN61" s="73"/>
    </row>
    <row r="63" spans="1:61" ht="15.75" thickBot="1" x14ac:dyDescent="0.3">
      <c r="D63" s="35"/>
      <c r="E63" s="35"/>
      <c r="L63" s="41"/>
      <c r="M63" s="41"/>
      <c r="N63" s="41"/>
      <c r="O63" s="41"/>
      <c r="P63" s="41"/>
      <c r="Q63" s="41"/>
      <c r="S63" s="41"/>
      <c r="T63" s="41"/>
      <c r="U63" s="41"/>
      <c r="V63" s="41"/>
      <c r="W63" s="41"/>
      <c r="X63" s="41"/>
      <c r="Y63" s="41"/>
      <c r="Z63" s="41"/>
      <c r="AA63" s="41"/>
      <c r="AB63" s="41"/>
      <c r="AC63" s="41"/>
      <c r="AD63" s="41"/>
      <c r="AE63" s="41"/>
      <c r="AF63" s="41"/>
      <c r="AG63" s="41"/>
      <c r="AH63" s="41"/>
      <c r="AI63" s="41"/>
      <c r="AJ63" s="41"/>
      <c r="AK63" s="41"/>
      <c r="AL63" s="41"/>
      <c r="AN63" s="41"/>
    </row>
    <row r="64" spans="1:61" ht="27" thickBot="1" x14ac:dyDescent="0.45">
      <c r="A64" s="647" t="s">
        <v>53</v>
      </c>
      <c r="B64" s="648"/>
      <c r="C64" s="648"/>
      <c r="D64" s="648"/>
      <c r="E64" s="648"/>
      <c r="F64" s="648"/>
      <c r="G64" s="648"/>
      <c r="H64" s="649"/>
      <c r="I64" s="649"/>
      <c r="J64" s="649"/>
      <c r="K64" s="649"/>
      <c r="L64" s="648"/>
      <c r="M64" s="648"/>
      <c r="N64" s="648"/>
      <c r="O64" s="648"/>
      <c r="P64" s="648"/>
      <c r="Q64" s="648"/>
      <c r="R64" s="648"/>
      <c r="S64" s="648"/>
      <c r="T64" s="648"/>
      <c r="U64" s="648"/>
      <c r="V64" s="648"/>
      <c r="W64" s="648"/>
      <c r="X64" s="648"/>
      <c r="Y64" s="648"/>
      <c r="Z64" s="648"/>
      <c r="AA64" s="648"/>
      <c r="AB64" s="648"/>
      <c r="AC64" s="648"/>
      <c r="AD64" s="648"/>
      <c r="AE64" s="648"/>
      <c r="AF64" s="648"/>
      <c r="AG64" s="648"/>
      <c r="AH64" s="648"/>
      <c r="AI64" s="648"/>
      <c r="AJ64" s="648"/>
      <c r="AK64" s="648"/>
      <c r="AL64" s="648"/>
      <c r="AM64" s="648"/>
      <c r="AN64" s="650"/>
      <c r="AO64" s="29"/>
      <c r="AP64" s="29"/>
      <c r="AQ64" s="29"/>
      <c r="AR64" s="29"/>
      <c r="AS64" s="29"/>
      <c r="AT64" s="29"/>
      <c r="AU64" s="29"/>
      <c r="AV64" s="29"/>
      <c r="AW64" s="29"/>
      <c r="AX64" s="29"/>
      <c r="AY64" s="29"/>
      <c r="AZ64" s="29"/>
      <c r="BA64" s="29"/>
      <c r="BB64" s="29"/>
      <c r="BC64" s="29"/>
      <c r="BD64" s="29"/>
      <c r="BE64" s="29"/>
      <c r="BF64" s="29"/>
      <c r="BG64" s="29"/>
      <c r="BH64" s="29"/>
      <c r="BI64" s="29"/>
    </row>
    <row r="65" spans="1:61" x14ac:dyDescent="0.25">
      <c r="A65" s="651" t="s">
        <v>31</v>
      </c>
      <c r="B65" s="651" t="s">
        <v>32</v>
      </c>
      <c r="C65" s="654" t="s">
        <v>60</v>
      </c>
      <c r="D65" s="655"/>
      <c r="E65" s="635" t="s">
        <v>40</v>
      </c>
      <c r="F65" s="636"/>
      <c r="G65" s="637"/>
      <c r="H65" s="635" t="s">
        <v>41</v>
      </c>
      <c r="I65" s="636"/>
      <c r="J65" s="637"/>
      <c r="K65" s="635" t="s">
        <v>42</v>
      </c>
      <c r="L65" s="636"/>
      <c r="M65" s="637"/>
      <c r="N65" s="635" t="s">
        <v>43</v>
      </c>
      <c r="O65" s="636"/>
      <c r="P65" s="637"/>
      <c r="Q65" s="635" t="s">
        <v>44</v>
      </c>
      <c r="R65" s="636"/>
      <c r="S65" s="637"/>
      <c r="T65" s="635" t="s">
        <v>45</v>
      </c>
      <c r="U65" s="636"/>
      <c r="V65" s="637"/>
      <c r="W65" s="635" t="s">
        <v>46</v>
      </c>
      <c r="X65" s="636"/>
      <c r="Y65" s="637"/>
      <c r="Z65" s="635" t="s">
        <v>47</v>
      </c>
      <c r="AA65" s="636"/>
      <c r="AB65" s="637"/>
      <c r="AC65" s="635" t="s">
        <v>48</v>
      </c>
      <c r="AD65" s="636"/>
      <c r="AE65" s="637"/>
      <c r="AF65" s="635" t="s">
        <v>49</v>
      </c>
      <c r="AG65" s="636"/>
      <c r="AH65" s="637"/>
      <c r="AI65" s="635" t="s">
        <v>50</v>
      </c>
      <c r="AJ65" s="636"/>
      <c r="AK65" s="637"/>
      <c r="AL65" s="635" t="s">
        <v>51</v>
      </c>
      <c r="AM65" s="636"/>
      <c r="AN65" s="637"/>
      <c r="AO65" s="29"/>
      <c r="AP65" s="29"/>
      <c r="AQ65" s="29"/>
      <c r="AR65" s="29"/>
      <c r="AS65" s="29"/>
      <c r="AT65" s="29"/>
      <c r="AU65" s="29"/>
      <c r="AV65" s="29"/>
      <c r="AW65" s="29"/>
      <c r="AX65" s="29"/>
      <c r="AY65" s="29"/>
      <c r="AZ65" s="29"/>
      <c r="BA65" s="29"/>
      <c r="BB65" s="29"/>
      <c r="BC65" s="29"/>
      <c r="BD65" s="29"/>
      <c r="BE65" s="29"/>
      <c r="BF65" s="29"/>
      <c r="BG65" s="29"/>
      <c r="BH65" s="29"/>
      <c r="BI65" s="29"/>
    </row>
    <row r="66" spans="1:61" x14ac:dyDescent="0.25">
      <c r="A66" s="652"/>
      <c r="B66" s="652"/>
      <c r="C66" s="638" t="s">
        <v>59</v>
      </c>
      <c r="D66" s="640" t="s">
        <v>39</v>
      </c>
      <c r="E66" s="642">
        <v>0.02</v>
      </c>
      <c r="F66" s="643"/>
      <c r="G66" s="644"/>
      <c r="H66" s="642">
        <v>0.04</v>
      </c>
      <c r="I66" s="643"/>
      <c r="J66" s="644"/>
      <c r="K66" s="642">
        <v>0.04</v>
      </c>
      <c r="L66" s="643"/>
      <c r="M66" s="644"/>
      <c r="N66" s="642">
        <v>0.05</v>
      </c>
      <c r="O66" s="643"/>
      <c r="P66" s="644"/>
      <c r="Q66" s="642">
        <v>0.06</v>
      </c>
      <c r="R66" s="643"/>
      <c r="S66" s="644"/>
      <c r="T66" s="642">
        <v>0.08</v>
      </c>
      <c r="U66" s="643"/>
      <c r="V66" s="644"/>
      <c r="W66" s="642">
        <v>0.1</v>
      </c>
      <c r="X66" s="643"/>
      <c r="Y66" s="644"/>
      <c r="Z66" s="642">
        <v>0.11</v>
      </c>
      <c r="AA66" s="643"/>
      <c r="AB66" s="644"/>
      <c r="AC66" s="642">
        <v>0.11</v>
      </c>
      <c r="AD66" s="643"/>
      <c r="AE66" s="644"/>
      <c r="AF66" s="642">
        <v>0.12</v>
      </c>
      <c r="AG66" s="643"/>
      <c r="AH66" s="644"/>
      <c r="AI66" s="642">
        <v>0.13</v>
      </c>
      <c r="AJ66" s="643"/>
      <c r="AK66" s="644"/>
      <c r="AL66" s="642">
        <v>0.14000000000000001</v>
      </c>
      <c r="AM66" s="643"/>
      <c r="AN66" s="644"/>
      <c r="AO66" s="29"/>
      <c r="AP66" s="29"/>
      <c r="AQ66" s="29"/>
      <c r="AR66" s="29"/>
      <c r="AS66" s="29"/>
      <c r="AT66" s="29"/>
      <c r="AU66" s="29"/>
      <c r="AV66" s="29"/>
      <c r="AW66" s="29"/>
      <c r="AX66" s="29"/>
      <c r="AY66" s="29"/>
      <c r="AZ66" s="29"/>
      <c r="BA66" s="29"/>
      <c r="BB66" s="29"/>
      <c r="BC66" s="29"/>
      <c r="BD66" s="29"/>
      <c r="BE66" s="29"/>
      <c r="BF66" s="29"/>
      <c r="BG66" s="29"/>
      <c r="BH66" s="29"/>
      <c r="BI66" s="29"/>
    </row>
    <row r="67" spans="1:61" ht="15.75" customHeight="1" thickBot="1" x14ac:dyDescent="0.3">
      <c r="A67" s="653"/>
      <c r="B67" s="653"/>
      <c r="C67" s="639"/>
      <c r="D67" s="641"/>
      <c r="E67" s="543"/>
      <c r="F67" s="492" t="s">
        <v>59</v>
      </c>
      <c r="G67" s="539" t="s">
        <v>39</v>
      </c>
      <c r="H67" s="494"/>
      <c r="I67" s="563" t="s">
        <v>59</v>
      </c>
      <c r="J67" s="493" t="s">
        <v>39</v>
      </c>
      <c r="K67" s="538"/>
      <c r="L67" s="492" t="s">
        <v>59</v>
      </c>
      <c r="M67" s="493" t="s">
        <v>39</v>
      </c>
      <c r="N67" s="538"/>
      <c r="O67" s="494" t="s">
        <v>59</v>
      </c>
      <c r="P67" s="493" t="s">
        <v>39</v>
      </c>
      <c r="Q67" s="538"/>
      <c r="R67" s="494" t="s">
        <v>59</v>
      </c>
      <c r="S67" s="493" t="s">
        <v>39</v>
      </c>
      <c r="T67" s="538"/>
      <c r="U67" s="494" t="s">
        <v>59</v>
      </c>
      <c r="V67" s="493" t="s">
        <v>39</v>
      </c>
      <c r="W67" s="538"/>
      <c r="X67" s="494" t="s">
        <v>59</v>
      </c>
      <c r="Y67" s="493" t="s">
        <v>39</v>
      </c>
      <c r="Z67" s="538"/>
      <c r="AA67" s="494" t="s">
        <v>59</v>
      </c>
      <c r="AB67" s="493" t="s">
        <v>39</v>
      </c>
      <c r="AC67" s="538"/>
      <c r="AD67" s="494" t="s">
        <v>59</v>
      </c>
      <c r="AE67" s="493" t="s">
        <v>39</v>
      </c>
      <c r="AF67" s="538"/>
      <c r="AG67" s="494" t="s">
        <v>59</v>
      </c>
      <c r="AH67" s="493" t="s">
        <v>39</v>
      </c>
      <c r="AI67" s="538"/>
      <c r="AJ67" s="494" t="s">
        <v>59</v>
      </c>
      <c r="AK67" s="493" t="s">
        <v>39</v>
      </c>
      <c r="AL67" s="538"/>
      <c r="AM67" s="494" t="s">
        <v>59</v>
      </c>
      <c r="AN67" s="493" t="s">
        <v>39</v>
      </c>
      <c r="AO67" s="29"/>
      <c r="AP67" s="29"/>
      <c r="AQ67" s="29"/>
      <c r="AR67" s="29"/>
      <c r="AS67" s="29"/>
      <c r="AT67" s="29"/>
      <c r="AU67" s="29"/>
      <c r="AV67" s="29"/>
      <c r="AW67" s="29"/>
      <c r="AX67" s="29"/>
      <c r="AY67" s="29"/>
      <c r="AZ67" s="29"/>
      <c r="BA67" s="29"/>
      <c r="BB67" s="29"/>
      <c r="BC67" s="29"/>
      <c r="BD67" s="29"/>
      <c r="BE67" s="29"/>
      <c r="BF67" s="29"/>
      <c r="BG67" s="29"/>
      <c r="BH67" s="29"/>
      <c r="BI67" s="29"/>
    </row>
    <row r="68" spans="1:61" ht="33" customHeight="1" thickBot="1" x14ac:dyDescent="0.3">
      <c r="A68" s="514" t="s">
        <v>291</v>
      </c>
      <c r="B68" s="511">
        <f>Hipótesis!C49</f>
        <v>1300</v>
      </c>
      <c r="C68" s="537">
        <f>(C19*1.4)+C19</f>
        <v>79692</v>
      </c>
      <c r="D68" s="540">
        <f>B68*C68</f>
        <v>103599600</v>
      </c>
      <c r="E68" s="557">
        <f>(C19*1.4)*E66</f>
        <v>929.74</v>
      </c>
      <c r="F68" s="549">
        <f>E68+AM19</f>
        <v>34134.74</v>
      </c>
      <c r="G68" s="558">
        <f>F68*B68</f>
        <v>44375162</v>
      </c>
      <c r="H68" s="561">
        <f>((C19*1.4)*H66)</f>
        <v>1859.48</v>
      </c>
      <c r="I68" s="549">
        <f>H68 + F68</f>
        <v>35994.22</v>
      </c>
      <c r="J68" s="558">
        <f>B68*I68</f>
        <v>46792486</v>
      </c>
      <c r="K68" s="561">
        <f>(C19*1.4)*K66</f>
        <v>1859.48</v>
      </c>
      <c r="L68" s="549">
        <f>K68+ I68</f>
        <v>37853.700000000004</v>
      </c>
      <c r="M68" s="558">
        <f>B68*L68</f>
        <v>49209810.000000007</v>
      </c>
      <c r="N68" s="561">
        <f>(C19*1.4)*N66</f>
        <v>2324.35</v>
      </c>
      <c r="O68" s="549">
        <f>N68+L68</f>
        <v>40178.050000000003</v>
      </c>
      <c r="P68" s="558">
        <f>B68*O68</f>
        <v>52231465.000000007</v>
      </c>
      <c r="Q68" s="561">
        <f>(C19*1.4)*Q66</f>
        <v>2789.22</v>
      </c>
      <c r="R68" s="549">
        <f>Q68+O68</f>
        <v>42967.270000000004</v>
      </c>
      <c r="S68" s="558">
        <f>B68*R68</f>
        <v>55857451.000000007</v>
      </c>
      <c r="T68" s="561">
        <f>(C19*1.4)*T66</f>
        <v>3718.96</v>
      </c>
      <c r="U68" s="549">
        <f>T68+R68</f>
        <v>46686.23</v>
      </c>
      <c r="V68" s="558">
        <f>B68*U68</f>
        <v>60692099.000000007</v>
      </c>
      <c r="W68" s="561">
        <f>(C19*1.4)*W66</f>
        <v>4648.7</v>
      </c>
      <c r="X68" s="549">
        <f>W68+U68</f>
        <v>51334.93</v>
      </c>
      <c r="Y68" s="558">
        <f>B68*X68</f>
        <v>66735409</v>
      </c>
      <c r="Z68" s="561">
        <f>(C19*1.4)*Z66</f>
        <v>5113.57</v>
      </c>
      <c r="AA68" s="549">
        <f>Z68+X68</f>
        <v>56448.5</v>
      </c>
      <c r="AB68" s="558">
        <f>B68*AA68</f>
        <v>73383050</v>
      </c>
      <c r="AC68" s="561">
        <f>(C19*1.4)*AC66</f>
        <v>5113.57</v>
      </c>
      <c r="AD68" s="549">
        <f>AC68+AA68</f>
        <v>61562.07</v>
      </c>
      <c r="AE68" s="558">
        <f>B68*AD68</f>
        <v>80030691</v>
      </c>
      <c r="AF68" s="561">
        <f>(C19*1.4)*AF66</f>
        <v>5578.44</v>
      </c>
      <c r="AG68" s="549">
        <f>AF68+AD68</f>
        <v>67140.509999999995</v>
      </c>
      <c r="AH68" s="558">
        <f>B68*AG68</f>
        <v>87282663</v>
      </c>
      <c r="AI68" s="556">
        <f>(C19*1.4)*AI66</f>
        <v>6043.31</v>
      </c>
      <c r="AJ68" s="549">
        <f>AI68+AG68</f>
        <v>73183.819999999992</v>
      </c>
      <c r="AK68" s="553">
        <f>B68*AJ68</f>
        <v>95138965.999999985</v>
      </c>
      <c r="AL68" s="551">
        <f>(C19*1.4)*AL66</f>
        <v>6508.18</v>
      </c>
      <c r="AM68" s="549">
        <f>AL68+AJ68</f>
        <v>79692</v>
      </c>
      <c r="AN68" s="511">
        <f>B68*AM68</f>
        <v>103599600</v>
      </c>
    </row>
    <row r="69" spans="1:61" ht="33" customHeight="1" thickBot="1" x14ac:dyDescent="0.3">
      <c r="A69" s="515" t="s">
        <v>289</v>
      </c>
      <c r="B69" s="512">
        <f>Hipótesis!C52</f>
        <v>2500</v>
      </c>
      <c r="C69" s="535">
        <v>38664</v>
      </c>
      <c r="D69" s="544">
        <f t="shared" ref="D69:D70" si="37">B69*C69</f>
        <v>96660000</v>
      </c>
      <c r="E69" s="581">
        <f>(C20*1.4)*E66</f>
        <v>451.08</v>
      </c>
      <c r="F69" s="582">
        <f t="shared" ref="F69:F70" si="38">E69+AM20</f>
        <v>16561.079999999998</v>
      </c>
      <c r="G69" s="559">
        <f t="shared" ref="G69:G70" si="39">F69*B69</f>
        <v>41402699.999999993</v>
      </c>
      <c r="H69" s="567">
        <f>((C20*1.4)*H66)</f>
        <v>902.16</v>
      </c>
      <c r="I69" s="552">
        <f t="shared" ref="I69:I70" si="40">H69 + F69</f>
        <v>17463.239999999998</v>
      </c>
      <c r="J69" s="559">
        <f t="shared" ref="J69:J70" si="41">B69*I69</f>
        <v>43658099.999999993</v>
      </c>
      <c r="K69" s="567">
        <f>(C20*1.4)*K66</f>
        <v>902.16</v>
      </c>
      <c r="L69" s="552">
        <f t="shared" ref="L69:L70" si="42">K69+ I69</f>
        <v>18365.399999999998</v>
      </c>
      <c r="M69" s="559">
        <f t="shared" ref="M69:M70" si="43">B69*L69</f>
        <v>45913499.999999993</v>
      </c>
      <c r="N69" s="567">
        <f>(C20*1.4)*N66</f>
        <v>1127.7</v>
      </c>
      <c r="O69" s="552">
        <f t="shared" ref="O69:O70" si="44">N69+L69</f>
        <v>19493.099999999999</v>
      </c>
      <c r="P69" s="559">
        <f t="shared" ref="P69:P70" si="45">B69*O69</f>
        <v>48732750</v>
      </c>
      <c r="Q69" s="567">
        <f>(C20*1.4)*Q66</f>
        <v>1353.24</v>
      </c>
      <c r="R69" s="552">
        <f t="shared" ref="R69:R70" si="46">Q69+O69</f>
        <v>20846.34</v>
      </c>
      <c r="S69" s="559">
        <f t="shared" ref="S69:S70" si="47">B69*R69</f>
        <v>52115850</v>
      </c>
      <c r="T69" s="567">
        <f>(C20*1.4)*T66</f>
        <v>1804.32</v>
      </c>
      <c r="U69" s="552">
        <f t="shared" ref="U69:U70" si="48">T69+R69</f>
        <v>22650.66</v>
      </c>
      <c r="V69" s="559">
        <f t="shared" ref="V69:V70" si="49">B69*U69</f>
        <v>56626650</v>
      </c>
      <c r="W69" s="567">
        <f>(C20*1.4)*W66</f>
        <v>2255.4</v>
      </c>
      <c r="X69" s="552">
        <f t="shared" ref="X69:X70" si="50">W69+U69</f>
        <v>24906.06</v>
      </c>
      <c r="Y69" s="559">
        <f t="shared" ref="Y69:Y70" si="51">B69*X69</f>
        <v>62265150</v>
      </c>
      <c r="Z69" s="567">
        <f>(C20*1.4)*Z66</f>
        <v>2480.94</v>
      </c>
      <c r="AA69" s="552">
        <f t="shared" ref="AA69:AA70" si="52">Z69+X69</f>
        <v>27387</v>
      </c>
      <c r="AB69" s="559">
        <f t="shared" ref="AB69:AB70" si="53">B69*AA69</f>
        <v>68467500</v>
      </c>
      <c r="AC69" s="567">
        <f>(C20*1.4)*AC66</f>
        <v>2480.94</v>
      </c>
      <c r="AD69" s="552">
        <f t="shared" ref="AD69:AD70" si="54">AC69+AA69</f>
        <v>29867.94</v>
      </c>
      <c r="AE69" s="559">
        <f t="shared" ref="AE69:AE70" si="55">B69*AD69</f>
        <v>74669850</v>
      </c>
      <c r="AF69" s="567">
        <f>(C20*1.4)*AF66</f>
        <v>2706.48</v>
      </c>
      <c r="AG69" s="552">
        <f t="shared" ref="AG69:AG70" si="56">AF69+AD69</f>
        <v>32574.42</v>
      </c>
      <c r="AH69" s="559">
        <f t="shared" ref="AH69:AH70" si="57">B69*AG69</f>
        <v>81436050</v>
      </c>
      <c r="AI69" s="568">
        <f>(C20*1.4)*AI66</f>
        <v>2932.02</v>
      </c>
      <c r="AJ69" s="552">
        <f t="shared" ref="AJ69:AJ70" si="58">AI69+AG69</f>
        <v>35506.439999999995</v>
      </c>
      <c r="AK69" s="554">
        <f t="shared" ref="AK69:AK70" si="59">B69*AJ69</f>
        <v>88766099.999999985</v>
      </c>
      <c r="AL69" s="569">
        <f>(C20*1.4)*AL66</f>
        <v>3157.5600000000004</v>
      </c>
      <c r="AM69" s="552">
        <f t="shared" ref="AM69:AM70" si="60">AL69+AJ69</f>
        <v>38663.999999999993</v>
      </c>
      <c r="AN69" s="512">
        <f t="shared" ref="AN69:AN70" si="61">B69*AM69</f>
        <v>96659999.999999985</v>
      </c>
    </row>
    <row r="70" spans="1:61" ht="33" customHeight="1" thickBot="1" x14ac:dyDescent="0.3">
      <c r="A70" s="516" t="s">
        <v>290</v>
      </c>
      <c r="B70" s="513">
        <f>Hipótesis!C55</f>
        <v>4000</v>
      </c>
      <c r="C70" s="536">
        <v>27396</v>
      </c>
      <c r="D70" s="565">
        <f t="shared" si="37"/>
        <v>109584000</v>
      </c>
      <c r="E70" s="583">
        <f>(C21*1.4)*E66</f>
        <v>319.61999999999995</v>
      </c>
      <c r="F70" s="584">
        <f t="shared" si="38"/>
        <v>11734.62</v>
      </c>
      <c r="G70" s="560">
        <f t="shared" si="39"/>
        <v>46938480</v>
      </c>
      <c r="H70" s="572">
        <f>((C21*1.4)*H66)</f>
        <v>639.2399999999999</v>
      </c>
      <c r="I70" s="571">
        <f t="shared" si="40"/>
        <v>12373.86</v>
      </c>
      <c r="J70" s="560">
        <f t="shared" si="41"/>
        <v>49495440</v>
      </c>
      <c r="K70" s="572">
        <f>(C21*1.4)*K66</f>
        <v>639.2399999999999</v>
      </c>
      <c r="L70" s="571">
        <f t="shared" si="42"/>
        <v>13013.1</v>
      </c>
      <c r="M70" s="560">
        <f t="shared" si="43"/>
        <v>52052400</v>
      </c>
      <c r="N70" s="572">
        <f>(C21*1.4)*N66</f>
        <v>799.05</v>
      </c>
      <c r="O70" s="571">
        <f t="shared" si="44"/>
        <v>13812.15</v>
      </c>
      <c r="P70" s="560">
        <f t="shared" si="45"/>
        <v>55248600</v>
      </c>
      <c r="Q70" s="572">
        <f>(C21*1.4)*Q66</f>
        <v>958.8599999999999</v>
      </c>
      <c r="R70" s="571">
        <f t="shared" si="46"/>
        <v>14771.01</v>
      </c>
      <c r="S70" s="560">
        <f t="shared" si="47"/>
        <v>59084040</v>
      </c>
      <c r="T70" s="572">
        <f>(C21*1.4)*T66</f>
        <v>1278.4799999999998</v>
      </c>
      <c r="U70" s="571">
        <f t="shared" si="48"/>
        <v>16049.49</v>
      </c>
      <c r="V70" s="560">
        <f t="shared" si="49"/>
        <v>64197960</v>
      </c>
      <c r="W70" s="572">
        <f>(C21*1.4)*W66</f>
        <v>1598.1</v>
      </c>
      <c r="X70" s="571">
        <f t="shared" si="50"/>
        <v>17647.59</v>
      </c>
      <c r="Y70" s="560">
        <f t="shared" si="51"/>
        <v>70590360</v>
      </c>
      <c r="Z70" s="572">
        <f>(C21*1.4)*Z66</f>
        <v>1757.9099999999999</v>
      </c>
      <c r="AA70" s="571">
        <f t="shared" si="52"/>
        <v>19405.5</v>
      </c>
      <c r="AB70" s="560">
        <f t="shared" si="53"/>
        <v>77622000</v>
      </c>
      <c r="AC70" s="572">
        <f>(C21*1.4)*AC66</f>
        <v>1757.9099999999999</v>
      </c>
      <c r="AD70" s="571">
        <f t="shared" si="54"/>
        <v>21163.41</v>
      </c>
      <c r="AE70" s="560">
        <f t="shared" si="55"/>
        <v>84653640</v>
      </c>
      <c r="AF70" s="572">
        <f>(C21*1.4)*AF66</f>
        <v>1917.7199999999998</v>
      </c>
      <c r="AG70" s="571">
        <f t="shared" si="56"/>
        <v>23081.13</v>
      </c>
      <c r="AH70" s="560">
        <f t="shared" si="57"/>
        <v>92324520</v>
      </c>
      <c r="AI70" s="573">
        <f>(C21*1.4)*AI66</f>
        <v>2077.5299999999997</v>
      </c>
      <c r="AJ70" s="571">
        <f t="shared" si="58"/>
        <v>25158.66</v>
      </c>
      <c r="AK70" s="555">
        <f t="shared" si="59"/>
        <v>100634640</v>
      </c>
      <c r="AL70" s="574">
        <f>(C21*1.4)*AL66</f>
        <v>2237.34</v>
      </c>
      <c r="AM70" s="571">
        <f t="shared" si="60"/>
        <v>27396</v>
      </c>
      <c r="AN70" s="550">
        <f t="shared" si="61"/>
        <v>109584000</v>
      </c>
    </row>
    <row r="71" spans="1:61" ht="16.5" thickBot="1" x14ac:dyDescent="0.3">
      <c r="A71" s="633" t="s">
        <v>69</v>
      </c>
      <c r="B71" s="634"/>
      <c r="C71" s="496">
        <f>SUM(C68:C70)</f>
        <v>145752</v>
      </c>
      <c r="D71" s="495">
        <f>SUM(D68:D70)</f>
        <v>309843600</v>
      </c>
      <c r="E71" s="575"/>
      <c r="F71" s="547"/>
      <c r="G71" s="548">
        <f>SUM(G68:G70)</f>
        <v>132716342</v>
      </c>
      <c r="H71" s="576"/>
      <c r="I71" s="547"/>
      <c r="J71" s="548">
        <f>SUM(J68:J70)</f>
        <v>139946026</v>
      </c>
      <c r="K71" s="576"/>
      <c r="L71" s="547"/>
      <c r="M71" s="548">
        <f>SUM(M68:M70)</f>
        <v>147175710</v>
      </c>
      <c r="N71" s="576"/>
      <c r="O71" s="547"/>
      <c r="P71" s="548">
        <f>SUM(P68:P70)</f>
        <v>156212815</v>
      </c>
      <c r="Q71" s="576"/>
      <c r="R71" s="547"/>
      <c r="S71" s="548">
        <f>SUM(S68:S70)</f>
        <v>167057341</v>
      </c>
      <c r="T71" s="576"/>
      <c r="U71" s="547"/>
      <c r="V71" s="548">
        <f>SUM(V68:V70)</f>
        <v>181516709</v>
      </c>
      <c r="W71" s="576"/>
      <c r="X71" s="547"/>
      <c r="Y71" s="548">
        <f>SUM(Y68:Y70)</f>
        <v>199590919</v>
      </c>
      <c r="Z71" s="576"/>
      <c r="AA71" s="547"/>
      <c r="AB71" s="548">
        <f>SUM(AB68:AB70)</f>
        <v>219472550</v>
      </c>
      <c r="AC71" s="576"/>
      <c r="AD71" s="547"/>
      <c r="AE71" s="548">
        <f>SUM(AE68:AE70)</f>
        <v>239354181</v>
      </c>
      <c r="AF71" s="576"/>
      <c r="AG71" s="547"/>
      <c r="AH71" s="548">
        <f>SUM(AH68:AH70)</f>
        <v>261043233</v>
      </c>
      <c r="AI71" s="576"/>
      <c r="AJ71" s="547"/>
      <c r="AK71" s="548">
        <f>SUM(AK68:AK70)</f>
        <v>284539706</v>
      </c>
      <c r="AL71" s="576"/>
      <c r="AM71" s="547"/>
      <c r="AN71" s="548">
        <f>SUM(AN68:AN70)</f>
        <v>309843600</v>
      </c>
      <c r="AO71" s="43"/>
    </row>
    <row r="100" spans="1:61" ht="15.75" thickBot="1" x14ac:dyDescent="0.3"/>
    <row r="101" spans="1:61" ht="36.75" customHeight="1" thickBot="1" x14ac:dyDescent="0.45">
      <c r="A101" s="661" t="s">
        <v>325</v>
      </c>
      <c r="B101" s="662"/>
      <c r="C101" s="662"/>
      <c r="D101" s="662"/>
      <c r="E101" s="662"/>
      <c r="F101" s="662"/>
      <c r="G101" s="662"/>
      <c r="H101" s="662"/>
      <c r="I101" s="662"/>
      <c r="J101" s="662"/>
      <c r="K101" s="662"/>
      <c r="L101" s="662"/>
      <c r="M101" s="662"/>
      <c r="N101" s="662"/>
      <c r="O101" s="662"/>
      <c r="P101" s="662"/>
      <c r="Q101" s="662"/>
      <c r="R101" s="662"/>
      <c r="S101" s="662"/>
      <c r="T101" s="662"/>
      <c r="U101" s="662"/>
      <c r="V101" s="662"/>
      <c r="W101" s="662"/>
      <c r="X101" s="663"/>
      <c r="Y101" s="579"/>
      <c r="Z101" s="579"/>
      <c r="AA101" s="579"/>
      <c r="AB101" s="579"/>
      <c r="AC101" s="579"/>
      <c r="AD101" s="579"/>
      <c r="AE101" s="579"/>
      <c r="AF101" s="579"/>
      <c r="AG101" s="579"/>
      <c r="AH101" s="579"/>
      <c r="AI101" s="580"/>
      <c r="AJ101" s="524"/>
      <c r="AK101" s="524"/>
      <c r="AL101" s="524"/>
      <c r="AM101" s="524"/>
      <c r="AN101" s="524"/>
    </row>
    <row r="102" spans="1:61" ht="15" customHeight="1" x14ac:dyDescent="0.25">
      <c r="B102" s="657" t="s">
        <v>297</v>
      </c>
      <c r="C102" s="656" t="s">
        <v>298</v>
      </c>
      <c r="D102" s="659" t="s">
        <v>299</v>
      </c>
      <c r="E102" s="645" t="s">
        <v>300</v>
      </c>
      <c r="F102" s="656" t="s">
        <v>301</v>
      </c>
      <c r="G102" s="656" t="s">
        <v>302</v>
      </c>
      <c r="H102" s="656" t="s">
        <v>303</v>
      </c>
      <c r="I102" s="656" t="s">
        <v>304</v>
      </c>
      <c r="J102" s="656" t="s">
        <v>305</v>
      </c>
      <c r="K102" s="656" t="s">
        <v>306</v>
      </c>
      <c r="L102" s="656" t="s">
        <v>307</v>
      </c>
      <c r="M102" s="645" t="s">
        <v>308</v>
      </c>
      <c r="N102" s="645" t="s">
        <v>309</v>
      </c>
      <c r="O102" s="645" t="s">
        <v>310</v>
      </c>
      <c r="P102" s="645" t="s">
        <v>311</v>
      </c>
      <c r="Q102" s="645" t="s">
        <v>312</v>
      </c>
      <c r="R102" s="645" t="s">
        <v>313</v>
      </c>
      <c r="S102" s="656" t="s">
        <v>314</v>
      </c>
      <c r="T102" s="656" t="s">
        <v>315</v>
      </c>
      <c r="U102" s="645" t="s">
        <v>316</v>
      </c>
      <c r="V102" s="645" t="s">
        <v>317</v>
      </c>
      <c r="W102" s="656" t="s">
        <v>318</v>
      </c>
      <c r="X102" s="645" t="s">
        <v>319</v>
      </c>
      <c r="Y102" s="52"/>
      <c r="Z102" s="52"/>
      <c r="AA102" s="52"/>
      <c r="AB102" s="52"/>
      <c r="AC102" s="577"/>
      <c r="AD102" s="52"/>
      <c r="AE102" s="52"/>
      <c r="AF102" s="577"/>
      <c r="AG102" s="52"/>
      <c r="AH102" s="52"/>
      <c r="AI102" s="577"/>
      <c r="AJ102" s="503"/>
      <c r="AK102" s="503"/>
      <c r="AL102" s="503"/>
      <c r="AM102" s="507"/>
      <c r="AN102" s="507"/>
    </row>
    <row r="103" spans="1:61" ht="35.25" customHeight="1" thickBot="1" x14ac:dyDescent="0.3">
      <c r="B103" s="658"/>
      <c r="C103" s="646"/>
      <c r="D103" s="660"/>
      <c r="E103" s="646"/>
      <c r="F103" s="646"/>
      <c r="G103" s="646"/>
      <c r="H103" s="646"/>
      <c r="I103" s="646"/>
      <c r="J103" s="646"/>
      <c r="K103" s="646"/>
      <c r="L103" s="646"/>
      <c r="M103" s="646"/>
      <c r="N103" s="646"/>
      <c r="O103" s="646"/>
      <c r="P103" s="646"/>
      <c r="Q103" s="646"/>
      <c r="R103" s="646"/>
      <c r="S103" s="646"/>
      <c r="T103" s="646"/>
      <c r="U103" s="646"/>
      <c r="V103" s="646"/>
      <c r="W103" s="646"/>
      <c r="X103" s="646"/>
      <c r="AA103" s="52"/>
      <c r="AB103" s="52"/>
      <c r="AC103" s="519"/>
      <c r="AD103" s="52"/>
      <c r="AE103" s="52"/>
      <c r="AF103" s="519"/>
      <c r="AG103" s="52"/>
      <c r="AH103" s="52"/>
      <c r="AI103" s="505"/>
      <c r="AJ103" s="503"/>
      <c r="AK103" s="503"/>
      <c r="AL103" s="503"/>
      <c r="AM103" s="507"/>
      <c r="AN103" s="507"/>
    </row>
    <row r="104" spans="1:61" ht="15" customHeight="1" x14ac:dyDescent="0.25">
      <c r="A104" s="525" t="s">
        <v>294</v>
      </c>
      <c r="B104" s="522">
        <v>80</v>
      </c>
      <c r="C104" s="522">
        <v>160</v>
      </c>
      <c r="D104" s="530">
        <v>160</v>
      </c>
      <c r="E104" s="522">
        <v>160</v>
      </c>
      <c r="F104" s="522">
        <v>160</v>
      </c>
      <c r="G104" s="522">
        <v>160</v>
      </c>
      <c r="H104" s="522">
        <v>160</v>
      </c>
      <c r="I104" s="522">
        <v>160</v>
      </c>
      <c r="J104" s="522">
        <v>160</v>
      </c>
      <c r="K104" s="520">
        <v>160</v>
      </c>
      <c r="L104" s="522">
        <v>160</v>
      </c>
      <c r="M104" s="522">
        <v>160</v>
      </c>
      <c r="N104" s="522">
        <v>160</v>
      </c>
      <c r="O104" s="522">
        <v>160</v>
      </c>
      <c r="P104" s="522">
        <v>160</v>
      </c>
      <c r="Q104" s="522">
        <v>160</v>
      </c>
      <c r="R104" s="522">
        <v>160</v>
      </c>
      <c r="S104" s="522">
        <v>160</v>
      </c>
      <c r="T104" s="522">
        <v>160</v>
      </c>
      <c r="U104" s="522">
        <v>160</v>
      </c>
      <c r="V104" s="522">
        <v>160</v>
      </c>
      <c r="W104" s="522">
        <v>160</v>
      </c>
      <c r="X104" s="520">
        <v>160</v>
      </c>
      <c r="AA104" s="52"/>
      <c r="AB104" s="52"/>
      <c r="AC104" s="546"/>
      <c r="AD104" s="52"/>
      <c r="AE104" s="52"/>
      <c r="AF104" s="546"/>
      <c r="AG104" s="52"/>
      <c r="AH104" s="52"/>
      <c r="AI104" s="519"/>
      <c r="AJ104" s="507"/>
      <c r="AK104" s="507"/>
      <c r="AL104" s="507"/>
      <c r="AM104" s="507"/>
      <c r="AN104" s="507"/>
    </row>
    <row r="105" spans="1:61" ht="15" customHeight="1" x14ac:dyDescent="0.25">
      <c r="A105" s="525" t="s">
        <v>295</v>
      </c>
      <c r="B105" s="532">
        <f>B56*1.15</f>
        <v>206999.99999999997</v>
      </c>
      <c r="C105" s="532">
        <f t="shared" ref="C105:X105" si="62">C56*1.15</f>
        <v>149500</v>
      </c>
      <c r="D105" s="532">
        <f t="shared" si="62"/>
        <v>69000</v>
      </c>
      <c r="E105" s="532">
        <f t="shared" si="62"/>
        <v>51749.999999999993</v>
      </c>
      <c r="F105" s="532">
        <f t="shared" si="62"/>
        <v>69000</v>
      </c>
      <c r="G105" s="532">
        <f t="shared" si="62"/>
        <v>69000</v>
      </c>
      <c r="H105" s="532">
        <f t="shared" si="62"/>
        <v>92000</v>
      </c>
      <c r="I105" s="532">
        <f t="shared" si="62"/>
        <v>51749.999999999993</v>
      </c>
      <c r="J105" s="532">
        <f t="shared" si="62"/>
        <v>114999.99999999999</v>
      </c>
      <c r="K105" s="532">
        <f t="shared" si="62"/>
        <v>69000</v>
      </c>
      <c r="L105" s="532">
        <f t="shared" si="62"/>
        <v>138000</v>
      </c>
      <c r="M105" s="532">
        <f t="shared" si="62"/>
        <v>74750</v>
      </c>
      <c r="N105" s="532">
        <f t="shared" si="62"/>
        <v>51749.999999999993</v>
      </c>
      <c r="O105" s="532">
        <f t="shared" si="62"/>
        <v>172500</v>
      </c>
      <c r="P105" s="532">
        <f t="shared" si="62"/>
        <v>92000</v>
      </c>
      <c r="Q105" s="532">
        <f t="shared" si="62"/>
        <v>86250</v>
      </c>
      <c r="R105" s="532">
        <f t="shared" si="62"/>
        <v>51749.999999999993</v>
      </c>
      <c r="S105" s="532">
        <f t="shared" si="62"/>
        <v>63249.999999999993</v>
      </c>
      <c r="T105" s="532">
        <f t="shared" si="62"/>
        <v>63249.999999999993</v>
      </c>
      <c r="U105" s="532">
        <f t="shared" si="62"/>
        <v>172500</v>
      </c>
      <c r="V105" s="532">
        <f t="shared" si="62"/>
        <v>92000</v>
      </c>
      <c r="W105" s="532">
        <f t="shared" si="62"/>
        <v>92000</v>
      </c>
      <c r="X105" s="532">
        <f t="shared" si="62"/>
        <v>80500</v>
      </c>
      <c r="AA105" s="52"/>
      <c r="AB105" s="52"/>
      <c r="AC105" s="519"/>
      <c r="AD105" s="52"/>
      <c r="AE105" s="52"/>
      <c r="AF105" s="519"/>
      <c r="AG105" s="52"/>
      <c r="AH105" s="52"/>
      <c r="AI105" s="546"/>
      <c r="AJ105" s="507"/>
      <c r="AK105" s="507"/>
      <c r="AL105" s="507"/>
      <c r="AM105" s="507"/>
      <c r="AN105" s="507"/>
    </row>
    <row r="106" spans="1:61" ht="15.75" customHeight="1" thickBot="1" x14ac:dyDescent="0.3">
      <c r="A106" s="526" t="s">
        <v>296</v>
      </c>
      <c r="B106" s="523">
        <v>1</v>
      </c>
      <c r="C106" s="523">
        <v>1</v>
      </c>
      <c r="D106" s="531">
        <v>1</v>
      </c>
      <c r="E106" s="523">
        <v>1</v>
      </c>
      <c r="F106" s="523">
        <v>1</v>
      </c>
      <c r="G106" s="523">
        <v>1</v>
      </c>
      <c r="H106" s="523">
        <v>1</v>
      </c>
      <c r="I106" s="523">
        <v>1</v>
      </c>
      <c r="J106" s="523">
        <v>1</v>
      </c>
      <c r="K106" s="521">
        <v>1</v>
      </c>
      <c r="L106" s="523">
        <v>1</v>
      </c>
      <c r="M106" s="523">
        <v>1</v>
      </c>
      <c r="N106" s="523">
        <v>1</v>
      </c>
      <c r="O106" s="523">
        <v>1</v>
      </c>
      <c r="P106" s="523">
        <v>1</v>
      </c>
      <c r="Q106" s="523">
        <v>1</v>
      </c>
      <c r="R106" s="523">
        <v>1</v>
      </c>
      <c r="S106" s="523">
        <v>1</v>
      </c>
      <c r="T106" s="523">
        <v>1</v>
      </c>
      <c r="U106" s="523">
        <v>1</v>
      </c>
      <c r="V106" s="523">
        <v>1</v>
      </c>
      <c r="W106" s="523">
        <v>1</v>
      </c>
      <c r="X106" s="521">
        <v>1</v>
      </c>
      <c r="AA106" s="507"/>
      <c r="AB106" s="507"/>
      <c r="AC106" s="507"/>
      <c r="AD106" s="507"/>
      <c r="AE106" s="507"/>
      <c r="AF106" s="507"/>
      <c r="AG106" s="507"/>
      <c r="AH106" s="507"/>
      <c r="AI106" s="519"/>
      <c r="AJ106" s="507"/>
      <c r="AK106" s="507"/>
      <c r="AL106" s="507"/>
      <c r="AM106" s="507"/>
      <c r="AN106" s="507"/>
    </row>
    <row r="107" spans="1:61" ht="37.5" customHeight="1" thickBot="1" x14ac:dyDescent="0.35">
      <c r="A107" s="527" t="s">
        <v>321</v>
      </c>
      <c r="B107" s="529">
        <f>SUM(B105:AF105)</f>
        <v>2173500</v>
      </c>
      <c r="C107" s="505"/>
      <c r="D107" s="509"/>
      <c r="E107" s="509"/>
      <c r="F107" s="507"/>
      <c r="G107" s="507"/>
      <c r="H107" s="507"/>
      <c r="I107" s="507"/>
      <c r="J107" s="507"/>
      <c r="K107" s="507"/>
      <c r="L107" s="507"/>
      <c r="M107" s="507"/>
      <c r="N107" s="507"/>
      <c r="O107" s="507"/>
      <c r="P107" s="507"/>
      <c r="Q107" s="507"/>
      <c r="R107" s="507"/>
      <c r="S107" s="507"/>
      <c r="T107" s="507"/>
      <c r="U107" s="507"/>
      <c r="V107" s="507"/>
      <c r="W107" s="507"/>
      <c r="X107" s="507"/>
      <c r="Y107" s="507"/>
      <c r="Z107" s="507"/>
      <c r="AA107" s="52"/>
      <c r="AB107" s="52"/>
      <c r="AC107" s="52"/>
      <c r="AD107" s="52"/>
      <c r="AE107" s="52"/>
      <c r="AF107" s="52"/>
      <c r="AG107" s="52"/>
      <c r="AH107" s="52"/>
      <c r="AI107" s="507"/>
      <c r="AJ107" s="507"/>
      <c r="AK107" s="507"/>
      <c r="AL107" s="507"/>
      <c r="AM107" s="507"/>
      <c r="AN107" s="507"/>
    </row>
    <row r="108" spans="1:61" ht="30" customHeight="1" thickBot="1" x14ac:dyDescent="0.3">
      <c r="A108" s="528" t="s">
        <v>320</v>
      </c>
      <c r="B108" s="529">
        <f>B107*12</f>
        <v>26082000</v>
      </c>
      <c r="C108" s="505"/>
      <c r="D108" s="509"/>
      <c r="E108" s="509"/>
      <c r="F108" s="507"/>
      <c r="G108" s="507"/>
      <c r="H108" s="507"/>
      <c r="I108" s="507"/>
      <c r="J108" s="507"/>
      <c r="K108" s="507"/>
      <c r="L108" s="507"/>
      <c r="M108" s="507"/>
      <c r="N108" s="507"/>
      <c r="O108" s="507"/>
      <c r="P108" s="507"/>
      <c r="Q108" s="507"/>
      <c r="R108" s="507"/>
      <c r="S108" s="507"/>
      <c r="T108" s="507"/>
      <c r="U108" s="507"/>
      <c r="V108" s="507"/>
      <c r="W108" s="507"/>
      <c r="X108" s="507"/>
      <c r="Y108" s="507"/>
      <c r="Z108" s="507"/>
      <c r="AA108" s="507"/>
      <c r="AB108" s="507"/>
      <c r="AC108" s="507"/>
      <c r="AD108" s="507"/>
      <c r="AE108" s="507"/>
      <c r="AF108" s="507"/>
      <c r="AG108" s="507"/>
      <c r="AH108" s="507"/>
      <c r="AI108" s="507"/>
      <c r="AJ108" s="507"/>
      <c r="AK108" s="507"/>
      <c r="AL108" s="507"/>
      <c r="AM108" s="507"/>
      <c r="AN108" s="507"/>
    </row>
    <row r="109" spans="1:61" ht="18.75" customHeight="1" x14ac:dyDescent="0.25">
      <c r="A109" s="61"/>
      <c r="B109" s="61"/>
      <c r="C109" s="52"/>
      <c r="D109" s="42"/>
      <c r="E109" s="42"/>
      <c r="F109" s="578"/>
      <c r="G109" s="578"/>
      <c r="H109" s="578"/>
      <c r="I109" s="578"/>
      <c r="J109" s="578"/>
      <c r="K109" s="578"/>
      <c r="L109" s="578"/>
      <c r="M109" s="578"/>
      <c r="N109" s="578"/>
      <c r="O109" s="578"/>
      <c r="P109" s="578"/>
      <c r="Q109" s="578"/>
      <c r="R109" s="578"/>
      <c r="S109" s="578"/>
      <c r="T109" s="578"/>
      <c r="U109" s="578"/>
      <c r="V109" s="578"/>
      <c r="W109" s="578"/>
      <c r="X109" s="578"/>
      <c r="Y109" s="578"/>
      <c r="Z109" s="578"/>
      <c r="AA109" s="578"/>
      <c r="AB109" s="578"/>
      <c r="AC109" s="578"/>
      <c r="AD109" s="578"/>
      <c r="AE109" s="578"/>
      <c r="AF109" s="578"/>
      <c r="AG109" s="578"/>
      <c r="AH109" s="578"/>
      <c r="AI109" s="578"/>
      <c r="AJ109" s="578"/>
      <c r="AK109" s="578"/>
      <c r="AL109" s="578"/>
      <c r="AM109" s="578"/>
      <c r="AN109" s="578"/>
    </row>
    <row r="110" spans="1:61" ht="15.75" thickBot="1" x14ac:dyDescent="0.3"/>
    <row r="111" spans="1:61" ht="27" thickBot="1" x14ac:dyDescent="0.45">
      <c r="A111" s="647" t="s">
        <v>324</v>
      </c>
      <c r="B111" s="648"/>
      <c r="C111" s="648"/>
      <c r="D111" s="648"/>
      <c r="E111" s="648"/>
      <c r="F111" s="648"/>
      <c r="G111" s="648"/>
      <c r="H111" s="649"/>
      <c r="I111" s="649"/>
      <c r="J111" s="649"/>
      <c r="K111" s="649"/>
      <c r="L111" s="648"/>
      <c r="M111" s="648"/>
      <c r="N111" s="648"/>
      <c r="O111" s="648"/>
      <c r="P111" s="648"/>
      <c r="Q111" s="648"/>
      <c r="R111" s="648"/>
      <c r="S111" s="648"/>
      <c r="T111" s="648"/>
      <c r="U111" s="648"/>
      <c r="V111" s="648"/>
      <c r="W111" s="648"/>
      <c r="X111" s="648"/>
      <c r="Y111" s="648"/>
      <c r="Z111" s="648"/>
      <c r="AA111" s="648"/>
      <c r="AB111" s="648"/>
      <c r="AC111" s="648"/>
      <c r="AD111" s="648"/>
      <c r="AE111" s="648"/>
      <c r="AF111" s="648"/>
      <c r="AG111" s="648"/>
      <c r="AH111" s="648"/>
      <c r="AI111" s="648"/>
      <c r="AJ111" s="648"/>
      <c r="AK111" s="648"/>
      <c r="AL111" s="648"/>
      <c r="AM111" s="648"/>
      <c r="AN111" s="650"/>
      <c r="AO111" s="29"/>
      <c r="AP111" s="29"/>
      <c r="AQ111" s="29"/>
      <c r="AR111" s="29"/>
      <c r="AS111" s="29"/>
      <c r="AT111" s="29"/>
      <c r="AU111" s="29"/>
      <c r="AV111" s="29"/>
      <c r="AW111" s="29"/>
      <c r="AX111" s="29"/>
      <c r="AY111" s="29"/>
      <c r="AZ111" s="29"/>
      <c r="BA111" s="29"/>
      <c r="BB111" s="29"/>
      <c r="BC111" s="29"/>
      <c r="BD111" s="29"/>
      <c r="BE111" s="29"/>
      <c r="BF111" s="29"/>
      <c r="BG111" s="29"/>
      <c r="BH111" s="29"/>
      <c r="BI111" s="29"/>
    </row>
    <row r="112" spans="1:61" x14ac:dyDescent="0.25">
      <c r="A112" s="651" t="s">
        <v>31</v>
      </c>
      <c r="B112" s="651" t="s">
        <v>32</v>
      </c>
      <c r="C112" s="654" t="s">
        <v>60</v>
      </c>
      <c r="D112" s="655"/>
      <c r="E112" s="635" t="s">
        <v>40</v>
      </c>
      <c r="F112" s="636"/>
      <c r="G112" s="637"/>
      <c r="H112" s="635" t="s">
        <v>41</v>
      </c>
      <c r="I112" s="636"/>
      <c r="J112" s="637"/>
      <c r="K112" s="635" t="s">
        <v>42</v>
      </c>
      <c r="L112" s="636"/>
      <c r="M112" s="637"/>
      <c r="N112" s="635" t="s">
        <v>43</v>
      </c>
      <c r="O112" s="636"/>
      <c r="P112" s="637"/>
      <c r="Q112" s="635" t="s">
        <v>44</v>
      </c>
      <c r="R112" s="636"/>
      <c r="S112" s="637"/>
      <c r="T112" s="635" t="s">
        <v>45</v>
      </c>
      <c r="U112" s="636"/>
      <c r="V112" s="637"/>
      <c r="W112" s="635" t="s">
        <v>46</v>
      </c>
      <c r="X112" s="636"/>
      <c r="Y112" s="637"/>
      <c r="Z112" s="635" t="s">
        <v>47</v>
      </c>
      <c r="AA112" s="636"/>
      <c r="AB112" s="637"/>
      <c r="AC112" s="635" t="s">
        <v>48</v>
      </c>
      <c r="AD112" s="636"/>
      <c r="AE112" s="637"/>
      <c r="AF112" s="635" t="s">
        <v>49</v>
      </c>
      <c r="AG112" s="636"/>
      <c r="AH112" s="637"/>
      <c r="AI112" s="635" t="s">
        <v>50</v>
      </c>
      <c r="AJ112" s="636"/>
      <c r="AK112" s="637"/>
      <c r="AL112" s="635" t="s">
        <v>51</v>
      </c>
      <c r="AM112" s="636"/>
      <c r="AN112" s="637"/>
      <c r="AO112" s="29"/>
      <c r="AP112" s="29"/>
      <c r="AQ112" s="29"/>
      <c r="AR112" s="29"/>
      <c r="AS112" s="29"/>
      <c r="AT112" s="29"/>
      <c r="AU112" s="29"/>
      <c r="AV112" s="29"/>
      <c r="AW112" s="29"/>
      <c r="AX112" s="29"/>
      <c r="AY112" s="29"/>
      <c r="AZ112" s="29"/>
      <c r="BA112" s="29"/>
      <c r="BB112" s="29"/>
      <c r="BC112" s="29"/>
      <c r="BD112" s="29"/>
      <c r="BE112" s="29"/>
      <c r="BF112" s="29"/>
      <c r="BG112" s="29"/>
      <c r="BH112" s="29"/>
      <c r="BI112" s="29"/>
    </row>
    <row r="113" spans="1:61" x14ac:dyDescent="0.25">
      <c r="A113" s="652"/>
      <c r="B113" s="652"/>
      <c r="C113" s="638" t="s">
        <v>59</v>
      </c>
      <c r="D113" s="640" t="s">
        <v>39</v>
      </c>
      <c r="E113" s="642">
        <v>0.02</v>
      </c>
      <c r="F113" s="643"/>
      <c r="G113" s="644"/>
      <c r="H113" s="642">
        <v>0.04</v>
      </c>
      <c r="I113" s="643"/>
      <c r="J113" s="644"/>
      <c r="K113" s="642">
        <v>0.04</v>
      </c>
      <c r="L113" s="643"/>
      <c r="M113" s="644"/>
      <c r="N113" s="642">
        <v>0.05</v>
      </c>
      <c r="O113" s="643"/>
      <c r="P113" s="644"/>
      <c r="Q113" s="642">
        <v>0.06</v>
      </c>
      <c r="R113" s="643"/>
      <c r="S113" s="644"/>
      <c r="T113" s="642">
        <v>0.08</v>
      </c>
      <c r="U113" s="643"/>
      <c r="V113" s="644"/>
      <c r="W113" s="642">
        <v>0.1</v>
      </c>
      <c r="X113" s="643"/>
      <c r="Y113" s="644"/>
      <c r="Z113" s="642">
        <v>0.11</v>
      </c>
      <c r="AA113" s="643"/>
      <c r="AB113" s="644"/>
      <c r="AC113" s="642">
        <v>0.11</v>
      </c>
      <c r="AD113" s="643"/>
      <c r="AE113" s="644"/>
      <c r="AF113" s="642">
        <v>0.12</v>
      </c>
      <c r="AG113" s="643"/>
      <c r="AH113" s="644"/>
      <c r="AI113" s="642">
        <v>0.13</v>
      </c>
      <c r="AJ113" s="643"/>
      <c r="AK113" s="644"/>
      <c r="AL113" s="642">
        <v>0.14000000000000001</v>
      </c>
      <c r="AM113" s="643"/>
      <c r="AN113" s="644"/>
      <c r="AO113" s="29"/>
      <c r="AP113" s="29"/>
      <c r="AQ113" s="29"/>
      <c r="AR113" s="29"/>
      <c r="AS113" s="29"/>
      <c r="AT113" s="29"/>
      <c r="AU113" s="29"/>
      <c r="AV113" s="29"/>
      <c r="AW113" s="29"/>
      <c r="AX113" s="29"/>
      <c r="AY113" s="29"/>
      <c r="AZ113" s="29"/>
      <c r="BA113" s="29"/>
      <c r="BB113" s="29"/>
      <c r="BC113" s="29"/>
      <c r="BD113" s="29"/>
      <c r="BE113" s="29"/>
      <c r="BF113" s="29"/>
      <c r="BG113" s="29"/>
      <c r="BH113" s="29"/>
      <c r="BI113" s="29"/>
    </row>
    <row r="114" spans="1:61" ht="15.75" customHeight="1" thickBot="1" x14ac:dyDescent="0.3">
      <c r="A114" s="653"/>
      <c r="B114" s="653"/>
      <c r="C114" s="639"/>
      <c r="D114" s="836"/>
      <c r="E114" s="839" t="s">
        <v>326</v>
      </c>
      <c r="F114" s="840" t="s">
        <v>59</v>
      </c>
      <c r="G114" s="539" t="s">
        <v>39</v>
      </c>
      <c r="H114" s="494" t="s">
        <v>326</v>
      </c>
      <c r="I114" s="563" t="s">
        <v>59</v>
      </c>
      <c r="J114" s="539" t="s">
        <v>39</v>
      </c>
      <c r="K114" s="840" t="s">
        <v>326</v>
      </c>
      <c r="L114" s="492" t="s">
        <v>59</v>
      </c>
      <c r="M114" s="493" t="s">
        <v>39</v>
      </c>
      <c r="N114" s="538" t="s">
        <v>326</v>
      </c>
      <c r="O114" s="494" t="s">
        <v>59</v>
      </c>
      <c r="P114" s="493" t="s">
        <v>39</v>
      </c>
      <c r="Q114" s="538" t="s">
        <v>326</v>
      </c>
      <c r="R114" s="494" t="s">
        <v>59</v>
      </c>
      <c r="S114" s="493" t="s">
        <v>39</v>
      </c>
      <c r="T114" s="538" t="s">
        <v>326</v>
      </c>
      <c r="U114" s="494" t="s">
        <v>59</v>
      </c>
      <c r="V114" s="493" t="s">
        <v>39</v>
      </c>
      <c r="W114" s="538" t="s">
        <v>326</v>
      </c>
      <c r="X114" s="494" t="s">
        <v>59</v>
      </c>
      <c r="Y114" s="493" t="s">
        <v>39</v>
      </c>
      <c r="Z114" s="538" t="s">
        <v>326</v>
      </c>
      <c r="AA114" s="494" t="s">
        <v>59</v>
      </c>
      <c r="AB114" s="493" t="s">
        <v>39</v>
      </c>
      <c r="AC114" s="538" t="s">
        <v>326</v>
      </c>
      <c r="AD114" s="494" t="s">
        <v>59</v>
      </c>
      <c r="AE114" s="493" t="s">
        <v>39</v>
      </c>
      <c r="AF114" s="538" t="s">
        <v>326</v>
      </c>
      <c r="AG114" s="494" t="s">
        <v>59</v>
      </c>
      <c r="AH114" s="493" t="s">
        <v>39</v>
      </c>
      <c r="AI114" s="538" t="s">
        <v>326</v>
      </c>
      <c r="AJ114" s="494" t="s">
        <v>59</v>
      </c>
      <c r="AK114" s="493" t="s">
        <v>39</v>
      </c>
      <c r="AL114" s="538" t="s">
        <v>326</v>
      </c>
      <c r="AM114" s="494" t="s">
        <v>59</v>
      </c>
      <c r="AN114" s="493" t="s">
        <v>39</v>
      </c>
      <c r="AO114" s="29"/>
      <c r="AP114" s="29"/>
      <c r="AQ114" s="29"/>
      <c r="AR114" s="29"/>
      <c r="AS114" s="29"/>
      <c r="AT114" s="29"/>
      <c r="AU114" s="29"/>
      <c r="AV114" s="29"/>
      <c r="AW114" s="29"/>
      <c r="AX114" s="29"/>
      <c r="AY114" s="29"/>
      <c r="AZ114" s="29"/>
      <c r="BA114" s="29"/>
      <c r="BB114" s="29"/>
      <c r="BC114" s="29"/>
      <c r="BD114" s="29"/>
      <c r="BE114" s="29"/>
      <c r="BF114" s="29"/>
      <c r="BG114" s="29"/>
      <c r="BH114" s="29"/>
      <c r="BI114" s="29"/>
    </row>
    <row r="115" spans="1:61" ht="33" customHeight="1" thickBot="1" x14ac:dyDescent="0.3">
      <c r="A115" s="514" t="s">
        <v>291</v>
      </c>
      <c r="B115" s="511">
        <f>Hipótesis!C49</f>
        <v>1300</v>
      </c>
      <c r="C115" s="537">
        <f>(C68*1.1)+C68</f>
        <v>167353.20000000001</v>
      </c>
      <c r="D115" s="540">
        <f>B115*C115</f>
        <v>217559160.00000003</v>
      </c>
      <c r="E115" s="837">
        <f>(C68*1.1)*$E113</f>
        <v>1753.2240000000002</v>
      </c>
      <c r="F115" s="838">
        <f>E115+AM68</f>
        <v>81445.224000000002</v>
      </c>
      <c r="G115" s="558">
        <f>F115*B115</f>
        <v>105878791.2</v>
      </c>
      <c r="H115" s="561">
        <f>(C68*1.1)*$H113</f>
        <v>3506.4480000000003</v>
      </c>
      <c r="I115" s="549">
        <f>H115 + F115</f>
        <v>84951.672000000006</v>
      </c>
      <c r="J115" s="558">
        <f>B115*I115</f>
        <v>110437173.60000001</v>
      </c>
      <c r="K115" s="841">
        <f>(C68*1.1)*$K113</f>
        <v>3506.4480000000003</v>
      </c>
      <c r="L115" s="549">
        <f>K115+ I115</f>
        <v>88458.12000000001</v>
      </c>
      <c r="M115" s="558">
        <f>B115*L115</f>
        <v>114995556.00000001</v>
      </c>
      <c r="N115" s="561">
        <f>(C68*1.1)*$N113</f>
        <v>4383.0600000000004</v>
      </c>
      <c r="O115" s="549">
        <f>N115+L115</f>
        <v>92841.180000000008</v>
      </c>
      <c r="P115" s="558">
        <f>B115*O115</f>
        <v>120693534.00000001</v>
      </c>
      <c r="Q115" s="561">
        <f>(C68*1.1)*$Q113</f>
        <v>5259.6720000000005</v>
      </c>
      <c r="R115" s="549">
        <f>Q115+O115</f>
        <v>98100.852000000014</v>
      </c>
      <c r="S115" s="558">
        <f>B115*R115</f>
        <v>127531107.60000002</v>
      </c>
      <c r="T115" s="561">
        <f>(C68*1.1)*T113</f>
        <v>7012.8960000000006</v>
      </c>
      <c r="U115" s="549">
        <f>T115+R115</f>
        <v>105113.74800000002</v>
      </c>
      <c r="V115" s="558">
        <f>B115*U115</f>
        <v>136647872.40000004</v>
      </c>
      <c r="W115" s="561">
        <f>(C68*1.1)*$W113</f>
        <v>8766.1200000000008</v>
      </c>
      <c r="X115" s="549">
        <f>W115+U115</f>
        <v>113879.86800000002</v>
      </c>
      <c r="Y115" s="558">
        <f>B115*X115</f>
        <v>148043828.40000004</v>
      </c>
      <c r="Z115" s="561">
        <f>(C68*1.1)*Z113</f>
        <v>9642.7320000000018</v>
      </c>
      <c r="AA115" s="549">
        <f>Z115+X115</f>
        <v>123522.60000000002</v>
      </c>
      <c r="AB115" s="558">
        <f>B115*AA115</f>
        <v>160579380.00000003</v>
      </c>
      <c r="AC115" s="561">
        <f>(C68*1.1)*AC113</f>
        <v>9642.7320000000018</v>
      </c>
      <c r="AD115" s="549">
        <f>AC115+AA115</f>
        <v>133165.33200000002</v>
      </c>
      <c r="AE115" s="558">
        <f>B115*AD115</f>
        <v>173114931.60000002</v>
      </c>
      <c r="AF115" s="561">
        <f>(C68*1.1)*$AF113</f>
        <v>10519.344000000001</v>
      </c>
      <c r="AG115" s="549">
        <f>AF115+AD115</f>
        <v>143684.67600000004</v>
      </c>
      <c r="AH115" s="558">
        <f>B115*AG115</f>
        <v>186790078.80000004</v>
      </c>
      <c r="AI115" s="556">
        <f>(C68*1.1)*AI113</f>
        <v>11395.956000000002</v>
      </c>
      <c r="AJ115" s="549">
        <f>AI115+AG115</f>
        <v>155080.63200000004</v>
      </c>
      <c r="AK115" s="553">
        <f>B115*AJ115</f>
        <v>201604821.60000005</v>
      </c>
      <c r="AL115" s="551">
        <f>(C68*1.1)*AL113</f>
        <v>12272.568000000003</v>
      </c>
      <c r="AM115" s="549">
        <f>AL115+AJ115</f>
        <v>167353.20000000004</v>
      </c>
      <c r="AN115" s="511">
        <f>B115*AM115</f>
        <v>217559160.00000006</v>
      </c>
    </row>
    <row r="116" spans="1:61" ht="33" customHeight="1" thickBot="1" x14ac:dyDescent="0.3">
      <c r="A116" s="515" t="s">
        <v>289</v>
      </c>
      <c r="B116" s="512">
        <f>Hipótesis!C52</f>
        <v>2500</v>
      </c>
      <c r="C116" s="535">
        <f>(C69*1.1)+C69</f>
        <v>81194.399999999994</v>
      </c>
      <c r="D116" s="544">
        <f t="shared" ref="D116:D117" si="63">B116*C116</f>
        <v>202986000</v>
      </c>
      <c r="E116" s="581">
        <f>(C69*1.1)*$E113</f>
        <v>850.60800000000006</v>
      </c>
      <c r="F116" s="582">
        <f t="shared" ref="F116:F117" si="64">E116+AM69</f>
        <v>39514.607999999993</v>
      </c>
      <c r="G116" s="559">
        <f t="shared" ref="G116:G117" si="65">F116*B116</f>
        <v>98786519.999999985</v>
      </c>
      <c r="H116" s="830">
        <f>(C69*1.1)*$H113</f>
        <v>1701.2160000000001</v>
      </c>
      <c r="I116" s="552">
        <f t="shared" ref="I116:I117" si="66">H116 + F116</f>
        <v>41215.823999999993</v>
      </c>
      <c r="J116" s="559">
        <f t="shared" ref="J116:J117" si="67">B116*I116</f>
        <v>103039559.99999999</v>
      </c>
      <c r="K116" s="830">
        <f>(C69*1.1)*$K113</f>
        <v>1701.2160000000001</v>
      </c>
      <c r="L116" s="552">
        <f t="shared" ref="L116:L117" si="68">K116+ I116</f>
        <v>42917.039999999994</v>
      </c>
      <c r="M116" s="559">
        <f t="shared" ref="M116:M117" si="69">B116*L116</f>
        <v>107292599.99999999</v>
      </c>
      <c r="N116" s="830">
        <f>(C69*1.1)*$N113</f>
        <v>2126.52</v>
      </c>
      <c r="O116" s="552">
        <f t="shared" ref="O116:O117" si="70">N116+L116</f>
        <v>45043.55999999999</v>
      </c>
      <c r="P116" s="559">
        <f t="shared" ref="P116:P117" si="71">B116*O116</f>
        <v>112608899.99999997</v>
      </c>
      <c r="Q116" s="830">
        <f>(C69*1.1)*$Q113</f>
        <v>2551.8240000000001</v>
      </c>
      <c r="R116" s="552">
        <f t="shared" ref="R116:R117" si="72">Q116+O116</f>
        <v>47595.383999999991</v>
      </c>
      <c r="S116" s="559">
        <f t="shared" ref="S116:S117" si="73">B116*R116</f>
        <v>118988459.99999997</v>
      </c>
      <c r="T116" s="830">
        <f>(C69*1.1)*T113</f>
        <v>3402.4320000000002</v>
      </c>
      <c r="U116" s="552">
        <f t="shared" ref="U116:U117" si="74">T116+R116</f>
        <v>50997.815999999992</v>
      </c>
      <c r="V116" s="559">
        <f t="shared" ref="V116:V117" si="75">B116*U116</f>
        <v>127494539.99999999</v>
      </c>
      <c r="W116" s="830">
        <f>(C69*1.1)*$W113</f>
        <v>4253.04</v>
      </c>
      <c r="X116" s="552">
        <f t="shared" ref="X116:X117" si="76">W116+U116</f>
        <v>55250.855999999992</v>
      </c>
      <c r="Y116" s="559">
        <f t="shared" ref="Y116:Y117" si="77">B116*X116</f>
        <v>138127139.99999997</v>
      </c>
      <c r="Z116" s="830">
        <f>(C69*1.1)*Z113</f>
        <v>4678.3440000000001</v>
      </c>
      <c r="AA116" s="552">
        <f t="shared" ref="AA116:AA117" si="78">Z116+X116</f>
        <v>59929.19999999999</v>
      </c>
      <c r="AB116" s="559">
        <f t="shared" ref="AB116:AB117" si="79">B116*AA116</f>
        <v>149822999.99999997</v>
      </c>
      <c r="AC116" s="830">
        <f>(C69*1.1)*AC113</f>
        <v>4678.3440000000001</v>
      </c>
      <c r="AD116" s="552">
        <f t="shared" ref="AD116:AD117" si="80">AC116+AA116</f>
        <v>64607.543999999987</v>
      </c>
      <c r="AE116" s="559">
        <f t="shared" ref="AE116:AE117" si="81">B116*AD116</f>
        <v>161518859.99999997</v>
      </c>
      <c r="AF116" s="830">
        <f>(C69*1.1)*$AF113</f>
        <v>5103.6480000000001</v>
      </c>
      <c r="AG116" s="552">
        <f t="shared" ref="AG116:AG117" si="82">AF116+AD116</f>
        <v>69711.191999999981</v>
      </c>
      <c r="AH116" s="559">
        <f t="shared" ref="AH116:AH117" si="83">B116*AG116</f>
        <v>174277979.99999994</v>
      </c>
      <c r="AI116" s="831">
        <f>(C69*1.1)*AI113</f>
        <v>5528.9520000000002</v>
      </c>
      <c r="AJ116" s="552">
        <f t="shared" ref="AJ116:AJ117" si="84">AI116+AG116</f>
        <v>75240.143999999986</v>
      </c>
      <c r="AK116" s="554">
        <f t="shared" ref="AK116:AK117" si="85">B116*AJ116</f>
        <v>188100359.99999997</v>
      </c>
      <c r="AL116" s="832">
        <f>(C69*1.1)*AL113</f>
        <v>5954.2560000000012</v>
      </c>
      <c r="AM116" s="552">
        <f t="shared" ref="AM116:AM117" si="86">AL116+AJ116</f>
        <v>81194.399999999994</v>
      </c>
      <c r="AN116" s="512">
        <f t="shared" ref="AN116:AN117" si="87">B116*AM116</f>
        <v>202986000</v>
      </c>
    </row>
    <row r="117" spans="1:61" ht="33" customHeight="1" thickBot="1" x14ac:dyDescent="0.3">
      <c r="A117" s="516" t="s">
        <v>290</v>
      </c>
      <c r="B117" s="513">
        <f>Hipótesis!C55</f>
        <v>4000</v>
      </c>
      <c r="C117" s="536">
        <f>(C70*1.1)+C70</f>
        <v>57531.600000000006</v>
      </c>
      <c r="D117" s="565">
        <f t="shared" si="63"/>
        <v>230126400.00000003</v>
      </c>
      <c r="E117" s="583">
        <f>(C70*1.1)*$E113</f>
        <v>602.7120000000001</v>
      </c>
      <c r="F117" s="584">
        <f t="shared" si="64"/>
        <v>27998.712</v>
      </c>
      <c r="G117" s="560">
        <f t="shared" si="65"/>
        <v>111994848</v>
      </c>
      <c r="H117" s="833">
        <f>(C70*1.1)*$H113</f>
        <v>1205.4240000000002</v>
      </c>
      <c r="I117" s="571">
        <f t="shared" si="66"/>
        <v>29204.135999999999</v>
      </c>
      <c r="J117" s="560">
        <f t="shared" si="67"/>
        <v>116816544</v>
      </c>
      <c r="K117" s="833">
        <f>(C70*1.1)*$K113</f>
        <v>1205.4240000000002</v>
      </c>
      <c r="L117" s="571">
        <f t="shared" si="68"/>
        <v>30409.559999999998</v>
      </c>
      <c r="M117" s="560">
        <f t="shared" si="69"/>
        <v>121638239.99999999</v>
      </c>
      <c r="N117" s="833">
        <f>(C70*1.1)*$N113</f>
        <v>1506.7800000000002</v>
      </c>
      <c r="O117" s="571">
        <f t="shared" si="70"/>
        <v>31916.339999999997</v>
      </c>
      <c r="P117" s="560">
        <f t="shared" si="71"/>
        <v>127665359.99999999</v>
      </c>
      <c r="Q117" s="833">
        <f>(C70*1.1)*$Q113</f>
        <v>1808.136</v>
      </c>
      <c r="R117" s="571">
        <f t="shared" si="72"/>
        <v>33724.475999999995</v>
      </c>
      <c r="S117" s="560">
        <f t="shared" si="73"/>
        <v>134897903.99999997</v>
      </c>
      <c r="T117" s="833">
        <f>(C70*1.1)*T113</f>
        <v>2410.8480000000004</v>
      </c>
      <c r="U117" s="571">
        <f t="shared" si="74"/>
        <v>36135.323999999993</v>
      </c>
      <c r="V117" s="560">
        <f t="shared" si="75"/>
        <v>144541295.99999997</v>
      </c>
      <c r="W117" s="833">
        <f>(C70*1.1)*$W113</f>
        <v>3013.5600000000004</v>
      </c>
      <c r="X117" s="571">
        <f t="shared" si="76"/>
        <v>39148.883999999991</v>
      </c>
      <c r="Y117" s="560">
        <f t="shared" si="77"/>
        <v>156595535.99999997</v>
      </c>
      <c r="Z117" s="833">
        <f>(C70*1.1)*Z113</f>
        <v>3314.9160000000002</v>
      </c>
      <c r="AA117" s="571">
        <f t="shared" si="78"/>
        <v>42463.799999999988</v>
      </c>
      <c r="AB117" s="560">
        <f t="shared" si="79"/>
        <v>169855199.99999994</v>
      </c>
      <c r="AC117" s="833">
        <f>(C70*1.1)*AC113</f>
        <v>3314.9160000000002</v>
      </c>
      <c r="AD117" s="571">
        <f t="shared" si="80"/>
        <v>45778.715999999986</v>
      </c>
      <c r="AE117" s="560">
        <f t="shared" si="81"/>
        <v>183114863.99999994</v>
      </c>
      <c r="AF117" s="833">
        <f>(C70*1.1)*$AF113</f>
        <v>3616.2719999999999</v>
      </c>
      <c r="AG117" s="571">
        <f t="shared" si="82"/>
        <v>49394.987999999983</v>
      </c>
      <c r="AH117" s="560">
        <f t="shared" si="83"/>
        <v>197579951.99999994</v>
      </c>
      <c r="AI117" s="834">
        <f>(C70*1.1)*AI113</f>
        <v>3917.6280000000006</v>
      </c>
      <c r="AJ117" s="571">
        <f t="shared" si="84"/>
        <v>53312.61599999998</v>
      </c>
      <c r="AK117" s="555">
        <f t="shared" si="85"/>
        <v>213250463.99999991</v>
      </c>
      <c r="AL117" s="835">
        <f>(C70*1.1)*AL113</f>
        <v>4218.9840000000004</v>
      </c>
      <c r="AM117" s="571">
        <f t="shared" si="86"/>
        <v>57531.599999999977</v>
      </c>
      <c r="AN117" s="550">
        <f t="shared" si="87"/>
        <v>230126399.99999991</v>
      </c>
    </row>
    <row r="118" spans="1:61" ht="16.5" thickBot="1" x14ac:dyDescent="0.3">
      <c r="A118" s="633" t="s">
        <v>69</v>
      </c>
      <c r="B118" s="634"/>
      <c r="C118" s="496">
        <f>SUM(C115:C117)</f>
        <v>306079.2</v>
      </c>
      <c r="D118" s="495">
        <f>SUM(D115:D117)</f>
        <v>650671560</v>
      </c>
      <c r="E118" s="575"/>
      <c r="F118" s="547"/>
      <c r="G118" s="548">
        <f>SUM(G115:G117)</f>
        <v>316660159.19999999</v>
      </c>
      <c r="H118" s="576"/>
      <c r="I118" s="547"/>
      <c r="J118" s="548">
        <f>SUM(J115:J117)</f>
        <v>330293277.60000002</v>
      </c>
      <c r="K118" s="576"/>
      <c r="L118" s="547"/>
      <c r="M118" s="548">
        <f>SUM(M115:M117)</f>
        <v>343926396</v>
      </c>
      <c r="N118" s="576"/>
      <c r="O118" s="547"/>
      <c r="P118" s="548">
        <f>SUM(P115:P117)</f>
        <v>360967794</v>
      </c>
      <c r="Q118" s="576"/>
      <c r="R118" s="547"/>
      <c r="S118" s="548">
        <f>SUM(S115:S117)</f>
        <v>381417471.59999996</v>
      </c>
      <c r="T118" s="576"/>
      <c r="U118" s="547"/>
      <c r="V118" s="548">
        <f>SUM(V115:V117)</f>
        <v>408683708.39999998</v>
      </c>
      <c r="W118" s="576"/>
      <c r="X118" s="547"/>
      <c r="Y118" s="548">
        <f>SUM(Y115:Y117)</f>
        <v>442766504.39999998</v>
      </c>
      <c r="Z118" s="576"/>
      <c r="AA118" s="547"/>
      <c r="AB118" s="548">
        <f>SUM(AB115:AB117)</f>
        <v>480257579.99999994</v>
      </c>
      <c r="AC118" s="576"/>
      <c r="AD118" s="547"/>
      <c r="AE118" s="548">
        <f>SUM(AE115:AE117)</f>
        <v>517748655.59999996</v>
      </c>
      <c r="AF118" s="576"/>
      <c r="AG118" s="547"/>
      <c r="AH118" s="548">
        <f>SUM(AH115:AH117)</f>
        <v>558648010.79999995</v>
      </c>
      <c r="AI118" s="576"/>
      <c r="AJ118" s="547"/>
      <c r="AK118" s="548">
        <f>SUM(AK115:AK117)</f>
        <v>602955645.5999999</v>
      </c>
      <c r="AL118" s="576"/>
      <c r="AM118" s="547"/>
      <c r="AN118" s="548">
        <f>SUM(AN115:AN117)</f>
        <v>650671560</v>
      </c>
      <c r="AO118" s="43"/>
    </row>
    <row r="121" spans="1:61" ht="15.75" thickBot="1" x14ac:dyDescent="0.3"/>
    <row r="122" spans="1:61" ht="36.75" customHeight="1" thickBot="1" x14ac:dyDescent="0.45">
      <c r="A122" s="661" t="s">
        <v>327</v>
      </c>
      <c r="B122" s="662"/>
      <c r="C122" s="662"/>
      <c r="D122" s="662"/>
      <c r="E122" s="662"/>
      <c r="F122" s="662"/>
      <c r="G122" s="662"/>
      <c r="H122" s="662"/>
      <c r="I122" s="662"/>
      <c r="J122" s="662"/>
      <c r="K122" s="662"/>
      <c r="L122" s="662"/>
      <c r="M122" s="662"/>
      <c r="N122" s="662"/>
      <c r="O122" s="662"/>
      <c r="P122" s="662"/>
      <c r="Q122" s="662"/>
      <c r="R122" s="662"/>
      <c r="S122" s="662"/>
      <c r="T122" s="662"/>
      <c r="U122" s="662"/>
      <c r="V122" s="662"/>
      <c r="W122" s="662"/>
      <c r="X122" s="663"/>
      <c r="Y122" s="579"/>
      <c r="Z122" s="579"/>
      <c r="AA122" s="579"/>
      <c r="AB122" s="579"/>
      <c r="AC122" s="579"/>
      <c r="AD122" s="579"/>
      <c r="AE122" s="579"/>
      <c r="AF122" s="579"/>
      <c r="AG122" s="579"/>
      <c r="AH122" s="579"/>
      <c r="AI122" s="580"/>
      <c r="AJ122" s="524"/>
      <c r="AK122" s="524"/>
      <c r="AL122" s="524"/>
      <c r="AM122" s="524"/>
      <c r="AN122" s="524"/>
    </row>
    <row r="123" spans="1:61" ht="15" customHeight="1" x14ac:dyDescent="0.25">
      <c r="B123" s="844" t="s">
        <v>297</v>
      </c>
      <c r="C123" s="645" t="s">
        <v>298</v>
      </c>
      <c r="D123" s="845" t="s">
        <v>299</v>
      </c>
      <c r="E123" s="645" t="s">
        <v>300</v>
      </c>
      <c r="F123" s="645" t="s">
        <v>301</v>
      </c>
      <c r="G123" s="645" t="s">
        <v>302</v>
      </c>
      <c r="H123" s="645" t="s">
        <v>303</v>
      </c>
      <c r="I123" s="645" t="s">
        <v>304</v>
      </c>
      <c r="J123" s="645" t="s">
        <v>305</v>
      </c>
      <c r="K123" s="848" t="s">
        <v>306</v>
      </c>
      <c r="L123" s="645" t="s">
        <v>307</v>
      </c>
      <c r="M123" s="645" t="s">
        <v>308</v>
      </c>
      <c r="N123" s="645" t="s">
        <v>309</v>
      </c>
      <c r="O123" s="645" t="s">
        <v>310</v>
      </c>
      <c r="P123" s="645" t="s">
        <v>311</v>
      </c>
      <c r="Q123" s="645" t="s">
        <v>312</v>
      </c>
      <c r="R123" s="851" t="s">
        <v>313</v>
      </c>
      <c r="S123" s="645" t="s">
        <v>314</v>
      </c>
      <c r="T123" s="645" t="s">
        <v>315</v>
      </c>
      <c r="U123" s="645" t="s">
        <v>316</v>
      </c>
      <c r="V123" s="645" t="s">
        <v>317</v>
      </c>
      <c r="W123" s="645" t="s">
        <v>318</v>
      </c>
      <c r="X123" s="645" t="s">
        <v>319</v>
      </c>
      <c r="Y123" s="52"/>
      <c r="Z123" s="52"/>
      <c r="AA123" s="52"/>
      <c r="AB123" s="52"/>
      <c r="AC123" s="577"/>
      <c r="AD123" s="52"/>
      <c r="AE123" s="52"/>
      <c r="AF123" s="577"/>
      <c r="AG123" s="52"/>
      <c r="AH123" s="52"/>
      <c r="AI123" s="577"/>
      <c r="AJ123" s="503"/>
      <c r="AK123" s="503"/>
      <c r="AL123" s="503"/>
      <c r="AM123" s="507"/>
      <c r="AN123" s="507"/>
    </row>
    <row r="124" spans="1:61" ht="35.25" customHeight="1" thickBot="1" x14ac:dyDescent="0.3">
      <c r="B124" s="658"/>
      <c r="C124" s="646"/>
      <c r="D124" s="660"/>
      <c r="E124" s="646"/>
      <c r="F124" s="646"/>
      <c r="G124" s="646"/>
      <c r="H124" s="646"/>
      <c r="I124" s="646"/>
      <c r="J124" s="646"/>
      <c r="K124" s="849"/>
      <c r="L124" s="646"/>
      <c r="M124" s="646"/>
      <c r="N124" s="646"/>
      <c r="O124" s="646"/>
      <c r="P124" s="646"/>
      <c r="Q124" s="646"/>
      <c r="R124" s="849"/>
      <c r="S124" s="646"/>
      <c r="T124" s="646"/>
      <c r="U124" s="646"/>
      <c r="V124" s="646"/>
      <c r="W124" s="646"/>
      <c r="X124" s="646"/>
      <c r="AA124" s="52"/>
      <c r="AB124" s="52"/>
      <c r="AC124" s="519"/>
      <c r="AD124" s="52"/>
      <c r="AE124" s="52"/>
      <c r="AF124" s="519"/>
      <c r="AG124" s="52"/>
      <c r="AH124" s="52"/>
      <c r="AI124" s="505"/>
      <c r="AJ124" s="503"/>
      <c r="AK124" s="503"/>
      <c r="AL124" s="503"/>
      <c r="AM124" s="507"/>
      <c r="AN124" s="507"/>
    </row>
    <row r="125" spans="1:61" ht="15" customHeight="1" x14ac:dyDescent="0.25">
      <c r="A125" s="525" t="s">
        <v>294</v>
      </c>
      <c r="B125" s="520">
        <v>80</v>
      </c>
      <c r="C125" s="520">
        <v>160</v>
      </c>
      <c r="D125" s="846">
        <v>160</v>
      </c>
      <c r="E125" s="520">
        <v>160</v>
      </c>
      <c r="F125" s="520">
        <v>160</v>
      </c>
      <c r="G125" s="520">
        <v>160</v>
      </c>
      <c r="H125" s="520">
        <v>160</v>
      </c>
      <c r="I125" s="520">
        <v>160</v>
      </c>
      <c r="J125" s="520">
        <v>160</v>
      </c>
      <c r="K125" s="842">
        <v>160</v>
      </c>
      <c r="L125" s="520">
        <v>160</v>
      </c>
      <c r="M125" s="520">
        <v>160</v>
      </c>
      <c r="N125" s="520">
        <v>160</v>
      </c>
      <c r="O125" s="520">
        <v>160</v>
      </c>
      <c r="P125" s="520">
        <v>160</v>
      </c>
      <c r="Q125" s="520">
        <v>160</v>
      </c>
      <c r="R125" s="842">
        <v>160</v>
      </c>
      <c r="S125" s="520">
        <v>160</v>
      </c>
      <c r="T125" s="520">
        <v>160</v>
      </c>
      <c r="U125" s="520">
        <v>160</v>
      </c>
      <c r="V125" s="520">
        <v>160</v>
      </c>
      <c r="W125" s="520">
        <v>160</v>
      </c>
      <c r="X125" s="520">
        <v>160</v>
      </c>
      <c r="AA125" s="52"/>
      <c r="AB125" s="52"/>
      <c r="AC125" s="546"/>
      <c r="AD125" s="52"/>
      <c r="AE125" s="52"/>
      <c r="AF125" s="546"/>
      <c r="AG125" s="52"/>
      <c r="AH125" s="52"/>
      <c r="AI125" s="519"/>
      <c r="AJ125" s="507"/>
      <c r="AK125" s="507"/>
      <c r="AL125" s="507"/>
      <c r="AM125" s="507"/>
      <c r="AN125" s="507"/>
    </row>
    <row r="126" spans="1:61" ht="15" customHeight="1" x14ac:dyDescent="0.25">
      <c r="A126" s="525" t="s">
        <v>295</v>
      </c>
      <c r="B126" s="534">
        <f>B56*1.4</f>
        <v>251999.99999999997</v>
      </c>
      <c r="C126" s="534">
        <f t="shared" ref="C126:X126" si="88">C56*1.4</f>
        <v>182000</v>
      </c>
      <c r="D126" s="534">
        <f t="shared" si="88"/>
        <v>84000</v>
      </c>
      <c r="E126" s="534">
        <f t="shared" si="88"/>
        <v>62999.999999999993</v>
      </c>
      <c r="F126" s="534">
        <f t="shared" si="88"/>
        <v>84000</v>
      </c>
      <c r="G126" s="534">
        <f t="shared" si="88"/>
        <v>84000</v>
      </c>
      <c r="H126" s="534">
        <f t="shared" si="88"/>
        <v>112000</v>
      </c>
      <c r="I126" s="534">
        <f t="shared" si="88"/>
        <v>62999.999999999993</v>
      </c>
      <c r="J126" s="534">
        <f t="shared" si="88"/>
        <v>140000</v>
      </c>
      <c r="K126" s="850">
        <f t="shared" si="88"/>
        <v>84000</v>
      </c>
      <c r="L126" s="534">
        <f t="shared" si="88"/>
        <v>168000</v>
      </c>
      <c r="M126" s="534">
        <f t="shared" si="88"/>
        <v>91000</v>
      </c>
      <c r="N126" s="534">
        <f t="shared" si="88"/>
        <v>62999.999999999993</v>
      </c>
      <c r="O126" s="534">
        <f t="shared" si="88"/>
        <v>210000</v>
      </c>
      <c r="P126" s="534">
        <f t="shared" si="88"/>
        <v>112000</v>
      </c>
      <c r="Q126" s="534">
        <f t="shared" si="88"/>
        <v>105000</v>
      </c>
      <c r="R126" s="850">
        <f t="shared" si="88"/>
        <v>62999.999999999993</v>
      </c>
      <c r="S126" s="534">
        <f t="shared" si="88"/>
        <v>77000</v>
      </c>
      <c r="T126" s="534">
        <f t="shared" si="88"/>
        <v>77000</v>
      </c>
      <c r="U126" s="534">
        <f t="shared" si="88"/>
        <v>210000</v>
      </c>
      <c r="V126" s="534">
        <f t="shared" si="88"/>
        <v>112000</v>
      </c>
      <c r="W126" s="534">
        <f t="shared" si="88"/>
        <v>112000</v>
      </c>
      <c r="X126" s="534">
        <f t="shared" si="88"/>
        <v>98000</v>
      </c>
      <c r="AA126" s="52"/>
      <c r="AB126" s="52"/>
      <c r="AC126" s="519"/>
      <c r="AD126" s="52"/>
      <c r="AE126" s="52"/>
      <c r="AF126" s="519"/>
      <c r="AG126" s="52"/>
      <c r="AH126" s="52"/>
      <c r="AI126" s="546"/>
      <c r="AJ126" s="507"/>
      <c r="AK126" s="507"/>
      <c r="AL126" s="507"/>
      <c r="AM126" s="507"/>
      <c r="AN126" s="507"/>
    </row>
    <row r="127" spans="1:61" ht="15.75" customHeight="1" thickBot="1" x14ac:dyDescent="0.3">
      <c r="A127" s="526" t="s">
        <v>296</v>
      </c>
      <c r="B127" s="521">
        <v>1</v>
      </c>
      <c r="C127" s="521">
        <v>1</v>
      </c>
      <c r="D127" s="847">
        <v>1</v>
      </c>
      <c r="E127" s="521">
        <v>1</v>
      </c>
      <c r="F127" s="521">
        <v>1</v>
      </c>
      <c r="G127" s="521">
        <v>1</v>
      </c>
      <c r="H127" s="521">
        <v>1</v>
      </c>
      <c r="I127" s="521">
        <v>1</v>
      </c>
      <c r="J127" s="521">
        <v>1</v>
      </c>
      <c r="K127" s="843">
        <v>1</v>
      </c>
      <c r="L127" s="521">
        <v>1</v>
      </c>
      <c r="M127" s="521">
        <v>1</v>
      </c>
      <c r="N127" s="521">
        <v>1</v>
      </c>
      <c r="O127" s="521">
        <v>1</v>
      </c>
      <c r="P127" s="521">
        <v>1</v>
      </c>
      <c r="Q127" s="521">
        <v>1</v>
      </c>
      <c r="R127" s="843">
        <v>1</v>
      </c>
      <c r="S127" s="521">
        <v>1</v>
      </c>
      <c r="T127" s="521">
        <v>1</v>
      </c>
      <c r="U127" s="521">
        <v>1</v>
      </c>
      <c r="V127" s="521">
        <v>1</v>
      </c>
      <c r="W127" s="521">
        <v>1</v>
      </c>
      <c r="X127" s="521">
        <v>1</v>
      </c>
      <c r="AA127" s="507"/>
      <c r="AB127" s="507"/>
      <c r="AC127" s="507"/>
      <c r="AD127" s="507"/>
      <c r="AE127" s="507"/>
      <c r="AF127" s="507"/>
      <c r="AG127" s="507"/>
      <c r="AH127" s="507"/>
      <c r="AI127" s="519"/>
      <c r="AJ127" s="507"/>
      <c r="AK127" s="507"/>
      <c r="AL127" s="507"/>
      <c r="AM127" s="507"/>
      <c r="AN127" s="507"/>
    </row>
    <row r="128" spans="1:61" ht="37.5" customHeight="1" thickBot="1" x14ac:dyDescent="0.35">
      <c r="A128" s="527" t="s">
        <v>321</v>
      </c>
      <c r="B128" s="529">
        <f>SUM(B126:AF126)</f>
        <v>2646000</v>
      </c>
      <c r="C128" s="505"/>
      <c r="D128" s="509"/>
      <c r="E128" s="509"/>
      <c r="F128" s="507"/>
      <c r="G128" s="507"/>
      <c r="H128" s="507"/>
      <c r="I128" s="507"/>
      <c r="J128" s="507"/>
      <c r="K128" s="507"/>
      <c r="L128" s="507"/>
      <c r="M128" s="507"/>
      <c r="N128" s="507"/>
      <c r="O128" s="507"/>
      <c r="P128" s="507"/>
      <c r="Q128" s="507"/>
      <c r="R128" s="507"/>
      <c r="S128" s="507"/>
      <c r="T128" s="507"/>
      <c r="U128" s="507"/>
      <c r="V128" s="507"/>
      <c r="W128" s="507"/>
      <c r="X128" s="507"/>
      <c r="Y128" s="507"/>
      <c r="Z128" s="507"/>
      <c r="AA128" s="52"/>
      <c r="AB128" s="52"/>
      <c r="AC128" s="52"/>
      <c r="AD128" s="52"/>
      <c r="AE128" s="52"/>
      <c r="AF128" s="52"/>
      <c r="AG128" s="52"/>
      <c r="AH128" s="52"/>
      <c r="AI128" s="507"/>
      <c r="AJ128" s="507"/>
      <c r="AK128" s="507"/>
      <c r="AL128" s="507"/>
      <c r="AM128" s="507"/>
      <c r="AN128" s="507"/>
    </row>
    <row r="129" spans="1:40" ht="30" customHeight="1" thickBot="1" x14ac:dyDescent="0.3">
      <c r="A129" s="528" t="s">
        <v>320</v>
      </c>
      <c r="B129" s="529">
        <f>B128*12</f>
        <v>31752000</v>
      </c>
      <c r="C129" s="505"/>
      <c r="D129" s="509"/>
      <c r="E129" s="509"/>
      <c r="F129" s="507"/>
      <c r="G129" s="507"/>
      <c r="H129" s="507"/>
      <c r="I129" s="507"/>
      <c r="J129" s="507"/>
      <c r="K129" s="507"/>
      <c r="L129" s="507"/>
      <c r="M129" s="507"/>
      <c r="N129" s="507"/>
      <c r="O129" s="507"/>
      <c r="P129" s="507"/>
      <c r="Q129" s="507"/>
      <c r="R129" s="507"/>
      <c r="S129" s="507"/>
      <c r="T129" s="507"/>
      <c r="U129" s="507"/>
      <c r="V129" s="507"/>
      <c r="W129" s="507"/>
      <c r="X129" s="507"/>
      <c r="Y129" s="507"/>
      <c r="Z129" s="507"/>
      <c r="AA129" s="507"/>
      <c r="AB129" s="507"/>
      <c r="AC129" s="507"/>
      <c r="AD129" s="507"/>
      <c r="AE129" s="507"/>
      <c r="AF129" s="507"/>
      <c r="AG129" s="507"/>
      <c r="AH129" s="507"/>
      <c r="AI129" s="507"/>
      <c r="AJ129" s="507"/>
      <c r="AK129" s="507"/>
      <c r="AL129" s="507"/>
      <c r="AM129" s="507"/>
      <c r="AN129" s="507"/>
    </row>
  </sheetData>
  <mergeCells count="168">
    <mergeCell ref="A122:X122"/>
    <mergeCell ref="B123:B124"/>
    <mergeCell ref="C123:C124"/>
    <mergeCell ref="D123:D124"/>
    <mergeCell ref="E123:E124"/>
    <mergeCell ref="F123:F124"/>
    <mergeCell ref="G123:G124"/>
    <mergeCell ref="H123:H124"/>
    <mergeCell ref="I123:I124"/>
    <mergeCell ref="J123:J124"/>
    <mergeCell ref="K123:K124"/>
    <mergeCell ref="L123:L124"/>
    <mergeCell ref="M123:M124"/>
    <mergeCell ref="N123:N124"/>
    <mergeCell ref="O123:O124"/>
    <mergeCell ref="P123:P124"/>
    <mergeCell ref="T123:T124"/>
    <mergeCell ref="U123:U124"/>
    <mergeCell ref="V123:V124"/>
    <mergeCell ref="W123:W124"/>
    <mergeCell ref="X123:X124"/>
    <mergeCell ref="Q123:Q124"/>
    <mergeCell ref="R123:R124"/>
    <mergeCell ref="S123:S124"/>
    <mergeCell ref="AL113:AN113"/>
    <mergeCell ref="A118:B118"/>
    <mergeCell ref="AF112:AH112"/>
    <mergeCell ref="AI112:AK112"/>
    <mergeCell ref="AL112:AN112"/>
    <mergeCell ref="C113:C114"/>
    <mergeCell ref="D113:D114"/>
    <mergeCell ref="E113:G113"/>
    <mergeCell ref="H113:J113"/>
    <mergeCell ref="K113:M113"/>
    <mergeCell ref="N113:P113"/>
    <mergeCell ref="Q113:S113"/>
    <mergeCell ref="T113:V113"/>
    <mergeCell ref="W113:Y113"/>
    <mergeCell ref="Z113:AB113"/>
    <mergeCell ref="AC113:AE113"/>
    <mergeCell ref="AF113:AH113"/>
    <mergeCell ref="AI113:AK113"/>
    <mergeCell ref="V102:V103"/>
    <mergeCell ref="W102:W103"/>
    <mergeCell ref="X102:X103"/>
    <mergeCell ref="A111:AN111"/>
    <mergeCell ref="A112:A114"/>
    <mergeCell ref="B112:B114"/>
    <mergeCell ref="C112:D112"/>
    <mergeCell ref="E112:G112"/>
    <mergeCell ref="H112:J112"/>
    <mergeCell ref="K112:M112"/>
    <mergeCell ref="N112:P112"/>
    <mergeCell ref="Q112:S112"/>
    <mergeCell ref="T112:V112"/>
    <mergeCell ref="W112:Y112"/>
    <mergeCell ref="Z112:AB112"/>
    <mergeCell ref="AC112:AE112"/>
    <mergeCell ref="Q102:Q103"/>
    <mergeCell ref="R102:R103"/>
    <mergeCell ref="S102:S103"/>
    <mergeCell ref="T102:T103"/>
    <mergeCell ref="U102:U103"/>
    <mergeCell ref="A101:X101"/>
    <mergeCell ref="B102:B103"/>
    <mergeCell ref="C102:C103"/>
    <mergeCell ref="D102:D103"/>
    <mergeCell ref="E102:E103"/>
    <mergeCell ref="F102:F103"/>
    <mergeCell ref="G102:G103"/>
    <mergeCell ref="H102:H103"/>
    <mergeCell ref="I102:I103"/>
    <mergeCell ref="J102:J103"/>
    <mergeCell ref="K102:K103"/>
    <mergeCell ref="L102:L103"/>
    <mergeCell ref="M102:M103"/>
    <mergeCell ref="N102:N103"/>
    <mergeCell ref="O102:O103"/>
    <mergeCell ref="P102:P103"/>
    <mergeCell ref="AI17:AK17"/>
    <mergeCell ref="AF17:AH17"/>
    <mergeCell ref="AC17:AE17"/>
    <mergeCell ref="Z17:AB17"/>
    <mergeCell ref="W17:Y17"/>
    <mergeCell ref="B5:D5"/>
    <mergeCell ref="A15:AN15"/>
    <mergeCell ref="A16:A18"/>
    <mergeCell ref="B16:B18"/>
    <mergeCell ref="C16:D16"/>
    <mergeCell ref="I6:P7"/>
    <mergeCell ref="H16:J16"/>
    <mergeCell ref="E16:G16"/>
    <mergeCell ref="E17:G17"/>
    <mergeCell ref="K16:M16"/>
    <mergeCell ref="K17:M17"/>
    <mergeCell ref="AL16:AN16"/>
    <mergeCell ref="AL17:AN17"/>
    <mergeCell ref="AI16:AK16"/>
    <mergeCell ref="AF16:AH16"/>
    <mergeCell ref="H17:J17"/>
    <mergeCell ref="I5:P5"/>
    <mergeCell ref="W16:Y16"/>
    <mergeCell ref="T16:V16"/>
    <mergeCell ref="Q16:S16"/>
    <mergeCell ref="N16:P16"/>
    <mergeCell ref="F53:F54"/>
    <mergeCell ref="D53:D54"/>
    <mergeCell ref="C53:C54"/>
    <mergeCell ref="AC16:AE16"/>
    <mergeCell ref="Z16:AB16"/>
    <mergeCell ref="T53:T54"/>
    <mergeCell ref="A52:X52"/>
    <mergeCell ref="V53:V54"/>
    <mergeCell ref="U53:U54"/>
    <mergeCell ref="T17:V17"/>
    <mergeCell ref="Q17:S17"/>
    <mergeCell ref="N17:P17"/>
    <mergeCell ref="A22:B22"/>
    <mergeCell ref="C17:C18"/>
    <mergeCell ref="D17:D18"/>
    <mergeCell ref="W53:W54"/>
    <mergeCell ref="X53:X54"/>
    <mergeCell ref="B53:B54"/>
    <mergeCell ref="R53:R54"/>
    <mergeCell ref="S53:S54"/>
    <mergeCell ref="L53:L54"/>
    <mergeCell ref="K53:K54"/>
    <mergeCell ref="J53:J54"/>
    <mergeCell ref="I53:I54"/>
    <mergeCell ref="H53:H54"/>
    <mergeCell ref="G53:G54"/>
    <mergeCell ref="E53:E54"/>
    <mergeCell ref="Q53:Q54"/>
    <mergeCell ref="P53:P54"/>
    <mergeCell ref="O53:O54"/>
    <mergeCell ref="N53:N54"/>
    <mergeCell ref="M53:M54"/>
    <mergeCell ref="A64:AN64"/>
    <mergeCell ref="A65:A67"/>
    <mergeCell ref="B65:B67"/>
    <mergeCell ref="C65:D65"/>
    <mergeCell ref="E65:G65"/>
    <mergeCell ref="H65:J65"/>
    <mergeCell ref="K65:M65"/>
    <mergeCell ref="N65:P65"/>
    <mergeCell ref="Q65:S65"/>
    <mergeCell ref="T65:V65"/>
    <mergeCell ref="W65:Y65"/>
    <mergeCell ref="Z65:AB65"/>
    <mergeCell ref="AC65:AE65"/>
    <mergeCell ref="AF65:AH65"/>
    <mergeCell ref="AI65:AK65"/>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
  <sheetViews>
    <sheetView tabSelected="1" zoomScale="60" zoomScaleNormal="60" workbookViewId="0">
      <pane ySplit="1" topLeftCell="A11" activePane="bottomLeft" state="frozen"/>
      <selection pane="bottomLeft" activeCell="E17" sqref="E17"/>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445" customFormat="1" ht="58.5" customHeight="1" x14ac:dyDescent="0.25">
      <c r="A1" s="447"/>
      <c r="B1" s="447"/>
      <c r="C1" s="447"/>
      <c r="D1" s="447"/>
      <c r="E1" s="450" t="s">
        <v>3</v>
      </c>
      <c r="F1" s="447"/>
      <c r="G1" s="451"/>
      <c r="H1" s="451"/>
      <c r="I1" s="447"/>
      <c r="J1" s="447"/>
      <c r="K1" s="447"/>
      <c r="L1" s="447"/>
      <c r="M1" s="447"/>
      <c r="N1" s="447"/>
      <c r="O1" s="447"/>
      <c r="P1" s="447"/>
      <c r="Q1" s="447"/>
      <c r="R1" s="447"/>
      <c r="S1" s="447"/>
      <c r="T1" s="447"/>
      <c r="U1" s="447"/>
      <c r="V1" s="447"/>
      <c r="W1" s="447"/>
      <c r="X1" s="447"/>
    </row>
    <row r="6" spans="1:24" ht="15.75" thickBot="1" x14ac:dyDescent="0.3"/>
    <row r="7" spans="1:24" ht="27" thickBot="1" x14ac:dyDescent="0.45">
      <c r="B7" s="647" t="s">
        <v>35</v>
      </c>
      <c r="C7" s="648"/>
      <c r="D7" s="650"/>
    </row>
    <row r="8" spans="1:24" x14ac:dyDescent="0.25">
      <c r="B8" s="826">
        <v>2019</v>
      </c>
      <c r="C8" s="826">
        <v>2020</v>
      </c>
      <c r="D8" s="826">
        <v>2021</v>
      </c>
    </row>
    <row r="9" spans="1:24" x14ac:dyDescent="0.25">
      <c r="B9" s="40">
        <f>Hipótesis!C24</f>
        <v>0.02</v>
      </c>
      <c r="C9" s="40">
        <f>Hipótesis!C25</f>
        <v>0.05</v>
      </c>
      <c r="D9" s="40">
        <f>Hipótesis!C26</f>
        <v>0.1</v>
      </c>
    </row>
    <row r="10" spans="1:24" x14ac:dyDescent="0.25">
      <c r="B10" s="33">
        <f>Hipótesis!D24</f>
        <v>121458400</v>
      </c>
      <c r="C10" s="33">
        <f>Hipótesis!D25</f>
        <v>303646000</v>
      </c>
      <c r="D10" s="33">
        <f>Hipótesis!D26</f>
        <v>607292000</v>
      </c>
    </row>
    <row r="14" spans="1:24" ht="15.75" thickBot="1" x14ac:dyDescent="0.3"/>
    <row r="15" spans="1:24" ht="27" thickBot="1" x14ac:dyDescent="0.45">
      <c r="B15" s="827" t="s">
        <v>58</v>
      </c>
      <c r="C15" s="828"/>
      <c r="D15" s="828"/>
      <c r="E15" s="829"/>
    </row>
    <row r="16" spans="1:24" ht="16.5" thickBot="1" x14ac:dyDescent="0.3">
      <c r="B16" s="820" t="s">
        <v>31</v>
      </c>
      <c r="C16" s="821" t="s">
        <v>55</v>
      </c>
      <c r="D16" s="821" t="s">
        <v>56</v>
      </c>
      <c r="E16" s="822" t="s">
        <v>323</v>
      </c>
    </row>
    <row r="17" spans="2:5" ht="16.5" thickBot="1" x14ac:dyDescent="0.3">
      <c r="B17" s="64" t="s">
        <v>291</v>
      </c>
      <c r="C17" s="65">
        <f>'Proy. ventas'!D19</f>
        <v>43166500</v>
      </c>
      <c r="D17" s="65">
        <f>'Proy. ventas'!D68</f>
        <v>103599600</v>
      </c>
      <c r="E17" s="66" t="e">
        <f>'Proy. ventas'!#REF!</f>
        <v>#REF!</v>
      </c>
    </row>
    <row r="18" spans="2:5" ht="16.5" thickBot="1" x14ac:dyDescent="0.3">
      <c r="B18" s="817" t="s">
        <v>289</v>
      </c>
      <c r="C18" s="818">
        <f>'Proy. ventas'!D20</f>
        <v>40275000</v>
      </c>
      <c r="D18" s="818">
        <f>'Proy. ventas'!D69</f>
        <v>96660000</v>
      </c>
      <c r="E18" s="819" t="e">
        <f>'Proy. ventas'!#REF!</f>
        <v>#REF!</v>
      </c>
    </row>
    <row r="19" spans="2:5" ht="15.75" x14ac:dyDescent="0.25">
      <c r="B19" s="67" t="s">
        <v>290</v>
      </c>
      <c r="C19" s="68">
        <f>'Proy. ventas'!D21</f>
        <v>45660000</v>
      </c>
      <c r="D19" s="68">
        <f>'Proy. ventas'!D70</f>
        <v>109584000</v>
      </c>
      <c r="E19" s="69" t="e">
        <f>'Proy. ventas'!#REF!</f>
        <v>#REF!</v>
      </c>
    </row>
    <row r="20" spans="2:5" ht="15.75" thickBot="1" x14ac:dyDescent="0.3">
      <c r="B20" s="823" t="s">
        <v>57</v>
      </c>
      <c r="C20" s="824">
        <f>SUM(C17:C19)</f>
        <v>129101500</v>
      </c>
      <c r="D20" s="824">
        <f>SUM(D17:D19)</f>
        <v>309843600</v>
      </c>
      <c r="E20" s="825" t="e">
        <f>SUM(E17:E19)</f>
        <v>#REF!</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zoomScale="70" zoomScaleNormal="70" workbookViewId="0">
      <pane ySplit="1" topLeftCell="A2" activePane="bottomLeft" state="frozen"/>
      <selection pane="bottomLeft" activeCell="D19" sqref="D19"/>
    </sheetView>
  </sheetViews>
  <sheetFormatPr baseColWidth="10"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8.5703125" style="1" bestFit="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445" customFormat="1" ht="58.5" customHeight="1" x14ac:dyDescent="0.25">
      <c r="A1" s="447"/>
      <c r="B1" s="447"/>
      <c r="C1" s="447"/>
      <c r="D1" s="447"/>
      <c r="E1" s="447"/>
      <c r="F1" s="450" t="s">
        <v>4</v>
      </c>
      <c r="G1" s="451"/>
      <c r="H1" s="451"/>
      <c r="I1" s="447"/>
      <c r="J1" s="447"/>
      <c r="K1" s="447"/>
      <c r="L1" s="447"/>
      <c r="M1" s="447"/>
      <c r="N1" s="447"/>
      <c r="O1" s="447"/>
      <c r="P1" s="447"/>
      <c r="Q1" s="447"/>
    </row>
    <row r="2" spans="1:17" ht="15.75" thickBot="1" x14ac:dyDescent="0.3"/>
    <row r="3" spans="1:17" ht="27" thickBot="1" x14ac:dyDescent="0.45">
      <c r="C3" s="670" t="s">
        <v>35</v>
      </c>
      <c r="D3" s="671"/>
      <c r="E3" s="672"/>
      <c r="G3" s="670" t="s">
        <v>93</v>
      </c>
      <c r="H3" s="671"/>
      <c r="I3" s="672"/>
    </row>
    <row r="4" spans="1:17" x14ac:dyDescent="0.25">
      <c r="C4" s="44">
        <v>2019</v>
      </c>
      <c r="D4" s="34">
        <v>2020</v>
      </c>
      <c r="E4" s="45">
        <v>2021</v>
      </c>
      <c r="G4" s="44">
        <v>2019</v>
      </c>
      <c r="H4" s="34">
        <v>2020</v>
      </c>
      <c r="I4" s="45">
        <v>2021</v>
      </c>
    </row>
    <row r="5" spans="1:17" ht="15.75" thickBot="1" x14ac:dyDescent="0.3">
      <c r="C5" s="46">
        <f>Hipótesis!C24</f>
        <v>0.02</v>
      </c>
      <c r="D5" s="40">
        <f>Hipótesis!C25</f>
        <v>0.05</v>
      </c>
      <c r="E5" s="47">
        <f>Hipótesis!C26</f>
        <v>0.1</v>
      </c>
      <c r="G5" s="48">
        <f>P24</f>
        <v>2343935.7000000002</v>
      </c>
      <c r="H5" s="49">
        <f>P42</f>
        <v>2614351.9749999996</v>
      </c>
      <c r="I5" s="50">
        <f>P61</f>
        <v>2971977.4835000001</v>
      </c>
    </row>
    <row r="6" spans="1:17" ht="15.75" thickBot="1" x14ac:dyDescent="0.3">
      <c r="C6" s="48">
        <f>Hipótesis!D24</f>
        <v>121458400</v>
      </c>
      <c r="D6" s="49">
        <f>Hipótesis!D25</f>
        <v>303646000</v>
      </c>
      <c r="E6" s="50">
        <f>Hipótesis!D26</f>
        <v>607292000</v>
      </c>
      <c r="G6" s="132"/>
      <c r="H6" s="132"/>
      <c r="I6" s="132"/>
    </row>
    <row r="8" spans="1:17" ht="15.75" thickBot="1" x14ac:dyDescent="0.3"/>
    <row r="9" spans="1:17" ht="27" thickBot="1" x14ac:dyDescent="0.45">
      <c r="B9" s="670" t="s">
        <v>80</v>
      </c>
      <c r="C9" s="671"/>
      <c r="D9" s="671"/>
      <c r="E9" s="671"/>
      <c r="F9" s="671"/>
      <c r="G9" s="671"/>
      <c r="H9" s="671"/>
      <c r="I9" s="671"/>
      <c r="J9" s="671"/>
      <c r="K9" s="671"/>
      <c r="L9" s="671"/>
      <c r="M9" s="671"/>
      <c r="N9" s="671"/>
      <c r="O9" s="671"/>
      <c r="P9" s="671"/>
      <c r="Q9" s="672"/>
    </row>
    <row r="10" spans="1:17" ht="19.5" thickBot="1" x14ac:dyDescent="0.3">
      <c r="B10" s="678" t="s">
        <v>81</v>
      </c>
      <c r="C10" s="679"/>
      <c r="D10" s="119" t="s">
        <v>40</v>
      </c>
      <c r="E10" s="99" t="s">
        <v>41</v>
      </c>
      <c r="F10" s="99" t="s">
        <v>42</v>
      </c>
      <c r="G10" s="99" t="s">
        <v>43</v>
      </c>
      <c r="H10" s="99" t="s">
        <v>44</v>
      </c>
      <c r="I10" s="99" t="s">
        <v>45</v>
      </c>
      <c r="J10" s="99" t="s">
        <v>46</v>
      </c>
      <c r="K10" s="99" t="s">
        <v>47</v>
      </c>
      <c r="L10" s="99" t="s">
        <v>48</v>
      </c>
      <c r="M10" s="99" t="s">
        <v>49</v>
      </c>
      <c r="N10" s="99" t="s">
        <v>50</v>
      </c>
      <c r="O10" s="100" t="s">
        <v>51</v>
      </c>
      <c r="P10" s="101" t="s">
        <v>83</v>
      </c>
      <c r="Q10" s="102" t="s">
        <v>82</v>
      </c>
    </row>
    <row r="11" spans="1:17" x14ac:dyDescent="0.25">
      <c r="B11" s="673" t="s">
        <v>73</v>
      </c>
      <c r="C11" s="126" t="s">
        <v>74</v>
      </c>
      <c r="D11" s="120">
        <v>804.62</v>
      </c>
      <c r="E11" s="103">
        <v>0</v>
      </c>
      <c r="F11" s="103">
        <v>804.62</v>
      </c>
      <c r="G11" s="103">
        <v>0</v>
      </c>
      <c r="H11" s="103">
        <v>804.62</v>
      </c>
      <c r="I11" s="103">
        <v>0</v>
      </c>
      <c r="J11" s="103">
        <v>1774.61</v>
      </c>
      <c r="K11" s="103">
        <v>0</v>
      </c>
      <c r="L11" s="103">
        <v>1774.61</v>
      </c>
      <c r="M11" s="103">
        <v>0</v>
      </c>
      <c r="N11" s="103">
        <v>804.62</v>
      </c>
      <c r="O11" s="104">
        <v>0</v>
      </c>
      <c r="P11" s="105">
        <f t="shared" ref="P11:P18" si="0">SUM(D11:O11)</f>
        <v>6767.7</v>
      </c>
      <c r="Q11" s="106"/>
    </row>
    <row r="12" spans="1:17" x14ac:dyDescent="0.25">
      <c r="B12" s="674"/>
      <c r="C12" s="127" t="s">
        <v>76</v>
      </c>
      <c r="D12" s="121">
        <v>9365</v>
      </c>
      <c r="E12" s="84">
        <v>9365</v>
      </c>
      <c r="F12" s="84">
        <v>9365</v>
      </c>
      <c r="G12" s="84">
        <v>9365</v>
      </c>
      <c r="H12" s="84">
        <v>9365</v>
      </c>
      <c r="I12" s="84">
        <v>9365</v>
      </c>
      <c r="J12" s="84">
        <v>9365</v>
      </c>
      <c r="K12" s="84">
        <v>9365</v>
      </c>
      <c r="L12" s="84">
        <v>9365</v>
      </c>
      <c r="M12" s="84">
        <v>9365</v>
      </c>
      <c r="N12" s="84">
        <v>9365</v>
      </c>
      <c r="O12" s="86">
        <v>9365</v>
      </c>
      <c r="P12" s="90">
        <f t="shared" si="0"/>
        <v>112380</v>
      </c>
      <c r="Q12" s="87"/>
    </row>
    <row r="13" spans="1:17" x14ac:dyDescent="0.25">
      <c r="B13" s="674"/>
      <c r="C13" s="127" t="s">
        <v>75</v>
      </c>
      <c r="D13" s="121">
        <v>615</v>
      </c>
      <c r="E13" s="84">
        <v>615</v>
      </c>
      <c r="F13" s="84">
        <v>615</v>
      </c>
      <c r="G13" s="84">
        <v>615</v>
      </c>
      <c r="H13" s="84">
        <v>615</v>
      </c>
      <c r="I13" s="84">
        <v>615</v>
      </c>
      <c r="J13" s="84">
        <v>615</v>
      </c>
      <c r="K13" s="84">
        <v>615</v>
      </c>
      <c r="L13" s="84">
        <v>615</v>
      </c>
      <c r="M13" s="84">
        <v>615</v>
      </c>
      <c r="N13" s="84">
        <v>615</v>
      </c>
      <c r="O13" s="86">
        <v>615</v>
      </c>
      <c r="P13" s="90">
        <f t="shared" si="0"/>
        <v>7380</v>
      </c>
      <c r="Q13" s="87"/>
    </row>
    <row r="14" spans="1:17" x14ac:dyDescent="0.25">
      <c r="B14" s="674"/>
      <c r="C14" s="127" t="s">
        <v>84</v>
      </c>
      <c r="D14" s="121">
        <v>390</v>
      </c>
      <c r="E14" s="84">
        <v>390</v>
      </c>
      <c r="F14" s="84">
        <v>390</v>
      </c>
      <c r="G14" s="84">
        <v>390</v>
      </c>
      <c r="H14" s="84">
        <v>390</v>
      </c>
      <c r="I14" s="84">
        <v>390</v>
      </c>
      <c r="J14" s="84">
        <v>390</v>
      </c>
      <c r="K14" s="84">
        <v>390</v>
      </c>
      <c r="L14" s="84">
        <v>390</v>
      </c>
      <c r="M14" s="84">
        <v>390</v>
      </c>
      <c r="N14" s="84">
        <v>390</v>
      </c>
      <c r="O14" s="86">
        <v>390</v>
      </c>
      <c r="P14" s="90">
        <f t="shared" si="0"/>
        <v>4680</v>
      </c>
      <c r="Q14" s="88"/>
    </row>
    <row r="15" spans="1:17" x14ac:dyDescent="0.25">
      <c r="B15" s="674"/>
      <c r="C15" s="128" t="s">
        <v>85</v>
      </c>
      <c r="D15" s="121">
        <f>725*6</f>
        <v>4350</v>
      </c>
      <c r="E15" s="84">
        <f t="shared" ref="E15:O15" si="1">725*6</f>
        <v>4350</v>
      </c>
      <c r="F15" s="84">
        <f t="shared" si="1"/>
        <v>4350</v>
      </c>
      <c r="G15" s="84">
        <f t="shared" si="1"/>
        <v>4350</v>
      </c>
      <c r="H15" s="84">
        <f t="shared" si="1"/>
        <v>4350</v>
      </c>
      <c r="I15" s="84">
        <f t="shared" si="1"/>
        <v>4350</v>
      </c>
      <c r="J15" s="84">
        <f t="shared" si="1"/>
        <v>4350</v>
      </c>
      <c r="K15" s="84">
        <f t="shared" si="1"/>
        <v>4350</v>
      </c>
      <c r="L15" s="84">
        <f t="shared" si="1"/>
        <v>4350</v>
      </c>
      <c r="M15" s="84">
        <f t="shared" si="1"/>
        <v>4350</v>
      </c>
      <c r="N15" s="84">
        <f t="shared" si="1"/>
        <v>4350</v>
      </c>
      <c r="O15" s="86">
        <f t="shared" si="1"/>
        <v>4350</v>
      </c>
      <c r="P15" s="90">
        <f t="shared" si="0"/>
        <v>52200</v>
      </c>
      <c r="Q15" s="89"/>
    </row>
    <row r="16" spans="1:17" x14ac:dyDescent="0.25">
      <c r="B16" s="674"/>
      <c r="C16" s="128" t="s">
        <v>86</v>
      </c>
      <c r="D16" s="121">
        <v>2290</v>
      </c>
      <c r="E16" s="84">
        <v>2290</v>
      </c>
      <c r="F16" s="84">
        <v>2290</v>
      </c>
      <c r="G16" s="84">
        <v>2290</v>
      </c>
      <c r="H16" s="84">
        <v>2290</v>
      </c>
      <c r="I16" s="84">
        <v>2290</v>
      </c>
      <c r="J16" s="84">
        <v>2290</v>
      </c>
      <c r="K16" s="84">
        <v>2290</v>
      </c>
      <c r="L16" s="84">
        <v>2290</v>
      </c>
      <c r="M16" s="84">
        <v>2290</v>
      </c>
      <c r="N16" s="84">
        <v>2290</v>
      </c>
      <c r="O16" s="86">
        <v>2290</v>
      </c>
      <c r="P16" s="90">
        <f t="shared" si="0"/>
        <v>27480</v>
      </c>
      <c r="Q16" s="89"/>
    </row>
    <row r="17" spans="2:17" x14ac:dyDescent="0.25">
      <c r="B17" s="674"/>
      <c r="C17" s="89" t="s">
        <v>87</v>
      </c>
      <c r="D17" s="121">
        <f>18228/12</f>
        <v>1519</v>
      </c>
      <c r="E17" s="84">
        <f t="shared" ref="E17:O17" si="2">18228/12</f>
        <v>1519</v>
      </c>
      <c r="F17" s="84">
        <f t="shared" si="2"/>
        <v>1519</v>
      </c>
      <c r="G17" s="84">
        <f t="shared" si="2"/>
        <v>1519</v>
      </c>
      <c r="H17" s="84">
        <f t="shared" si="2"/>
        <v>1519</v>
      </c>
      <c r="I17" s="84">
        <f t="shared" si="2"/>
        <v>1519</v>
      </c>
      <c r="J17" s="84">
        <f t="shared" si="2"/>
        <v>1519</v>
      </c>
      <c r="K17" s="84">
        <f t="shared" si="2"/>
        <v>1519</v>
      </c>
      <c r="L17" s="84">
        <f t="shared" si="2"/>
        <v>1519</v>
      </c>
      <c r="M17" s="84">
        <f t="shared" si="2"/>
        <v>1519</v>
      </c>
      <c r="N17" s="84">
        <f t="shared" si="2"/>
        <v>1519</v>
      </c>
      <c r="O17" s="86">
        <f t="shared" si="2"/>
        <v>1519</v>
      </c>
      <c r="P17" s="90">
        <f t="shared" si="0"/>
        <v>18228</v>
      </c>
      <c r="Q17" s="89"/>
    </row>
    <row r="18" spans="2:17" ht="16.5" customHeight="1" thickBot="1" x14ac:dyDescent="0.3">
      <c r="B18" s="675"/>
      <c r="C18" s="129" t="s">
        <v>88</v>
      </c>
      <c r="D18" s="122">
        <v>1860</v>
      </c>
      <c r="E18" s="107">
        <v>1860</v>
      </c>
      <c r="F18" s="107">
        <v>1860</v>
      </c>
      <c r="G18" s="107">
        <v>1860</v>
      </c>
      <c r="H18" s="107">
        <v>1860</v>
      </c>
      <c r="I18" s="107">
        <v>1860</v>
      </c>
      <c r="J18" s="107">
        <v>1860</v>
      </c>
      <c r="K18" s="107">
        <v>1860</v>
      </c>
      <c r="L18" s="107">
        <v>1860</v>
      </c>
      <c r="M18" s="107">
        <v>1860</v>
      </c>
      <c r="N18" s="107">
        <v>1860</v>
      </c>
      <c r="O18" s="108">
        <v>1860</v>
      </c>
      <c r="P18" s="91">
        <f t="shared" si="0"/>
        <v>22320</v>
      </c>
      <c r="Q18" s="109"/>
    </row>
    <row r="19" spans="2:17" ht="63.75" customHeight="1" x14ac:dyDescent="0.25">
      <c r="B19" s="680" t="s">
        <v>77</v>
      </c>
      <c r="C19" s="130" t="s">
        <v>279</v>
      </c>
      <c r="D19" s="123">
        <v>65000</v>
      </c>
      <c r="E19" s="110">
        <v>65000</v>
      </c>
      <c r="F19" s="110">
        <v>65000</v>
      </c>
      <c r="G19" s="110">
        <v>65000</v>
      </c>
      <c r="H19" s="110">
        <v>65000</v>
      </c>
      <c r="I19" s="110">
        <v>65000</v>
      </c>
      <c r="J19" s="110">
        <v>74750</v>
      </c>
      <c r="K19" s="110">
        <v>74750</v>
      </c>
      <c r="L19" s="110">
        <v>74750</v>
      </c>
      <c r="M19" s="110">
        <v>74750</v>
      </c>
      <c r="N19" s="110">
        <v>74750</v>
      </c>
      <c r="O19" s="111">
        <v>74750</v>
      </c>
      <c r="P19" s="112">
        <f t="shared" ref="P19:P23" si="3">SUM(D19:O19)</f>
        <v>838500</v>
      </c>
      <c r="Q19" s="113"/>
    </row>
    <row r="20" spans="2:17" ht="22.5" customHeight="1" thickBot="1" x14ac:dyDescent="0.3">
      <c r="B20" s="681"/>
      <c r="C20" s="129" t="s">
        <v>89</v>
      </c>
      <c r="D20" s="122">
        <v>0</v>
      </c>
      <c r="E20" s="107">
        <v>0</v>
      </c>
      <c r="F20" s="107">
        <v>0</v>
      </c>
      <c r="G20" s="107">
        <v>0</v>
      </c>
      <c r="H20" s="107">
        <v>0</v>
      </c>
      <c r="I20" s="107">
        <v>0</v>
      </c>
      <c r="J20" s="107">
        <v>0</v>
      </c>
      <c r="K20" s="107">
        <v>0</v>
      </c>
      <c r="L20" s="107">
        <v>0</v>
      </c>
      <c r="M20" s="107">
        <v>0</v>
      </c>
      <c r="N20" s="107">
        <v>0</v>
      </c>
      <c r="O20" s="108">
        <v>0</v>
      </c>
      <c r="P20" s="91">
        <f t="shared" si="3"/>
        <v>0</v>
      </c>
      <c r="Q20" s="109"/>
    </row>
    <row r="21" spans="2:17" ht="19.5" thickBot="1" x14ac:dyDescent="0.35">
      <c r="B21" s="114" t="s">
        <v>78</v>
      </c>
      <c r="C21" s="131" t="s">
        <v>79</v>
      </c>
      <c r="D21" s="124">
        <v>8500</v>
      </c>
      <c r="E21" s="115">
        <v>8500</v>
      </c>
      <c r="F21" s="115">
        <v>8500</v>
      </c>
      <c r="G21" s="115">
        <v>8500</v>
      </c>
      <c r="H21" s="115">
        <v>8500</v>
      </c>
      <c r="I21" s="115">
        <v>8500</v>
      </c>
      <c r="J21" s="115">
        <v>8500</v>
      </c>
      <c r="K21" s="115">
        <v>8500</v>
      </c>
      <c r="L21" s="115">
        <v>8500</v>
      </c>
      <c r="M21" s="115">
        <v>8500</v>
      </c>
      <c r="N21" s="115">
        <v>8500</v>
      </c>
      <c r="O21" s="116">
        <v>8500</v>
      </c>
      <c r="P21" s="96">
        <f t="shared" si="3"/>
        <v>102000</v>
      </c>
      <c r="Q21" s="117"/>
    </row>
    <row r="22" spans="2:17" x14ac:dyDescent="0.25">
      <c r="B22" s="676" t="s">
        <v>90</v>
      </c>
      <c r="C22" s="127" t="s">
        <v>280</v>
      </c>
      <c r="D22" s="121">
        <f>200*60*4</f>
        <v>48000</v>
      </c>
      <c r="E22" s="84">
        <f t="shared" ref="E22:O23" si="4">200*60*4</f>
        <v>48000</v>
      </c>
      <c r="F22" s="84">
        <f t="shared" si="4"/>
        <v>48000</v>
      </c>
      <c r="G22" s="84">
        <f t="shared" si="4"/>
        <v>48000</v>
      </c>
      <c r="H22" s="84">
        <f t="shared" si="4"/>
        <v>48000</v>
      </c>
      <c r="I22" s="84">
        <f t="shared" si="4"/>
        <v>48000</v>
      </c>
      <c r="J22" s="84">
        <f t="shared" si="4"/>
        <v>48000</v>
      </c>
      <c r="K22" s="84">
        <f t="shared" si="4"/>
        <v>48000</v>
      </c>
      <c r="L22" s="84">
        <f t="shared" si="4"/>
        <v>48000</v>
      </c>
      <c r="M22" s="84">
        <f t="shared" si="4"/>
        <v>48000</v>
      </c>
      <c r="N22" s="84">
        <f t="shared" si="4"/>
        <v>48000</v>
      </c>
      <c r="O22" s="86">
        <f t="shared" si="4"/>
        <v>48000</v>
      </c>
      <c r="P22" s="90">
        <f t="shared" si="3"/>
        <v>576000</v>
      </c>
      <c r="Q22" s="88"/>
    </row>
    <row r="23" spans="2:17" ht="20.25" customHeight="1" thickBot="1" x14ac:dyDescent="0.3">
      <c r="B23" s="677"/>
      <c r="C23" s="129" t="s">
        <v>280</v>
      </c>
      <c r="D23" s="125">
        <f>200*60*4</f>
        <v>48000</v>
      </c>
      <c r="E23" s="125">
        <f t="shared" si="4"/>
        <v>48000</v>
      </c>
      <c r="F23" s="125">
        <f t="shared" si="4"/>
        <v>48000</v>
      </c>
      <c r="G23" s="125">
        <f t="shared" si="4"/>
        <v>48000</v>
      </c>
      <c r="H23" s="125">
        <f t="shared" si="4"/>
        <v>48000</v>
      </c>
      <c r="I23" s="125">
        <f t="shared" si="4"/>
        <v>48000</v>
      </c>
      <c r="J23" s="125">
        <f t="shared" si="4"/>
        <v>48000</v>
      </c>
      <c r="K23" s="125">
        <f t="shared" si="4"/>
        <v>48000</v>
      </c>
      <c r="L23" s="125">
        <f t="shared" si="4"/>
        <v>48000</v>
      </c>
      <c r="M23" s="125">
        <f t="shared" si="4"/>
        <v>48000</v>
      </c>
      <c r="N23" s="125">
        <f t="shared" si="4"/>
        <v>48000</v>
      </c>
      <c r="O23" s="125">
        <f t="shared" si="4"/>
        <v>48000</v>
      </c>
      <c r="P23" s="92">
        <f t="shared" si="3"/>
        <v>576000</v>
      </c>
      <c r="Q23" s="88"/>
    </row>
    <row r="24" spans="2:17" ht="15.75" thickBot="1" x14ac:dyDescent="0.3">
      <c r="B24" s="21"/>
      <c r="C24" s="93" t="s">
        <v>19</v>
      </c>
      <c r="D24" s="94">
        <f t="shared" ref="D24:P24" si="5">SUM(D11:D23)</f>
        <v>190693.62</v>
      </c>
      <c r="E24" s="94">
        <f t="shared" si="5"/>
        <v>189889</v>
      </c>
      <c r="F24" s="94">
        <f t="shared" si="5"/>
        <v>190693.62</v>
      </c>
      <c r="G24" s="94">
        <f t="shared" si="5"/>
        <v>189889</v>
      </c>
      <c r="H24" s="94">
        <f t="shared" si="5"/>
        <v>190693.62</v>
      </c>
      <c r="I24" s="94">
        <f t="shared" si="5"/>
        <v>189889</v>
      </c>
      <c r="J24" s="94">
        <f t="shared" si="5"/>
        <v>201413.61</v>
      </c>
      <c r="K24" s="94">
        <f t="shared" si="5"/>
        <v>199639</v>
      </c>
      <c r="L24" s="94">
        <f t="shared" si="5"/>
        <v>201413.61</v>
      </c>
      <c r="M24" s="94">
        <f t="shared" si="5"/>
        <v>199639</v>
      </c>
      <c r="N24" s="94">
        <f t="shared" si="5"/>
        <v>200443.62</v>
      </c>
      <c r="O24" s="95">
        <f t="shared" si="5"/>
        <v>199639</v>
      </c>
      <c r="P24" s="118">
        <f t="shared" si="5"/>
        <v>2343935.7000000002</v>
      </c>
      <c r="Q24" s="85"/>
    </row>
    <row r="26" spans="2:17" ht="15.75" thickBot="1" x14ac:dyDescent="0.3"/>
    <row r="27" spans="2:17" ht="27" thickBot="1" x14ac:dyDescent="0.45">
      <c r="B27" s="670" t="s">
        <v>91</v>
      </c>
      <c r="C27" s="671"/>
      <c r="D27" s="671"/>
      <c r="E27" s="671"/>
      <c r="F27" s="671"/>
      <c r="G27" s="671"/>
      <c r="H27" s="671"/>
      <c r="I27" s="671"/>
      <c r="J27" s="671"/>
      <c r="K27" s="671"/>
      <c r="L27" s="671"/>
      <c r="M27" s="671"/>
      <c r="N27" s="671"/>
      <c r="O27" s="671"/>
      <c r="P27" s="671"/>
      <c r="Q27" s="672"/>
    </row>
    <row r="28" spans="2:17" ht="19.5" thickBot="1" x14ac:dyDescent="0.3">
      <c r="B28" s="678" t="s">
        <v>81</v>
      </c>
      <c r="C28" s="679"/>
      <c r="D28" s="119" t="s">
        <v>40</v>
      </c>
      <c r="E28" s="99" t="s">
        <v>41</v>
      </c>
      <c r="F28" s="99" t="s">
        <v>42</v>
      </c>
      <c r="G28" s="99" t="s">
        <v>43</v>
      </c>
      <c r="H28" s="99" t="s">
        <v>44</v>
      </c>
      <c r="I28" s="99" t="s">
        <v>45</v>
      </c>
      <c r="J28" s="99" t="s">
        <v>46</v>
      </c>
      <c r="K28" s="99" t="s">
        <v>47</v>
      </c>
      <c r="L28" s="99" t="s">
        <v>48</v>
      </c>
      <c r="M28" s="99" t="s">
        <v>49</v>
      </c>
      <c r="N28" s="99" t="s">
        <v>50</v>
      </c>
      <c r="O28" s="100" t="s">
        <v>51</v>
      </c>
      <c r="P28" s="101" t="s">
        <v>83</v>
      </c>
      <c r="Q28" s="102" t="s">
        <v>82</v>
      </c>
    </row>
    <row r="29" spans="2:17" x14ac:dyDescent="0.25">
      <c r="B29" s="673" t="s">
        <v>73</v>
      </c>
      <c r="C29" s="126" t="s">
        <v>74</v>
      </c>
      <c r="D29" s="120">
        <v>804.62</v>
      </c>
      <c r="E29" s="103">
        <v>0</v>
      </c>
      <c r="F29" s="103">
        <v>804.62</v>
      </c>
      <c r="G29" s="103">
        <v>0</v>
      </c>
      <c r="H29" s="103">
        <v>804.62</v>
      </c>
      <c r="I29" s="103">
        <v>0</v>
      </c>
      <c r="J29" s="103">
        <v>1774.61</v>
      </c>
      <c r="K29" s="103">
        <v>0</v>
      </c>
      <c r="L29" s="103">
        <v>1774.61</v>
      </c>
      <c r="M29" s="103">
        <v>0</v>
      </c>
      <c r="N29" s="103">
        <v>804.62</v>
      </c>
      <c r="O29" s="104">
        <v>0</v>
      </c>
      <c r="P29" s="105">
        <f t="shared" ref="P29:P36" si="6">SUM(D29:O29)</f>
        <v>6767.7</v>
      </c>
      <c r="Q29" s="106"/>
    </row>
    <row r="30" spans="2:17" x14ac:dyDescent="0.25">
      <c r="B30" s="674"/>
      <c r="C30" s="127" t="s">
        <v>76</v>
      </c>
      <c r="D30" s="121">
        <v>9365</v>
      </c>
      <c r="E30" s="84">
        <v>9365</v>
      </c>
      <c r="F30" s="84">
        <v>9365</v>
      </c>
      <c r="G30" s="84">
        <v>9365</v>
      </c>
      <c r="H30" s="84">
        <v>9365</v>
      </c>
      <c r="I30" s="84">
        <v>9365</v>
      </c>
      <c r="J30" s="84">
        <v>9365</v>
      </c>
      <c r="K30" s="84">
        <v>9365</v>
      </c>
      <c r="L30" s="84">
        <v>9365</v>
      </c>
      <c r="M30" s="84">
        <v>9365</v>
      </c>
      <c r="N30" s="84">
        <v>9365</v>
      </c>
      <c r="O30" s="86">
        <v>9365</v>
      </c>
      <c r="P30" s="90">
        <f t="shared" si="6"/>
        <v>112380</v>
      </c>
      <c r="Q30" s="87"/>
    </row>
    <row r="31" spans="2:17" x14ac:dyDescent="0.25">
      <c r="B31" s="674"/>
      <c r="C31" s="127" t="s">
        <v>75</v>
      </c>
      <c r="D31" s="121">
        <v>615</v>
      </c>
      <c r="E31" s="84">
        <v>615</v>
      </c>
      <c r="F31" s="84">
        <v>615</v>
      </c>
      <c r="G31" s="84">
        <v>615</v>
      </c>
      <c r="H31" s="84">
        <v>615</v>
      </c>
      <c r="I31" s="84">
        <v>615</v>
      </c>
      <c r="J31" s="84">
        <v>615</v>
      </c>
      <c r="K31" s="84">
        <v>615</v>
      </c>
      <c r="L31" s="84">
        <v>615</v>
      </c>
      <c r="M31" s="84">
        <v>615</v>
      </c>
      <c r="N31" s="84">
        <v>615</v>
      </c>
      <c r="O31" s="86">
        <v>615</v>
      </c>
      <c r="P31" s="90">
        <f t="shared" si="6"/>
        <v>7380</v>
      </c>
      <c r="Q31" s="87"/>
    </row>
    <row r="32" spans="2:17" x14ac:dyDescent="0.25">
      <c r="B32" s="674"/>
      <c r="C32" s="127" t="s">
        <v>84</v>
      </c>
      <c r="D32" s="121">
        <v>390</v>
      </c>
      <c r="E32" s="84">
        <v>390</v>
      </c>
      <c r="F32" s="84">
        <v>390</v>
      </c>
      <c r="G32" s="84">
        <v>390</v>
      </c>
      <c r="H32" s="84">
        <v>390</v>
      </c>
      <c r="I32" s="84">
        <v>390</v>
      </c>
      <c r="J32" s="84">
        <v>390</v>
      </c>
      <c r="K32" s="84">
        <v>390</v>
      </c>
      <c r="L32" s="84">
        <v>390</v>
      </c>
      <c r="M32" s="84">
        <v>390</v>
      </c>
      <c r="N32" s="84">
        <v>390</v>
      </c>
      <c r="O32" s="86">
        <v>390</v>
      </c>
      <c r="P32" s="90">
        <f t="shared" si="6"/>
        <v>4680</v>
      </c>
      <c r="Q32" s="88"/>
    </row>
    <row r="33" spans="2:17" x14ac:dyDescent="0.25">
      <c r="B33" s="674"/>
      <c r="C33" s="128" t="s">
        <v>85</v>
      </c>
      <c r="D33" s="121">
        <f>725*6</f>
        <v>4350</v>
      </c>
      <c r="E33" s="84">
        <f t="shared" ref="E33:O33" si="7">725*6</f>
        <v>4350</v>
      </c>
      <c r="F33" s="84">
        <f t="shared" si="7"/>
        <v>4350</v>
      </c>
      <c r="G33" s="84">
        <f t="shared" si="7"/>
        <v>4350</v>
      </c>
      <c r="H33" s="84">
        <f t="shared" si="7"/>
        <v>4350</v>
      </c>
      <c r="I33" s="84">
        <f t="shared" si="7"/>
        <v>4350</v>
      </c>
      <c r="J33" s="84">
        <f t="shared" si="7"/>
        <v>4350</v>
      </c>
      <c r="K33" s="84">
        <f t="shared" si="7"/>
        <v>4350</v>
      </c>
      <c r="L33" s="84">
        <f t="shared" si="7"/>
        <v>4350</v>
      </c>
      <c r="M33" s="84">
        <f t="shared" si="7"/>
        <v>4350</v>
      </c>
      <c r="N33" s="84">
        <f t="shared" si="7"/>
        <v>4350</v>
      </c>
      <c r="O33" s="86">
        <f t="shared" si="7"/>
        <v>4350</v>
      </c>
      <c r="P33" s="90">
        <f t="shared" si="6"/>
        <v>52200</v>
      </c>
      <c r="Q33" s="89"/>
    </row>
    <row r="34" spans="2:17" x14ac:dyDescent="0.25">
      <c r="B34" s="674"/>
      <c r="C34" s="128" t="s">
        <v>86</v>
      </c>
      <c r="D34" s="121">
        <v>2290</v>
      </c>
      <c r="E34" s="84">
        <v>2290</v>
      </c>
      <c r="F34" s="84">
        <v>2290</v>
      </c>
      <c r="G34" s="84">
        <v>2290</v>
      </c>
      <c r="H34" s="84">
        <v>2290</v>
      </c>
      <c r="I34" s="84">
        <v>2290</v>
      </c>
      <c r="J34" s="84">
        <v>2290</v>
      </c>
      <c r="K34" s="84">
        <v>2290</v>
      </c>
      <c r="L34" s="84">
        <v>2290</v>
      </c>
      <c r="M34" s="84">
        <v>2290</v>
      </c>
      <c r="N34" s="84">
        <v>2290</v>
      </c>
      <c r="O34" s="86">
        <v>2290</v>
      </c>
      <c r="P34" s="90">
        <f t="shared" si="6"/>
        <v>27480</v>
      </c>
      <c r="Q34" s="89"/>
    </row>
    <row r="35" spans="2:17" x14ac:dyDescent="0.25">
      <c r="B35" s="674"/>
      <c r="C35" s="89" t="s">
        <v>87</v>
      </c>
      <c r="D35" s="121">
        <f>18228/12</f>
        <v>1519</v>
      </c>
      <c r="E35" s="84">
        <f t="shared" ref="E35:O35" si="8">18228/12</f>
        <v>1519</v>
      </c>
      <c r="F35" s="84">
        <f t="shared" si="8"/>
        <v>1519</v>
      </c>
      <c r="G35" s="84">
        <f t="shared" si="8"/>
        <v>1519</v>
      </c>
      <c r="H35" s="84">
        <f t="shared" si="8"/>
        <v>1519</v>
      </c>
      <c r="I35" s="84">
        <f t="shared" si="8"/>
        <v>1519</v>
      </c>
      <c r="J35" s="84">
        <f t="shared" si="8"/>
        <v>1519</v>
      </c>
      <c r="K35" s="84">
        <f t="shared" si="8"/>
        <v>1519</v>
      </c>
      <c r="L35" s="84">
        <f t="shared" si="8"/>
        <v>1519</v>
      </c>
      <c r="M35" s="84">
        <f t="shared" si="8"/>
        <v>1519</v>
      </c>
      <c r="N35" s="84">
        <f t="shared" si="8"/>
        <v>1519</v>
      </c>
      <c r="O35" s="86">
        <f t="shared" si="8"/>
        <v>1519</v>
      </c>
      <c r="P35" s="90">
        <f t="shared" si="6"/>
        <v>18228</v>
      </c>
      <c r="Q35" s="89"/>
    </row>
    <row r="36" spans="2:17" ht="15.75" thickBot="1" x14ac:dyDescent="0.3">
      <c r="B36" s="675"/>
      <c r="C36" s="129" t="s">
        <v>88</v>
      </c>
      <c r="D36" s="122">
        <v>1860</v>
      </c>
      <c r="E36" s="107">
        <v>1860</v>
      </c>
      <c r="F36" s="107">
        <v>1860</v>
      </c>
      <c r="G36" s="107">
        <v>1860</v>
      </c>
      <c r="H36" s="107">
        <v>1860</v>
      </c>
      <c r="I36" s="107">
        <v>1860</v>
      </c>
      <c r="J36" s="107">
        <v>1860</v>
      </c>
      <c r="K36" s="107">
        <v>1860</v>
      </c>
      <c r="L36" s="107">
        <v>1860</v>
      </c>
      <c r="M36" s="107">
        <v>1860</v>
      </c>
      <c r="N36" s="107">
        <v>1860</v>
      </c>
      <c r="O36" s="108">
        <v>1860</v>
      </c>
      <c r="P36" s="91">
        <f t="shared" si="6"/>
        <v>22320</v>
      </c>
      <c r="Q36" s="109"/>
    </row>
    <row r="37" spans="2:17" x14ac:dyDescent="0.25">
      <c r="B37" s="680" t="s">
        <v>77</v>
      </c>
      <c r="C37" s="130" t="s">
        <v>279</v>
      </c>
      <c r="D37" s="123">
        <f>74750*1.15</f>
        <v>85962.5</v>
      </c>
      <c r="E37" s="110">
        <f t="shared" ref="E37:I37" si="9">74750*1.15</f>
        <v>85962.5</v>
      </c>
      <c r="F37" s="110">
        <f t="shared" si="9"/>
        <v>85962.5</v>
      </c>
      <c r="G37" s="110">
        <f t="shared" si="9"/>
        <v>85962.5</v>
      </c>
      <c r="H37" s="110">
        <f t="shared" si="9"/>
        <v>85962.5</v>
      </c>
      <c r="I37" s="110">
        <f t="shared" si="9"/>
        <v>85962.5</v>
      </c>
      <c r="J37" s="110">
        <f>I37*1.15</f>
        <v>98856.874999999985</v>
      </c>
      <c r="K37" s="110">
        <v>98856.88</v>
      </c>
      <c r="L37" s="110">
        <v>98856.88</v>
      </c>
      <c r="M37" s="110">
        <v>98856.88</v>
      </c>
      <c r="N37" s="110">
        <v>98856.88</v>
      </c>
      <c r="O37" s="110">
        <v>98856.88</v>
      </c>
      <c r="P37" s="112">
        <f t="shared" ref="P37:P41" si="10">SUM(D37:O37)</f>
        <v>1108916.2749999999</v>
      </c>
      <c r="Q37" s="113"/>
    </row>
    <row r="38" spans="2:17" ht="15.75" thickBot="1" x14ac:dyDescent="0.3">
      <c r="B38" s="681"/>
      <c r="C38" s="129" t="s">
        <v>89</v>
      </c>
      <c r="D38" s="122">
        <v>0</v>
      </c>
      <c r="E38" s="107">
        <v>0</v>
      </c>
      <c r="F38" s="107">
        <v>0</v>
      </c>
      <c r="G38" s="107">
        <v>0</v>
      </c>
      <c r="H38" s="107">
        <v>0</v>
      </c>
      <c r="I38" s="107">
        <v>0</v>
      </c>
      <c r="J38" s="107">
        <v>0</v>
      </c>
      <c r="K38" s="107">
        <v>0</v>
      </c>
      <c r="L38" s="107">
        <v>0</v>
      </c>
      <c r="M38" s="107">
        <v>0</v>
      </c>
      <c r="N38" s="107">
        <v>0</v>
      </c>
      <c r="O38" s="108">
        <v>0</v>
      </c>
      <c r="P38" s="91">
        <f t="shared" si="10"/>
        <v>0</v>
      </c>
      <c r="Q38" s="109"/>
    </row>
    <row r="39" spans="2:17" ht="19.5" thickBot="1" x14ac:dyDescent="0.35">
      <c r="B39" s="114" t="s">
        <v>78</v>
      </c>
      <c r="C39" s="131" t="s">
        <v>79</v>
      </c>
      <c r="D39" s="124">
        <v>8500</v>
      </c>
      <c r="E39" s="115">
        <v>8500</v>
      </c>
      <c r="F39" s="115">
        <v>8500</v>
      </c>
      <c r="G39" s="115">
        <v>8500</v>
      </c>
      <c r="H39" s="115">
        <v>8500</v>
      </c>
      <c r="I39" s="115">
        <v>8500</v>
      </c>
      <c r="J39" s="115">
        <v>8500</v>
      </c>
      <c r="K39" s="115">
        <v>8500</v>
      </c>
      <c r="L39" s="115">
        <v>8500</v>
      </c>
      <c r="M39" s="115">
        <v>8500</v>
      </c>
      <c r="N39" s="115">
        <v>8500</v>
      </c>
      <c r="O39" s="116">
        <v>8500</v>
      </c>
      <c r="P39" s="96">
        <f t="shared" si="10"/>
        <v>102000</v>
      </c>
      <c r="Q39" s="117"/>
    </row>
    <row r="40" spans="2:17" x14ac:dyDescent="0.25">
      <c r="B40" s="676" t="s">
        <v>90</v>
      </c>
      <c r="C40" s="127" t="s">
        <v>280</v>
      </c>
      <c r="D40" s="121">
        <f>200*60*4</f>
        <v>48000</v>
      </c>
      <c r="E40" s="84">
        <f t="shared" ref="E40:O41" si="11">200*60*4</f>
        <v>48000</v>
      </c>
      <c r="F40" s="84">
        <f t="shared" si="11"/>
        <v>48000</v>
      </c>
      <c r="G40" s="84">
        <f t="shared" si="11"/>
        <v>48000</v>
      </c>
      <c r="H40" s="84">
        <f t="shared" si="11"/>
        <v>48000</v>
      </c>
      <c r="I40" s="84">
        <f t="shared" si="11"/>
        <v>48000</v>
      </c>
      <c r="J40" s="84">
        <f t="shared" si="11"/>
        <v>48000</v>
      </c>
      <c r="K40" s="84">
        <f t="shared" si="11"/>
        <v>48000</v>
      </c>
      <c r="L40" s="84">
        <f t="shared" si="11"/>
        <v>48000</v>
      </c>
      <c r="M40" s="84">
        <f t="shared" si="11"/>
        <v>48000</v>
      </c>
      <c r="N40" s="84">
        <f t="shared" si="11"/>
        <v>48000</v>
      </c>
      <c r="O40" s="86">
        <f t="shared" si="11"/>
        <v>48000</v>
      </c>
      <c r="P40" s="90">
        <f t="shared" si="10"/>
        <v>576000</v>
      </c>
      <c r="Q40" s="88"/>
    </row>
    <row r="41" spans="2:17" ht="15.75" thickBot="1" x14ac:dyDescent="0.3">
      <c r="B41" s="677"/>
      <c r="C41" s="129" t="s">
        <v>280</v>
      </c>
      <c r="D41" s="125">
        <f>200*60*4</f>
        <v>48000</v>
      </c>
      <c r="E41" s="125">
        <f t="shared" si="11"/>
        <v>48000</v>
      </c>
      <c r="F41" s="125">
        <f t="shared" si="11"/>
        <v>48000</v>
      </c>
      <c r="G41" s="125">
        <f t="shared" si="11"/>
        <v>48000</v>
      </c>
      <c r="H41" s="125">
        <f t="shared" si="11"/>
        <v>48000</v>
      </c>
      <c r="I41" s="125">
        <f t="shared" si="11"/>
        <v>48000</v>
      </c>
      <c r="J41" s="125">
        <f t="shared" si="11"/>
        <v>48000</v>
      </c>
      <c r="K41" s="125">
        <f t="shared" si="11"/>
        <v>48000</v>
      </c>
      <c r="L41" s="125">
        <f t="shared" si="11"/>
        <v>48000</v>
      </c>
      <c r="M41" s="125">
        <f t="shared" si="11"/>
        <v>48000</v>
      </c>
      <c r="N41" s="125">
        <f t="shared" si="11"/>
        <v>48000</v>
      </c>
      <c r="O41" s="125">
        <f t="shared" si="11"/>
        <v>48000</v>
      </c>
      <c r="P41" s="92">
        <f t="shared" si="10"/>
        <v>576000</v>
      </c>
      <c r="Q41" s="88"/>
    </row>
    <row r="42" spans="2:17" ht="15.75" thickBot="1" x14ac:dyDescent="0.3">
      <c r="B42" s="21"/>
      <c r="C42" s="93" t="s">
        <v>19</v>
      </c>
      <c r="D42" s="94">
        <f t="shared" ref="D42:P42" si="12">SUM(D29:D41)</f>
        <v>211656.12</v>
      </c>
      <c r="E42" s="94">
        <f t="shared" si="12"/>
        <v>210851.5</v>
      </c>
      <c r="F42" s="94">
        <f t="shared" si="12"/>
        <v>211656.12</v>
      </c>
      <c r="G42" s="94">
        <f t="shared" si="12"/>
        <v>210851.5</v>
      </c>
      <c r="H42" s="94">
        <f t="shared" si="12"/>
        <v>211656.12</v>
      </c>
      <c r="I42" s="94">
        <f t="shared" si="12"/>
        <v>210851.5</v>
      </c>
      <c r="J42" s="94">
        <f t="shared" si="12"/>
        <v>225520.48499999999</v>
      </c>
      <c r="K42" s="94">
        <f t="shared" si="12"/>
        <v>223745.88</v>
      </c>
      <c r="L42" s="94">
        <f t="shared" si="12"/>
        <v>225520.49</v>
      </c>
      <c r="M42" s="94">
        <f t="shared" si="12"/>
        <v>223745.88</v>
      </c>
      <c r="N42" s="94">
        <f t="shared" si="12"/>
        <v>224550.5</v>
      </c>
      <c r="O42" s="95">
        <f t="shared" si="12"/>
        <v>223745.88</v>
      </c>
      <c r="P42" s="118">
        <f t="shared" si="12"/>
        <v>2614351.9749999996</v>
      </c>
      <c r="Q42" s="85"/>
    </row>
    <row r="45" spans="2:17" ht="15.75" thickBot="1" x14ac:dyDescent="0.3"/>
    <row r="46" spans="2:17" ht="27" thickBot="1" x14ac:dyDescent="0.45">
      <c r="B46" s="670" t="s">
        <v>92</v>
      </c>
      <c r="C46" s="671"/>
      <c r="D46" s="671"/>
      <c r="E46" s="671"/>
      <c r="F46" s="671"/>
      <c r="G46" s="671"/>
      <c r="H46" s="671"/>
      <c r="I46" s="671"/>
      <c r="J46" s="671"/>
      <c r="K46" s="671"/>
      <c r="L46" s="671"/>
      <c r="M46" s="671"/>
      <c r="N46" s="671"/>
      <c r="O46" s="671"/>
      <c r="P46" s="671"/>
      <c r="Q46" s="672"/>
    </row>
    <row r="47" spans="2:17" ht="19.5" thickBot="1" x14ac:dyDescent="0.3">
      <c r="B47" s="678" t="s">
        <v>81</v>
      </c>
      <c r="C47" s="679"/>
      <c r="D47" s="119" t="s">
        <v>40</v>
      </c>
      <c r="E47" s="99" t="s">
        <v>41</v>
      </c>
      <c r="F47" s="99" t="s">
        <v>42</v>
      </c>
      <c r="G47" s="99" t="s">
        <v>43</v>
      </c>
      <c r="H47" s="99" t="s">
        <v>44</v>
      </c>
      <c r="I47" s="99" t="s">
        <v>45</v>
      </c>
      <c r="J47" s="99" t="s">
        <v>46</v>
      </c>
      <c r="K47" s="99" t="s">
        <v>47</v>
      </c>
      <c r="L47" s="99" t="s">
        <v>48</v>
      </c>
      <c r="M47" s="99" t="s">
        <v>49</v>
      </c>
      <c r="N47" s="99" t="s">
        <v>50</v>
      </c>
      <c r="O47" s="100" t="s">
        <v>51</v>
      </c>
      <c r="P47" s="101" t="s">
        <v>83</v>
      </c>
      <c r="Q47" s="102" t="s">
        <v>82</v>
      </c>
    </row>
    <row r="48" spans="2:17" x14ac:dyDescent="0.25">
      <c r="B48" s="673" t="s">
        <v>73</v>
      </c>
      <c r="C48" s="126" t="s">
        <v>74</v>
      </c>
      <c r="D48" s="120">
        <v>804.62</v>
      </c>
      <c r="E48" s="103">
        <v>0</v>
      </c>
      <c r="F48" s="103">
        <v>804.62</v>
      </c>
      <c r="G48" s="103">
        <v>0</v>
      </c>
      <c r="H48" s="103">
        <v>804.62</v>
      </c>
      <c r="I48" s="103">
        <v>0</v>
      </c>
      <c r="J48" s="103">
        <v>1774.61</v>
      </c>
      <c r="K48" s="103">
        <v>0</v>
      </c>
      <c r="L48" s="103">
        <v>1774.61</v>
      </c>
      <c r="M48" s="103">
        <v>0</v>
      </c>
      <c r="N48" s="103">
        <v>804.62</v>
      </c>
      <c r="O48" s="104">
        <v>0</v>
      </c>
      <c r="P48" s="105">
        <f t="shared" ref="P48:P55" si="13">SUM(D48:O48)</f>
        <v>6767.7</v>
      </c>
      <c r="Q48" s="106"/>
    </row>
    <row r="49" spans="2:17" x14ac:dyDescent="0.25">
      <c r="B49" s="674"/>
      <c r="C49" s="127" t="s">
        <v>76</v>
      </c>
      <c r="D49" s="121">
        <v>9365</v>
      </c>
      <c r="E49" s="84">
        <v>9365</v>
      </c>
      <c r="F49" s="84">
        <v>9365</v>
      </c>
      <c r="G49" s="84">
        <v>9365</v>
      </c>
      <c r="H49" s="84">
        <v>9365</v>
      </c>
      <c r="I49" s="84">
        <v>9365</v>
      </c>
      <c r="J49" s="84">
        <v>9365</v>
      </c>
      <c r="K49" s="84">
        <v>9365</v>
      </c>
      <c r="L49" s="84">
        <v>9365</v>
      </c>
      <c r="M49" s="84">
        <v>9365</v>
      </c>
      <c r="N49" s="84">
        <v>9365</v>
      </c>
      <c r="O49" s="86">
        <v>9365</v>
      </c>
      <c r="P49" s="90">
        <f t="shared" si="13"/>
        <v>112380</v>
      </c>
      <c r="Q49" s="87"/>
    </row>
    <row r="50" spans="2:17" x14ac:dyDescent="0.25">
      <c r="B50" s="674"/>
      <c r="C50" s="127" t="s">
        <v>75</v>
      </c>
      <c r="D50" s="121">
        <v>615</v>
      </c>
      <c r="E50" s="84">
        <v>615</v>
      </c>
      <c r="F50" s="84">
        <v>615</v>
      </c>
      <c r="G50" s="84">
        <v>615</v>
      </c>
      <c r="H50" s="84">
        <v>615</v>
      </c>
      <c r="I50" s="84">
        <v>615</v>
      </c>
      <c r="J50" s="84">
        <v>615</v>
      </c>
      <c r="K50" s="84">
        <v>615</v>
      </c>
      <c r="L50" s="84">
        <v>615</v>
      </c>
      <c r="M50" s="84">
        <v>615</v>
      </c>
      <c r="N50" s="84">
        <v>615</v>
      </c>
      <c r="O50" s="86">
        <v>615</v>
      </c>
      <c r="P50" s="90">
        <f t="shared" si="13"/>
        <v>7380</v>
      </c>
      <c r="Q50" s="87"/>
    </row>
    <row r="51" spans="2:17" x14ac:dyDescent="0.25">
      <c r="B51" s="674"/>
      <c r="C51" s="127" t="s">
        <v>84</v>
      </c>
      <c r="D51" s="121">
        <v>390</v>
      </c>
      <c r="E51" s="84">
        <v>390</v>
      </c>
      <c r="F51" s="84">
        <v>390</v>
      </c>
      <c r="G51" s="84">
        <v>390</v>
      </c>
      <c r="H51" s="84">
        <v>390</v>
      </c>
      <c r="I51" s="84">
        <v>390</v>
      </c>
      <c r="J51" s="84">
        <v>390</v>
      </c>
      <c r="K51" s="84">
        <v>390</v>
      </c>
      <c r="L51" s="84">
        <v>390</v>
      </c>
      <c r="M51" s="84">
        <v>390</v>
      </c>
      <c r="N51" s="84">
        <v>390</v>
      </c>
      <c r="O51" s="86">
        <v>390</v>
      </c>
      <c r="P51" s="90">
        <f t="shared" si="13"/>
        <v>4680</v>
      </c>
      <c r="Q51" s="88"/>
    </row>
    <row r="52" spans="2:17" x14ac:dyDescent="0.25">
      <c r="B52" s="674"/>
      <c r="C52" s="128" t="s">
        <v>85</v>
      </c>
      <c r="D52" s="121">
        <f>725*6</f>
        <v>4350</v>
      </c>
      <c r="E52" s="84">
        <f t="shared" ref="E52:O52" si="14">725*6</f>
        <v>4350</v>
      </c>
      <c r="F52" s="84">
        <f t="shared" si="14"/>
        <v>4350</v>
      </c>
      <c r="G52" s="84">
        <f t="shared" si="14"/>
        <v>4350</v>
      </c>
      <c r="H52" s="84">
        <f t="shared" si="14"/>
        <v>4350</v>
      </c>
      <c r="I52" s="84">
        <f t="shared" si="14"/>
        <v>4350</v>
      </c>
      <c r="J52" s="84">
        <f t="shared" si="14"/>
        <v>4350</v>
      </c>
      <c r="K52" s="84">
        <f t="shared" si="14"/>
        <v>4350</v>
      </c>
      <c r="L52" s="84">
        <f t="shared" si="14"/>
        <v>4350</v>
      </c>
      <c r="M52" s="84">
        <f t="shared" si="14"/>
        <v>4350</v>
      </c>
      <c r="N52" s="84">
        <f t="shared" si="14"/>
        <v>4350</v>
      </c>
      <c r="O52" s="86">
        <f t="shared" si="14"/>
        <v>4350</v>
      </c>
      <c r="P52" s="90">
        <f t="shared" si="13"/>
        <v>52200</v>
      </c>
      <c r="Q52" s="89"/>
    </row>
    <row r="53" spans="2:17" x14ac:dyDescent="0.25">
      <c r="B53" s="674"/>
      <c r="C53" s="128" t="s">
        <v>86</v>
      </c>
      <c r="D53" s="121">
        <v>2290</v>
      </c>
      <c r="E53" s="84">
        <v>2290</v>
      </c>
      <c r="F53" s="84">
        <v>2290</v>
      </c>
      <c r="G53" s="84">
        <v>2290</v>
      </c>
      <c r="H53" s="84">
        <v>2290</v>
      </c>
      <c r="I53" s="84">
        <v>2290</v>
      </c>
      <c r="J53" s="84">
        <v>2290</v>
      </c>
      <c r="K53" s="84">
        <v>2290</v>
      </c>
      <c r="L53" s="84">
        <v>2290</v>
      </c>
      <c r="M53" s="84">
        <v>2290</v>
      </c>
      <c r="N53" s="84">
        <v>2290</v>
      </c>
      <c r="O53" s="86">
        <v>2290</v>
      </c>
      <c r="P53" s="90">
        <f t="shared" si="13"/>
        <v>27480</v>
      </c>
      <c r="Q53" s="89"/>
    </row>
    <row r="54" spans="2:17" x14ac:dyDescent="0.25">
      <c r="B54" s="674"/>
      <c r="C54" s="89" t="s">
        <v>87</v>
      </c>
      <c r="D54" s="121">
        <f>18228/12</f>
        <v>1519</v>
      </c>
      <c r="E54" s="84">
        <f t="shared" ref="E54:O54" si="15">18228/12</f>
        <v>1519</v>
      </c>
      <c r="F54" s="84">
        <f t="shared" si="15"/>
        <v>1519</v>
      </c>
      <c r="G54" s="84">
        <f t="shared" si="15"/>
        <v>1519</v>
      </c>
      <c r="H54" s="84">
        <f t="shared" si="15"/>
        <v>1519</v>
      </c>
      <c r="I54" s="84">
        <f t="shared" si="15"/>
        <v>1519</v>
      </c>
      <c r="J54" s="84">
        <f t="shared" si="15"/>
        <v>1519</v>
      </c>
      <c r="K54" s="84">
        <f t="shared" si="15"/>
        <v>1519</v>
      </c>
      <c r="L54" s="84">
        <f t="shared" si="15"/>
        <v>1519</v>
      </c>
      <c r="M54" s="84">
        <f t="shared" si="15"/>
        <v>1519</v>
      </c>
      <c r="N54" s="84">
        <f t="shared" si="15"/>
        <v>1519</v>
      </c>
      <c r="O54" s="86">
        <f t="shared" si="15"/>
        <v>1519</v>
      </c>
      <c r="P54" s="90">
        <f t="shared" si="13"/>
        <v>18228</v>
      </c>
      <c r="Q54" s="89"/>
    </row>
    <row r="55" spans="2:17" ht="15.75" thickBot="1" x14ac:dyDescent="0.3">
      <c r="B55" s="675"/>
      <c r="C55" s="129" t="s">
        <v>88</v>
      </c>
      <c r="D55" s="122">
        <v>1860</v>
      </c>
      <c r="E55" s="107">
        <v>1860</v>
      </c>
      <c r="F55" s="107">
        <v>1860</v>
      </c>
      <c r="G55" s="107">
        <v>1860</v>
      </c>
      <c r="H55" s="107">
        <v>1860</v>
      </c>
      <c r="I55" s="107">
        <v>1860</v>
      </c>
      <c r="J55" s="107">
        <v>1860</v>
      </c>
      <c r="K55" s="107">
        <v>1860</v>
      </c>
      <c r="L55" s="107">
        <v>1860</v>
      </c>
      <c r="M55" s="107">
        <v>1860</v>
      </c>
      <c r="N55" s="107">
        <v>1860</v>
      </c>
      <c r="O55" s="108">
        <v>1860</v>
      </c>
      <c r="P55" s="91">
        <f t="shared" si="13"/>
        <v>22320</v>
      </c>
      <c r="Q55" s="109"/>
    </row>
    <row r="56" spans="2:17" x14ac:dyDescent="0.25">
      <c r="B56" s="680" t="s">
        <v>77</v>
      </c>
      <c r="C56" s="130" t="s">
        <v>279</v>
      </c>
      <c r="D56" s="123">
        <f>98856.88*1.15</f>
        <v>113685.412</v>
      </c>
      <c r="E56" s="110">
        <v>113685.41</v>
      </c>
      <c r="F56" s="110">
        <v>113685.41</v>
      </c>
      <c r="G56" s="110">
        <v>113685.41</v>
      </c>
      <c r="H56" s="110">
        <v>113685.41</v>
      </c>
      <c r="I56" s="110">
        <v>113685.41</v>
      </c>
      <c r="J56" s="110">
        <f>I56*1.15</f>
        <v>130738.2215</v>
      </c>
      <c r="K56" s="110">
        <v>130738.22</v>
      </c>
      <c r="L56" s="110">
        <v>130738.22</v>
      </c>
      <c r="M56" s="110">
        <v>130738.22</v>
      </c>
      <c r="N56" s="110">
        <v>130738.22</v>
      </c>
      <c r="O56" s="110">
        <v>130738.22</v>
      </c>
      <c r="P56" s="112">
        <f t="shared" ref="P56:P60" si="16">SUM(D56:O56)</f>
        <v>1466541.7834999999</v>
      </c>
      <c r="Q56" s="113"/>
    </row>
    <row r="57" spans="2:17" ht="15.75" thickBot="1" x14ac:dyDescent="0.3">
      <c r="B57" s="681"/>
      <c r="C57" s="129" t="s">
        <v>89</v>
      </c>
      <c r="D57" s="122">
        <v>0</v>
      </c>
      <c r="E57" s="107">
        <v>0</v>
      </c>
      <c r="F57" s="107">
        <v>0</v>
      </c>
      <c r="G57" s="107">
        <v>0</v>
      </c>
      <c r="H57" s="107">
        <v>0</v>
      </c>
      <c r="I57" s="107">
        <v>0</v>
      </c>
      <c r="J57" s="107">
        <v>0</v>
      </c>
      <c r="K57" s="107">
        <v>0</v>
      </c>
      <c r="L57" s="107">
        <v>0</v>
      </c>
      <c r="M57" s="107">
        <v>0</v>
      </c>
      <c r="N57" s="107">
        <v>0</v>
      </c>
      <c r="O57" s="108">
        <v>0</v>
      </c>
      <c r="P57" s="91">
        <f t="shared" si="16"/>
        <v>0</v>
      </c>
      <c r="Q57" s="109"/>
    </row>
    <row r="58" spans="2:17" ht="19.5" thickBot="1" x14ac:dyDescent="0.35">
      <c r="B58" s="114" t="s">
        <v>78</v>
      </c>
      <c r="C58" s="131" t="s">
        <v>79</v>
      </c>
      <c r="D58" s="124">
        <v>8500</v>
      </c>
      <c r="E58" s="115">
        <v>8500</v>
      </c>
      <c r="F58" s="115">
        <v>8500</v>
      </c>
      <c r="G58" s="115">
        <v>8500</v>
      </c>
      <c r="H58" s="115">
        <v>8500</v>
      </c>
      <c r="I58" s="115">
        <v>8500</v>
      </c>
      <c r="J58" s="115">
        <v>8500</v>
      </c>
      <c r="K58" s="115">
        <v>8500</v>
      </c>
      <c r="L58" s="115">
        <v>8500</v>
      </c>
      <c r="M58" s="115">
        <v>8500</v>
      </c>
      <c r="N58" s="115">
        <v>8500</v>
      </c>
      <c r="O58" s="116">
        <v>8500</v>
      </c>
      <c r="P58" s="96">
        <f t="shared" si="16"/>
        <v>102000</v>
      </c>
      <c r="Q58" s="117"/>
    </row>
    <row r="59" spans="2:17" x14ac:dyDescent="0.25">
      <c r="B59" s="676" t="s">
        <v>90</v>
      </c>
      <c r="C59" s="127" t="s">
        <v>280</v>
      </c>
      <c r="D59" s="121">
        <f>200*60*4</f>
        <v>48000</v>
      </c>
      <c r="E59" s="84">
        <f t="shared" ref="E59:O60" si="17">200*60*4</f>
        <v>48000</v>
      </c>
      <c r="F59" s="84">
        <f t="shared" si="17"/>
        <v>48000</v>
      </c>
      <c r="G59" s="84">
        <f t="shared" si="17"/>
        <v>48000</v>
      </c>
      <c r="H59" s="84">
        <f t="shared" si="17"/>
        <v>48000</v>
      </c>
      <c r="I59" s="84">
        <f t="shared" si="17"/>
        <v>48000</v>
      </c>
      <c r="J59" s="84">
        <f t="shared" si="17"/>
        <v>48000</v>
      </c>
      <c r="K59" s="84">
        <f t="shared" si="17"/>
        <v>48000</v>
      </c>
      <c r="L59" s="84">
        <f t="shared" si="17"/>
        <v>48000</v>
      </c>
      <c r="M59" s="84">
        <f t="shared" si="17"/>
        <v>48000</v>
      </c>
      <c r="N59" s="84">
        <f t="shared" si="17"/>
        <v>48000</v>
      </c>
      <c r="O59" s="86">
        <f t="shared" si="17"/>
        <v>48000</v>
      </c>
      <c r="P59" s="90">
        <f t="shared" si="16"/>
        <v>576000</v>
      </c>
      <c r="Q59" s="88"/>
    </row>
    <row r="60" spans="2:17" ht="25.5" customHeight="1" thickBot="1" x14ac:dyDescent="0.3">
      <c r="B60" s="677"/>
      <c r="C60" s="129" t="s">
        <v>280</v>
      </c>
      <c r="D60" s="125">
        <f>200*60*4</f>
        <v>48000</v>
      </c>
      <c r="E60" s="125">
        <f t="shared" si="17"/>
        <v>48000</v>
      </c>
      <c r="F60" s="125">
        <f t="shared" si="17"/>
        <v>48000</v>
      </c>
      <c r="G60" s="125">
        <f t="shared" si="17"/>
        <v>48000</v>
      </c>
      <c r="H60" s="125">
        <f t="shared" si="17"/>
        <v>48000</v>
      </c>
      <c r="I60" s="125">
        <f t="shared" si="17"/>
        <v>48000</v>
      </c>
      <c r="J60" s="125">
        <f t="shared" si="17"/>
        <v>48000</v>
      </c>
      <c r="K60" s="125">
        <f t="shared" si="17"/>
        <v>48000</v>
      </c>
      <c r="L60" s="125">
        <f t="shared" si="17"/>
        <v>48000</v>
      </c>
      <c r="M60" s="125">
        <f t="shared" si="17"/>
        <v>48000</v>
      </c>
      <c r="N60" s="125">
        <f t="shared" si="17"/>
        <v>48000</v>
      </c>
      <c r="O60" s="125">
        <f t="shared" si="17"/>
        <v>48000</v>
      </c>
      <c r="P60" s="92">
        <f t="shared" si="16"/>
        <v>576000</v>
      </c>
      <c r="Q60" s="88"/>
    </row>
    <row r="61" spans="2:17" ht="15.75" thickBot="1" x14ac:dyDescent="0.3">
      <c r="B61" s="21"/>
      <c r="C61" s="93" t="s">
        <v>19</v>
      </c>
      <c r="D61" s="94">
        <f t="shared" ref="D61:P61" si="18">SUM(D48:D60)</f>
        <v>239379.03200000001</v>
      </c>
      <c r="E61" s="94">
        <f t="shared" si="18"/>
        <v>238574.41</v>
      </c>
      <c r="F61" s="94">
        <f t="shared" si="18"/>
        <v>239379.03</v>
      </c>
      <c r="G61" s="94">
        <f t="shared" si="18"/>
        <v>238574.41</v>
      </c>
      <c r="H61" s="94">
        <f t="shared" si="18"/>
        <v>239379.03</v>
      </c>
      <c r="I61" s="94">
        <f t="shared" si="18"/>
        <v>238574.41</v>
      </c>
      <c r="J61" s="94">
        <f t="shared" si="18"/>
        <v>257401.8315</v>
      </c>
      <c r="K61" s="94">
        <f t="shared" si="18"/>
        <v>255627.22</v>
      </c>
      <c r="L61" s="94">
        <f t="shared" si="18"/>
        <v>257401.83000000002</v>
      </c>
      <c r="M61" s="94">
        <f t="shared" si="18"/>
        <v>255627.22</v>
      </c>
      <c r="N61" s="94">
        <f t="shared" si="18"/>
        <v>256431.84</v>
      </c>
      <c r="O61" s="95">
        <f t="shared" si="18"/>
        <v>255627.22</v>
      </c>
      <c r="P61" s="118">
        <f t="shared" si="18"/>
        <v>2971977.4835000001</v>
      </c>
      <c r="Q61" s="85"/>
    </row>
  </sheetData>
  <mergeCells count="17">
    <mergeCell ref="B10:C10"/>
    <mergeCell ref="C3:E3"/>
    <mergeCell ref="B11:B18"/>
    <mergeCell ref="B59:B60"/>
    <mergeCell ref="G3:I3"/>
    <mergeCell ref="B40:B41"/>
    <mergeCell ref="B46:Q46"/>
    <mergeCell ref="B47:C47"/>
    <mergeCell ref="B48:B55"/>
    <mergeCell ref="B56:B57"/>
    <mergeCell ref="B22:B23"/>
    <mergeCell ref="B27:Q27"/>
    <mergeCell ref="B28:C28"/>
    <mergeCell ref="B29:B36"/>
    <mergeCell ref="B37:B38"/>
    <mergeCell ref="B19:B20"/>
    <mergeCell ref="B9:Q9"/>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9"/>
  <sheetViews>
    <sheetView zoomScale="60" zoomScaleNormal="60" workbookViewId="0">
      <pane xSplit="3" ySplit="1" topLeftCell="D38" activePane="bottomRight" state="frozen"/>
      <selection pane="topRight" activeCell="D1" sqref="D1"/>
      <selection pane="bottomLeft" activeCell="A2" sqref="A2"/>
      <selection pane="bottomRight"/>
    </sheetView>
  </sheetViews>
  <sheetFormatPr baseColWidth="10" defaultColWidth="11.42578125" defaultRowHeight="15" x14ac:dyDescent="0.25"/>
  <cols>
    <col min="1" max="1" width="13.7109375" style="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1.42578125" style="1"/>
    <col min="13" max="13" width="16.28515625" style="1" bestFit="1" customWidth="1"/>
    <col min="14" max="14" width="11.42578125" style="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12" s="445" customFormat="1" ht="58.5" customHeight="1" x14ac:dyDescent="0.25">
      <c r="A1" s="447"/>
      <c r="B1" s="447"/>
      <c r="C1" s="447"/>
      <c r="D1" s="447"/>
      <c r="E1" s="447"/>
      <c r="F1" s="450" t="s">
        <v>5</v>
      </c>
      <c r="G1" s="451"/>
      <c r="H1" s="451"/>
      <c r="I1" s="447"/>
      <c r="J1" s="447"/>
      <c r="K1" s="447"/>
      <c r="L1" s="447"/>
    </row>
    <row r="3" spans="1:12" ht="15.75" thickBot="1" x14ac:dyDescent="0.3"/>
    <row r="4" spans="1:12" ht="27" thickBot="1" x14ac:dyDescent="0.45">
      <c r="B4" s="670" t="s">
        <v>35</v>
      </c>
      <c r="C4" s="671"/>
      <c r="D4" s="672"/>
      <c r="E4" s="39"/>
      <c r="H4" s="670" t="s">
        <v>94</v>
      </c>
      <c r="I4" s="671"/>
      <c r="J4" s="672"/>
    </row>
    <row r="5" spans="1:12" x14ac:dyDescent="0.25">
      <c r="B5" s="34">
        <v>2019</v>
      </c>
      <c r="C5" s="34">
        <v>2020</v>
      </c>
      <c r="D5" s="34">
        <v>2021</v>
      </c>
      <c r="E5" s="76"/>
      <c r="H5" s="44">
        <v>2019</v>
      </c>
      <c r="I5" s="34">
        <v>2020</v>
      </c>
      <c r="J5" s="45">
        <v>2021</v>
      </c>
    </row>
    <row r="6" spans="1:12" ht="15.75" thickBot="1" x14ac:dyDescent="0.3">
      <c r="B6" s="40">
        <f>Hipótesis!C24</f>
        <v>0.02</v>
      </c>
      <c r="C6" s="40">
        <f>Hipótesis!C25</f>
        <v>0.05</v>
      </c>
      <c r="D6" s="40">
        <f>Hipótesis!C26</f>
        <v>0.1</v>
      </c>
      <c r="E6" s="135"/>
      <c r="H6" s="48" t="e">
        <f>AB71</f>
        <v>#REF!</v>
      </c>
      <c r="I6" s="49" t="e">
        <f>AB95</f>
        <v>#REF!</v>
      </c>
      <c r="J6" s="50" t="e">
        <f>AB119</f>
        <v>#REF!</v>
      </c>
    </row>
    <row r="7" spans="1:12" x14ac:dyDescent="0.25">
      <c r="B7" s="33">
        <f>Hipótesis!D24</f>
        <v>121458400</v>
      </c>
      <c r="C7" s="33">
        <f>Hipótesis!D25</f>
        <v>303646000</v>
      </c>
      <c r="D7" s="33">
        <f>Hipótesis!D26</f>
        <v>607292000</v>
      </c>
      <c r="E7" s="132"/>
    </row>
    <row r="9" spans="1:12" ht="15.75" thickBot="1" x14ac:dyDescent="0.3"/>
    <row r="10" spans="1:12" ht="27" thickBot="1" x14ac:dyDescent="0.45">
      <c r="B10" s="670" t="s">
        <v>121</v>
      </c>
      <c r="C10" s="671"/>
      <c r="D10" s="671"/>
      <c r="E10" s="672"/>
    </row>
    <row r="11" spans="1:12" ht="27" thickBot="1" x14ac:dyDescent="0.45">
      <c r="B11" s="698" t="s">
        <v>278</v>
      </c>
      <c r="C11" s="699"/>
      <c r="D11" s="699"/>
      <c r="E11" s="700"/>
      <c r="F11" s="77"/>
    </row>
    <row r="12" spans="1:12" ht="16.5" thickBot="1" x14ac:dyDescent="0.3">
      <c r="B12" s="153" t="s">
        <v>62</v>
      </c>
      <c r="C12" s="154" t="s">
        <v>59</v>
      </c>
      <c r="D12" s="154" t="s">
        <v>101</v>
      </c>
      <c r="E12" s="155" t="s">
        <v>96</v>
      </c>
    </row>
    <row r="13" spans="1:12" ht="30" x14ac:dyDescent="0.25">
      <c r="B13" s="139" t="s">
        <v>108</v>
      </c>
      <c r="C13" s="136">
        <v>1</v>
      </c>
      <c r="D13" s="137">
        <v>800</v>
      </c>
      <c r="E13" s="140">
        <f>C13*D13</f>
        <v>800</v>
      </c>
      <c r="I13" s="54"/>
      <c r="J13" s="55">
        <v>2800</v>
      </c>
    </row>
    <row r="14" spans="1:12" ht="30" x14ac:dyDescent="0.25">
      <c r="B14" s="139" t="s">
        <v>107</v>
      </c>
      <c r="C14" s="136">
        <v>2</v>
      </c>
      <c r="D14" s="137">
        <v>65</v>
      </c>
      <c r="E14" s="140">
        <f t="shared" ref="E14:E19" si="0">C14*D14</f>
        <v>130</v>
      </c>
      <c r="I14" s="56"/>
      <c r="J14" s="53">
        <v>15500</v>
      </c>
    </row>
    <row r="15" spans="1:12" ht="16.5" thickBot="1" x14ac:dyDescent="0.3">
      <c r="B15" s="139" t="s">
        <v>102</v>
      </c>
      <c r="C15" s="136">
        <v>2</v>
      </c>
      <c r="D15" s="137">
        <v>50</v>
      </c>
      <c r="E15" s="140">
        <f t="shared" si="0"/>
        <v>100</v>
      </c>
      <c r="I15" s="57"/>
      <c r="J15" s="58">
        <v>23000</v>
      </c>
    </row>
    <row r="16" spans="1:12" x14ac:dyDescent="0.25">
      <c r="B16" s="139" t="s">
        <v>97</v>
      </c>
      <c r="C16" s="136">
        <v>2</v>
      </c>
      <c r="D16" s="137">
        <v>70</v>
      </c>
      <c r="E16" s="140">
        <f t="shared" si="0"/>
        <v>140</v>
      </c>
    </row>
    <row r="17" spans="2:6" x14ac:dyDescent="0.25">
      <c r="B17" s="139" t="s">
        <v>98</v>
      </c>
      <c r="C17" s="136">
        <v>1</v>
      </c>
      <c r="D17" s="137">
        <v>80</v>
      </c>
      <c r="E17" s="140">
        <f t="shared" si="0"/>
        <v>80</v>
      </c>
    </row>
    <row r="18" spans="2:6" x14ac:dyDescent="0.25">
      <c r="B18" s="139" t="s">
        <v>99</v>
      </c>
      <c r="C18" s="136">
        <v>1</v>
      </c>
      <c r="D18" s="137">
        <v>50</v>
      </c>
      <c r="E18" s="140">
        <f t="shared" si="0"/>
        <v>50</v>
      </c>
    </row>
    <row r="19" spans="2:6" ht="15.75" thickBot="1" x14ac:dyDescent="0.3">
      <c r="B19" s="141" t="s">
        <v>100</v>
      </c>
      <c r="C19" s="142">
        <v>1</v>
      </c>
      <c r="D19" s="143">
        <v>60</v>
      </c>
      <c r="E19" s="144">
        <f t="shared" si="0"/>
        <v>60</v>
      </c>
    </row>
    <row r="20" spans="2:6" ht="16.5" thickBot="1" x14ac:dyDescent="0.3">
      <c r="D20" s="145" t="s">
        <v>19</v>
      </c>
      <c r="E20" s="152">
        <f>SUM(E13:E19)</f>
        <v>1360</v>
      </c>
    </row>
    <row r="21" spans="2:6" ht="15.75" thickBot="1" x14ac:dyDescent="0.3"/>
    <row r="22" spans="2:6" ht="27" thickBot="1" x14ac:dyDescent="0.45">
      <c r="B22" s="698" t="s">
        <v>278</v>
      </c>
      <c r="C22" s="699"/>
      <c r="D22" s="699"/>
      <c r="E22" s="700"/>
      <c r="F22" s="148"/>
    </row>
    <row r="23" spans="2:6" ht="15.75" x14ac:dyDescent="0.25">
      <c r="B23" s="153" t="s">
        <v>62</v>
      </c>
      <c r="C23" s="154" t="s">
        <v>59</v>
      </c>
      <c r="D23" s="154" t="s">
        <v>101</v>
      </c>
      <c r="E23" s="155" t="s">
        <v>96</v>
      </c>
      <c r="F23" s="149"/>
    </row>
    <row r="24" spans="2:6" ht="16.5" customHeight="1" x14ac:dyDescent="0.25">
      <c r="B24" s="139" t="s">
        <v>103</v>
      </c>
      <c r="C24" s="136">
        <v>10</v>
      </c>
      <c r="D24" s="137">
        <v>85</v>
      </c>
      <c r="E24" s="140">
        <f>C24*D24</f>
        <v>850</v>
      </c>
      <c r="F24" s="149"/>
    </row>
    <row r="25" spans="2:6" x14ac:dyDescent="0.25">
      <c r="B25" s="139" t="s">
        <v>104</v>
      </c>
      <c r="C25" s="136">
        <v>8</v>
      </c>
      <c r="D25" s="137">
        <v>60</v>
      </c>
      <c r="E25" s="140">
        <f t="shared" ref="E25:E32" si="1">C25*D25</f>
        <v>480</v>
      </c>
      <c r="F25" s="149"/>
    </row>
    <row r="26" spans="2:6" x14ac:dyDescent="0.25">
      <c r="B26" s="139" t="s">
        <v>105</v>
      </c>
      <c r="C26" s="136">
        <v>1</v>
      </c>
      <c r="D26" s="137">
        <v>250</v>
      </c>
      <c r="E26" s="140">
        <f t="shared" si="1"/>
        <v>250</v>
      </c>
      <c r="F26" s="149"/>
    </row>
    <row r="27" spans="2:6" x14ac:dyDescent="0.25">
      <c r="B27" s="139" t="s">
        <v>33</v>
      </c>
      <c r="C27" s="136">
        <v>1</v>
      </c>
      <c r="D27" s="137">
        <v>1800</v>
      </c>
      <c r="E27" s="140">
        <f t="shared" si="1"/>
        <v>1800</v>
      </c>
      <c r="F27" s="149"/>
    </row>
    <row r="28" spans="2:6" x14ac:dyDescent="0.25">
      <c r="B28" s="139" t="s">
        <v>106</v>
      </c>
      <c r="C28" s="136">
        <v>1</v>
      </c>
      <c r="D28" s="137">
        <v>600</v>
      </c>
      <c r="E28" s="140">
        <f t="shared" si="1"/>
        <v>600</v>
      </c>
      <c r="F28" s="149"/>
    </row>
    <row r="29" spans="2:6" x14ac:dyDescent="0.25">
      <c r="B29" s="139" t="s">
        <v>109</v>
      </c>
      <c r="C29" s="136">
        <v>4</v>
      </c>
      <c r="D29" s="137">
        <v>200</v>
      </c>
      <c r="E29" s="140">
        <f t="shared" si="1"/>
        <v>800</v>
      </c>
      <c r="F29" s="149"/>
    </row>
    <row r="30" spans="2:6" x14ac:dyDescent="0.25">
      <c r="B30" s="139" t="s">
        <v>110</v>
      </c>
      <c r="C30" s="136">
        <v>1</v>
      </c>
      <c r="D30" s="137">
        <v>400</v>
      </c>
      <c r="E30" s="140">
        <f t="shared" si="1"/>
        <v>400</v>
      </c>
      <c r="F30" s="149"/>
    </row>
    <row r="31" spans="2:6" x14ac:dyDescent="0.25">
      <c r="B31" s="139" t="s">
        <v>111</v>
      </c>
      <c r="C31" s="136">
        <v>1</v>
      </c>
      <c r="D31" s="137">
        <v>250</v>
      </c>
      <c r="E31" s="140">
        <f t="shared" si="1"/>
        <v>250</v>
      </c>
      <c r="F31" s="149"/>
    </row>
    <row r="32" spans="2:6" ht="15.75" thickBot="1" x14ac:dyDescent="0.3">
      <c r="B32" s="141" t="s">
        <v>112</v>
      </c>
      <c r="C32" s="142">
        <v>1</v>
      </c>
      <c r="D32" s="143">
        <v>275</v>
      </c>
      <c r="E32" s="144">
        <f t="shared" si="1"/>
        <v>275</v>
      </c>
      <c r="F32" s="150"/>
    </row>
    <row r="33" spans="2:6" ht="16.5" thickBot="1" x14ac:dyDescent="0.3">
      <c r="D33" s="145" t="s">
        <v>19</v>
      </c>
      <c r="E33" s="152">
        <f>SUM(E24:E32)</f>
        <v>5705</v>
      </c>
      <c r="F33" s="52"/>
    </row>
    <row r="34" spans="2:6" ht="15.75" thickBot="1" x14ac:dyDescent="0.3">
      <c r="B34" s="52"/>
      <c r="C34" s="52"/>
      <c r="D34" s="52"/>
      <c r="E34" s="52"/>
      <c r="F34" s="52"/>
    </row>
    <row r="35" spans="2:6" ht="27" thickBot="1" x14ac:dyDescent="0.45">
      <c r="B35" s="670" t="s">
        <v>278</v>
      </c>
      <c r="C35" s="671"/>
      <c r="D35" s="671"/>
      <c r="E35" s="672"/>
      <c r="F35" s="52"/>
    </row>
    <row r="36" spans="2:6" ht="15.75" x14ac:dyDescent="0.25">
      <c r="B36" s="146" t="s">
        <v>62</v>
      </c>
      <c r="C36" s="138" t="s">
        <v>59</v>
      </c>
      <c r="D36" s="138" t="s">
        <v>101</v>
      </c>
      <c r="E36" s="147" t="s">
        <v>96</v>
      </c>
      <c r="F36" s="151"/>
    </row>
    <row r="37" spans="2:6" x14ac:dyDescent="0.25">
      <c r="B37" s="139" t="s">
        <v>103</v>
      </c>
      <c r="C37" s="136">
        <v>22</v>
      </c>
      <c r="D37" s="137">
        <v>85</v>
      </c>
      <c r="E37" s="140">
        <f>C37*D37</f>
        <v>1870</v>
      </c>
      <c r="F37" s="52"/>
    </row>
    <row r="38" spans="2:6" x14ac:dyDescent="0.25">
      <c r="B38" s="139" t="s">
        <v>104</v>
      </c>
      <c r="C38" s="136">
        <v>16</v>
      </c>
      <c r="D38" s="137">
        <v>60</v>
      </c>
      <c r="E38" s="140">
        <f t="shared" ref="E38:E45" si="2">C38*D38</f>
        <v>960</v>
      </c>
      <c r="F38" s="52"/>
    </row>
    <row r="39" spans="2:6" x14ac:dyDescent="0.25">
      <c r="B39" s="139" t="s">
        <v>105</v>
      </c>
      <c r="C39" s="136">
        <v>1</v>
      </c>
      <c r="D39" s="137">
        <v>250</v>
      </c>
      <c r="E39" s="140">
        <f t="shared" si="2"/>
        <v>250</v>
      </c>
      <c r="F39" s="52"/>
    </row>
    <row r="40" spans="2:6" x14ac:dyDescent="0.25">
      <c r="B40" s="139" t="s">
        <v>33</v>
      </c>
      <c r="C40" s="136">
        <v>1</v>
      </c>
      <c r="D40" s="137">
        <v>1800</v>
      </c>
      <c r="E40" s="140">
        <f t="shared" si="2"/>
        <v>1800</v>
      </c>
      <c r="F40" s="52"/>
    </row>
    <row r="41" spans="2:6" x14ac:dyDescent="0.25">
      <c r="B41" s="139" t="s">
        <v>106</v>
      </c>
      <c r="C41" s="136">
        <v>1</v>
      </c>
      <c r="D41" s="137">
        <v>600</v>
      </c>
      <c r="E41" s="140">
        <f t="shared" si="2"/>
        <v>600</v>
      </c>
      <c r="F41" s="52"/>
    </row>
    <row r="42" spans="2:6" x14ac:dyDescent="0.25">
      <c r="B42" s="139" t="s">
        <v>109</v>
      </c>
      <c r="C42" s="136">
        <v>8</v>
      </c>
      <c r="D42" s="137">
        <v>200</v>
      </c>
      <c r="E42" s="140">
        <f t="shared" si="2"/>
        <v>1600</v>
      </c>
      <c r="F42" s="52"/>
    </row>
    <row r="43" spans="2:6" x14ac:dyDescent="0.25">
      <c r="B43" s="139" t="s">
        <v>110</v>
      </c>
      <c r="C43" s="136">
        <v>1</v>
      </c>
      <c r="D43" s="137">
        <v>400</v>
      </c>
      <c r="E43" s="140">
        <f t="shared" si="2"/>
        <v>400</v>
      </c>
      <c r="F43" s="52"/>
    </row>
    <row r="44" spans="2:6" x14ac:dyDescent="0.25">
      <c r="B44" s="139" t="s">
        <v>111</v>
      </c>
      <c r="C44" s="136">
        <v>1</v>
      </c>
      <c r="D44" s="137">
        <v>250</v>
      </c>
      <c r="E44" s="140">
        <f t="shared" si="2"/>
        <v>250</v>
      </c>
      <c r="F44" s="52"/>
    </row>
    <row r="45" spans="2:6" ht="15.75" thickBot="1" x14ac:dyDescent="0.3">
      <c r="B45" s="141" t="s">
        <v>112</v>
      </c>
      <c r="C45" s="142">
        <v>1</v>
      </c>
      <c r="D45" s="143">
        <v>375</v>
      </c>
      <c r="E45" s="144">
        <f t="shared" si="2"/>
        <v>375</v>
      </c>
      <c r="F45" s="52"/>
    </row>
    <row r="46" spans="2:6" ht="16.5" thickBot="1" x14ac:dyDescent="0.3">
      <c r="D46" s="145" t="s">
        <v>19</v>
      </c>
      <c r="E46" s="152">
        <f>SUM(E37:E45)</f>
        <v>8105</v>
      </c>
      <c r="F46" s="52"/>
    </row>
    <row r="47" spans="2:6" x14ac:dyDescent="0.25">
      <c r="B47" s="1">
        <v>1E-3</v>
      </c>
    </row>
    <row r="48" spans="2:6" x14ac:dyDescent="0.25">
      <c r="B48" s="1">
        <v>0.5</v>
      </c>
      <c r="C48" s="1">
        <v>100</v>
      </c>
    </row>
    <row r="49" spans="1:28" ht="15.75" thickBot="1" x14ac:dyDescent="0.3"/>
    <row r="50" spans="1:28" ht="27" thickBot="1" x14ac:dyDescent="0.45">
      <c r="B50" s="691" t="s">
        <v>95</v>
      </c>
      <c r="C50" s="692"/>
      <c r="D50" s="692"/>
      <c r="E50" s="692"/>
      <c r="F50" s="692"/>
      <c r="G50" s="692"/>
      <c r="H50" s="692"/>
      <c r="I50" s="692"/>
      <c r="J50" s="692"/>
      <c r="K50" s="692"/>
      <c r="L50" s="692"/>
      <c r="M50" s="692"/>
      <c r="N50" s="692"/>
      <c r="O50" s="692"/>
      <c r="P50" s="692"/>
      <c r="Q50" s="692"/>
      <c r="R50" s="692"/>
      <c r="S50" s="692"/>
      <c r="T50" s="692"/>
      <c r="U50" s="692"/>
      <c r="V50" s="692"/>
      <c r="W50" s="692"/>
      <c r="X50" s="692"/>
      <c r="Y50" s="692"/>
      <c r="Z50" s="692"/>
      <c r="AA50" s="692"/>
      <c r="AB50" s="693"/>
    </row>
    <row r="51" spans="1:28" x14ac:dyDescent="0.25">
      <c r="B51" s="694" t="s">
        <v>62</v>
      </c>
      <c r="C51" s="695"/>
      <c r="D51" s="690" t="s">
        <v>40</v>
      </c>
      <c r="E51" s="686"/>
      <c r="F51" s="685" t="s">
        <v>41</v>
      </c>
      <c r="G51" s="686"/>
      <c r="H51" s="685" t="s">
        <v>42</v>
      </c>
      <c r="I51" s="686"/>
      <c r="J51" s="685" t="s">
        <v>43</v>
      </c>
      <c r="K51" s="686"/>
      <c r="L51" s="685" t="s">
        <v>44</v>
      </c>
      <c r="M51" s="686"/>
      <c r="N51" s="685" t="s">
        <v>45</v>
      </c>
      <c r="O51" s="686"/>
      <c r="P51" s="685" t="s">
        <v>46</v>
      </c>
      <c r="Q51" s="686"/>
      <c r="R51" s="685" t="s">
        <v>47</v>
      </c>
      <c r="S51" s="686"/>
      <c r="T51" s="685" t="s">
        <v>48</v>
      </c>
      <c r="U51" s="686"/>
      <c r="V51" s="685" t="s">
        <v>49</v>
      </c>
      <c r="W51" s="686"/>
      <c r="X51" s="685" t="s">
        <v>50</v>
      </c>
      <c r="Y51" s="686"/>
      <c r="Z51" s="685" t="s">
        <v>51</v>
      </c>
      <c r="AA51" s="690"/>
      <c r="AB51" s="697" t="s">
        <v>19</v>
      </c>
    </row>
    <row r="52" spans="1:28" ht="15.75" thickBot="1" x14ac:dyDescent="0.3">
      <c r="B52" s="164" t="s">
        <v>71</v>
      </c>
      <c r="C52" s="165" t="s">
        <v>101</v>
      </c>
      <c r="D52" s="166" t="s">
        <v>59</v>
      </c>
      <c r="E52" s="167" t="s">
        <v>70</v>
      </c>
      <c r="F52" s="167" t="s">
        <v>59</v>
      </c>
      <c r="G52" s="167" t="s">
        <v>70</v>
      </c>
      <c r="H52" s="167" t="s">
        <v>59</v>
      </c>
      <c r="I52" s="167" t="s">
        <v>70</v>
      </c>
      <c r="J52" s="167" t="s">
        <v>59</v>
      </c>
      <c r="K52" s="167" t="s">
        <v>70</v>
      </c>
      <c r="L52" s="167" t="s">
        <v>59</v>
      </c>
      <c r="M52" s="167" t="s">
        <v>70</v>
      </c>
      <c r="N52" s="167" t="s">
        <v>59</v>
      </c>
      <c r="O52" s="167" t="s">
        <v>70</v>
      </c>
      <c r="P52" s="167" t="s">
        <v>59</v>
      </c>
      <c r="Q52" s="167" t="s">
        <v>70</v>
      </c>
      <c r="R52" s="167" t="s">
        <v>59</v>
      </c>
      <c r="S52" s="167" t="s">
        <v>70</v>
      </c>
      <c r="T52" s="167" t="s">
        <v>59</v>
      </c>
      <c r="U52" s="167" t="s">
        <v>70</v>
      </c>
      <c r="V52" s="167" t="s">
        <v>59</v>
      </c>
      <c r="W52" s="167" t="s">
        <v>70</v>
      </c>
      <c r="X52" s="167" t="s">
        <v>59</v>
      </c>
      <c r="Y52" s="167" t="s">
        <v>70</v>
      </c>
      <c r="Z52" s="167" t="s">
        <v>59</v>
      </c>
      <c r="AA52" s="168" t="s">
        <v>70</v>
      </c>
      <c r="AB52" s="697"/>
    </row>
    <row r="53" spans="1:28" x14ac:dyDescent="0.25">
      <c r="A53" s="687" t="s">
        <v>113</v>
      </c>
      <c r="B53" s="169"/>
      <c r="C53" s="170">
        <f>$E$20</f>
        <v>1360</v>
      </c>
      <c r="D53" s="171">
        <f>'Proy. ventas'!F19</f>
        <v>664.1</v>
      </c>
      <c r="E53" s="103">
        <f t="shared" ref="E53:E64" si="3">D53*C53</f>
        <v>903176</v>
      </c>
      <c r="F53" s="198">
        <f>'Proy. ventas'!I19</f>
        <v>1992.3000000000002</v>
      </c>
      <c r="G53" s="103">
        <f t="shared" ref="G53:G68" si="4">F53*C53</f>
        <v>2709528.0000000005</v>
      </c>
      <c r="H53" s="198">
        <f>'Proy. ventas'!L19</f>
        <v>3320.5</v>
      </c>
      <c r="I53" s="103">
        <f t="shared" ref="I53:I68" si="5">H53*C53</f>
        <v>4515880</v>
      </c>
      <c r="J53" s="198">
        <f>'Proy. ventas'!O19</f>
        <v>4980.75</v>
      </c>
      <c r="K53" s="103">
        <f t="shared" ref="K53:K68" si="6">J53*C53</f>
        <v>6773820</v>
      </c>
      <c r="L53" s="198">
        <f>'Proy. ventas'!R19</f>
        <v>6973.05</v>
      </c>
      <c r="M53" s="103">
        <f t="shared" ref="M53:M68" si="7">L53*C53</f>
        <v>9483348</v>
      </c>
      <c r="N53" s="198">
        <f>'Proy. ventas'!U19</f>
        <v>9629.4500000000007</v>
      </c>
      <c r="O53" s="103">
        <f t="shared" ref="O53:O68" si="8">N53*C53</f>
        <v>13096052.000000002</v>
      </c>
      <c r="P53" s="198">
        <f>'Proy. ventas'!X19</f>
        <v>12949.95</v>
      </c>
      <c r="Q53" s="103">
        <f t="shared" ref="Q53:Q68" si="9">P53*C53</f>
        <v>17611932</v>
      </c>
      <c r="R53" s="198">
        <f>'Proy. ventas'!AA19</f>
        <v>16602.5</v>
      </c>
      <c r="S53" s="103">
        <f t="shared" ref="S53:S68" si="10">R53*C53</f>
        <v>22579400</v>
      </c>
      <c r="T53" s="198">
        <f>'Proy. ventas'!AD19</f>
        <v>20255.05</v>
      </c>
      <c r="U53" s="103">
        <f t="shared" ref="U53:U68" si="11">T53*C53</f>
        <v>27546868</v>
      </c>
      <c r="V53" s="198">
        <f>'Proy. ventas'!AG19</f>
        <v>24239.649999999998</v>
      </c>
      <c r="W53" s="103">
        <f t="shared" ref="W53:W68" si="12">V53*C53</f>
        <v>32965923.999999996</v>
      </c>
      <c r="X53" s="198">
        <f>'Proy. ventas'!AJ19</f>
        <v>28556.3</v>
      </c>
      <c r="Y53" s="103">
        <f t="shared" ref="Y53:Y68" si="13">X53*C53</f>
        <v>38836568</v>
      </c>
      <c r="Z53" s="198">
        <f>'Proy. ventas'!AM19</f>
        <v>33205</v>
      </c>
      <c r="AA53" s="104">
        <f t="shared" ref="AA53:AA68" si="14">Z53*C53</f>
        <v>45158800</v>
      </c>
      <c r="AB53" s="191">
        <f>E53+G53+I53+K53+M53+O53+Q53+S53++U53+W53+Y53+AA53</f>
        <v>222181296</v>
      </c>
    </row>
    <row r="54" spans="1:28" x14ac:dyDescent="0.25">
      <c r="A54" s="688"/>
      <c r="B54" s="161"/>
      <c r="C54" s="162">
        <f>$E$33</f>
        <v>5705</v>
      </c>
      <c r="D54" s="159" t="e">
        <f>'Proy. ventas'!#REF!</f>
        <v>#REF!</v>
      </c>
      <c r="E54" s="84" t="e">
        <f t="shared" si="3"/>
        <v>#REF!</v>
      </c>
      <c r="F54" s="156" t="e">
        <f>'Proy. ventas'!#REF!</f>
        <v>#REF!</v>
      </c>
      <c r="G54" s="84" t="e">
        <f t="shared" si="4"/>
        <v>#REF!</v>
      </c>
      <c r="H54" s="156" t="e">
        <f>'Proy. ventas'!#REF!</f>
        <v>#REF!</v>
      </c>
      <c r="I54" s="84" t="e">
        <f t="shared" si="5"/>
        <v>#REF!</v>
      </c>
      <c r="J54" s="156" t="e">
        <f>'Proy. ventas'!#REF!</f>
        <v>#REF!</v>
      </c>
      <c r="K54" s="84" t="e">
        <f t="shared" si="6"/>
        <v>#REF!</v>
      </c>
      <c r="L54" s="156" t="e">
        <f>'Proy. ventas'!#REF!</f>
        <v>#REF!</v>
      </c>
      <c r="M54" s="84" t="e">
        <f t="shared" si="7"/>
        <v>#REF!</v>
      </c>
      <c r="N54" s="156" t="e">
        <f>'Proy. ventas'!#REF!</f>
        <v>#REF!</v>
      </c>
      <c r="O54" s="84" t="e">
        <f t="shared" si="8"/>
        <v>#REF!</v>
      </c>
      <c r="P54" s="156" t="e">
        <f>'Proy. ventas'!#REF!</f>
        <v>#REF!</v>
      </c>
      <c r="Q54" s="84" t="e">
        <f t="shared" si="9"/>
        <v>#REF!</v>
      </c>
      <c r="R54" s="156" t="e">
        <f>'Proy. ventas'!#REF!</f>
        <v>#REF!</v>
      </c>
      <c r="S54" s="84" t="e">
        <f t="shared" si="10"/>
        <v>#REF!</v>
      </c>
      <c r="T54" s="156" t="e">
        <f>'Proy. ventas'!#REF!</f>
        <v>#REF!</v>
      </c>
      <c r="U54" s="84" t="e">
        <f t="shared" si="11"/>
        <v>#REF!</v>
      </c>
      <c r="V54" s="156" t="e">
        <f>'Proy. ventas'!#REF!</f>
        <v>#REF!</v>
      </c>
      <c r="W54" s="84" t="e">
        <f t="shared" si="12"/>
        <v>#REF!</v>
      </c>
      <c r="X54" s="156" t="e">
        <f>'Proy. ventas'!#REF!</f>
        <v>#REF!</v>
      </c>
      <c r="Y54" s="84" t="e">
        <f t="shared" si="13"/>
        <v>#REF!</v>
      </c>
      <c r="Z54" s="156" t="e">
        <f>'Proy. ventas'!#REF!</f>
        <v>#REF!</v>
      </c>
      <c r="AA54" s="86" t="e">
        <f t="shared" si="14"/>
        <v>#REF!</v>
      </c>
      <c r="AB54" s="192" t="e">
        <f t="shared" ref="AB54:AB68" si="15">E54+G54+I54+K54+M54+O54+Q54+S54++U54+W54+Y54+AA54</f>
        <v>#REF!</v>
      </c>
    </row>
    <row r="55" spans="1:28" ht="15.75" thickBot="1" x14ac:dyDescent="0.3">
      <c r="A55" s="689"/>
      <c r="B55" s="172"/>
      <c r="C55" s="173">
        <f>$E$46</f>
        <v>8105</v>
      </c>
      <c r="D55" s="174" t="e">
        <f>'Proy. ventas'!#REF!</f>
        <v>#REF!</v>
      </c>
      <c r="E55" s="107" t="e">
        <f t="shared" si="3"/>
        <v>#REF!</v>
      </c>
      <c r="F55" s="199" t="e">
        <f>'Proy. ventas'!#REF!</f>
        <v>#REF!</v>
      </c>
      <c r="G55" s="107" t="e">
        <f t="shared" si="4"/>
        <v>#REF!</v>
      </c>
      <c r="H55" s="199" t="e">
        <f>'Proy. ventas'!#REF!</f>
        <v>#REF!</v>
      </c>
      <c r="I55" s="107" t="e">
        <f t="shared" si="5"/>
        <v>#REF!</v>
      </c>
      <c r="J55" s="199" t="e">
        <f>'Proy. ventas'!#REF!</f>
        <v>#REF!</v>
      </c>
      <c r="K55" s="107" t="e">
        <f t="shared" si="6"/>
        <v>#REF!</v>
      </c>
      <c r="L55" s="199" t="e">
        <f>'Proy. ventas'!#REF!</f>
        <v>#REF!</v>
      </c>
      <c r="M55" s="107" t="e">
        <f t="shared" si="7"/>
        <v>#REF!</v>
      </c>
      <c r="N55" s="199" t="e">
        <f>'Proy. ventas'!#REF!</f>
        <v>#REF!</v>
      </c>
      <c r="O55" s="107" t="e">
        <f t="shared" si="8"/>
        <v>#REF!</v>
      </c>
      <c r="P55" s="199" t="e">
        <f>'Proy. ventas'!#REF!</f>
        <v>#REF!</v>
      </c>
      <c r="Q55" s="107" t="e">
        <f t="shared" si="9"/>
        <v>#REF!</v>
      </c>
      <c r="R55" s="199" t="e">
        <f>'Proy. ventas'!#REF!</f>
        <v>#REF!</v>
      </c>
      <c r="S55" s="107" t="e">
        <f t="shared" si="10"/>
        <v>#REF!</v>
      </c>
      <c r="T55" s="199" t="e">
        <f>'Proy. ventas'!#REF!</f>
        <v>#REF!</v>
      </c>
      <c r="U55" s="107" t="e">
        <f t="shared" si="11"/>
        <v>#REF!</v>
      </c>
      <c r="V55" s="199" t="e">
        <f>'Proy. ventas'!#REF!</f>
        <v>#REF!</v>
      </c>
      <c r="W55" s="107" t="e">
        <f t="shared" si="12"/>
        <v>#REF!</v>
      </c>
      <c r="X55" s="199" t="e">
        <f>'Proy. ventas'!#REF!</f>
        <v>#REF!</v>
      </c>
      <c r="Y55" s="107" t="e">
        <f t="shared" si="13"/>
        <v>#REF!</v>
      </c>
      <c r="Z55" s="199" t="e">
        <f>'Proy. ventas'!#REF!</f>
        <v>#REF!</v>
      </c>
      <c r="AA55" s="108" t="e">
        <f t="shared" si="14"/>
        <v>#REF!</v>
      </c>
      <c r="AB55" s="193" t="e">
        <f t="shared" si="15"/>
        <v>#REF!</v>
      </c>
    </row>
    <row r="56" spans="1:28" x14ac:dyDescent="0.25">
      <c r="A56" s="687" t="s">
        <v>114</v>
      </c>
      <c r="B56" s="169"/>
      <c r="C56" s="170">
        <v>420</v>
      </c>
      <c r="D56" s="171">
        <f>'Proy. ventas'!F20</f>
        <v>322.2</v>
      </c>
      <c r="E56" s="103">
        <f t="shared" si="3"/>
        <v>135324</v>
      </c>
      <c r="F56" s="198">
        <f>'Proy. ventas'!I20</f>
        <v>966.59999999999991</v>
      </c>
      <c r="G56" s="103">
        <f t="shared" si="4"/>
        <v>405971.99999999994</v>
      </c>
      <c r="H56" s="198">
        <f>'Proy. ventas'!L20</f>
        <v>1611</v>
      </c>
      <c r="I56" s="103">
        <f t="shared" si="5"/>
        <v>676620</v>
      </c>
      <c r="J56" s="198">
        <f>'Proy. ventas'!O20</f>
        <v>2416.5</v>
      </c>
      <c r="K56" s="103">
        <f t="shared" si="6"/>
        <v>1014930</v>
      </c>
      <c r="L56" s="198">
        <f>'Proy. ventas'!R20</f>
        <v>3383.1</v>
      </c>
      <c r="M56" s="103">
        <f t="shared" si="7"/>
        <v>1420902</v>
      </c>
      <c r="N56" s="198">
        <f>'Proy. ventas'!U20</f>
        <v>4671.8999999999996</v>
      </c>
      <c r="O56" s="103">
        <f t="shared" si="8"/>
        <v>1962197.9999999998</v>
      </c>
      <c r="P56" s="198">
        <f>'Proy. ventas'!X20</f>
        <v>6282.9</v>
      </c>
      <c r="Q56" s="103">
        <f t="shared" si="9"/>
        <v>2638818</v>
      </c>
      <c r="R56" s="198">
        <f>'Proy. ventas'!AA20</f>
        <v>8055</v>
      </c>
      <c r="S56" s="103">
        <f t="shared" si="10"/>
        <v>3383100</v>
      </c>
      <c r="T56" s="198">
        <f>'Proy. ventas'!AD20</f>
        <v>9827.1</v>
      </c>
      <c r="U56" s="103">
        <f t="shared" si="11"/>
        <v>4127382</v>
      </c>
      <c r="V56" s="198">
        <f>'Proy. ventas'!AG20</f>
        <v>11760.3</v>
      </c>
      <c r="W56" s="103">
        <f t="shared" si="12"/>
        <v>4939326</v>
      </c>
      <c r="X56" s="198">
        <f>'Proy. ventas'!AJ20</f>
        <v>13854.599999999999</v>
      </c>
      <c r="Y56" s="103">
        <f t="shared" si="13"/>
        <v>5818931.9999999991</v>
      </c>
      <c r="Z56" s="198">
        <f>'Proy. ventas'!AM20</f>
        <v>16109.999999999998</v>
      </c>
      <c r="AA56" s="104">
        <f t="shared" si="14"/>
        <v>6766199.9999999991</v>
      </c>
      <c r="AB56" s="191">
        <f t="shared" si="15"/>
        <v>33289704</v>
      </c>
    </row>
    <row r="57" spans="1:28" x14ac:dyDescent="0.25">
      <c r="A57" s="688"/>
      <c r="B57" s="161"/>
      <c r="C57" s="162">
        <v>300</v>
      </c>
      <c r="D57" s="159" t="e">
        <f>'Proy. ventas'!#REF!</f>
        <v>#REF!</v>
      </c>
      <c r="E57" s="84" t="e">
        <f t="shared" si="3"/>
        <v>#REF!</v>
      </c>
      <c r="F57" s="156" t="e">
        <f>'Proy. ventas'!#REF!</f>
        <v>#REF!</v>
      </c>
      <c r="G57" s="84" t="e">
        <f t="shared" si="4"/>
        <v>#REF!</v>
      </c>
      <c r="H57" s="156" t="e">
        <f>'Proy. ventas'!#REF!</f>
        <v>#REF!</v>
      </c>
      <c r="I57" s="84" t="e">
        <f t="shared" si="5"/>
        <v>#REF!</v>
      </c>
      <c r="J57" s="156" t="e">
        <f>'Proy. ventas'!#REF!</f>
        <v>#REF!</v>
      </c>
      <c r="K57" s="84" t="e">
        <f t="shared" si="6"/>
        <v>#REF!</v>
      </c>
      <c r="L57" s="156" t="e">
        <f>'Proy. ventas'!#REF!</f>
        <v>#REF!</v>
      </c>
      <c r="M57" s="84" t="e">
        <f t="shared" si="7"/>
        <v>#REF!</v>
      </c>
      <c r="N57" s="156" t="e">
        <f>'Proy. ventas'!#REF!</f>
        <v>#REF!</v>
      </c>
      <c r="O57" s="84" t="e">
        <f t="shared" si="8"/>
        <v>#REF!</v>
      </c>
      <c r="P57" s="156" t="e">
        <f>'Proy. ventas'!#REF!</f>
        <v>#REF!</v>
      </c>
      <c r="Q57" s="84" t="e">
        <f t="shared" si="9"/>
        <v>#REF!</v>
      </c>
      <c r="R57" s="156" t="e">
        <f>'Proy. ventas'!#REF!</f>
        <v>#REF!</v>
      </c>
      <c r="S57" s="84" t="e">
        <f t="shared" si="10"/>
        <v>#REF!</v>
      </c>
      <c r="T57" s="156" t="e">
        <f>'Proy. ventas'!#REF!</f>
        <v>#REF!</v>
      </c>
      <c r="U57" s="84" t="e">
        <f t="shared" si="11"/>
        <v>#REF!</v>
      </c>
      <c r="V57" s="156" t="e">
        <f>'Proy. ventas'!#REF!</f>
        <v>#REF!</v>
      </c>
      <c r="W57" s="84" t="e">
        <f t="shared" si="12"/>
        <v>#REF!</v>
      </c>
      <c r="X57" s="156" t="e">
        <f>'Proy. ventas'!#REF!</f>
        <v>#REF!</v>
      </c>
      <c r="Y57" s="84" t="e">
        <f t="shared" si="13"/>
        <v>#REF!</v>
      </c>
      <c r="Z57" s="156" t="e">
        <f>'Proy. ventas'!#REF!</f>
        <v>#REF!</v>
      </c>
      <c r="AA57" s="86" t="e">
        <f t="shared" si="14"/>
        <v>#REF!</v>
      </c>
      <c r="AB57" s="192" t="e">
        <f t="shared" si="15"/>
        <v>#REF!</v>
      </c>
    </row>
    <row r="58" spans="1:28" x14ac:dyDescent="0.25">
      <c r="A58" s="688"/>
      <c r="B58" s="161"/>
      <c r="C58" s="162">
        <v>1800</v>
      </c>
      <c r="D58" s="159" t="e">
        <f>'Proy. ventas'!#REF!</f>
        <v>#REF!</v>
      </c>
      <c r="E58" s="84" t="e">
        <f t="shared" si="3"/>
        <v>#REF!</v>
      </c>
      <c r="F58" s="156" t="e">
        <f>'Proy. ventas'!#REF!</f>
        <v>#REF!</v>
      </c>
      <c r="G58" s="84" t="e">
        <f t="shared" si="4"/>
        <v>#REF!</v>
      </c>
      <c r="H58" s="156" t="e">
        <f>'Proy. ventas'!#REF!</f>
        <v>#REF!</v>
      </c>
      <c r="I58" s="84" t="e">
        <f t="shared" si="5"/>
        <v>#REF!</v>
      </c>
      <c r="J58" s="156" t="e">
        <f>'Proy. ventas'!#REF!</f>
        <v>#REF!</v>
      </c>
      <c r="K58" s="84" t="e">
        <f t="shared" si="6"/>
        <v>#REF!</v>
      </c>
      <c r="L58" s="156" t="e">
        <f>'Proy. ventas'!#REF!</f>
        <v>#REF!</v>
      </c>
      <c r="M58" s="84" t="e">
        <f t="shared" si="7"/>
        <v>#REF!</v>
      </c>
      <c r="N58" s="156" t="e">
        <f>'Proy. ventas'!#REF!</f>
        <v>#REF!</v>
      </c>
      <c r="O58" s="84" t="e">
        <f t="shared" si="8"/>
        <v>#REF!</v>
      </c>
      <c r="P58" s="156" t="e">
        <f>'Proy. ventas'!#REF!</f>
        <v>#REF!</v>
      </c>
      <c r="Q58" s="84" t="e">
        <f t="shared" si="9"/>
        <v>#REF!</v>
      </c>
      <c r="R58" s="156" t="e">
        <f>'Proy. ventas'!#REF!</f>
        <v>#REF!</v>
      </c>
      <c r="S58" s="84" t="e">
        <f t="shared" si="10"/>
        <v>#REF!</v>
      </c>
      <c r="T58" s="156" t="e">
        <f>'Proy. ventas'!#REF!</f>
        <v>#REF!</v>
      </c>
      <c r="U58" s="84" t="e">
        <f t="shared" si="11"/>
        <v>#REF!</v>
      </c>
      <c r="V58" s="156" t="e">
        <f>'Proy. ventas'!#REF!</f>
        <v>#REF!</v>
      </c>
      <c r="W58" s="84" t="e">
        <f t="shared" si="12"/>
        <v>#REF!</v>
      </c>
      <c r="X58" s="156" t="e">
        <f>'Proy. ventas'!#REF!</f>
        <v>#REF!</v>
      </c>
      <c r="Y58" s="84" t="e">
        <f t="shared" si="13"/>
        <v>#REF!</v>
      </c>
      <c r="Z58" s="156" t="e">
        <f>'Proy. ventas'!#REF!</f>
        <v>#REF!</v>
      </c>
      <c r="AA58" s="86" t="e">
        <f t="shared" si="14"/>
        <v>#REF!</v>
      </c>
      <c r="AB58" s="192" t="e">
        <f t="shared" si="15"/>
        <v>#REF!</v>
      </c>
    </row>
    <row r="59" spans="1:28" x14ac:dyDescent="0.25">
      <c r="A59" s="688"/>
      <c r="B59" s="161"/>
      <c r="C59" s="162">
        <v>180</v>
      </c>
      <c r="D59" s="159" t="e">
        <f>'Proy. ventas'!#REF!</f>
        <v>#REF!</v>
      </c>
      <c r="E59" s="84" t="e">
        <f t="shared" si="3"/>
        <v>#REF!</v>
      </c>
      <c r="F59" s="156" t="e">
        <f>'Proy. ventas'!#REF!</f>
        <v>#REF!</v>
      </c>
      <c r="G59" s="84" t="e">
        <f t="shared" si="4"/>
        <v>#REF!</v>
      </c>
      <c r="H59" s="156" t="e">
        <f>'Proy. ventas'!#REF!</f>
        <v>#REF!</v>
      </c>
      <c r="I59" s="84" t="e">
        <f t="shared" si="5"/>
        <v>#REF!</v>
      </c>
      <c r="J59" s="156" t="e">
        <f>'Proy. ventas'!#REF!</f>
        <v>#REF!</v>
      </c>
      <c r="K59" s="84" t="e">
        <f t="shared" si="6"/>
        <v>#REF!</v>
      </c>
      <c r="L59" s="156" t="e">
        <f>'Proy. ventas'!#REF!</f>
        <v>#REF!</v>
      </c>
      <c r="M59" s="84" t="e">
        <f t="shared" si="7"/>
        <v>#REF!</v>
      </c>
      <c r="N59" s="156" t="e">
        <f>'Proy. ventas'!#REF!</f>
        <v>#REF!</v>
      </c>
      <c r="O59" s="84" t="e">
        <f t="shared" si="8"/>
        <v>#REF!</v>
      </c>
      <c r="P59" s="156" t="e">
        <f>'Proy. ventas'!#REF!</f>
        <v>#REF!</v>
      </c>
      <c r="Q59" s="84" t="e">
        <f t="shared" si="9"/>
        <v>#REF!</v>
      </c>
      <c r="R59" s="156" t="e">
        <f>'Proy. ventas'!#REF!</f>
        <v>#REF!</v>
      </c>
      <c r="S59" s="84" t="e">
        <f t="shared" si="10"/>
        <v>#REF!</v>
      </c>
      <c r="T59" s="156" t="e">
        <f>'Proy. ventas'!#REF!</f>
        <v>#REF!</v>
      </c>
      <c r="U59" s="84" t="e">
        <f t="shared" si="11"/>
        <v>#REF!</v>
      </c>
      <c r="V59" s="156" t="e">
        <f>'Proy. ventas'!#REF!</f>
        <v>#REF!</v>
      </c>
      <c r="W59" s="84" t="e">
        <f t="shared" si="12"/>
        <v>#REF!</v>
      </c>
      <c r="X59" s="156" t="e">
        <f>'Proy. ventas'!#REF!</f>
        <v>#REF!</v>
      </c>
      <c r="Y59" s="84" t="e">
        <f t="shared" si="13"/>
        <v>#REF!</v>
      </c>
      <c r="Z59" s="156" t="e">
        <f>'Proy. ventas'!#REF!</f>
        <v>#REF!</v>
      </c>
      <c r="AA59" s="86" t="e">
        <f t="shared" si="14"/>
        <v>#REF!</v>
      </c>
      <c r="AB59" s="192" t="e">
        <f t="shared" si="15"/>
        <v>#REF!</v>
      </c>
    </row>
    <row r="60" spans="1:28" x14ac:dyDescent="0.25">
      <c r="A60" s="688"/>
      <c r="B60" s="161"/>
      <c r="C60" s="162">
        <v>1250</v>
      </c>
      <c r="D60" s="159">
        <f>'Proy. ventas'!F21</f>
        <v>228.3</v>
      </c>
      <c r="E60" s="84">
        <f t="shared" si="3"/>
        <v>285375</v>
      </c>
      <c r="F60" s="156">
        <f>'Proy. ventas'!I21</f>
        <v>684.90000000000009</v>
      </c>
      <c r="G60" s="84">
        <f t="shared" si="4"/>
        <v>856125.00000000012</v>
      </c>
      <c r="H60" s="156">
        <f>'Proy. ventas'!L21</f>
        <v>1141.5</v>
      </c>
      <c r="I60" s="84">
        <f t="shared" si="5"/>
        <v>1426875</v>
      </c>
      <c r="J60" s="156">
        <f>'Proy. ventas'!O21</f>
        <v>1712.25</v>
      </c>
      <c r="K60" s="84">
        <f t="shared" si="6"/>
        <v>2140312.5</v>
      </c>
      <c r="L60" s="156">
        <f>'Proy. ventas'!R21</f>
        <v>2397.15</v>
      </c>
      <c r="M60" s="84">
        <f t="shared" si="7"/>
        <v>2996437.5</v>
      </c>
      <c r="N60" s="156">
        <f>'Proy. ventas'!U21</f>
        <v>3310.3500000000004</v>
      </c>
      <c r="O60" s="84">
        <f t="shared" si="8"/>
        <v>4137937.5000000005</v>
      </c>
      <c r="P60" s="156">
        <f>'Proy. ventas'!X21</f>
        <v>4451.8500000000004</v>
      </c>
      <c r="Q60" s="84">
        <f t="shared" si="9"/>
        <v>5564812.5</v>
      </c>
      <c r="R60" s="156">
        <f>'Proy. ventas'!AA21</f>
        <v>5707.5</v>
      </c>
      <c r="S60" s="84">
        <f t="shared" si="10"/>
        <v>7134375</v>
      </c>
      <c r="T60" s="156">
        <f>'Proy. ventas'!AD21</f>
        <v>6963.15</v>
      </c>
      <c r="U60" s="84">
        <f t="shared" si="11"/>
        <v>8703937.5</v>
      </c>
      <c r="V60" s="156">
        <f>'Proy. ventas'!AG21</f>
        <v>8332.9499999999989</v>
      </c>
      <c r="W60" s="84">
        <f t="shared" si="12"/>
        <v>10416187.499999998</v>
      </c>
      <c r="X60" s="156">
        <f>'Proy. ventas'!AJ21</f>
        <v>9816.9</v>
      </c>
      <c r="Y60" s="84">
        <f t="shared" si="13"/>
        <v>12271125</v>
      </c>
      <c r="Z60" s="156">
        <f>'Proy. ventas'!AM21</f>
        <v>11415</v>
      </c>
      <c r="AA60" s="86">
        <f t="shared" si="14"/>
        <v>14268750</v>
      </c>
      <c r="AB60" s="192">
        <f t="shared" si="15"/>
        <v>70202250</v>
      </c>
    </row>
    <row r="61" spans="1:28" x14ac:dyDescent="0.25">
      <c r="A61" s="688"/>
      <c r="B61" s="161"/>
      <c r="C61" s="162">
        <v>350</v>
      </c>
      <c r="D61" s="159" t="e">
        <f>'Proy. ventas'!#REF!</f>
        <v>#REF!</v>
      </c>
      <c r="E61" s="84" t="e">
        <f t="shared" si="3"/>
        <v>#REF!</v>
      </c>
      <c r="F61" s="156" t="e">
        <f>'Proy. ventas'!#REF!</f>
        <v>#REF!</v>
      </c>
      <c r="G61" s="84" t="e">
        <f t="shared" si="4"/>
        <v>#REF!</v>
      </c>
      <c r="H61" s="156" t="e">
        <f>'Proy. ventas'!#REF!</f>
        <v>#REF!</v>
      </c>
      <c r="I61" s="84" t="e">
        <f t="shared" si="5"/>
        <v>#REF!</v>
      </c>
      <c r="J61" s="156" t="e">
        <f>'Proy. ventas'!#REF!</f>
        <v>#REF!</v>
      </c>
      <c r="K61" s="84" t="e">
        <f t="shared" si="6"/>
        <v>#REF!</v>
      </c>
      <c r="L61" s="156" t="e">
        <f>'Proy. ventas'!#REF!</f>
        <v>#REF!</v>
      </c>
      <c r="M61" s="84" t="e">
        <f t="shared" si="7"/>
        <v>#REF!</v>
      </c>
      <c r="N61" s="156" t="e">
        <f>'Proy. ventas'!#REF!</f>
        <v>#REF!</v>
      </c>
      <c r="O61" s="84" t="e">
        <f t="shared" si="8"/>
        <v>#REF!</v>
      </c>
      <c r="P61" s="156" t="e">
        <f>'Proy. ventas'!#REF!</f>
        <v>#REF!</v>
      </c>
      <c r="Q61" s="84" t="e">
        <f t="shared" si="9"/>
        <v>#REF!</v>
      </c>
      <c r="R61" s="156" t="e">
        <f>'Proy. ventas'!#REF!</f>
        <v>#REF!</v>
      </c>
      <c r="S61" s="84" t="e">
        <f t="shared" si="10"/>
        <v>#REF!</v>
      </c>
      <c r="T61" s="156" t="e">
        <f>'Proy. ventas'!#REF!</f>
        <v>#REF!</v>
      </c>
      <c r="U61" s="84" t="e">
        <f t="shared" si="11"/>
        <v>#REF!</v>
      </c>
      <c r="V61" s="156" t="e">
        <f>'Proy. ventas'!#REF!</f>
        <v>#REF!</v>
      </c>
      <c r="W61" s="84" t="e">
        <f t="shared" si="12"/>
        <v>#REF!</v>
      </c>
      <c r="X61" s="156" t="e">
        <f>'Proy. ventas'!#REF!</f>
        <v>#REF!</v>
      </c>
      <c r="Y61" s="84" t="e">
        <f t="shared" si="13"/>
        <v>#REF!</v>
      </c>
      <c r="Z61" s="156" t="e">
        <f>'Proy. ventas'!#REF!</f>
        <v>#REF!</v>
      </c>
      <c r="AA61" s="86" t="e">
        <f t="shared" si="14"/>
        <v>#REF!</v>
      </c>
      <c r="AB61" s="192" t="e">
        <f t="shared" si="15"/>
        <v>#REF!</v>
      </c>
    </row>
    <row r="62" spans="1:28" x14ac:dyDescent="0.25">
      <c r="A62" s="688"/>
      <c r="B62" s="161"/>
      <c r="C62" s="162">
        <v>950</v>
      </c>
      <c r="D62" s="159" t="e">
        <f>'Proy. ventas'!#REF!</f>
        <v>#REF!</v>
      </c>
      <c r="E62" s="84" t="e">
        <f t="shared" si="3"/>
        <v>#REF!</v>
      </c>
      <c r="F62" s="156" t="e">
        <f>'Proy. ventas'!#REF!</f>
        <v>#REF!</v>
      </c>
      <c r="G62" s="84" t="e">
        <f t="shared" si="4"/>
        <v>#REF!</v>
      </c>
      <c r="H62" s="156" t="e">
        <f>'Proy. ventas'!#REF!</f>
        <v>#REF!</v>
      </c>
      <c r="I62" s="84" t="e">
        <f t="shared" si="5"/>
        <v>#REF!</v>
      </c>
      <c r="J62" s="156" t="e">
        <f>'Proy. ventas'!#REF!</f>
        <v>#REF!</v>
      </c>
      <c r="K62" s="84" t="e">
        <f t="shared" si="6"/>
        <v>#REF!</v>
      </c>
      <c r="L62" s="156" t="e">
        <f>'Proy. ventas'!#REF!</f>
        <v>#REF!</v>
      </c>
      <c r="M62" s="84" t="e">
        <f t="shared" si="7"/>
        <v>#REF!</v>
      </c>
      <c r="N62" s="156" t="e">
        <f>'Proy. ventas'!#REF!</f>
        <v>#REF!</v>
      </c>
      <c r="O62" s="84" t="e">
        <f t="shared" si="8"/>
        <v>#REF!</v>
      </c>
      <c r="P62" s="156" t="e">
        <f>'Proy. ventas'!#REF!</f>
        <v>#REF!</v>
      </c>
      <c r="Q62" s="84" t="e">
        <f t="shared" si="9"/>
        <v>#REF!</v>
      </c>
      <c r="R62" s="156" t="e">
        <f>'Proy. ventas'!#REF!</f>
        <v>#REF!</v>
      </c>
      <c r="S62" s="84" t="e">
        <f t="shared" si="10"/>
        <v>#REF!</v>
      </c>
      <c r="T62" s="156" t="e">
        <f>'Proy. ventas'!#REF!</f>
        <v>#REF!</v>
      </c>
      <c r="U62" s="84" t="e">
        <f t="shared" si="11"/>
        <v>#REF!</v>
      </c>
      <c r="V62" s="156" t="e">
        <f>'Proy. ventas'!#REF!</f>
        <v>#REF!</v>
      </c>
      <c r="W62" s="84" t="e">
        <f t="shared" si="12"/>
        <v>#REF!</v>
      </c>
      <c r="X62" s="156" t="e">
        <f>'Proy. ventas'!#REF!</f>
        <v>#REF!</v>
      </c>
      <c r="Y62" s="84" t="e">
        <f t="shared" si="13"/>
        <v>#REF!</v>
      </c>
      <c r="Z62" s="156" t="e">
        <f>'Proy. ventas'!#REF!</f>
        <v>#REF!</v>
      </c>
      <c r="AA62" s="86" t="e">
        <f t="shared" si="14"/>
        <v>#REF!</v>
      </c>
      <c r="AB62" s="192" t="e">
        <f t="shared" si="15"/>
        <v>#REF!</v>
      </c>
    </row>
    <row r="63" spans="1:28" x14ac:dyDescent="0.25">
      <c r="A63" s="688"/>
      <c r="B63" s="161"/>
      <c r="C63" s="162">
        <v>200</v>
      </c>
      <c r="D63" s="159" t="e">
        <f>'Proy. ventas'!#REF!</f>
        <v>#REF!</v>
      </c>
      <c r="E63" s="84" t="e">
        <f t="shared" si="3"/>
        <v>#REF!</v>
      </c>
      <c r="F63" s="156" t="e">
        <f>'Proy. ventas'!#REF!</f>
        <v>#REF!</v>
      </c>
      <c r="G63" s="84" t="e">
        <f t="shared" si="4"/>
        <v>#REF!</v>
      </c>
      <c r="H63" s="156" t="e">
        <f>'Proy. ventas'!#REF!</f>
        <v>#REF!</v>
      </c>
      <c r="I63" s="84" t="e">
        <f t="shared" si="5"/>
        <v>#REF!</v>
      </c>
      <c r="J63" s="156" t="e">
        <f>'Proy. ventas'!#REF!</f>
        <v>#REF!</v>
      </c>
      <c r="K63" s="84" t="e">
        <f t="shared" si="6"/>
        <v>#REF!</v>
      </c>
      <c r="L63" s="156" t="e">
        <f>'Proy. ventas'!#REF!</f>
        <v>#REF!</v>
      </c>
      <c r="M63" s="84" t="e">
        <f t="shared" si="7"/>
        <v>#REF!</v>
      </c>
      <c r="N63" s="156" t="e">
        <f>'Proy. ventas'!#REF!</f>
        <v>#REF!</v>
      </c>
      <c r="O63" s="84" t="e">
        <f t="shared" si="8"/>
        <v>#REF!</v>
      </c>
      <c r="P63" s="156" t="e">
        <f>'Proy. ventas'!#REF!</f>
        <v>#REF!</v>
      </c>
      <c r="Q63" s="84" t="e">
        <f t="shared" si="9"/>
        <v>#REF!</v>
      </c>
      <c r="R63" s="156" t="e">
        <f>'Proy. ventas'!#REF!</f>
        <v>#REF!</v>
      </c>
      <c r="S63" s="84" t="e">
        <f t="shared" si="10"/>
        <v>#REF!</v>
      </c>
      <c r="T63" s="156" t="e">
        <f>'Proy. ventas'!#REF!</f>
        <v>#REF!</v>
      </c>
      <c r="U63" s="84" t="e">
        <f t="shared" si="11"/>
        <v>#REF!</v>
      </c>
      <c r="V63" s="156" t="e">
        <f>'Proy. ventas'!#REF!</f>
        <v>#REF!</v>
      </c>
      <c r="W63" s="84" t="e">
        <f t="shared" si="12"/>
        <v>#REF!</v>
      </c>
      <c r="X63" s="156" t="e">
        <f>'Proy. ventas'!#REF!</f>
        <v>#REF!</v>
      </c>
      <c r="Y63" s="84" t="e">
        <f t="shared" si="13"/>
        <v>#REF!</v>
      </c>
      <c r="Z63" s="156" t="e">
        <f>'Proy. ventas'!#REF!</f>
        <v>#REF!</v>
      </c>
      <c r="AA63" s="86" t="e">
        <f t="shared" si="14"/>
        <v>#REF!</v>
      </c>
      <c r="AB63" s="192" t="e">
        <f t="shared" si="15"/>
        <v>#REF!</v>
      </c>
    </row>
    <row r="64" spans="1:28" ht="15.75" thickBot="1" x14ac:dyDescent="0.3">
      <c r="A64" s="689"/>
      <c r="B64" s="172"/>
      <c r="C64" s="173">
        <v>1150</v>
      </c>
      <c r="D64" s="174" t="e">
        <f>'Proy. ventas'!#REF!</f>
        <v>#REF!</v>
      </c>
      <c r="E64" s="107" t="e">
        <f t="shared" si="3"/>
        <v>#REF!</v>
      </c>
      <c r="F64" s="199" t="e">
        <f>'Proy. ventas'!#REF!</f>
        <v>#REF!</v>
      </c>
      <c r="G64" s="107" t="e">
        <f t="shared" si="4"/>
        <v>#REF!</v>
      </c>
      <c r="H64" s="199" t="e">
        <f>'Proy. ventas'!#REF!</f>
        <v>#REF!</v>
      </c>
      <c r="I64" s="107" t="e">
        <f t="shared" si="5"/>
        <v>#REF!</v>
      </c>
      <c r="J64" s="199" t="e">
        <f>'Proy. ventas'!#REF!</f>
        <v>#REF!</v>
      </c>
      <c r="K64" s="107" t="e">
        <f t="shared" si="6"/>
        <v>#REF!</v>
      </c>
      <c r="L64" s="199" t="e">
        <f>'Proy. ventas'!#REF!</f>
        <v>#REF!</v>
      </c>
      <c r="M64" s="107" t="e">
        <f t="shared" si="7"/>
        <v>#REF!</v>
      </c>
      <c r="N64" s="199" t="e">
        <f>'Proy. ventas'!#REF!</f>
        <v>#REF!</v>
      </c>
      <c r="O64" s="107" t="e">
        <f t="shared" si="8"/>
        <v>#REF!</v>
      </c>
      <c r="P64" s="199" t="e">
        <f>'Proy. ventas'!#REF!</f>
        <v>#REF!</v>
      </c>
      <c r="Q64" s="107" t="e">
        <f t="shared" si="9"/>
        <v>#REF!</v>
      </c>
      <c r="R64" s="199" t="e">
        <f>'Proy. ventas'!#REF!</f>
        <v>#REF!</v>
      </c>
      <c r="S64" s="107" t="e">
        <f t="shared" si="10"/>
        <v>#REF!</v>
      </c>
      <c r="T64" s="199" t="e">
        <f>'Proy. ventas'!#REF!</f>
        <v>#REF!</v>
      </c>
      <c r="U64" s="107" t="e">
        <f t="shared" si="11"/>
        <v>#REF!</v>
      </c>
      <c r="V64" s="199" t="e">
        <f>'Proy. ventas'!#REF!</f>
        <v>#REF!</v>
      </c>
      <c r="W64" s="107" t="e">
        <f t="shared" si="12"/>
        <v>#REF!</v>
      </c>
      <c r="X64" s="199" t="e">
        <f>'Proy. ventas'!#REF!</f>
        <v>#REF!</v>
      </c>
      <c r="Y64" s="107" t="e">
        <f t="shared" si="13"/>
        <v>#REF!</v>
      </c>
      <c r="Z64" s="199" t="e">
        <f>'Proy. ventas'!#REF!</f>
        <v>#REF!</v>
      </c>
      <c r="AA64" s="108" t="e">
        <f t="shared" si="14"/>
        <v>#REF!</v>
      </c>
      <c r="AB64" s="193" t="e">
        <f t="shared" si="15"/>
        <v>#REF!</v>
      </c>
    </row>
    <row r="65" spans="1:28" ht="30.75" thickBot="1" x14ac:dyDescent="0.3">
      <c r="A65" s="175" t="s">
        <v>115</v>
      </c>
      <c r="B65" s="176"/>
      <c r="C65" s="177">
        <v>300</v>
      </c>
      <c r="D65" s="178">
        <v>50</v>
      </c>
      <c r="E65" s="115">
        <f t="shared" ref="E65:E68" si="16">D65*C65</f>
        <v>15000</v>
      </c>
      <c r="F65" s="200">
        <v>20</v>
      </c>
      <c r="G65" s="115">
        <f t="shared" si="4"/>
        <v>6000</v>
      </c>
      <c r="H65" s="200">
        <v>10</v>
      </c>
      <c r="I65" s="115">
        <f t="shared" si="5"/>
        <v>3000</v>
      </c>
      <c r="J65" s="200">
        <v>5</v>
      </c>
      <c r="K65" s="115">
        <f t="shared" si="6"/>
        <v>1500</v>
      </c>
      <c r="L65" s="200">
        <v>0</v>
      </c>
      <c r="M65" s="115">
        <f t="shared" si="7"/>
        <v>0</v>
      </c>
      <c r="N65" s="200">
        <v>5</v>
      </c>
      <c r="O65" s="115">
        <f t="shared" si="8"/>
        <v>1500</v>
      </c>
      <c r="P65" s="200">
        <v>5</v>
      </c>
      <c r="Q65" s="115">
        <f t="shared" si="9"/>
        <v>1500</v>
      </c>
      <c r="R65" s="200">
        <v>0</v>
      </c>
      <c r="S65" s="115">
        <f t="shared" si="10"/>
        <v>0</v>
      </c>
      <c r="T65" s="200">
        <v>10</v>
      </c>
      <c r="U65" s="115">
        <f t="shared" si="11"/>
        <v>3000</v>
      </c>
      <c r="V65" s="200">
        <v>10</v>
      </c>
      <c r="W65" s="115">
        <f t="shared" si="12"/>
        <v>3000</v>
      </c>
      <c r="X65" s="200">
        <v>15</v>
      </c>
      <c r="Y65" s="115">
        <f t="shared" si="13"/>
        <v>4500</v>
      </c>
      <c r="Z65" s="200">
        <v>10</v>
      </c>
      <c r="AA65" s="116">
        <f t="shared" si="14"/>
        <v>3000</v>
      </c>
      <c r="AB65" s="194">
        <f t="shared" si="15"/>
        <v>42000</v>
      </c>
    </row>
    <row r="66" spans="1:28" x14ac:dyDescent="0.25">
      <c r="A66" s="682" t="s">
        <v>118</v>
      </c>
      <c r="B66" s="187"/>
      <c r="C66" s="160">
        <v>182000</v>
      </c>
      <c r="D66" s="158">
        <v>1</v>
      </c>
      <c r="E66" s="97">
        <f t="shared" si="16"/>
        <v>182000</v>
      </c>
      <c r="F66" s="157">
        <v>1</v>
      </c>
      <c r="G66" s="97">
        <f t="shared" si="4"/>
        <v>182000</v>
      </c>
      <c r="H66" s="157">
        <v>0</v>
      </c>
      <c r="I66" s="97">
        <f t="shared" si="5"/>
        <v>0</v>
      </c>
      <c r="J66" s="157">
        <v>1</v>
      </c>
      <c r="K66" s="97">
        <f t="shared" si="6"/>
        <v>182000</v>
      </c>
      <c r="L66" s="157">
        <v>1</v>
      </c>
      <c r="M66" s="97">
        <f t="shared" si="7"/>
        <v>182000</v>
      </c>
      <c r="N66" s="157">
        <v>0</v>
      </c>
      <c r="O66" s="97">
        <f t="shared" si="8"/>
        <v>0</v>
      </c>
      <c r="P66" s="157">
        <v>0</v>
      </c>
      <c r="Q66" s="97">
        <f t="shared" si="9"/>
        <v>0</v>
      </c>
      <c r="R66" s="157">
        <v>0</v>
      </c>
      <c r="S66" s="97">
        <f t="shared" si="10"/>
        <v>0</v>
      </c>
      <c r="T66" s="157">
        <v>1</v>
      </c>
      <c r="U66" s="97">
        <f t="shared" si="11"/>
        <v>182000</v>
      </c>
      <c r="V66" s="157">
        <v>0</v>
      </c>
      <c r="W66" s="97">
        <f t="shared" si="12"/>
        <v>0</v>
      </c>
      <c r="X66" s="157">
        <v>0</v>
      </c>
      <c r="Y66" s="97">
        <f t="shared" si="13"/>
        <v>0</v>
      </c>
      <c r="Z66" s="157">
        <v>1</v>
      </c>
      <c r="AA66" s="98">
        <f t="shared" si="14"/>
        <v>182000</v>
      </c>
      <c r="AB66" s="195">
        <f t="shared" si="15"/>
        <v>1092000</v>
      </c>
    </row>
    <row r="67" spans="1:28" x14ac:dyDescent="0.25">
      <c r="A67" s="683"/>
      <c r="B67" s="188"/>
      <c r="C67" s="162">
        <v>130000</v>
      </c>
      <c r="D67" s="159">
        <v>1</v>
      </c>
      <c r="E67" s="84">
        <f t="shared" si="16"/>
        <v>130000</v>
      </c>
      <c r="F67" s="156">
        <v>0</v>
      </c>
      <c r="G67" s="84">
        <f t="shared" si="4"/>
        <v>0</v>
      </c>
      <c r="H67" s="156">
        <v>0</v>
      </c>
      <c r="I67" s="84">
        <f t="shared" si="5"/>
        <v>0</v>
      </c>
      <c r="J67" s="156">
        <v>0</v>
      </c>
      <c r="K67" s="84">
        <f t="shared" si="6"/>
        <v>0</v>
      </c>
      <c r="L67" s="156">
        <v>1</v>
      </c>
      <c r="M67" s="84">
        <f t="shared" si="7"/>
        <v>130000</v>
      </c>
      <c r="N67" s="156">
        <v>0</v>
      </c>
      <c r="O67" s="84">
        <f t="shared" si="8"/>
        <v>0</v>
      </c>
      <c r="P67" s="156">
        <v>0</v>
      </c>
      <c r="Q67" s="84">
        <f t="shared" si="9"/>
        <v>0</v>
      </c>
      <c r="R67" s="156">
        <v>0</v>
      </c>
      <c r="S67" s="84">
        <f t="shared" si="10"/>
        <v>0</v>
      </c>
      <c r="T67" s="156">
        <v>1</v>
      </c>
      <c r="U67" s="84">
        <f t="shared" si="11"/>
        <v>130000</v>
      </c>
      <c r="V67" s="156">
        <v>0</v>
      </c>
      <c r="W67" s="84">
        <f t="shared" si="12"/>
        <v>0</v>
      </c>
      <c r="X67" s="156">
        <v>0</v>
      </c>
      <c r="Y67" s="84">
        <f t="shared" si="13"/>
        <v>0</v>
      </c>
      <c r="Z67" s="156">
        <v>1</v>
      </c>
      <c r="AA67" s="86">
        <f t="shared" si="14"/>
        <v>130000</v>
      </c>
      <c r="AB67" s="192">
        <f t="shared" si="15"/>
        <v>520000</v>
      </c>
    </row>
    <row r="68" spans="1:28" x14ac:dyDescent="0.25">
      <c r="A68" s="683"/>
      <c r="B68" s="163"/>
      <c r="C68" s="162">
        <v>250000</v>
      </c>
      <c r="D68" s="159">
        <v>0</v>
      </c>
      <c r="E68" s="84">
        <f t="shared" si="16"/>
        <v>0</v>
      </c>
      <c r="F68" s="156">
        <v>0</v>
      </c>
      <c r="G68" s="84">
        <f t="shared" si="4"/>
        <v>0</v>
      </c>
      <c r="H68" s="156">
        <v>0</v>
      </c>
      <c r="I68" s="84">
        <f t="shared" si="5"/>
        <v>0</v>
      </c>
      <c r="J68" s="156">
        <v>0</v>
      </c>
      <c r="K68" s="84">
        <f t="shared" si="6"/>
        <v>0</v>
      </c>
      <c r="L68" s="156">
        <v>0</v>
      </c>
      <c r="M68" s="84">
        <f t="shared" si="7"/>
        <v>0</v>
      </c>
      <c r="N68" s="156">
        <v>0</v>
      </c>
      <c r="O68" s="84">
        <f t="shared" si="8"/>
        <v>0</v>
      </c>
      <c r="P68" s="156">
        <v>0</v>
      </c>
      <c r="Q68" s="84">
        <f t="shared" si="9"/>
        <v>0</v>
      </c>
      <c r="R68" s="156">
        <v>0</v>
      </c>
      <c r="S68" s="84">
        <f t="shared" si="10"/>
        <v>0</v>
      </c>
      <c r="T68" s="156">
        <v>1</v>
      </c>
      <c r="U68" s="84">
        <f t="shared" si="11"/>
        <v>250000</v>
      </c>
      <c r="V68" s="156">
        <v>0</v>
      </c>
      <c r="W68" s="84">
        <f t="shared" si="12"/>
        <v>0</v>
      </c>
      <c r="X68" s="156">
        <v>0</v>
      </c>
      <c r="Y68" s="84">
        <f t="shared" si="13"/>
        <v>0</v>
      </c>
      <c r="Z68" s="156">
        <v>0</v>
      </c>
      <c r="AA68" s="86">
        <f t="shared" si="14"/>
        <v>0</v>
      </c>
      <c r="AB68" s="192">
        <f t="shared" si="15"/>
        <v>250000</v>
      </c>
    </row>
    <row r="69" spans="1:28" ht="15.75" thickBot="1" x14ac:dyDescent="0.3">
      <c r="A69" s="684"/>
      <c r="B69" s="179"/>
      <c r="C69" s="180">
        <v>0</v>
      </c>
      <c r="D69" s="181">
        <v>0</v>
      </c>
      <c r="E69" s="107">
        <v>0</v>
      </c>
      <c r="F69" s="201">
        <v>0</v>
      </c>
      <c r="G69" s="107">
        <v>0</v>
      </c>
      <c r="H69" s="201">
        <v>0</v>
      </c>
      <c r="I69" s="107">
        <v>0</v>
      </c>
      <c r="J69" s="201">
        <v>0</v>
      </c>
      <c r="K69" s="107">
        <v>0</v>
      </c>
      <c r="L69" s="201">
        <v>0</v>
      </c>
      <c r="M69" s="107" t="e">
        <f>($C$53*L53 + $C$54*L54+$C$55*L55)*0.15</f>
        <v>#REF!</v>
      </c>
      <c r="N69" s="201">
        <v>0</v>
      </c>
      <c r="O69" s="107" t="e">
        <f>($C$53*N53 + $C$54*N54+$C$55*N55)*0.15</f>
        <v>#REF!</v>
      </c>
      <c r="P69" s="201">
        <v>0</v>
      </c>
      <c r="Q69" s="107" t="e">
        <f>($C$53*P53 + $C$54*P54+$C$55*P55)*0.15</f>
        <v>#REF!</v>
      </c>
      <c r="R69" s="201">
        <v>0</v>
      </c>
      <c r="S69" s="107">
        <v>0</v>
      </c>
      <c r="T69" s="201">
        <v>0</v>
      </c>
      <c r="U69" s="107">
        <v>0</v>
      </c>
      <c r="V69" s="201">
        <v>0</v>
      </c>
      <c r="W69" s="107">
        <v>0</v>
      </c>
      <c r="X69" s="201">
        <v>0</v>
      </c>
      <c r="Y69" s="107">
        <v>0</v>
      </c>
      <c r="Z69" s="201">
        <v>0</v>
      </c>
      <c r="AA69" s="108">
        <v>0</v>
      </c>
      <c r="AB69" s="193" t="e">
        <f>E69+G69+I69+K69+M69+O69+Q69+S69+U69+W69+Y69+AA69</f>
        <v>#REF!</v>
      </c>
    </row>
    <row r="70" spans="1:28" ht="15.75" thickBot="1" x14ac:dyDescent="0.3">
      <c r="A70" s="175" t="s">
        <v>116</v>
      </c>
      <c r="B70" s="176"/>
      <c r="C70" s="185">
        <v>0</v>
      </c>
      <c r="D70" s="186">
        <v>0</v>
      </c>
      <c r="E70" s="115" t="e">
        <f>(D55+D54+D53)*75</f>
        <v>#REF!</v>
      </c>
      <c r="F70" s="202">
        <v>0</v>
      </c>
      <c r="G70" s="115" t="e">
        <f>(F55+F54+F53)*75</f>
        <v>#REF!</v>
      </c>
      <c r="H70" s="202">
        <v>0</v>
      </c>
      <c r="I70" s="115" t="e">
        <f>(H55+H54+H53)*75</f>
        <v>#REF!</v>
      </c>
      <c r="J70" s="202">
        <v>0</v>
      </c>
      <c r="K70" s="115" t="e">
        <f>(J55+J54+J53)*75</f>
        <v>#REF!</v>
      </c>
      <c r="L70" s="202">
        <v>0</v>
      </c>
      <c r="M70" s="115" t="e">
        <f>(L55+L54+L53)*75</f>
        <v>#REF!</v>
      </c>
      <c r="N70" s="202">
        <v>0</v>
      </c>
      <c r="O70" s="115" t="e">
        <f>(N55+N54+N53)*75</f>
        <v>#REF!</v>
      </c>
      <c r="P70" s="202">
        <v>0</v>
      </c>
      <c r="Q70" s="115" t="e">
        <f>(P55+P54+P53)*75</f>
        <v>#REF!</v>
      </c>
      <c r="R70" s="202">
        <v>0</v>
      </c>
      <c r="S70" s="115" t="e">
        <f>(R55+R54+R53)*75</f>
        <v>#REF!</v>
      </c>
      <c r="T70" s="202">
        <v>0</v>
      </c>
      <c r="U70" s="115" t="e">
        <f>(T55+T54+T53)*75</f>
        <v>#REF!</v>
      </c>
      <c r="V70" s="202">
        <v>0</v>
      </c>
      <c r="W70" s="115" t="e">
        <f>(V55+V54+V53)*75</f>
        <v>#REF!</v>
      </c>
      <c r="X70" s="202">
        <v>0</v>
      </c>
      <c r="Y70" s="115" t="e">
        <f>(X55+X54+X53)*75</f>
        <v>#REF!</v>
      </c>
      <c r="Z70" s="202">
        <v>0</v>
      </c>
      <c r="AA70" s="115" t="e">
        <f>(Z55+Z54+Z53)*75</f>
        <v>#REF!</v>
      </c>
      <c r="AB70" s="193" t="e">
        <f>E70+G70+I70+K70+M70+O70+Q70+S70+U70+W70+Y70+AA70</f>
        <v>#REF!</v>
      </c>
    </row>
    <row r="71" spans="1:28" ht="15.75" thickBot="1" x14ac:dyDescent="0.3">
      <c r="B71" s="190" t="s">
        <v>117</v>
      </c>
      <c r="C71" s="182"/>
      <c r="D71" s="183"/>
      <c r="E71" s="197" t="e">
        <f>SUM(E53:E70)</f>
        <v>#REF!</v>
      </c>
      <c r="F71" s="203"/>
      <c r="G71" s="197" t="e">
        <f>SUM(G53:G70)</f>
        <v>#REF!</v>
      </c>
      <c r="H71" s="203"/>
      <c r="I71" s="197" t="e">
        <f>SUM(I53:I70)</f>
        <v>#REF!</v>
      </c>
      <c r="J71" s="203"/>
      <c r="K71" s="197" t="e">
        <f>SUM(K53:K70)</f>
        <v>#REF!</v>
      </c>
      <c r="L71" s="203"/>
      <c r="M71" s="197" t="e">
        <f>SUM(M53:M70)</f>
        <v>#REF!</v>
      </c>
      <c r="N71" s="183"/>
      <c r="O71" s="197" t="e">
        <f>SUM(O53:O70)</f>
        <v>#REF!</v>
      </c>
      <c r="P71" s="203"/>
      <c r="Q71" s="197" t="e">
        <f>SUM(Q53:Q70)</f>
        <v>#REF!</v>
      </c>
      <c r="R71" s="203"/>
      <c r="S71" s="197" t="e">
        <f>SUM(S53:S70)</f>
        <v>#REF!</v>
      </c>
      <c r="T71" s="203"/>
      <c r="U71" s="197" t="e">
        <f>SUM(U53:U70)</f>
        <v>#REF!</v>
      </c>
      <c r="V71" s="203"/>
      <c r="W71" s="197" t="e">
        <f>SUM(W53:W70)</f>
        <v>#REF!</v>
      </c>
      <c r="X71" s="203"/>
      <c r="Y71" s="197" t="e">
        <f>SUM(Y53:Y70)</f>
        <v>#REF!</v>
      </c>
      <c r="Z71" s="203"/>
      <c r="AA71" s="196" t="e">
        <f>SUM(AA53:AA70)</f>
        <v>#REF!</v>
      </c>
      <c r="AB71" s="189" t="e">
        <f>SUM(E71:AA71)</f>
        <v>#REF!</v>
      </c>
    </row>
    <row r="73" spans="1:28" ht="15.75" thickBot="1" x14ac:dyDescent="0.3"/>
    <row r="74" spans="1:28" ht="27" thickBot="1" x14ac:dyDescent="0.45">
      <c r="B74" s="691" t="s">
        <v>119</v>
      </c>
      <c r="C74" s="692"/>
      <c r="D74" s="692"/>
      <c r="E74" s="692"/>
      <c r="F74" s="692"/>
      <c r="G74" s="692"/>
      <c r="H74" s="692"/>
      <c r="I74" s="692"/>
      <c r="J74" s="692"/>
      <c r="K74" s="692"/>
      <c r="L74" s="692"/>
      <c r="M74" s="692"/>
      <c r="N74" s="692"/>
      <c r="O74" s="692"/>
      <c r="P74" s="692"/>
      <c r="Q74" s="692"/>
      <c r="R74" s="692"/>
      <c r="S74" s="692"/>
      <c r="T74" s="692"/>
      <c r="U74" s="692"/>
      <c r="V74" s="692"/>
      <c r="W74" s="692"/>
      <c r="X74" s="692"/>
      <c r="Y74" s="692"/>
      <c r="Z74" s="692"/>
      <c r="AA74" s="692"/>
      <c r="AB74" s="693"/>
    </row>
    <row r="75" spans="1:28" x14ac:dyDescent="0.25">
      <c r="B75" s="694" t="s">
        <v>62</v>
      </c>
      <c r="C75" s="695"/>
      <c r="D75" s="690" t="s">
        <v>40</v>
      </c>
      <c r="E75" s="686"/>
      <c r="F75" s="685" t="s">
        <v>41</v>
      </c>
      <c r="G75" s="686"/>
      <c r="H75" s="685" t="s">
        <v>42</v>
      </c>
      <c r="I75" s="686"/>
      <c r="J75" s="685" t="s">
        <v>43</v>
      </c>
      <c r="K75" s="686"/>
      <c r="L75" s="685" t="s">
        <v>44</v>
      </c>
      <c r="M75" s="686"/>
      <c r="N75" s="685" t="s">
        <v>45</v>
      </c>
      <c r="O75" s="686"/>
      <c r="P75" s="685" t="s">
        <v>46</v>
      </c>
      <c r="Q75" s="686"/>
      <c r="R75" s="685" t="s">
        <v>47</v>
      </c>
      <c r="S75" s="686"/>
      <c r="T75" s="685" t="s">
        <v>48</v>
      </c>
      <c r="U75" s="686"/>
      <c r="V75" s="685" t="s">
        <v>49</v>
      </c>
      <c r="W75" s="686"/>
      <c r="X75" s="685" t="s">
        <v>50</v>
      </c>
      <c r="Y75" s="686"/>
      <c r="Z75" s="685" t="s">
        <v>51</v>
      </c>
      <c r="AA75" s="690"/>
      <c r="AB75" s="696" t="s">
        <v>19</v>
      </c>
    </row>
    <row r="76" spans="1:28" ht="15.75" thickBot="1" x14ac:dyDescent="0.3">
      <c r="B76" s="164" t="s">
        <v>71</v>
      </c>
      <c r="C76" s="165" t="s">
        <v>101</v>
      </c>
      <c r="D76" s="166" t="s">
        <v>59</v>
      </c>
      <c r="E76" s="167" t="s">
        <v>70</v>
      </c>
      <c r="F76" s="167" t="s">
        <v>59</v>
      </c>
      <c r="G76" s="167" t="s">
        <v>70</v>
      </c>
      <c r="H76" s="167" t="s">
        <v>59</v>
      </c>
      <c r="I76" s="167" t="s">
        <v>70</v>
      </c>
      <c r="J76" s="167" t="s">
        <v>59</v>
      </c>
      <c r="K76" s="167" t="s">
        <v>70</v>
      </c>
      <c r="L76" s="167" t="s">
        <v>59</v>
      </c>
      <c r="M76" s="167" t="s">
        <v>70</v>
      </c>
      <c r="N76" s="167" t="s">
        <v>59</v>
      </c>
      <c r="O76" s="167" t="s">
        <v>70</v>
      </c>
      <c r="P76" s="167" t="s">
        <v>59</v>
      </c>
      <c r="Q76" s="167" t="s">
        <v>70</v>
      </c>
      <c r="R76" s="167" t="s">
        <v>59</v>
      </c>
      <c r="S76" s="167" t="s">
        <v>70</v>
      </c>
      <c r="T76" s="167" t="s">
        <v>59</v>
      </c>
      <c r="U76" s="167" t="s">
        <v>70</v>
      </c>
      <c r="V76" s="167" t="s">
        <v>59</v>
      </c>
      <c r="W76" s="167" t="s">
        <v>70</v>
      </c>
      <c r="X76" s="167" t="s">
        <v>59</v>
      </c>
      <c r="Y76" s="167" t="s">
        <v>70</v>
      </c>
      <c r="Z76" s="167" t="s">
        <v>59</v>
      </c>
      <c r="AA76" s="168" t="s">
        <v>70</v>
      </c>
      <c r="AB76" s="697"/>
    </row>
    <row r="77" spans="1:28" x14ac:dyDescent="0.25">
      <c r="A77" s="687" t="s">
        <v>113</v>
      </c>
      <c r="B77" s="169"/>
      <c r="C77" s="170">
        <f>$E$20</f>
        <v>1360</v>
      </c>
      <c r="D77" s="171" t="e">
        <f>'Proy. ventas'!#REF!</f>
        <v>#REF!</v>
      </c>
      <c r="E77" s="103" t="e">
        <f t="shared" ref="E77:E92" si="17">D77*C77</f>
        <v>#REF!</v>
      </c>
      <c r="F77" s="198" t="e">
        <f>'Proy. ventas'!#REF!</f>
        <v>#REF!</v>
      </c>
      <c r="G77" s="103" t="e">
        <f t="shared" ref="G77:G92" si="18">F77*C77</f>
        <v>#REF!</v>
      </c>
      <c r="H77" s="198" t="e">
        <f>'Proy. ventas'!#REF!</f>
        <v>#REF!</v>
      </c>
      <c r="I77" s="103" t="e">
        <f t="shared" ref="I77:I92" si="19">H77*C77</f>
        <v>#REF!</v>
      </c>
      <c r="J77" s="198" t="e">
        <f>'Proy. ventas'!#REF!</f>
        <v>#REF!</v>
      </c>
      <c r="K77" s="103" t="e">
        <f t="shared" ref="K77:K92" si="20">J77*C77</f>
        <v>#REF!</v>
      </c>
      <c r="L77" s="198" t="e">
        <f>'Proy. ventas'!#REF!</f>
        <v>#REF!</v>
      </c>
      <c r="M77" s="103" t="e">
        <f t="shared" ref="M77:M92" si="21">L77*C77</f>
        <v>#REF!</v>
      </c>
      <c r="N77" s="198" t="e">
        <f>'Proy. ventas'!#REF!</f>
        <v>#REF!</v>
      </c>
      <c r="O77" s="103" t="e">
        <f t="shared" ref="O77:O92" si="22">N77*C77</f>
        <v>#REF!</v>
      </c>
      <c r="P77" s="198" t="e">
        <f>'Proy. ventas'!#REF!</f>
        <v>#REF!</v>
      </c>
      <c r="Q77" s="103" t="e">
        <f t="shared" ref="Q77:Q92" si="23">P77*C77</f>
        <v>#REF!</v>
      </c>
      <c r="R77" s="198" t="e">
        <f>'Proy. ventas'!#REF!</f>
        <v>#REF!</v>
      </c>
      <c r="S77" s="103" t="e">
        <f t="shared" ref="S77:S92" si="24">R77*C77</f>
        <v>#REF!</v>
      </c>
      <c r="T77" s="198" t="e">
        <f>'Proy. ventas'!#REF!</f>
        <v>#REF!</v>
      </c>
      <c r="U77" s="103" t="e">
        <f t="shared" ref="U77:U92" si="25">T77*C77</f>
        <v>#REF!</v>
      </c>
      <c r="V77" s="198" t="e">
        <f>'Proy. ventas'!#REF!</f>
        <v>#REF!</v>
      </c>
      <c r="W77" s="103" t="e">
        <f t="shared" ref="W77:W92" si="26">V77*C77</f>
        <v>#REF!</v>
      </c>
      <c r="X77" s="198" t="e">
        <f>'Proy. ventas'!#REF!</f>
        <v>#REF!</v>
      </c>
      <c r="Y77" s="103" t="e">
        <f t="shared" ref="Y77:Y92" si="27">X77*C77</f>
        <v>#REF!</v>
      </c>
      <c r="Z77" s="198" t="e">
        <f>'Proy. ventas'!#REF!</f>
        <v>#REF!</v>
      </c>
      <c r="AA77" s="104" t="e">
        <f t="shared" ref="AA77:AA92" si="28">Z77*C77</f>
        <v>#REF!</v>
      </c>
      <c r="AB77" s="191" t="e">
        <f>E77+G77+I77+K77+M77+O77+Q77+S77++U77+W77+Y77+AA77</f>
        <v>#REF!</v>
      </c>
    </row>
    <row r="78" spans="1:28" x14ac:dyDescent="0.25">
      <c r="A78" s="688"/>
      <c r="B78" s="161"/>
      <c r="C78" s="162">
        <f>$E$33</f>
        <v>5705</v>
      </c>
      <c r="D78" s="159" t="e">
        <f>'Proy. ventas'!#REF!</f>
        <v>#REF!</v>
      </c>
      <c r="E78" s="84" t="e">
        <f t="shared" si="17"/>
        <v>#REF!</v>
      </c>
      <c r="F78" s="156" t="e">
        <f>'Proy. ventas'!#REF!</f>
        <v>#REF!</v>
      </c>
      <c r="G78" s="84" t="e">
        <f t="shared" si="18"/>
        <v>#REF!</v>
      </c>
      <c r="H78" s="156" t="e">
        <f>'Proy. ventas'!#REF!</f>
        <v>#REF!</v>
      </c>
      <c r="I78" s="84" t="e">
        <f t="shared" si="19"/>
        <v>#REF!</v>
      </c>
      <c r="J78" s="156" t="e">
        <f>'Proy. ventas'!#REF!</f>
        <v>#REF!</v>
      </c>
      <c r="K78" s="84" t="e">
        <f t="shared" si="20"/>
        <v>#REF!</v>
      </c>
      <c r="L78" s="156" t="e">
        <f>'Proy. ventas'!#REF!</f>
        <v>#REF!</v>
      </c>
      <c r="M78" s="84" t="e">
        <f t="shared" si="21"/>
        <v>#REF!</v>
      </c>
      <c r="N78" s="156" t="e">
        <f>'Proy. ventas'!#REF!</f>
        <v>#REF!</v>
      </c>
      <c r="O78" s="84" t="e">
        <f t="shared" si="22"/>
        <v>#REF!</v>
      </c>
      <c r="P78" s="156" t="e">
        <f>'Proy. ventas'!#REF!</f>
        <v>#REF!</v>
      </c>
      <c r="Q78" s="84" t="e">
        <f t="shared" si="23"/>
        <v>#REF!</v>
      </c>
      <c r="R78" s="156" t="e">
        <f>'Proy. ventas'!#REF!</f>
        <v>#REF!</v>
      </c>
      <c r="S78" s="84" t="e">
        <f t="shared" si="24"/>
        <v>#REF!</v>
      </c>
      <c r="T78" s="156" t="e">
        <f>'Proy. ventas'!#REF!</f>
        <v>#REF!</v>
      </c>
      <c r="U78" s="84" t="e">
        <f t="shared" si="25"/>
        <v>#REF!</v>
      </c>
      <c r="V78" s="156" t="e">
        <f>'Proy. ventas'!#REF!</f>
        <v>#REF!</v>
      </c>
      <c r="W78" s="84" t="e">
        <f t="shared" si="26"/>
        <v>#REF!</v>
      </c>
      <c r="X78" s="156" t="e">
        <f>'Proy. ventas'!#REF!</f>
        <v>#REF!</v>
      </c>
      <c r="Y78" s="84" t="e">
        <f t="shared" si="27"/>
        <v>#REF!</v>
      </c>
      <c r="Z78" s="156" t="e">
        <f>'Proy. ventas'!#REF!</f>
        <v>#REF!</v>
      </c>
      <c r="AA78" s="86" t="e">
        <f t="shared" si="28"/>
        <v>#REF!</v>
      </c>
      <c r="AB78" s="192" t="e">
        <f t="shared" ref="AB78:AB92" si="29">E78+G78+I78+K78+M78+O78+Q78+S78++U78+W78+Y78+AA78</f>
        <v>#REF!</v>
      </c>
    </row>
    <row r="79" spans="1:28" ht="15.75" thickBot="1" x14ac:dyDescent="0.3">
      <c r="A79" s="689"/>
      <c r="B79" s="172"/>
      <c r="C79" s="173">
        <f>$E$46</f>
        <v>8105</v>
      </c>
      <c r="D79" s="174" t="e">
        <f>'Proy. ventas'!#REF!</f>
        <v>#REF!</v>
      </c>
      <c r="E79" s="107" t="e">
        <f t="shared" si="17"/>
        <v>#REF!</v>
      </c>
      <c r="F79" s="199" t="e">
        <f>'Proy. ventas'!#REF!</f>
        <v>#REF!</v>
      </c>
      <c r="G79" s="107" t="e">
        <f t="shared" si="18"/>
        <v>#REF!</v>
      </c>
      <c r="H79" s="199" t="e">
        <f>'Proy. ventas'!#REF!</f>
        <v>#REF!</v>
      </c>
      <c r="I79" s="107" t="e">
        <f t="shared" si="19"/>
        <v>#REF!</v>
      </c>
      <c r="J79" s="199" t="e">
        <f>'Proy. ventas'!#REF!</f>
        <v>#REF!</v>
      </c>
      <c r="K79" s="107" t="e">
        <f t="shared" si="20"/>
        <v>#REF!</v>
      </c>
      <c r="L79" s="199" t="e">
        <f>'Proy. ventas'!#REF!</f>
        <v>#REF!</v>
      </c>
      <c r="M79" s="107" t="e">
        <f t="shared" si="21"/>
        <v>#REF!</v>
      </c>
      <c r="N79" s="199" t="e">
        <f>'Proy. ventas'!#REF!</f>
        <v>#REF!</v>
      </c>
      <c r="O79" s="107" t="e">
        <f t="shared" si="22"/>
        <v>#REF!</v>
      </c>
      <c r="P79" s="199" t="e">
        <f>'Proy. ventas'!#REF!</f>
        <v>#REF!</v>
      </c>
      <c r="Q79" s="107" t="e">
        <f t="shared" si="23"/>
        <v>#REF!</v>
      </c>
      <c r="R79" s="199" t="e">
        <f>'Proy. ventas'!#REF!</f>
        <v>#REF!</v>
      </c>
      <c r="S79" s="107" t="e">
        <f t="shared" si="24"/>
        <v>#REF!</v>
      </c>
      <c r="T79" s="199" t="e">
        <f>'Proy. ventas'!#REF!</f>
        <v>#REF!</v>
      </c>
      <c r="U79" s="107" t="e">
        <f t="shared" si="25"/>
        <v>#REF!</v>
      </c>
      <c r="V79" s="199" t="e">
        <f>'Proy. ventas'!#REF!</f>
        <v>#REF!</v>
      </c>
      <c r="W79" s="107" t="e">
        <f t="shared" si="26"/>
        <v>#REF!</v>
      </c>
      <c r="X79" s="199" t="e">
        <f>'Proy. ventas'!#REF!</f>
        <v>#REF!</v>
      </c>
      <c r="Y79" s="107" t="e">
        <f t="shared" si="27"/>
        <v>#REF!</v>
      </c>
      <c r="Z79" s="199" t="e">
        <f>'Proy. ventas'!#REF!</f>
        <v>#REF!</v>
      </c>
      <c r="AA79" s="108" t="e">
        <f t="shared" si="28"/>
        <v>#REF!</v>
      </c>
      <c r="AB79" s="193" t="e">
        <f t="shared" si="29"/>
        <v>#REF!</v>
      </c>
    </row>
    <row r="80" spans="1:28" x14ac:dyDescent="0.25">
      <c r="A80" s="687" t="s">
        <v>114</v>
      </c>
      <c r="B80" s="169"/>
      <c r="C80" s="170">
        <v>420</v>
      </c>
      <c r="D80" s="171" t="e">
        <f>'Proy. ventas'!#REF!</f>
        <v>#REF!</v>
      </c>
      <c r="E80" s="103" t="e">
        <f t="shared" si="17"/>
        <v>#REF!</v>
      </c>
      <c r="F80" s="198" t="e">
        <f>'Proy. ventas'!#REF!</f>
        <v>#REF!</v>
      </c>
      <c r="G80" s="103" t="e">
        <f t="shared" si="18"/>
        <v>#REF!</v>
      </c>
      <c r="H80" s="198" t="e">
        <f>'Proy. ventas'!#REF!</f>
        <v>#REF!</v>
      </c>
      <c r="I80" s="103" t="e">
        <f t="shared" si="19"/>
        <v>#REF!</v>
      </c>
      <c r="J80" s="198" t="e">
        <f>'Proy. ventas'!#REF!</f>
        <v>#REF!</v>
      </c>
      <c r="K80" s="103" t="e">
        <f t="shared" si="20"/>
        <v>#REF!</v>
      </c>
      <c r="L80" s="198" t="e">
        <f>'Proy. ventas'!#REF!</f>
        <v>#REF!</v>
      </c>
      <c r="M80" s="103" t="e">
        <f t="shared" si="21"/>
        <v>#REF!</v>
      </c>
      <c r="N80" s="198" t="e">
        <f>'Proy. ventas'!#REF!</f>
        <v>#REF!</v>
      </c>
      <c r="O80" s="103" t="e">
        <f t="shared" si="22"/>
        <v>#REF!</v>
      </c>
      <c r="P80" s="198" t="e">
        <f>'Proy. ventas'!#REF!</f>
        <v>#REF!</v>
      </c>
      <c r="Q80" s="103" t="e">
        <f t="shared" si="23"/>
        <v>#REF!</v>
      </c>
      <c r="R80" s="198" t="e">
        <f>'Proy. ventas'!#REF!</f>
        <v>#REF!</v>
      </c>
      <c r="S80" s="103" t="e">
        <f t="shared" si="24"/>
        <v>#REF!</v>
      </c>
      <c r="T80" s="198" t="e">
        <f>'Proy. ventas'!#REF!</f>
        <v>#REF!</v>
      </c>
      <c r="U80" s="103" t="e">
        <f t="shared" si="25"/>
        <v>#REF!</v>
      </c>
      <c r="V80" s="198" t="e">
        <f>'Proy. ventas'!#REF!</f>
        <v>#REF!</v>
      </c>
      <c r="W80" s="103" t="e">
        <f t="shared" si="26"/>
        <v>#REF!</v>
      </c>
      <c r="X80" s="198" t="e">
        <f>'Proy. ventas'!#REF!</f>
        <v>#REF!</v>
      </c>
      <c r="Y80" s="103" t="e">
        <f t="shared" si="27"/>
        <v>#REF!</v>
      </c>
      <c r="Z80" s="198" t="e">
        <f>'Proy. ventas'!#REF!</f>
        <v>#REF!</v>
      </c>
      <c r="AA80" s="104" t="e">
        <f t="shared" si="28"/>
        <v>#REF!</v>
      </c>
      <c r="AB80" s="191" t="e">
        <f t="shared" si="29"/>
        <v>#REF!</v>
      </c>
    </row>
    <row r="81" spans="1:28" x14ac:dyDescent="0.25">
      <c r="A81" s="688"/>
      <c r="B81" s="161"/>
      <c r="C81" s="162">
        <v>300</v>
      </c>
      <c r="D81" s="159" t="e">
        <f>'Proy. ventas'!#REF!</f>
        <v>#REF!</v>
      </c>
      <c r="E81" s="84" t="e">
        <f t="shared" si="17"/>
        <v>#REF!</v>
      </c>
      <c r="F81" s="156" t="e">
        <f>'Proy. ventas'!#REF!</f>
        <v>#REF!</v>
      </c>
      <c r="G81" s="84" t="e">
        <f t="shared" si="18"/>
        <v>#REF!</v>
      </c>
      <c r="H81" s="156" t="e">
        <f>'Proy. ventas'!#REF!</f>
        <v>#REF!</v>
      </c>
      <c r="I81" s="84" t="e">
        <f t="shared" si="19"/>
        <v>#REF!</v>
      </c>
      <c r="J81" s="156" t="e">
        <f>'Proy. ventas'!#REF!</f>
        <v>#REF!</v>
      </c>
      <c r="K81" s="84" t="e">
        <f t="shared" si="20"/>
        <v>#REF!</v>
      </c>
      <c r="L81" s="156" t="e">
        <f>'Proy. ventas'!#REF!</f>
        <v>#REF!</v>
      </c>
      <c r="M81" s="84" t="e">
        <f t="shared" si="21"/>
        <v>#REF!</v>
      </c>
      <c r="N81" s="156" t="e">
        <f>'Proy. ventas'!#REF!</f>
        <v>#REF!</v>
      </c>
      <c r="O81" s="84" t="e">
        <f t="shared" si="22"/>
        <v>#REF!</v>
      </c>
      <c r="P81" s="156" t="e">
        <f>'Proy. ventas'!#REF!</f>
        <v>#REF!</v>
      </c>
      <c r="Q81" s="84" t="e">
        <f t="shared" si="23"/>
        <v>#REF!</v>
      </c>
      <c r="R81" s="156" t="e">
        <f>'Proy. ventas'!#REF!</f>
        <v>#REF!</v>
      </c>
      <c r="S81" s="84" t="e">
        <f t="shared" si="24"/>
        <v>#REF!</v>
      </c>
      <c r="T81" s="156" t="e">
        <f>'Proy. ventas'!#REF!</f>
        <v>#REF!</v>
      </c>
      <c r="U81" s="84" t="e">
        <f t="shared" si="25"/>
        <v>#REF!</v>
      </c>
      <c r="V81" s="156" t="e">
        <f>'Proy. ventas'!#REF!</f>
        <v>#REF!</v>
      </c>
      <c r="W81" s="84" t="e">
        <f t="shared" si="26"/>
        <v>#REF!</v>
      </c>
      <c r="X81" s="156" t="e">
        <f>'Proy. ventas'!#REF!</f>
        <v>#REF!</v>
      </c>
      <c r="Y81" s="84" t="e">
        <f t="shared" si="27"/>
        <v>#REF!</v>
      </c>
      <c r="Z81" s="156" t="e">
        <f>'Proy. ventas'!#REF!</f>
        <v>#REF!</v>
      </c>
      <c r="AA81" s="86" t="e">
        <f t="shared" si="28"/>
        <v>#REF!</v>
      </c>
      <c r="AB81" s="192" t="e">
        <f t="shared" si="29"/>
        <v>#REF!</v>
      </c>
    </row>
    <row r="82" spans="1:28" x14ac:dyDescent="0.25">
      <c r="A82" s="688"/>
      <c r="B82" s="161"/>
      <c r="C82" s="162">
        <v>1800</v>
      </c>
      <c r="D82" s="159" t="e">
        <f>'Proy. ventas'!#REF!</f>
        <v>#REF!</v>
      </c>
      <c r="E82" s="84" t="e">
        <f t="shared" si="17"/>
        <v>#REF!</v>
      </c>
      <c r="F82" s="156" t="e">
        <f>'Proy. ventas'!#REF!</f>
        <v>#REF!</v>
      </c>
      <c r="G82" s="84" t="e">
        <f t="shared" si="18"/>
        <v>#REF!</v>
      </c>
      <c r="H82" s="156" t="e">
        <f>'Proy. ventas'!#REF!</f>
        <v>#REF!</v>
      </c>
      <c r="I82" s="84" t="e">
        <f t="shared" si="19"/>
        <v>#REF!</v>
      </c>
      <c r="J82" s="156" t="e">
        <f>'Proy. ventas'!#REF!</f>
        <v>#REF!</v>
      </c>
      <c r="K82" s="84" t="e">
        <f t="shared" si="20"/>
        <v>#REF!</v>
      </c>
      <c r="L82" s="156" t="e">
        <f>'Proy. ventas'!#REF!</f>
        <v>#REF!</v>
      </c>
      <c r="M82" s="84" t="e">
        <f t="shared" si="21"/>
        <v>#REF!</v>
      </c>
      <c r="N82" s="156" t="e">
        <f>'Proy. ventas'!#REF!</f>
        <v>#REF!</v>
      </c>
      <c r="O82" s="84" t="e">
        <f t="shared" si="22"/>
        <v>#REF!</v>
      </c>
      <c r="P82" s="156" t="e">
        <f>'Proy. ventas'!#REF!</f>
        <v>#REF!</v>
      </c>
      <c r="Q82" s="84" t="e">
        <f t="shared" si="23"/>
        <v>#REF!</v>
      </c>
      <c r="R82" s="156" t="e">
        <f>'Proy. ventas'!#REF!</f>
        <v>#REF!</v>
      </c>
      <c r="S82" s="84" t="e">
        <f t="shared" si="24"/>
        <v>#REF!</v>
      </c>
      <c r="T82" s="156" t="e">
        <f>'Proy. ventas'!#REF!</f>
        <v>#REF!</v>
      </c>
      <c r="U82" s="84" t="e">
        <f t="shared" si="25"/>
        <v>#REF!</v>
      </c>
      <c r="V82" s="156" t="e">
        <f>'Proy. ventas'!#REF!</f>
        <v>#REF!</v>
      </c>
      <c r="W82" s="84" t="e">
        <f t="shared" si="26"/>
        <v>#REF!</v>
      </c>
      <c r="X82" s="156" t="e">
        <f>'Proy. ventas'!#REF!</f>
        <v>#REF!</v>
      </c>
      <c r="Y82" s="84" t="e">
        <f t="shared" si="27"/>
        <v>#REF!</v>
      </c>
      <c r="Z82" s="156" t="e">
        <f>'Proy. ventas'!#REF!</f>
        <v>#REF!</v>
      </c>
      <c r="AA82" s="86" t="e">
        <f t="shared" si="28"/>
        <v>#REF!</v>
      </c>
      <c r="AB82" s="192" t="e">
        <f t="shared" si="29"/>
        <v>#REF!</v>
      </c>
    </row>
    <row r="83" spans="1:28" x14ac:dyDescent="0.25">
      <c r="A83" s="688"/>
      <c r="B83" s="161"/>
      <c r="C83" s="162">
        <v>180</v>
      </c>
      <c r="D83" s="159" t="e">
        <f>'Proy. ventas'!#REF!</f>
        <v>#REF!</v>
      </c>
      <c r="E83" s="84" t="e">
        <f t="shared" si="17"/>
        <v>#REF!</v>
      </c>
      <c r="F83" s="156" t="e">
        <f>'Proy. ventas'!#REF!</f>
        <v>#REF!</v>
      </c>
      <c r="G83" s="84" t="e">
        <f t="shared" si="18"/>
        <v>#REF!</v>
      </c>
      <c r="H83" s="156" t="e">
        <f>'Proy. ventas'!#REF!</f>
        <v>#REF!</v>
      </c>
      <c r="I83" s="84" t="e">
        <f t="shared" si="19"/>
        <v>#REF!</v>
      </c>
      <c r="J83" s="156" t="e">
        <f>'Proy. ventas'!#REF!</f>
        <v>#REF!</v>
      </c>
      <c r="K83" s="84" t="e">
        <f t="shared" si="20"/>
        <v>#REF!</v>
      </c>
      <c r="L83" s="156" t="e">
        <f>'Proy. ventas'!#REF!</f>
        <v>#REF!</v>
      </c>
      <c r="M83" s="84" t="e">
        <f t="shared" si="21"/>
        <v>#REF!</v>
      </c>
      <c r="N83" s="156" t="e">
        <f>'Proy. ventas'!#REF!</f>
        <v>#REF!</v>
      </c>
      <c r="O83" s="84" t="e">
        <f t="shared" si="22"/>
        <v>#REF!</v>
      </c>
      <c r="P83" s="156" t="e">
        <f>'Proy. ventas'!#REF!</f>
        <v>#REF!</v>
      </c>
      <c r="Q83" s="84" t="e">
        <f t="shared" si="23"/>
        <v>#REF!</v>
      </c>
      <c r="R83" s="156" t="e">
        <f>'Proy. ventas'!#REF!</f>
        <v>#REF!</v>
      </c>
      <c r="S83" s="84" t="e">
        <f t="shared" si="24"/>
        <v>#REF!</v>
      </c>
      <c r="T83" s="156" t="e">
        <f>'Proy. ventas'!#REF!</f>
        <v>#REF!</v>
      </c>
      <c r="U83" s="84" t="e">
        <f t="shared" si="25"/>
        <v>#REF!</v>
      </c>
      <c r="V83" s="156" t="e">
        <f>'Proy. ventas'!#REF!</f>
        <v>#REF!</v>
      </c>
      <c r="W83" s="84" t="e">
        <f t="shared" si="26"/>
        <v>#REF!</v>
      </c>
      <c r="X83" s="156" t="e">
        <f>'Proy. ventas'!#REF!</f>
        <v>#REF!</v>
      </c>
      <c r="Y83" s="84" t="e">
        <f t="shared" si="27"/>
        <v>#REF!</v>
      </c>
      <c r="Z83" s="156" t="e">
        <f>'Proy. ventas'!#REF!</f>
        <v>#REF!</v>
      </c>
      <c r="AA83" s="86" t="e">
        <f t="shared" si="28"/>
        <v>#REF!</v>
      </c>
      <c r="AB83" s="192" t="e">
        <f t="shared" si="29"/>
        <v>#REF!</v>
      </c>
    </row>
    <row r="84" spans="1:28" x14ac:dyDescent="0.25">
      <c r="A84" s="688"/>
      <c r="B84" s="161"/>
      <c r="C84" s="162">
        <v>1250</v>
      </c>
      <c r="D84" s="159" t="e">
        <f>'Proy. ventas'!#REF!</f>
        <v>#REF!</v>
      </c>
      <c r="E84" s="84" t="e">
        <f t="shared" si="17"/>
        <v>#REF!</v>
      </c>
      <c r="F84" s="156" t="e">
        <f>'Proy. ventas'!#REF!</f>
        <v>#REF!</v>
      </c>
      <c r="G84" s="84" t="e">
        <f t="shared" si="18"/>
        <v>#REF!</v>
      </c>
      <c r="H84" s="156" t="e">
        <f>'Proy. ventas'!#REF!</f>
        <v>#REF!</v>
      </c>
      <c r="I84" s="84" t="e">
        <f t="shared" si="19"/>
        <v>#REF!</v>
      </c>
      <c r="J84" s="156" t="e">
        <f>'Proy. ventas'!#REF!</f>
        <v>#REF!</v>
      </c>
      <c r="K84" s="84" t="e">
        <f t="shared" si="20"/>
        <v>#REF!</v>
      </c>
      <c r="L84" s="156" t="e">
        <f>'Proy. ventas'!#REF!</f>
        <v>#REF!</v>
      </c>
      <c r="M84" s="84" t="e">
        <f t="shared" si="21"/>
        <v>#REF!</v>
      </c>
      <c r="N84" s="156" t="e">
        <f>'Proy. ventas'!#REF!</f>
        <v>#REF!</v>
      </c>
      <c r="O84" s="84" t="e">
        <f t="shared" si="22"/>
        <v>#REF!</v>
      </c>
      <c r="P84" s="156" t="e">
        <f>'Proy. ventas'!#REF!</f>
        <v>#REF!</v>
      </c>
      <c r="Q84" s="84" t="e">
        <f t="shared" si="23"/>
        <v>#REF!</v>
      </c>
      <c r="R84" s="156" t="e">
        <f>'Proy. ventas'!#REF!</f>
        <v>#REF!</v>
      </c>
      <c r="S84" s="84" t="e">
        <f t="shared" si="24"/>
        <v>#REF!</v>
      </c>
      <c r="T84" s="156" t="e">
        <f>'Proy. ventas'!#REF!</f>
        <v>#REF!</v>
      </c>
      <c r="U84" s="84" t="e">
        <f t="shared" si="25"/>
        <v>#REF!</v>
      </c>
      <c r="V84" s="156" t="e">
        <f>'Proy. ventas'!#REF!</f>
        <v>#REF!</v>
      </c>
      <c r="W84" s="84" t="e">
        <f t="shared" si="26"/>
        <v>#REF!</v>
      </c>
      <c r="X84" s="156" t="e">
        <f>'Proy. ventas'!#REF!</f>
        <v>#REF!</v>
      </c>
      <c r="Y84" s="84" t="e">
        <f t="shared" si="27"/>
        <v>#REF!</v>
      </c>
      <c r="Z84" s="156" t="e">
        <f>'Proy. ventas'!#REF!</f>
        <v>#REF!</v>
      </c>
      <c r="AA84" s="86" t="e">
        <f t="shared" si="28"/>
        <v>#REF!</v>
      </c>
      <c r="AB84" s="192" t="e">
        <f t="shared" si="29"/>
        <v>#REF!</v>
      </c>
    </row>
    <row r="85" spans="1:28" x14ac:dyDescent="0.25">
      <c r="A85" s="688"/>
      <c r="B85" s="161"/>
      <c r="C85" s="162">
        <v>350</v>
      </c>
      <c r="D85" s="159" t="e">
        <f>'Proy. ventas'!#REF!</f>
        <v>#REF!</v>
      </c>
      <c r="E85" s="84" t="e">
        <f t="shared" si="17"/>
        <v>#REF!</v>
      </c>
      <c r="F85" s="156" t="e">
        <f>'Proy. ventas'!#REF!</f>
        <v>#REF!</v>
      </c>
      <c r="G85" s="84" t="e">
        <f t="shared" si="18"/>
        <v>#REF!</v>
      </c>
      <c r="H85" s="156" t="e">
        <f>'Proy. ventas'!#REF!</f>
        <v>#REF!</v>
      </c>
      <c r="I85" s="84" t="e">
        <f t="shared" si="19"/>
        <v>#REF!</v>
      </c>
      <c r="J85" s="156" t="e">
        <f>'Proy. ventas'!#REF!</f>
        <v>#REF!</v>
      </c>
      <c r="K85" s="84" t="e">
        <f t="shared" si="20"/>
        <v>#REF!</v>
      </c>
      <c r="L85" s="156" t="e">
        <f>'Proy. ventas'!#REF!</f>
        <v>#REF!</v>
      </c>
      <c r="M85" s="84" t="e">
        <f t="shared" si="21"/>
        <v>#REF!</v>
      </c>
      <c r="N85" s="156" t="e">
        <f>'Proy. ventas'!#REF!</f>
        <v>#REF!</v>
      </c>
      <c r="O85" s="84" t="e">
        <f t="shared" si="22"/>
        <v>#REF!</v>
      </c>
      <c r="P85" s="156" t="e">
        <f>'Proy. ventas'!#REF!</f>
        <v>#REF!</v>
      </c>
      <c r="Q85" s="84" t="e">
        <f t="shared" si="23"/>
        <v>#REF!</v>
      </c>
      <c r="R85" s="156" t="e">
        <f>'Proy. ventas'!#REF!</f>
        <v>#REF!</v>
      </c>
      <c r="S85" s="84" t="e">
        <f t="shared" si="24"/>
        <v>#REF!</v>
      </c>
      <c r="T85" s="156" t="e">
        <f>'Proy. ventas'!#REF!</f>
        <v>#REF!</v>
      </c>
      <c r="U85" s="84" t="e">
        <f t="shared" si="25"/>
        <v>#REF!</v>
      </c>
      <c r="V85" s="156" t="e">
        <f>'Proy. ventas'!#REF!</f>
        <v>#REF!</v>
      </c>
      <c r="W85" s="84" t="e">
        <f t="shared" si="26"/>
        <v>#REF!</v>
      </c>
      <c r="X85" s="156" t="e">
        <f>'Proy. ventas'!#REF!</f>
        <v>#REF!</v>
      </c>
      <c r="Y85" s="84" t="e">
        <f t="shared" si="27"/>
        <v>#REF!</v>
      </c>
      <c r="Z85" s="156" t="e">
        <f>'Proy. ventas'!#REF!</f>
        <v>#REF!</v>
      </c>
      <c r="AA85" s="86" t="e">
        <f t="shared" si="28"/>
        <v>#REF!</v>
      </c>
      <c r="AB85" s="192" t="e">
        <f t="shared" si="29"/>
        <v>#REF!</v>
      </c>
    </row>
    <row r="86" spans="1:28" x14ac:dyDescent="0.25">
      <c r="A86" s="688"/>
      <c r="B86" s="161"/>
      <c r="C86" s="162">
        <v>950</v>
      </c>
      <c r="D86" s="159" t="e">
        <f>'Proy. ventas'!#REF!</f>
        <v>#REF!</v>
      </c>
      <c r="E86" s="84" t="e">
        <f t="shared" si="17"/>
        <v>#REF!</v>
      </c>
      <c r="F86" s="156" t="e">
        <f>'Proy. ventas'!#REF!</f>
        <v>#REF!</v>
      </c>
      <c r="G86" s="84" t="e">
        <f t="shared" si="18"/>
        <v>#REF!</v>
      </c>
      <c r="H86" s="156" t="e">
        <f>'Proy. ventas'!#REF!</f>
        <v>#REF!</v>
      </c>
      <c r="I86" s="84" t="e">
        <f t="shared" si="19"/>
        <v>#REF!</v>
      </c>
      <c r="J86" s="156" t="e">
        <f>'Proy. ventas'!#REF!</f>
        <v>#REF!</v>
      </c>
      <c r="K86" s="84" t="e">
        <f t="shared" si="20"/>
        <v>#REF!</v>
      </c>
      <c r="L86" s="156" t="e">
        <f>'Proy. ventas'!#REF!</f>
        <v>#REF!</v>
      </c>
      <c r="M86" s="84" t="e">
        <f t="shared" si="21"/>
        <v>#REF!</v>
      </c>
      <c r="N86" s="156" t="e">
        <f>'Proy. ventas'!#REF!</f>
        <v>#REF!</v>
      </c>
      <c r="O86" s="84" t="e">
        <f t="shared" si="22"/>
        <v>#REF!</v>
      </c>
      <c r="P86" s="156" t="e">
        <f>'Proy. ventas'!#REF!</f>
        <v>#REF!</v>
      </c>
      <c r="Q86" s="84" t="e">
        <f t="shared" si="23"/>
        <v>#REF!</v>
      </c>
      <c r="R86" s="156" t="e">
        <f>'Proy. ventas'!#REF!</f>
        <v>#REF!</v>
      </c>
      <c r="S86" s="84" t="e">
        <f t="shared" si="24"/>
        <v>#REF!</v>
      </c>
      <c r="T86" s="156" t="e">
        <f>'Proy. ventas'!#REF!</f>
        <v>#REF!</v>
      </c>
      <c r="U86" s="84" t="e">
        <f t="shared" si="25"/>
        <v>#REF!</v>
      </c>
      <c r="V86" s="156" t="e">
        <f>'Proy. ventas'!#REF!</f>
        <v>#REF!</v>
      </c>
      <c r="W86" s="84" t="e">
        <f t="shared" si="26"/>
        <v>#REF!</v>
      </c>
      <c r="X86" s="156" t="e">
        <f>'Proy. ventas'!#REF!</f>
        <v>#REF!</v>
      </c>
      <c r="Y86" s="84" t="e">
        <f t="shared" si="27"/>
        <v>#REF!</v>
      </c>
      <c r="Z86" s="156" t="e">
        <f>'Proy. ventas'!#REF!</f>
        <v>#REF!</v>
      </c>
      <c r="AA86" s="86" t="e">
        <f t="shared" si="28"/>
        <v>#REF!</v>
      </c>
      <c r="AB86" s="192" t="e">
        <f t="shared" si="29"/>
        <v>#REF!</v>
      </c>
    </row>
    <row r="87" spans="1:28" x14ac:dyDescent="0.25">
      <c r="A87" s="688"/>
      <c r="B87" s="161"/>
      <c r="C87" s="162">
        <v>200</v>
      </c>
      <c r="D87" s="159" t="e">
        <f>'Proy. ventas'!#REF!</f>
        <v>#REF!</v>
      </c>
      <c r="E87" s="84" t="e">
        <f t="shared" si="17"/>
        <v>#REF!</v>
      </c>
      <c r="F87" s="156" t="e">
        <f>'Proy. ventas'!#REF!</f>
        <v>#REF!</v>
      </c>
      <c r="G87" s="84" t="e">
        <f t="shared" si="18"/>
        <v>#REF!</v>
      </c>
      <c r="H87" s="156" t="e">
        <f>'Proy. ventas'!#REF!</f>
        <v>#REF!</v>
      </c>
      <c r="I87" s="84" t="e">
        <f t="shared" si="19"/>
        <v>#REF!</v>
      </c>
      <c r="J87" s="156" t="e">
        <f>'Proy. ventas'!#REF!</f>
        <v>#REF!</v>
      </c>
      <c r="K87" s="84" t="e">
        <f t="shared" si="20"/>
        <v>#REF!</v>
      </c>
      <c r="L87" s="156" t="e">
        <f>'Proy. ventas'!#REF!</f>
        <v>#REF!</v>
      </c>
      <c r="M87" s="84" t="e">
        <f t="shared" si="21"/>
        <v>#REF!</v>
      </c>
      <c r="N87" s="156" t="e">
        <f>'Proy. ventas'!#REF!</f>
        <v>#REF!</v>
      </c>
      <c r="O87" s="84" t="e">
        <f t="shared" si="22"/>
        <v>#REF!</v>
      </c>
      <c r="P87" s="156" t="e">
        <f>'Proy. ventas'!#REF!</f>
        <v>#REF!</v>
      </c>
      <c r="Q87" s="84" t="e">
        <f t="shared" si="23"/>
        <v>#REF!</v>
      </c>
      <c r="R87" s="156" t="e">
        <f>'Proy. ventas'!#REF!</f>
        <v>#REF!</v>
      </c>
      <c r="S87" s="84" t="e">
        <f t="shared" si="24"/>
        <v>#REF!</v>
      </c>
      <c r="T87" s="156" t="e">
        <f>'Proy. ventas'!#REF!</f>
        <v>#REF!</v>
      </c>
      <c r="U87" s="84" t="e">
        <f t="shared" si="25"/>
        <v>#REF!</v>
      </c>
      <c r="V87" s="156" t="e">
        <f>'Proy. ventas'!#REF!</f>
        <v>#REF!</v>
      </c>
      <c r="W87" s="84" t="e">
        <f t="shared" si="26"/>
        <v>#REF!</v>
      </c>
      <c r="X87" s="156" t="e">
        <f>'Proy. ventas'!#REF!</f>
        <v>#REF!</v>
      </c>
      <c r="Y87" s="84" t="e">
        <f t="shared" si="27"/>
        <v>#REF!</v>
      </c>
      <c r="Z87" s="156" t="e">
        <f>'Proy. ventas'!#REF!</f>
        <v>#REF!</v>
      </c>
      <c r="AA87" s="86" t="e">
        <f t="shared" si="28"/>
        <v>#REF!</v>
      </c>
      <c r="AB87" s="192" t="e">
        <f t="shared" si="29"/>
        <v>#REF!</v>
      </c>
    </row>
    <row r="88" spans="1:28" ht="15.75" thickBot="1" x14ac:dyDescent="0.3">
      <c r="A88" s="689"/>
      <c r="B88" s="172"/>
      <c r="C88" s="173">
        <v>1150</v>
      </c>
      <c r="D88" s="174" t="e">
        <f>'Proy. ventas'!#REF!</f>
        <v>#REF!</v>
      </c>
      <c r="E88" s="107" t="e">
        <f t="shared" si="17"/>
        <v>#REF!</v>
      </c>
      <c r="F88" s="199" t="e">
        <f>'Proy. ventas'!#REF!</f>
        <v>#REF!</v>
      </c>
      <c r="G88" s="107" t="e">
        <f t="shared" si="18"/>
        <v>#REF!</v>
      </c>
      <c r="H88" s="199" t="e">
        <f>'Proy. ventas'!#REF!</f>
        <v>#REF!</v>
      </c>
      <c r="I88" s="107" t="e">
        <f t="shared" si="19"/>
        <v>#REF!</v>
      </c>
      <c r="J88" s="199" t="e">
        <f>'Proy. ventas'!#REF!</f>
        <v>#REF!</v>
      </c>
      <c r="K88" s="107" t="e">
        <f t="shared" si="20"/>
        <v>#REF!</v>
      </c>
      <c r="L88" s="199" t="e">
        <f>'Proy. ventas'!#REF!</f>
        <v>#REF!</v>
      </c>
      <c r="M88" s="107" t="e">
        <f t="shared" si="21"/>
        <v>#REF!</v>
      </c>
      <c r="N88" s="199" t="e">
        <f>'Proy. ventas'!#REF!</f>
        <v>#REF!</v>
      </c>
      <c r="O88" s="107" t="e">
        <f t="shared" si="22"/>
        <v>#REF!</v>
      </c>
      <c r="P88" s="199" t="e">
        <f>'Proy. ventas'!#REF!</f>
        <v>#REF!</v>
      </c>
      <c r="Q88" s="107" t="e">
        <f t="shared" si="23"/>
        <v>#REF!</v>
      </c>
      <c r="R88" s="199" t="e">
        <f>'Proy. ventas'!#REF!</f>
        <v>#REF!</v>
      </c>
      <c r="S88" s="107" t="e">
        <f t="shared" si="24"/>
        <v>#REF!</v>
      </c>
      <c r="T88" s="199" t="e">
        <f>'Proy. ventas'!#REF!</f>
        <v>#REF!</v>
      </c>
      <c r="U88" s="107" t="e">
        <f t="shared" si="25"/>
        <v>#REF!</v>
      </c>
      <c r="V88" s="199" t="e">
        <f>'Proy. ventas'!#REF!</f>
        <v>#REF!</v>
      </c>
      <c r="W88" s="107" t="e">
        <f t="shared" si="26"/>
        <v>#REF!</v>
      </c>
      <c r="X88" s="199" t="e">
        <f>'Proy. ventas'!#REF!</f>
        <v>#REF!</v>
      </c>
      <c r="Y88" s="107" t="e">
        <f t="shared" si="27"/>
        <v>#REF!</v>
      </c>
      <c r="Z88" s="199" t="e">
        <f>'Proy. ventas'!#REF!</f>
        <v>#REF!</v>
      </c>
      <c r="AA88" s="108" t="e">
        <f t="shared" si="28"/>
        <v>#REF!</v>
      </c>
      <c r="AB88" s="193" t="e">
        <f t="shared" si="29"/>
        <v>#REF!</v>
      </c>
    </row>
    <row r="89" spans="1:28" ht="30.75" thickBot="1" x14ac:dyDescent="0.3">
      <c r="A89" s="208" t="s">
        <v>115</v>
      </c>
      <c r="B89" s="209"/>
      <c r="C89" s="210">
        <v>300</v>
      </c>
      <c r="D89" s="204">
        <v>50</v>
      </c>
      <c r="E89" s="184">
        <f t="shared" si="17"/>
        <v>15000</v>
      </c>
      <c r="F89" s="205">
        <v>20</v>
      </c>
      <c r="G89" s="184">
        <f t="shared" si="18"/>
        <v>6000</v>
      </c>
      <c r="H89" s="205">
        <v>10</v>
      </c>
      <c r="I89" s="184">
        <f t="shared" si="19"/>
        <v>3000</v>
      </c>
      <c r="J89" s="205">
        <v>5</v>
      </c>
      <c r="K89" s="184">
        <f t="shared" si="20"/>
        <v>1500</v>
      </c>
      <c r="L89" s="205">
        <v>0</v>
      </c>
      <c r="M89" s="184">
        <f t="shared" si="21"/>
        <v>0</v>
      </c>
      <c r="N89" s="205">
        <v>5</v>
      </c>
      <c r="O89" s="184">
        <f t="shared" si="22"/>
        <v>1500</v>
      </c>
      <c r="P89" s="205">
        <v>5</v>
      </c>
      <c r="Q89" s="184">
        <f t="shared" si="23"/>
        <v>1500</v>
      </c>
      <c r="R89" s="205">
        <v>0</v>
      </c>
      <c r="S89" s="184">
        <f t="shared" si="24"/>
        <v>0</v>
      </c>
      <c r="T89" s="205">
        <v>10</v>
      </c>
      <c r="U89" s="184">
        <f t="shared" si="25"/>
        <v>3000</v>
      </c>
      <c r="V89" s="205">
        <v>10</v>
      </c>
      <c r="W89" s="184">
        <f t="shared" si="26"/>
        <v>3000</v>
      </c>
      <c r="X89" s="205">
        <v>15</v>
      </c>
      <c r="Y89" s="184">
        <f t="shared" si="27"/>
        <v>4500</v>
      </c>
      <c r="Z89" s="205">
        <v>10</v>
      </c>
      <c r="AA89" s="206">
        <f t="shared" si="28"/>
        <v>3000</v>
      </c>
      <c r="AB89" s="207">
        <f t="shared" si="29"/>
        <v>42000</v>
      </c>
    </row>
    <row r="90" spans="1:28" x14ac:dyDescent="0.25">
      <c r="A90" s="682" t="s">
        <v>118</v>
      </c>
      <c r="B90" s="187"/>
      <c r="C90" s="160">
        <v>182000</v>
      </c>
      <c r="D90" s="158">
        <v>1</v>
      </c>
      <c r="E90" s="97">
        <f t="shared" si="17"/>
        <v>182000</v>
      </c>
      <c r="F90" s="157">
        <v>1</v>
      </c>
      <c r="G90" s="97">
        <f t="shared" si="18"/>
        <v>182000</v>
      </c>
      <c r="H90" s="157">
        <v>0</v>
      </c>
      <c r="I90" s="97">
        <f t="shared" si="19"/>
        <v>0</v>
      </c>
      <c r="J90" s="157">
        <v>1</v>
      </c>
      <c r="K90" s="97">
        <f t="shared" si="20"/>
        <v>182000</v>
      </c>
      <c r="L90" s="157">
        <v>1</v>
      </c>
      <c r="M90" s="97">
        <f t="shared" si="21"/>
        <v>182000</v>
      </c>
      <c r="N90" s="157">
        <v>0</v>
      </c>
      <c r="O90" s="97">
        <f t="shared" si="22"/>
        <v>0</v>
      </c>
      <c r="P90" s="157">
        <v>0</v>
      </c>
      <c r="Q90" s="97">
        <f t="shared" si="23"/>
        <v>0</v>
      </c>
      <c r="R90" s="157">
        <v>0</v>
      </c>
      <c r="S90" s="97">
        <f t="shared" si="24"/>
        <v>0</v>
      </c>
      <c r="T90" s="157">
        <v>1</v>
      </c>
      <c r="U90" s="97">
        <f t="shared" si="25"/>
        <v>182000</v>
      </c>
      <c r="V90" s="157">
        <v>0</v>
      </c>
      <c r="W90" s="97">
        <f t="shared" si="26"/>
        <v>0</v>
      </c>
      <c r="X90" s="157">
        <v>0</v>
      </c>
      <c r="Y90" s="97">
        <f t="shared" si="27"/>
        <v>0</v>
      </c>
      <c r="Z90" s="157">
        <v>1</v>
      </c>
      <c r="AA90" s="98">
        <f t="shared" si="28"/>
        <v>182000</v>
      </c>
      <c r="AB90" s="195">
        <f t="shared" si="29"/>
        <v>1092000</v>
      </c>
    </row>
    <row r="91" spans="1:28" x14ac:dyDescent="0.25">
      <c r="A91" s="683"/>
      <c r="B91" s="188"/>
      <c r="C91" s="162">
        <v>130000</v>
      </c>
      <c r="D91" s="159">
        <v>1</v>
      </c>
      <c r="E91" s="84">
        <f t="shared" si="17"/>
        <v>130000</v>
      </c>
      <c r="F91" s="156">
        <v>0</v>
      </c>
      <c r="G91" s="84">
        <f t="shared" si="18"/>
        <v>0</v>
      </c>
      <c r="H91" s="156">
        <v>0</v>
      </c>
      <c r="I91" s="84">
        <f t="shared" si="19"/>
        <v>0</v>
      </c>
      <c r="J91" s="156">
        <v>0</v>
      </c>
      <c r="K91" s="84">
        <f t="shared" si="20"/>
        <v>0</v>
      </c>
      <c r="L91" s="156">
        <v>1</v>
      </c>
      <c r="M91" s="84">
        <f t="shared" si="21"/>
        <v>130000</v>
      </c>
      <c r="N91" s="156">
        <v>0</v>
      </c>
      <c r="O91" s="84">
        <f t="shared" si="22"/>
        <v>0</v>
      </c>
      <c r="P91" s="156">
        <v>0</v>
      </c>
      <c r="Q91" s="84">
        <f t="shared" si="23"/>
        <v>0</v>
      </c>
      <c r="R91" s="156">
        <v>0</v>
      </c>
      <c r="S91" s="84">
        <f t="shared" si="24"/>
        <v>0</v>
      </c>
      <c r="T91" s="156">
        <v>1</v>
      </c>
      <c r="U91" s="84">
        <f t="shared" si="25"/>
        <v>130000</v>
      </c>
      <c r="V91" s="156">
        <v>0</v>
      </c>
      <c r="W91" s="84">
        <f t="shared" si="26"/>
        <v>0</v>
      </c>
      <c r="X91" s="156">
        <v>0</v>
      </c>
      <c r="Y91" s="84">
        <f t="shared" si="27"/>
        <v>0</v>
      </c>
      <c r="Z91" s="156">
        <v>1</v>
      </c>
      <c r="AA91" s="86">
        <f t="shared" si="28"/>
        <v>130000</v>
      </c>
      <c r="AB91" s="192">
        <f t="shared" si="29"/>
        <v>520000</v>
      </c>
    </row>
    <row r="92" spans="1:28" x14ac:dyDescent="0.25">
      <c r="A92" s="683"/>
      <c r="B92" s="163"/>
      <c r="C92" s="162">
        <v>250000</v>
      </c>
      <c r="D92" s="159">
        <v>0</v>
      </c>
      <c r="E92" s="84">
        <f t="shared" si="17"/>
        <v>0</v>
      </c>
      <c r="F92" s="156">
        <v>0</v>
      </c>
      <c r="G92" s="84">
        <f t="shared" si="18"/>
        <v>0</v>
      </c>
      <c r="H92" s="156">
        <v>0</v>
      </c>
      <c r="I92" s="84">
        <f t="shared" si="19"/>
        <v>0</v>
      </c>
      <c r="J92" s="156">
        <v>0</v>
      </c>
      <c r="K92" s="84">
        <f t="shared" si="20"/>
        <v>0</v>
      </c>
      <c r="L92" s="156">
        <v>0</v>
      </c>
      <c r="M92" s="84">
        <f t="shared" si="21"/>
        <v>0</v>
      </c>
      <c r="N92" s="156">
        <v>0</v>
      </c>
      <c r="O92" s="84">
        <f t="shared" si="22"/>
        <v>0</v>
      </c>
      <c r="P92" s="156">
        <v>0</v>
      </c>
      <c r="Q92" s="84">
        <f t="shared" si="23"/>
        <v>0</v>
      </c>
      <c r="R92" s="156">
        <v>0</v>
      </c>
      <c r="S92" s="84">
        <f t="shared" si="24"/>
        <v>0</v>
      </c>
      <c r="T92" s="156">
        <v>1</v>
      </c>
      <c r="U92" s="84">
        <f t="shared" si="25"/>
        <v>250000</v>
      </c>
      <c r="V92" s="156">
        <v>0</v>
      </c>
      <c r="W92" s="84">
        <f t="shared" si="26"/>
        <v>0</v>
      </c>
      <c r="X92" s="156">
        <v>0</v>
      </c>
      <c r="Y92" s="84">
        <f t="shared" si="27"/>
        <v>0</v>
      </c>
      <c r="Z92" s="156">
        <v>0</v>
      </c>
      <c r="AA92" s="86">
        <f t="shared" si="28"/>
        <v>0</v>
      </c>
      <c r="AB92" s="192">
        <f t="shared" si="29"/>
        <v>250000</v>
      </c>
    </row>
    <row r="93" spans="1:28" ht="15.75" thickBot="1" x14ac:dyDescent="0.3">
      <c r="A93" s="684"/>
      <c r="B93" s="179"/>
      <c r="C93" s="180">
        <v>0</v>
      </c>
      <c r="D93" s="181">
        <v>0</v>
      </c>
      <c r="E93" s="107">
        <v>0</v>
      </c>
      <c r="F93" s="201">
        <v>0</v>
      </c>
      <c r="G93" s="107">
        <v>0</v>
      </c>
      <c r="H93" s="201">
        <v>0</v>
      </c>
      <c r="I93" s="107">
        <v>0</v>
      </c>
      <c r="J93" s="201">
        <v>0</v>
      </c>
      <c r="K93" s="107">
        <v>0</v>
      </c>
      <c r="L93" s="201">
        <v>0</v>
      </c>
      <c r="M93" s="107" t="e">
        <f>($C$53*L77 + $C$54*L78+$C$55*L79)*0.15</f>
        <v>#REF!</v>
      </c>
      <c r="N93" s="201">
        <v>0</v>
      </c>
      <c r="O93" s="107" t="e">
        <f>($C$53*N77 + $C$54*N78+$C$55*N79)*0.15</f>
        <v>#REF!</v>
      </c>
      <c r="P93" s="201">
        <v>0</v>
      </c>
      <c r="Q93" s="107" t="e">
        <f>($C$53*P77 + $C$54*P78+$C$55*P79)*0.15</f>
        <v>#REF!</v>
      </c>
      <c r="R93" s="201">
        <v>0</v>
      </c>
      <c r="S93" s="107">
        <v>0</v>
      </c>
      <c r="T93" s="201">
        <v>0</v>
      </c>
      <c r="U93" s="107">
        <v>0</v>
      </c>
      <c r="V93" s="201">
        <v>0</v>
      </c>
      <c r="W93" s="107">
        <v>0</v>
      </c>
      <c r="X93" s="201">
        <v>0</v>
      </c>
      <c r="Y93" s="107">
        <v>0</v>
      </c>
      <c r="Z93" s="201">
        <v>0</v>
      </c>
      <c r="AA93" s="108">
        <v>0</v>
      </c>
      <c r="AB93" s="193" t="e">
        <f>E93+G93+I93+K93+M93+O93+Q93+S93+U93+W93+Y93+AA93</f>
        <v>#REF!</v>
      </c>
    </row>
    <row r="94" spans="1:28" ht="15.75" thickBot="1" x14ac:dyDescent="0.3">
      <c r="A94" s="175" t="s">
        <v>116</v>
      </c>
      <c r="B94" s="176"/>
      <c r="C94" s="185">
        <v>0</v>
      </c>
      <c r="D94" s="186">
        <v>0</v>
      </c>
      <c r="E94" s="115" t="e">
        <f>(D79+D78+D77)*75</f>
        <v>#REF!</v>
      </c>
      <c r="F94" s="202">
        <v>0</v>
      </c>
      <c r="G94" s="115" t="e">
        <f>(F79+F78+F77)*75</f>
        <v>#REF!</v>
      </c>
      <c r="H94" s="202">
        <v>0</v>
      </c>
      <c r="I94" s="115" t="e">
        <f>(H79+H78+H77)*75</f>
        <v>#REF!</v>
      </c>
      <c r="J94" s="202">
        <v>0</v>
      </c>
      <c r="K94" s="115" t="e">
        <f>(J79+J78+J77)*75</f>
        <v>#REF!</v>
      </c>
      <c r="L94" s="202">
        <v>0</v>
      </c>
      <c r="M94" s="115" t="e">
        <f>(L79+L78+L77)*75</f>
        <v>#REF!</v>
      </c>
      <c r="N94" s="202">
        <v>0</v>
      </c>
      <c r="O94" s="115" t="e">
        <f>(N79+N78+N77)*75</f>
        <v>#REF!</v>
      </c>
      <c r="P94" s="202">
        <v>0</v>
      </c>
      <c r="Q94" s="115" t="e">
        <f>(P79+P78+P77)*75</f>
        <v>#REF!</v>
      </c>
      <c r="R94" s="202">
        <v>0</v>
      </c>
      <c r="S94" s="115" t="e">
        <f>(R79+R78+R77)*75</f>
        <v>#REF!</v>
      </c>
      <c r="T94" s="202">
        <v>0</v>
      </c>
      <c r="U94" s="115" t="e">
        <f>(T79+T78+T77)*75</f>
        <v>#REF!</v>
      </c>
      <c r="V94" s="202">
        <v>0</v>
      </c>
      <c r="W94" s="115" t="e">
        <f>(V79+V78+V77)*75</f>
        <v>#REF!</v>
      </c>
      <c r="X94" s="202">
        <v>0</v>
      </c>
      <c r="Y94" s="115" t="e">
        <f>(X79+X78+X77)*75</f>
        <v>#REF!</v>
      </c>
      <c r="Z94" s="202">
        <v>0</v>
      </c>
      <c r="AA94" s="115" t="e">
        <f>(Z79+Z78+Z77)*75</f>
        <v>#REF!</v>
      </c>
      <c r="AB94" s="193" t="e">
        <f>E94+G94+I94+K94+M94+O94+Q94+S94+U94+W94+Y94+AA94</f>
        <v>#REF!</v>
      </c>
    </row>
    <row r="95" spans="1:28" ht="15.75" thickBot="1" x14ac:dyDescent="0.3">
      <c r="B95" s="190" t="s">
        <v>117</v>
      </c>
      <c r="C95" s="182"/>
      <c r="D95" s="183"/>
      <c r="E95" s="197" t="e">
        <f>SUM(E77:E94)</f>
        <v>#REF!</v>
      </c>
      <c r="F95" s="203"/>
      <c r="G95" s="197" t="e">
        <f>SUM(G77:G94)</f>
        <v>#REF!</v>
      </c>
      <c r="H95" s="203"/>
      <c r="I95" s="197" t="e">
        <f>SUM(I77:I94)</f>
        <v>#REF!</v>
      </c>
      <c r="J95" s="203"/>
      <c r="K95" s="197" t="e">
        <f>SUM(K77:K94)</f>
        <v>#REF!</v>
      </c>
      <c r="L95" s="203"/>
      <c r="M95" s="197" t="e">
        <f>SUM(M77:M94)</f>
        <v>#REF!</v>
      </c>
      <c r="N95" s="183"/>
      <c r="O95" s="197" t="e">
        <f>SUM(O77:O94)</f>
        <v>#REF!</v>
      </c>
      <c r="P95" s="203"/>
      <c r="Q95" s="197" t="e">
        <f>SUM(Q77:Q94)</f>
        <v>#REF!</v>
      </c>
      <c r="R95" s="203"/>
      <c r="S95" s="197" t="e">
        <f>SUM(S77:S94)</f>
        <v>#REF!</v>
      </c>
      <c r="T95" s="203"/>
      <c r="U95" s="197" t="e">
        <f>SUM(U77:U94)</f>
        <v>#REF!</v>
      </c>
      <c r="V95" s="203"/>
      <c r="W95" s="197" t="e">
        <f>SUM(W77:W94)</f>
        <v>#REF!</v>
      </c>
      <c r="X95" s="203"/>
      <c r="Y95" s="197" t="e">
        <f>SUM(Y77:Y94)</f>
        <v>#REF!</v>
      </c>
      <c r="Z95" s="203"/>
      <c r="AA95" s="196" t="e">
        <f>SUM(AA77:AA94)</f>
        <v>#REF!</v>
      </c>
      <c r="AB95" s="189" t="e">
        <f>SUM(E95:AA95)</f>
        <v>#REF!</v>
      </c>
    </row>
    <row r="97" spans="1:28" ht="15.75" thickBot="1" x14ac:dyDescent="0.3"/>
    <row r="98" spans="1:28" ht="27" thickBot="1" x14ac:dyDescent="0.45">
      <c r="B98" s="691" t="s">
        <v>120</v>
      </c>
      <c r="C98" s="692"/>
      <c r="D98" s="692"/>
      <c r="E98" s="692"/>
      <c r="F98" s="692"/>
      <c r="G98" s="692"/>
      <c r="H98" s="692"/>
      <c r="I98" s="692"/>
      <c r="J98" s="692"/>
      <c r="K98" s="692"/>
      <c r="L98" s="692"/>
      <c r="M98" s="692"/>
      <c r="N98" s="692"/>
      <c r="O98" s="692"/>
      <c r="P98" s="692"/>
      <c r="Q98" s="692"/>
      <c r="R98" s="692"/>
      <c r="S98" s="692"/>
      <c r="T98" s="692"/>
      <c r="U98" s="692"/>
      <c r="V98" s="692"/>
      <c r="W98" s="692"/>
      <c r="X98" s="692"/>
      <c r="Y98" s="692"/>
      <c r="Z98" s="692"/>
      <c r="AA98" s="692"/>
      <c r="AB98" s="693"/>
    </row>
    <row r="99" spans="1:28" x14ac:dyDescent="0.25">
      <c r="B99" s="694" t="s">
        <v>62</v>
      </c>
      <c r="C99" s="695"/>
      <c r="D99" s="690" t="s">
        <v>40</v>
      </c>
      <c r="E99" s="686"/>
      <c r="F99" s="685" t="s">
        <v>41</v>
      </c>
      <c r="G99" s="686"/>
      <c r="H99" s="685" t="s">
        <v>42</v>
      </c>
      <c r="I99" s="686"/>
      <c r="J99" s="685" t="s">
        <v>43</v>
      </c>
      <c r="K99" s="686"/>
      <c r="L99" s="685" t="s">
        <v>44</v>
      </c>
      <c r="M99" s="686"/>
      <c r="N99" s="685" t="s">
        <v>45</v>
      </c>
      <c r="O99" s="686"/>
      <c r="P99" s="685" t="s">
        <v>46</v>
      </c>
      <c r="Q99" s="686"/>
      <c r="R99" s="685" t="s">
        <v>47</v>
      </c>
      <c r="S99" s="686"/>
      <c r="T99" s="685" t="s">
        <v>48</v>
      </c>
      <c r="U99" s="686"/>
      <c r="V99" s="685" t="s">
        <v>49</v>
      </c>
      <c r="W99" s="686"/>
      <c r="X99" s="685" t="s">
        <v>50</v>
      </c>
      <c r="Y99" s="686"/>
      <c r="Z99" s="685" t="s">
        <v>51</v>
      </c>
      <c r="AA99" s="690"/>
      <c r="AB99" s="696" t="s">
        <v>19</v>
      </c>
    </row>
    <row r="100" spans="1:28" ht="15.75" thickBot="1" x14ac:dyDescent="0.3">
      <c r="B100" s="164" t="s">
        <v>71</v>
      </c>
      <c r="C100" s="165" t="s">
        <v>101</v>
      </c>
      <c r="D100" s="166" t="s">
        <v>59</v>
      </c>
      <c r="E100" s="167" t="s">
        <v>70</v>
      </c>
      <c r="F100" s="167" t="s">
        <v>59</v>
      </c>
      <c r="G100" s="167" t="s">
        <v>70</v>
      </c>
      <c r="H100" s="167" t="s">
        <v>59</v>
      </c>
      <c r="I100" s="167" t="s">
        <v>70</v>
      </c>
      <c r="J100" s="167" t="s">
        <v>59</v>
      </c>
      <c r="K100" s="167" t="s">
        <v>70</v>
      </c>
      <c r="L100" s="167" t="s">
        <v>59</v>
      </c>
      <c r="M100" s="167" t="s">
        <v>70</v>
      </c>
      <c r="N100" s="167" t="s">
        <v>59</v>
      </c>
      <c r="O100" s="167" t="s">
        <v>70</v>
      </c>
      <c r="P100" s="167" t="s">
        <v>59</v>
      </c>
      <c r="Q100" s="167" t="s">
        <v>70</v>
      </c>
      <c r="R100" s="167" t="s">
        <v>59</v>
      </c>
      <c r="S100" s="167" t="s">
        <v>70</v>
      </c>
      <c r="T100" s="167" t="s">
        <v>59</v>
      </c>
      <c r="U100" s="167" t="s">
        <v>70</v>
      </c>
      <c r="V100" s="167" t="s">
        <v>59</v>
      </c>
      <c r="W100" s="167" t="s">
        <v>70</v>
      </c>
      <c r="X100" s="167" t="s">
        <v>59</v>
      </c>
      <c r="Y100" s="167" t="s">
        <v>70</v>
      </c>
      <c r="Z100" s="167" t="s">
        <v>59</v>
      </c>
      <c r="AA100" s="168" t="s">
        <v>70</v>
      </c>
      <c r="AB100" s="697"/>
    </row>
    <row r="101" spans="1:28" x14ac:dyDescent="0.25">
      <c r="A101" s="687" t="s">
        <v>113</v>
      </c>
      <c r="B101" s="169"/>
      <c r="C101" s="170">
        <f>$E$20</f>
        <v>1360</v>
      </c>
      <c r="D101" s="171" t="e">
        <f>'Proy. ventas'!#REF!</f>
        <v>#REF!</v>
      </c>
      <c r="E101" s="103" t="e">
        <f t="shared" ref="E101:E116" si="30">D101*C101</f>
        <v>#REF!</v>
      </c>
      <c r="F101" s="198" t="e">
        <f>'Proy. ventas'!#REF!</f>
        <v>#REF!</v>
      </c>
      <c r="G101" s="103" t="e">
        <f t="shared" ref="G101:G116" si="31">F101*C101</f>
        <v>#REF!</v>
      </c>
      <c r="H101" s="198" t="e">
        <f>'Proy. ventas'!#REF!</f>
        <v>#REF!</v>
      </c>
      <c r="I101" s="103" t="e">
        <f t="shared" ref="I101:I116" si="32">H101*C101</f>
        <v>#REF!</v>
      </c>
      <c r="J101" s="198" t="e">
        <f>'Proy. ventas'!#REF!</f>
        <v>#REF!</v>
      </c>
      <c r="K101" s="103" t="e">
        <f t="shared" ref="K101:K116" si="33">J101*C101</f>
        <v>#REF!</v>
      </c>
      <c r="L101" s="198" t="e">
        <f>'Proy. ventas'!#REF!</f>
        <v>#REF!</v>
      </c>
      <c r="M101" s="103" t="e">
        <f t="shared" ref="M101:M116" si="34">L101*C101</f>
        <v>#REF!</v>
      </c>
      <c r="N101" s="198" t="e">
        <f>'Proy. ventas'!#REF!</f>
        <v>#REF!</v>
      </c>
      <c r="O101" s="103" t="e">
        <f t="shared" ref="O101:O116" si="35">N101*C101</f>
        <v>#REF!</v>
      </c>
      <c r="P101" s="198" t="e">
        <f>'Proy. ventas'!#REF!</f>
        <v>#REF!</v>
      </c>
      <c r="Q101" s="103" t="e">
        <f t="shared" ref="Q101:Q116" si="36">P101*C101</f>
        <v>#REF!</v>
      </c>
      <c r="R101" s="198" t="e">
        <f>'Proy. ventas'!#REF!</f>
        <v>#REF!</v>
      </c>
      <c r="S101" s="103" t="e">
        <f t="shared" ref="S101:S116" si="37">R101*C101</f>
        <v>#REF!</v>
      </c>
      <c r="T101" s="198" t="e">
        <f>'Proy. ventas'!#REF!</f>
        <v>#REF!</v>
      </c>
      <c r="U101" s="103" t="e">
        <f t="shared" ref="U101:U116" si="38">T101*C101</f>
        <v>#REF!</v>
      </c>
      <c r="V101" s="198" t="e">
        <f>'Proy. ventas'!#REF!</f>
        <v>#REF!</v>
      </c>
      <c r="W101" s="103" t="e">
        <f t="shared" ref="W101:W116" si="39">V101*C101</f>
        <v>#REF!</v>
      </c>
      <c r="X101" s="198" t="e">
        <f>'Proy. ventas'!#REF!</f>
        <v>#REF!</v>
      </c>
      <c r="Y101" s="103" t="e">
        <f t="shared" ref="Y101:Y116" si="40">X101*C101</f>
        <v>#REF!</v>
      </c>
      <c r="Z101" s="198" t="e">
        <f>'Proy. ventas'!#REF!</f>
        <v>#REF!</v>
      </c>
      <c r="AA101" s="104" t="e">
        <f t="shared" ref="AA101:AA116" si="41">Z101*C101</f>
        <v>#REF!</v>
      </c>
      <c r="AB101" s="191" t="e">
        <f>E101+G101+I101+K101+M101+O101+Q101+S101++U101+W101+Y101+AA101</f>
        <v>#REF!</v>
      </c>
    </row>
    <row r="102" spans="1:28" x14ac:dyDescent="0.25">
      <c r="A102" s="688"/>
      <c r="B102" s="161"/>
      <c r="C102" s="162">
        <f>$E$33</f>
        <v>5705</v>
      </c>
      <c r="D102" s="159" t="e">
        <f>'Proy. ventas'!#REF!</f>
        <v>#REF!</v>
      </c>
      <c r="E102" s="84" t="e">
        <f t="shared" si="30"/>
        <v>#REF!</v>
      </c>
      <c r="F102" s="156" t="e">
        <f>'Proy. ventas'!#REF!</f>
        <v>#REF!</v>
      </c>
      <c r="G102" s="84" t="e">
        <f t="shared" si="31"/>
        <v>#REF!</v>
      </c>
      <c r="H102" s="156" t="e">
        <f>'Proy. ventas'!#REF!</f>
        <v>#REF!</v>
      </c>
      <c r="I102" s="84" t="e">
        <f t="shared" si="32"/>
        <v>#REF!</v>
      </c>
      <c r="J102" s="156" t="e">
        <f>'Proy. ventas'!#REF!</f>
        <v>#REF!</v>
      </c>
      <c r="K102" s="84" t="e">
        <f t="shared" si="33"/>
        <v>#REF!</v>
      </c>
      <c r="L102" s="156" t="e">
        <f>'Proy. ventas'!#REF!</f>
        <v>#REF!</v>
      </c>
      <c r="M102" s="84" t="e">
        <f t="shared" si="34"/>
        <v>#REF!</v>
      </c>
      <c r="N102" s="156" t="e">
        <f>'Proy. ventas'!#REF!</f>
        <v>#REF!</v>
      </c>
      <c r="O102" s="84" t="e">
        <f t="shared" si="35"/>
        <v>#REF!</v>
      </c>
      <c r="P102" s="156" t="e">
        <f>'Proy. ventas'!#REF!</f>
        <v>#REF!</v>
      </c>
      <c r="Q102" s="84" t="e">
        <f t="shared" si="36"/>
        <v>#REF!</v>
      </c>
      <c r="R102" s="156" t="e">
        <f>'Proy. ventas'!#REF!</f>
        <v>#REF!</v>
      </c>
      <c r="S102" s="84" t="e">
        <f t="shared" si="37"/>
        <v>#REF!</v>
      </c>
      <c r="T102" s="156" t="e">
        <f>'Proy. ventas'!#REF!</f>
        <v>#REF!</v>
      </c>
      <c r="U102" s="84" t="e">
        <f t="shared" si="38"/>
        <v>#REF!</v>
      </c>
      <c r="V102" s="156" t="e">
        <f>'Proy. ventas'!#REF!</f>
        <v>#REF!</v>
      </c>
      <c r="W102" s="84" t="e">
        <f t="shared" si="39"/>
        <v>#REF!</v>
      </c>
      <c r="X102" s="156" t="e">
        <f>'Proy. ventas'!#REF!</f>
        <v>#REF!</v>
      </c>
      <c r="Y102" s="84" t="e">
        <f t="shared" si="40"/>
        <v>#REF!</v>
      </c>
      <c r="Z102" s="156" t="e">
        <f>'Proy. ventas'!#REF!</f>
        <v>#REF!</v>
      </c>
      <c r="AA102" s="86" t="e">
        <f t="shared" si="41"/>
        <v>#REF!</v>
      </c>
      <c r="AB102" s="192" t="e">
        <f t="shared" ref="AB102:AB116" si="42">E102+G102+I102+K102+M102+O102+Q102+S102++U102+W102+Y102+AA102</f>
        <v>#REF!</v>
      </c>
    </row>
    <row r="103" spans="1:28" ht="15.75" thickBot="1" x14ac:dyDescent="0.3">
      <c r="A103" s="689"/>
      <c r="B103" s="172"/>
      <c r="C103" s="173">
        <f>$E$46</f>
        <v>8105</v>
      </c>
      <c r="D103" s="174" t="e">
        <f>'Proy. ventas'!#REF!</f>
        <v>#REF!</v>
      </c>
      <c r="E103" s="107" t="e">
        <f t="shared" si="30"/>
        <v>#REF!</v>
      </c>
      <c r="F103" s="199" t="e">
        <f>'Proy. ventas'!#REF!</f>
        <v>#REF!</v>
      </c>
      <c r="G103" s="107" t="e">
        <f t="shared" si="31"/>
        <v>#REF!</v>
      </c>
      <c r="H103" s="199" t="e">
        <f>'Proy. ventas'!#REF!</f>
        <v>#REF!</v>
      </c>
      <c r="I103" s="107" t="e">
        <f t="shared" si="32"/>
        <v>#REF!</v>
      </c>
      <c r="J103" s="199" t="e">
        <f>'Proy. ventas'!#REF!</f>
        <v>#REF!</v>
      </c>
      <c r="K103" s="107" t="e">
        <f t="shared" si="33"/>
        <v>#REF!</v>
      </c>
      <c r="L103" s="199" t="e">
        <f>'Proy. ventas'!#REF!</f>
        <v>#REF!</v>
      </c>
      <c r="M103" s="107" t="e">
        <f t="shared" si="34"/>
        <v>#REF!</v>
      </c>
      <c r="N103" s="199" t="e">
        <f>'Proy. ventas'!#REF!</f>
        <v>#REF!</v>
      </c>
      <c r="O103" s="107" t="e">
        <f t="shared" si="35"/>
        <v>#REF!</v>
      </c>
      <c r="P103" s="199" t="e">
        <f>'Proy. ventas'!#REF!</f>
        <v>#REF!</v>
      </c>
      <c r="Q103" s="107" t="e">
        <f t="shared" si="36"/>
        <v>#REF!</v>
      </c>
      <c r="R103" s="199" t="e">
        <f>'Proy. ventas'!#REF!</f>
        <v>#REF!</v>
      </c>
      <c r="S103" s="107" t="e">
        <f t="shared" si="37"/>
        <v>#REF!</v>
      </c>
      <c r="T103" s="199" t="e">
        <f>'Proy. ventas'!#REF!</f>
        <v>#REF!</v>
      </c>
      <c r="U103" s="107" t="e">
        <f t="shared" si="38"/>
        <v>#REF!</v>
      </c>
      <c r="V103" s="199" t="e">
        <f>'Proy. ventas'!#REF!</f>
        <v>#REF!</v>
      </c>
      <c r="W103" s="107" t="e">
        <f t="shared" si="39"/>
        <v>#REF!</v>
      </c>
      <c r="X103" s="199" t="e">
        <f>'Proy. ventas'!#REF!</f>
        <v>#REF!</v>
      </c>
      <c r="Y103" s="107" t="e">
        <f t="shared" si="40"/>
        <v>#REF!</v>
      </c>
      <c r="Z103" s="199" t="e">
        <f>'Proy. ventas'!#REF!</f>
        <v>#REF!</v>
      </c>
      <c r="AA103" s="108" t="e">
        <f t="shared" si="41"/>
        <v>#REF!</v>
      </c>
      <c r="AB103" s="193" t="e">
        <f t="shared" si="42"/>
        <v>#REF!</v>
      </c>
    </row>
    <row r="104" spans="1:28" x14ac:dyDescent="0.25">
      <c r="A104" s="687" t="s">
        <v>114</v>
      </c>
      <c r="B104" s="169"/>
      <c r="C104" s="170">
        <v>420</v>
      </c>
      <c r="D104" s="171" t="e">
        <f>'Proy. ventas'!#REF!</f>
        <v>#REF!</v>
      </c>
      <c r="E104" s="103" t="e">
        <f t="shared" si="30"/>
        <v>#REF!</v>
      </c>
      <c r="F104" s="198" t="e">
        <f>'Proy. ventas'!#REF!</f>
        <v>#REF!</v>
      </c>
      <c r="G104" s="103" t="e">
        <f t="shared" si="31"/>
        <v>#REF!</v>
      </c>
      <c r="H104" s="198" t="e">
        <f>'Proy. ventas'!#REF!</f>
        <v>#REF!</v>
      </c>
      <c r="I104" s="103" t="e">
        <f t="shared" si="32"/>
        <v>#REF!</v>
      </c>
      <c r="J104" s="198" t="e">
        <f>'Proy. ventas'!#REF!</f>
        <v>#REF!</v>
      </c>
      <c r="K104" s="103" t="e">
        <f t="shared" si="33"/>
        <v>#REF!</v>
      </c>
      <c r="L104" s="198" t="e">
        <f>'Proy. ventas'!#REF!</f>
        <v>#REF!</v>
      </c>
      <c r="M104" s="103" t="e">
        <f t="shared" si="34"/>
        <v>#REF!</v>
      </c>
      <c r="N104" s="198" t="e">
        <f>'Proy. ventas'!#REF!</f>
        <v>#REF!</v>
      </c>
      <c r="O104" s="103" t="e">
        <f t="shared" si="35"/>
        <v>#REF!</v>
      </c>
      <c r="P104" s="198" t="e">
        <f>'Proy. ventas'!#REF!</f>
        <v>#REF!</v>
      </c>
      <c r="Q104" s="103" t="e">
        <f t="shared" si="36"/>
        <v>#REF!</v>
      </c>
      <c r="R104" s="198" t="e">
        <f>'Proy. ventas'!#REF!</f>
        <v>#REF!</v>
      </c>
      <c r="S104" s="103" t="e">
        <f t="shared" si="37"/>
        <v>#REF!</v>
      </c>
      <c r="T104" s="198" t="e">
        <f>'Proy. ventas'!#REF!</f>
        <v>#REF!</v>
      </c>
      <c r="U104" s="103" t="e">
        <f t="shared" si="38"/>
        <v>#REF!</v>
      </c>
      <c r="V104" s="198" t="e">
        <f>'Proy. ventas'!#REF!</f>
        <v>#REF!</v>
      </c>
      <c r="W104" s="103" t="e">
        <f t="shared" si="39"/>
        <v>#REF!</v>
      </c>
      <c r="X104" s="198" t="e">
        <f>'Proy. ventas'!#REF!</f>
        <v>#REF!</v>
      </c>
      <c r="Y104" s="103" t="e">
        <f t="shared" si="40"/>
        <v>#REF!</v>
      </c>
      <c r="Z104" s="198" t="e">
        <f>'Proy. ventas'!#REF!</f>
        <v>#REF!</v>
      </c>
      <c r="AA104" s="104" t="e">
        <f t="shared" si="41"/>
        <v>#REF!</v>
      </c>
      <c r="AB104" s="191" t="e">
        <f t="shared" si="42"/>
        <v>#REF!</v>
      </c>
    </row>
    <row r="105" spans="1:28" x14ac:dyDescent="0.25">
      <c r="A105" s="688"/>
      <c r="B105" s="161"/>
      <c r="C105" s="162">
        <v>300</v>
      </c>
      <c r="D105" s="159" t="e">
        <f>'Proy. ventas'!#REF!</f>
        <v>#REF!</v>
      </c>
      <c r="E105" s="84" t="e">
        <f t="shared" si="30"/>
        <v>#REF!</v>
      </c>
      <c r="F105" s="156" t="e">
        <f>'Proy. ventas'!#REF!</f>
        <v>#REF!</v>
      </c>
      <c r="G105" s="84" t="e">
        <f t="shared" si="31"/>
        <v>#REF!</v>
      </c>
      <c r="H105" s="156" t="e">
        <f>'Proy. ventas'!#REF!</f>
        <v>#REF!</v>
      </c>
      <c r="I105" s="84" t="e">
        <f t="shared" si="32"/>
        <v>#REF!</v>
      </c>
      <c r="J105" s="156" t="e">
        <f>'Proy. ventas'!#REF!</f>
        <v>#REF!</v>
      </c>
      <c r="K105" s="84" t="e">
        <f t="shared" si="33"/>
        <v>#REF!</v>
      </c>
      <c r="L105" s="156" t="e">
        <f>'Proy. ventas'!#REF!</f>
        <v>#REF!</v>
      </c>
      <c r="M105" s="84" t="e">
        <f t="shared" si="34"/>
        <v>#REF!</v>
      </c>
      <c r="N105" s="156" t="e">
        <f>'Proy. ventas'!#REF!</f>
        <v>#REF!</v>
      </c>
      <c r="O105" s="84" t="e">
        <f t="shared" si="35"/>
        <v>#REF!</v>
      </c>
      <c r="P105" s="156" t="e">
        <f>'Proy. ventas'!#REF!</f>
        <v>#REF!</v>
      </c>
      <c r="Q105" s="84" t="e">
        <f t="shared" si="36"/>
        <v>#REF!</v>
      </c>
      <c r="R105" s="156" t="e">
        <f>'Proy. ventas'!#REF!</f>
        <v>#REF!</v>
      </c>
      <c r="S105" s="84" t="e">
        <f t="shared" si="37"/>
        <v>#REF!</v>
      </c>
      <c r="T105" s="156" t="e">
        <f>'Proy. ventas'!#REF!</f>
        <v>#REF!</v>
      </c>
      <c r="U105" s="84" t="e">
        <f t="shared" si="38"/>
        <v>#REF!</v>
      </c>
      <c r="V105" s="156" t="e">
        <f>'Proy. ventas'!#REF!</f>
        <v>#REF!</v>
      </c>
      <c r="W105" s="84" t="e">
        <f t="shared" si="39"/>
        <v>#REF!</v>
      </c>
      <c r="X105" s="156" t="e">
        <f>'Proy. ventas'!#REF!</f>
        <v>#REF!</v>
      </c>
      <c r="Y105" s="84" t="e">
        <f t="shared" si="40"/>
        <v>#REF!</v>
      </c>
      <c r="Z105" s="156" t="e">
        <f>'Proy. ventas'!#REF!</f>
        <v>#REF!</v>
      </c>
      <c r="AA105" s="86" t="e">
        <f t="shared" si="41"/>
        <v>#REF!</v>
      </c>
      <c r="AB105" s="192" t="e">
        <f t="shared" si="42"/>
        <v>#REF!</v>
      </c>
    </row>
    <row r="106" spans="1:28" x14ac:dyDescent="0.25">
      <c r="A106" s="688"/>
      <c r="B106" s="161"/>
      <c r="C106" s="162">
        <v>1800</v>
      </c>
      <c r="D106" s="159" t="e">
        <f>'Proy. ventas'!#REF!</f>
        <v>#REF!</v>
      </c>
      <c r="E106" s="84" t="e">
        <f t="shared" si="30"/>
        <v>#REF!</v>
      </c>
      <c r="F106" s="156" t="e">
        <f>'Proy. ventas'!#REF!</f>
        <v>#REF!</v>
      </c>
      <c r="G106" s="84" t="e">
        <f t="shared" si="31"/>
        <v>#REF!</v>
      </c>
      <c r="H106" s="156" t="e">
        <f>'Proy. ventas'!#REF!</f>
        <v>#REF!</v>
      </c>
      <c r="I106" s="84" t="e">
        <f t="shared" si="32"/>
        <v>#REF!</v>
      </c>
      <c r="J106" s="156" t="e">
        <f>'Proy. ventas'!#REF!</f>
        <v>#REF!</v>
      </c>
      <c r="K106" s="84" t="e">
        <f t="shared" si="33"/>
        <v>#REF!</v>
      </c>
      <c r="L106" s="156" t="e">
        <f>'Proy. ventas'!#REF!</f>
        <v>#REF!</v>
      </c>
      <c r="M106" s="84" t="e">
        <f t="shared" si="34"/>
        <v>#REF!</v>
      </c>
      <c r="N106" s="156" t="e">
        <f>'Proy. ventas'!#REF!</f>
        <v>#REF!</v>
      </c>
      <c r="O106" s="84" t="e">
        <f t="shared" si="35"/>
        <v>#REF!</v>
      </c>
      <c r="P106" s="156" t="e">
        <f>'Proy. ventas'!#REF!</f>
        <v>#REF!</v>
      </c>
      <c r="Q106" s="84" t="e">
        <f t="shared" si="36"/>
        <v>#REF!</v>
      </c>
      <c r="R106" s="156" t="e">
        <f>'Proy. ventas'!#REF!</f>
        <v>#REF!</v>
      </c>
      <c r="S106" s="84" t="e">
        <f t="shared" si="37"/>
        <v>#REF!</v>
      </c>
      <c r="T106" s="156" t="e">
        <f>'Proy. ventas'!#REF!</f>
        <v>#REF!</v>
      </c>
      <c r="U106" s="84" t="e">
        <f t="shared" si="38"/>
        <v>#REF!</v>
      </c>
      <c r="V106" s="156" t="e">
        <f>'Proy. ventas'!#REF!</f>
        <v>#REF!</v>
      </c>
      <c r="W106" s="84" t="e">
        <f t="shared" si="39"/>
        <v>#REF!</v>
      </c>
      <c r="X106" s="156" t="e">
        <f>'Proy. ventas'!#REF!</f>
        <v>#REF!</v>
      </c>
      <c r="Y106" s="84" t="e">
        <f t="shared" si="40"/>
        <v>#REF!</v>
      </c>
      <c r="Z106" s="156" t="e">
        <f>'Proy. ventas'!#REF!</f>
        <v>#REF!</v>
      </c>
      <c r="AA106" s="86" t="e">
        <f t="shared" si="41"/>
        <v>#REF!</v>
      </c>
      <c r="AB106" s="192" t="e">
        <f t="shared" si="42"/>
        <v>#REF!</v>
      </c>
    </row>
    <row r="107" spans="1:28" x14ac:dyDescent="0.25">
      <c r="A107" s="688"/>
      <c r="B107" s="161"/>
      <c r="C107" s="162">
        <v>180</v>
      </c>
      <c r="D107" s="159" t="e">
        <f>'Proy. ventas'!#REF!</f>
        <v>#REF!</v>
      </c>
      <c r="E107" s="84" t="e">
        <f t="shared" si="30"/>
        <v>#REF!</v>
      </c>
      <c r="F107" s="156" t="e">
        <f>'Proy. ventas'!#REF!</f>
        <v>#REF!</v>
      </c>
      <c r="G107" s="84" t="e">
        <f t="shared" si="31"/>
        <v>#REF!</v>
      </c>
      <c r="H107" s="156" t="e">
        <f>'Proy. ventas'!#REF!</f>
        <v>#REF!</v>
      </c>
      <c r="I107" s="84" t="e">
        <f t="shared" si="32"/>
        <v>#REF!</v>
      </c>
      <c r="J107" s="156" t="e">
        <f>'Proy. ventas'!#REF!</f>
        <v>#REF!</v>
      </c>
      <c r="K107" s="84" t="e">
        <f t="shared" si="33"/>
        <v>#REF!</v>
      </c>
      <c r="L107" s="156" t="e">
        <f>'Proy. ventas'!#REF!</f>
        <v>#REF!</v>
      </c>
      <c r="M107" s="84" t="e">
        <f t="shared" si="34"/>
        <v>#REF!</v>
      </c>
      <c r="N107" s="156" t="e">
        <f>'Proy. ventas'!#REF!</f>
        <v>#REF!</v>
      </c>
      <c r="O107" s="84" t="e">
        <f t="shared" si="35"/>
        <v>#REF!</v>
      </c>
      <c r="P107" s="156" t="e">
        <f>'Proy. ventas'!#REF!</f>
        <v>#REF!</v>
      </c>
      <c r="Q107" s="84" t="e">
        <f t="shared" si="36"/>
        <v>#REF!</v>
      </c>
      <c r="R107" s="156" t="e">
        <f>'Proy. ventas'!#REF!</f>
        <v>#REF!</v>
      </c>
      <c r="S107" s="84" t="e">
        <f t="shared" si="37"/>
        <v>#REF!</v>
      </c>
      <c r="T107" s="156" t="e">
        <f>'Proy. ventas'!#REF!</f>
        <v>#REF!</v>
      </c>
      <c r="U107" s="84" t="e">
        <f t="shared" si="38"/>
        <v>#REF!</v>
      </c>
      <c r="V107" s="156" t="e">
        <f>'Proy. ventas'!#REF!</f>
        <v>#REF!</v>
      </c>
      <c r="W107" s="84" t="e">
        <f t="shared" si="39"/>
        <v>#REF!</v>
      </c>
      <c r="X107" s="156" t="e">
        <f>'Proy. ventas'!#REF!</f>
        <v>#REF!</v>
      </c>
      <c r="Y107" s="84" t="e">
        <f t="shared" si="40"/>
        <v>#REF!</v>
      </c>
      <c r="Z107" s="156" t="e">
        <f>'Proy. ventas'!#REF!</f>
        <v>#REF!</v>
      </c>
      <c r="AA107" s="86" t="e">
        <f t="shared" si="41"/>
        <v>#REF!</v>
      </c>
      <c r="AB107" s="192" t="e">
        <f t="shared" si="42"/>
        <v>#REF!</v>
      </c>
    </row>
    <row r="108" spans="1:28" x14ac:dyDescent="0.25">
      <c r="A108" s="688"/>
      <c r="B108" s="161"/>
      <c r="C108" s="162">
        <v>1250</v>
      </c>
      <c r="D108" s="159" t="e">
        <f>'Proy. ventas'!#REF!</f>
        <v>#REF!</v>
      </c>
      <c r="E108" s="84" t="e">
        <f t="shared" si="30"/>
        <v>#REF!</v>
      </c>
      <c r="F108" s="156" t="e">
        <f>'Proy. ventas'!#REF!</f>
        <v>#REF!</v>
      </c>
      <c r="G108" s="84" t="e">
        <f t="shared" si="31"/>
        <v>#REF!</v>
      </c>
      <c r="H108" s="156" t="e">
        <f>'Proy. ventas'!#REF!</f>
        <v>#REF!</v>
      </c>
      <c r="I108" s="84" t="e">
        <f t="shared" si="32"/>
        <v>#REF!</v>
      </c>
      <c r="J108" s="156" t="e">
        <f>'Proy. ventas'!#REF!</f>
        <v>#REF!</v>
      </c>
      <c r="K108" s="84" t="e">
        <f t="shared" si="33"/>
        <v>#REF!</v>
      </c>
      <c r="L108" s="156" t="e">
        <f>'Proy. ventas'!#REF!</f>
        <v>#REF!</v>
      </c>
      <c r="M108" s="84" t="e">
        <f t="shared" si="34"/>
        <v>#REF!</v>
      </c>
      <c r="N108" s="156" t="e">
        <f>'Proy. ventas'!#REF!</f>
        <v>#REF!</v>
      </c>
      <c r="O108" s="84" t="e">
        <f t="shared" si="35"/>
        <v>#REF!</v>
      </c>
      <c r="P108" s="156" t="e">
        <f>'Proy. ventas'!#REF!</f>
        <v>#REF!</v>
      </c>
      <c r="Q108" s="84" t="e">
        <f t="shared" si="36"/>
        <v>#REF!</v>
      </c>
      <c r="R108" s="156" t="e">
        <f>'Proy. ventas'!#REF!</f>
        <v>#REF!</v>
      </c>
      <c r="S108" s="84" t="e">
        <f t="shared" si="37"/>
        <v>#REF!</v>
      </c>
      <c r="T108" s="156" t="e">
        <f>'Proy. ventas'!#REF!</f>
        <v>#REF!</v>
      </c>
      <c r="U108" s="84" t="e">
        <f t="shared" si="38"/>
        <v>#REF!</v>
      </c>
      <c r="V108" s="156" t="e">
        <f>'Proy. ventas'!#REF!</f>
        <v>#REF!</v>
      </c>
      <c r="W108" s="84" t="e">
        <f t="shared" si="39"/>
        <v>#REF!</v>
      </c>
      <c r="X108" s="156" t="e">
        <f>'Proy. ventas'!#REF!</f>
        <v>#REF!</v>
      </c>
      <c r="Y108" s="84" t="e">
        <f t="shared" si="40"/>
        <v>#REF!</v>
      </c>
      <c r="Z108" s="156" t="e">
        <f>'Proy. ventas'!#REF!</f>
        <v>#REF!</v>
      </c>
      <c r="AA108" s="86" t="e">
        <f t="shared" si="41"/>
        <v>#REF!</v>
      </c>
      <c r="AB108" s="192" t="e">
        <f t="shared" si="42"/>
        <v>#REF!</v>
      </c>
    </row>
    <row r="109" spans="1:28" x14ac:dyDescent="0.25">
      <c r="A109" s="688"/>
      <c r="B109" s="161"/>
      <c r="C109" s="162">
        <v>350</v>
      </c>
      <c r="D109" s="159" t="e">
        <f>'Proy. ventas'!#REF!</f>
        <v>#REF!</v>
      </c>
      <c r="E109" s="84" t="e">
        <f t="shared" si="30"/>
        <v>#REF!</v>
      </c>
      <c r="F109" s="156" t="e">
        <f>'Proy. ventas'!#REF!</f>
        <v>#REF!</v>
      </c>
      <c r="G109" s="84" t="e">
        <f t="shared" si="31"/>
        <v>#REF!</v>
      </c>
      <c r="H109" s="156" t="e">
        <f>'Proy. ventas'!#REF!</f>
        <v>#REF!</v>
      </c>
      <c r="I109" s="84" t="e">
        <f t="shared" si="32"/>
        <v>#REF!</v>
      </c>
      <c r="J109" s="156" t="e">
        <f>'Proy. ventas'!#REF!</f>
        <v>#REF!</v>
      </c>
      <c r="K109" s="84" t="e">
        <f t="shared" si="33"/>
        <v>#REF!</v>
      </c>
      <c r="L109" s="156" t="e">
        <f>'Proy. ventas'!#REF!</f>
        <v>#REF!</v>
      </c>
      <c r="M109" s="84" t="e">
        <f t="shared" si="34"/>
        <v>#REF!</v>
      </c>
      <c r="N109" s="156" t="e">
        <f>'Proy. ventas'!#REF!</f>
        <v>#REF!</v>
      </c>
      <c r="O109" s="84" t="e">
        <f t="shared" si="35"/>
        <v>#REF!</v>
      </c>
      <c r="P109" s="156" t="e">
        <f>'Proy. ventas'!#REF!</f>
        <v>#REF!</v>
      </c>
      <c r="Q109" s="84" t="e">
        <f t="shared" si="36"/>
        <v>#REF!</v>
      </c>
      <c r="R109" s="156" t="e">
        <f>'Proy. ventas'!#REF!</f>
        <v>#REF!</v>
      </c>
      <c r="S109" s="84" t="e">
        <f t="shared" si="37"/>
        <v>#REF!</v>
      </c>
      <c r="T109" s="156" t="e">
        <f>'Proy. ventas'!#REF!</f>
        <v>#REF!</v>
      </c>
      <c r="U109" s="84" t="e">
        <f t="shared" si="38"/>
        <v>#REF!</v>
      </c>
      <c r="V109" s="156" t="e">
        <f>'Proy. ventas'!#REF!</f>
        <v>#REF!</v>
      </c>
      <c r="W109" s="84" t="e">
        <f t="shared" si="39"/>
        <v>#REF!</v>
      </c>
      <c r="X109" s="156" t="e">
        <f>'Proy. ventas'!#REF!</f>
        <v>#REF!</v>
      </c>
      <c r="Y109" s="84" t="e">
        <f t="shared" si="40"/>
        <v>#REF!</v>
      </c>
      <c r="Z109" s="156" t="e">
        <f>'Proy. ventas'!#REF!</f>
        <v>#REF!</v>
      </c>
      <c r="AA109" s="86" t="e">
        <f t="shared" si="41"/>
        <v>#REF!</v>
      </c>
      <c r="AB109" s="192" t="e">
        <f t="shared" si="42"/>
        <v>#REF!</v>
      </c>
    </row>
    <row r="110" spans="1:28" x14ac:dyDescent="0.25">
      <c r="A110" s="688"/>
      <c r="B110" s="161"/>
      <c r="C110" s="162">
        <v>950</v>
      </c>
      <c r="D110" s="159" t="e">
        <f>'Proy. ventas'!#REF!</f>
        <v>#REF!</v>
      </c>
      <c r="E110" s="84" t="e">
        <f t="shared" si="30"/>
        <v>#REF!</v>
      </c>
      <c r="F110" s="156" t="e">
        <f>'Proy. ventas'!#REF!</f>
        <v>#REF!</v>
      </c>
      <c r="G110" s="84" t="e">
        <f t="shared" si="31"/>
        <v>#REF!</v>
      </c>
      <c r="H110" s="156" t="e">
        <f>'Proy. ventas'!#REF!</f>
        <v>#REF!</v>
      </c>
      <c r="I110" s="84" t="e">
        <f t="shared" si="32"/>
        <v>#REF!</v>
      </c>
      <c r="J110" s="156" t="e">
        <f>'Proy. ventas'!#REF!</f>
        <v>#REF!</v>
      </c>
      <c r="K110" s="84" t="e">
        <f t="shared" si="33"/>
        <v>#REF!</v>
      </c>
      <c r="L110" s="156" t="e">
        <f>'Proy. ventas'!#REF!</f>
        <v>#REF!</v>
      </c>
      <c r="M110" s="84" t="e">
        <f t="shared" si="34"/>
        <v>#REF!</v>
      </c>
      <c r="N110" s="156" t="e">
        <f>'Proy. ventas'!#REF!</f>
        <v>#REF!</v>
      </c>
      <c r="O110" s="84" t="e">
        <f t="shared" si="35"/>
        <v>#REF!</v>
      </c>
      <c r="P110" s="156" t="e">
        <f>'Proy. ventas'!#REF!</f>
        <v>#REF!</v>
      </c>
      <c r="Q110" s="84" t="e">
        <f t="shared" si="36"/>
        <v>#REF!</v>
      </c>
      <c r="R110" s="156" t="e">
        <f>'Proy. ventas'!#REF!</f>
        <v>#REF!</v>
      </c>
      <c r="S110" s="84" t="e">
        <f t="shared" si="37"/>
        <v>#REF!</v>
      </c>
      <c r="T110" s="156" t="e">
        <f>'Proy. ventas'!#REF!</f>
        <v>#REF!</v>
      </c>
      <c r="U110" s="84" t="e">
        <f t="shared" si="38"/>
        <v>#REF!</v>
      </c>
      <c r="V110" s="156" t="e">
        <f>'Proy. ventas'!#REF!</f>
        <v>#REF!</v>
      </c>
      <c r="W110" s="84" t="e">
        <f t="shared" si="39"/>
        <v>#REF!</v>
      </c>
      <c r="X110" s="156" t="e">
        <f>'Proy. ventas'!#REF!</f>
        <v>#REF!</v>
      </c>
      <c r="Y110" s="84" t="e">
        <f t="shared" si="40"/>
        <v>#REF!</v>
      </c>
      <c r="Z110" s="156" t="e">
        <f>'Proy. ventas'!#REF!</f>
        <v>#REF!</v>
      </c>
      <c r="AA110" s="86" t="e">
        <f t="shared" si="41"/>
        <v>#REF!</v>
      </c>
      <c r="AB110" s="192" t="e">
        <f t="shared" si="42"/>
        <v>#REF!</v>
      </c>
    </row>
    <row r="111" spans="1:28" x14ac:dyDescent="0.25">
      <c r="A111" s="688"/>
      <c r="B111" s="161"/>
      <c r="C111" s="162">
        <v>200</v>
      </c>
      <c r="D111" s="159" t="e">
        <f>'Proy. ventas'!#REF!</f>
        <v>#REF!</v>
      </c>
      <c r="E111" s="84" t="e">
        <f t="shared" si="30"/>
        <v>#REF!</v>
      </c>
      <c r="F111" s="156" t="e">
        <f>'Proy. ventas'!#REF!</f>
        <v>#REF!</v>
      </c>
      <c r="G111" s="84" t="e">
        <f t="shared" si="31"/>
        <v>#REF!</v>
      </c>
      <c r="H111" s="156" t="e">
        <f>'Proy. ventas'!#REF!</f>
        <v>#REF!</v>
      </c>
      <c r="I111" s="84" t="e">
        <f t="shared" si="32"/>
        <v>#REF!</v>
      </c>
      <c r="J111" s="156" t="e">
        <f>'Proy. ventas'!#REF!</f>
        <v>#REF!</v>
      </c>
      <c r="K111" s="84" t="e">
        <f t="shared" si="33"/>
        <v>#REF!</v>
      </c>
      <c r="L111" s="156" t="e">
        <f>'Proy. ventas'!#REF!</f>
        <v>#REF!</v>
      </c>
      <c r="M111" s="84" t="e">
        <f t="shared" si="34"/>
        <v>#REF!</v>
      </c>
      <c r="N111" s="156" t="e">
        <f>'Proy. ventas'!#REF!</f>
        <v>#REF!</v>
      </c>
      <c r="O111" s="84" t="e">
        <f t="shared" si="35"/>
        <v>#REF!</v>
      </c>
      <c r="P111" s="156" t="e">
        <f>'Proy. ventas'!#REF!</f>
        <v>#REF!</v>
      </c>
      <c r="Q111" s="84" t="e">
        <f t="shared" si="36"/>
        <v>#REF!</v>
      </c>
      <c r="R111" s="156" t="e">
        <f>'Proy. ventas'!#REF!</f>
        <v>#REF!</v>
      </c>
      <c r="S111" s="84" t="e">
        <f t="shared" si="37"/>
        <v>#REF!</v>
      </c>
      <c r="T111" s="156" t="e">
        <f>'Proy. ventas'!#REF!</f>
        <v>#REF!</v>
      </c>
      <c r="U111" s="84" t="e">
        <f t="shared" si="38"/>
        <v>#REF!</v>
      </c>
      <c r="V111" s="156" t="e">
        <f>'Proy. ventas'!#REF!</f>
        <v>#REF!</v>
      </c>
      <c r="W111" s="84" t="e">
        <f t="shared" si="39"/>
        <v>#REF!</v>
      </c>
      <c r="X111" s="156" t="e">
        <f>'Proy. ventas'!#REF!</f>
        <v>#REF!</v>
      </c>
      <c r="Y111" s="84" t="e">
        <f t="shared" si="40"/>
        <v>#REF!</v>
      </c>
      <c r="Z111" s="156" t="e">
        <f>'Proy. ventas'!#REF!</f>
        <v>#REF!</v>
      </c>
      <c r="AA111" s="86" t="e">
        <f t="shared" si="41"/>
        <v>#REF!</v>
      </c>
      <c r="AB111" s="192" t="e">
        <f t="shared" si="42"/>
        <v>#REF!</v>
      </c>
    </row>
    <row r="112" spans="1:28" ht="15.75" thickBot="1" x14ac:dyDescent="0.3">
      <c r="A112" s="689"/>
      <c r="B112" s="172"/>
      <c r="C112" s="173">
        <v>1150</v>
      </c>
      <c r="D112" s="174" t="e">
        <f>'Proy. ventas'!#REF!</f>
        <v>#REF!</v>
      </c>
      <c r="E112" s="107" t="e">
        <f t="shared" si="30"/>
        <v>#REF!</v>
      </c>
      <c r="F112" s="199" t="e">
        <f>'Proy. ventas'!#REF!</f>
        <v>#REF!</v>
      </c>
      <c r="G112" s="107" t="e">
        <f t="shared" si="31"/>
        <v>#REF!</v>
      </c>
      <c r="H112" s="199" t="e">
        <f>'Proy. ventas'!#REF!</f>
        <v>#REF!</v>
      </c>
      <c r="I112" s="107" t="e">
        <f t="shared" si="32"/>
        <v>#REF!</v>
      </c>
      <c r="J112" s="199" t="e">
        <f>'Proy. ventas'!#REF!</f>
        <v>#REF!</v>
      </c>
      <c r="K112" s="107" t="e">
        <f t="shared" si="33"/>
        <v>#REF!</v>
      </c>
      <c r="L112" s="199" t="e">
        <f>'Proy. ventas'!#REF!</f>
        <v>#REF!</v>
      </c>
      <c r="M112" s="107" t="e">
        <f t="shared" si="34"/>
        <v>#REF!</v>
      </c>
      <c r="N112" s="199" t="e">
        <f>'Proy. ventas'!#REF!</f>
        <v>#REF!</v>
      </c>
      <c r="O112" s="107" t="e">
        <f t="shared" si="35"/>
        <v>#REF!</v>
      </c>
      <c r="P112" s="199" t="e">
        <f>'Proy. ventas'!#REF!</f>
        <v>#REF!</v>
      </c>
      <c r="Q112" s="107" t="e">
        <f t="shared" si="36"/>
        <v>#REF!</v>
      </c>
      <c r="R112" s="199" t="e">
        <f>'Proy. ventas'!#REF!</f>
        <v>#REF!</v>
      </c>
      <c r="S112" s="107" t="e">
        <f t="shared" si="37"/>
        <v>#REF!</v>
      </c>
      <c r="T112" s="199" t="e">
        <f>'Proy. ventas'!#REF!</f>
        <v>#REF!</v>
      </c>
      <c r="U112" s="107" t="e">
        <f t="shared" si="38"/>
        <v>#REF!</v>
      </c>
      <c r="V112" s="199" t="e">
        <f>'Proy. ventas'!#REF!</f>
        <v>#REF!</v>
      </c>
      <c r="W112" s="107" t="e">
        <f t="shared" si="39"/>
        <v>#REF!</v>
      </c>
      <c r="X112" s="199" t="e">
        <f>'Proy. ventas'!#REF!</f>
        <v>#REF!</v>
      </c>
      <c r="Y112" s="107" t="e">
        <f t="shared" si="40"/>
        <v>#REF!</v>
      </c>
      <c r="Z112" s="199" t="e">
        <f>'Proy. ventas'!#REF!</f>
        <v>#REF!</v>
      </c>
      <c r="AA112" s="108" t="e">
        <f t="shared" si="41"/>
        <v>#REF!</v>
      </c>
      <c r="AB112" s="193" t="e">
        <f t="shared" si="42"/>
        <v>#REF!</v>
      </c>
    </row>
    <row r="113" spans="1:28" ht="30.75" thickBot="1" x14ac:dyDescent="0.3">
      <c r="A113" s="175" t="s">
        <v>115</v>
      </c>
      <c r="B113" s="209"/>
      <c r="C113" s="210">
        <v>300</v>
      </c>
      <c r="D113" s="204">
        <v>50</v>
      </c>
      <c r="E113" s="184">
        <f t="shared" si="30"/>
        <v>15000</v>
      </c>
      <c r="F113" s="205">
        <v>20</v>
      </c>
      <c r="G113" s="184">
        <f t="shared" si="31"/>
        <v>6000</v>
      </c>
      <c r="H113" s="205">
        <v>10</v>
      </c>
      <c r="I113" s="184">
        <f t="shared" si="32"/>
        <v>3000</v>
      </c>
      <c r="J113" s="205">
        <v>5</v>
      </c>
      <c r="K113" s="184">
        <f t="shared" si="33"/>
        <v>1500</v>
      </c>
      <c r="L113" s="205">
        <v>0</v>
      </c>
      <c r="M113" s="184">
        <f t="shared" si="34"/>
        <v>0</v>
      </c>
      <c r="N113" s="205">
        <v>5</v>
      </c>
      <c r="O113" s="184">
        <f t="shared" si="35"/>
        <v>1500</v>
      </c>
      <c r="P113" s="205">
        <v>5</v>
      </c>
      <c r="Q113" s="184">
        <f t="shared" si="36"/>
        <v>1500</v>
      </c>
      <c r="R113" s="205">
        <v>0</v>
      </c>
      <c r="S113" s="184">
        <f t="shared" si="37"/>
        <v>0</v>
      </c>
      <c r="T113" s="205">
        <v>10</v>
      </c>
      <c r="U113" s="184">
        <f t="shared" si="38"/>
        <v>3000</v>
      </c>
      <c r="V113" s="205">
        <v>10</v>
      </c>
      <c r="W113" s="184">
        <f t="shared" si="39"/>
        <v>3000</v>
      </c>
      <c r="X113" s="205">
        <v>15</v>
      </c>
      <c r="Y113" s="184">
        <f t="shared" si="40"/>
        <v>4500</v>
      </c>
      <c r="Z113" s="205">
        <v>10</v>
      </c>
      <c r="AA113" s="206">
        <f t="shared" si="41"/>
        <v>3000</v>
      </c>
      <c r="AB113" s="207">
        <f t="shared" si="42"/>
        <v>42000</v>
      </c>
    </row>
    <row r="114" spans="1:28" x14ac:dyDescent="0.25">
      <c r="A114" s="682" t="s">
        <v>118</v>
      </c>
      <c r="B114" s="187"/>
      <c r="C114" s="160">
        <v>182000</v>
      </c>
      <c r="D114" s="158">
        <v>1</v>
      </c>
      <c r="E114" s="97">
        <f t="shared" si="30"/>
        <v>182000</v>
      </c>
      <c r="F114" s="157">
        <v>1</v>
      </c>
      <c r="G114" s="97">
        <f t="shared" si="31"/>
        <v>182000</v>
      </c>
      <c r="H114" s="157">
        <v>0</v>
      </c>
      <c r="I114" s="97">
        <f t="shared" si="32"/>
        <v>0</v>
      </c>
      <c r="J114" s="157">
        <v>1</v>
      </c>
      <c r="K114" s="97">
        <f t="shared" si="33"/>
        <v>182000</v>
      </c>
      <c r="L114" s="157">
        <v>1</v>
      </c>
      <c r="M114" s="97">
        <f t="shared" si="34"/>
        <v>182000</v>
      </c>
      <c r="N114" s="157">
        <v>0</v>
      </c>
      <c r="O114" s="97">
        <f t="shared" si="35"/>
        <v>0</v>
      </c>
      <c r="P114" s="157">
        <v>0</v>
      </c>
      <c r="Q114" s="97">
        <f t="shared" si="36"/>
        <v>0</v>
      </c>
      <c r="R114" s="157">
        <v>0</v>
      </c>
      <c r="S114" s="97">
        <f t="shared" si="37"/>
        <v>0</v>
      </c>
      <c r="T114" s="157">
        <v>1</v>
      </c>
      <c r="U114" s="97">
        <f t="shared" si="38"/>
        <v>182000</v>
      </c>
      <c r="V114" s="157">
        <v>0</v>
      </c>
      <c r="W114" s="97">
        <f t="shared" si="39"/>
        <v>0</v>
      </c>
      <c r="X114" s="157">
        <v>0</v>
      </c>
      <c r="Y114" s="97">
        <f t="shared" si="40"/>
        <v>0</v>
      </c>
      <c r="Z114" s="157">
        <v>1</v>
      </c>
      <c r="AA114" s="98">
        <f t="shared" si="41"/>
        <v>182000</v>
      </c>
      <c r="AB114" s="195">
        <f t="shared" si="42"/>
        <v>1092000</v>
      </c>
    </row>
    <row r="115" spans="1:28" x14ac:dyDescent="0.25">
      <c r="A115" s="683"/>
      <c r="B115" s="188"/>
      <c r="C115" s="162">
        <v>130000</v>
      </c>
      <c r="D115" s="159">
        <v>1</v>
      </c>
      <c r="E115" s="84">
        <f t="shared" si="30"/>
        <v>130000</v>
      </c>
      <c r="F115" s="156">
        <v>0</v>
      </c>
      <c r="G115" s="84">
        <f t="shared" si="31"/>
        <v>0</v>
      </c>
      <c r="H115" s="156">
        <v>0</v>
      </c>
      <c r="I115" s="84">
        <f t="shared" si="32"/>
        <v>0</v>
      </c>
      <c r="J115" s="156">
        <v>0</v>
      </c>
      <c r="K115" s="84">
        <f t="shared" si="33"/>
        <v>0</v>
      </c>
      <c r="L115" s="156">
        <v>1</v>
      </c>
      <c r="M115" s="84">
        <f t="shared" si="34"/>
        <v>130000</v>
      </c>
      <c r="N115" s="156">
        <v>0</v>
      </c>
      <c r="O115" s="84">
        <f t="shared" si="35"/>
        <v>0</v>
      </c>
      <c r="P115" s="156">
        <v>0</v>
      </c>
      <c r="Q115" s="84">
        <f t="shared" si="36"/>
        <v>0</v>
      </c>
      <c r="R115" s="156">
        <v>0</v>
      </c>
      <c r="S115" s="84">
        <f t="shared" si="37"/>
        <v>0</v>
      </c>
      <c r="T115" s="156">
        <v>1</v>
      </c>
      <c r="U115" s="84">
        <f t="shared" si="38"/>
        <v>130000</v>
      </c>
      <c r="V115" s="156">
        <v>0</v>
      </c>
      <c r="W115" s="84">
        <f t="shared" si="39"/>
        <v>0</v>
      </c>
      <c r="X115" s="156">
        <v>0</v>
      </c>
      <c r="Y115" s="84">
        <f t="shared" si="40"/>
        <v>0</v>
      </c>
      <c r="Z115" s="156">
        <v>1</v>
      </c>
      <c r="AA115" s="86">
        <f t="shared" si="41"/>
        <v>130000</v>
      </c>
      <c r="AB115" s="192">
        <f t="shared" si="42"/>
        <v>520000</v>
      </c>
    </row>
    <row r="116" spans="1:28" x14ac:dyDescent="0.25">
      <c r="A116" s="683"/>
      <c r="B116" s="163"/>
      <c r="C116" s="162">
        <v>250000</v>
      </c>
      <c r="D116" s="159">
        <v>0</v>
      </c>
      <c r="E116" s="84">
        <f t="shared" si="30"/>
        <v>0</v>
      </c>
      <c r="F116" s="156">
        <v>0</v>
      </c>
      <c r="G116" s="84">
        <f t="shared" si="31"/>
        <v>0</v>
      </c>
      <c r="H116" s="156">
        <v>0</v>
      </c>
      <c r="I116" s="84">
        <f t="shared" si="32"/>
        <v>0</v>
      </c>
      <c r="J116" s="156">
        <v>0</v>
      </c>
      <c r="K116" s="84">
        <f t="shared" si="33"/>
        <v>0</v>
      </c>
      <c r="L116" s="156">
        <v>0</v>
      </c>
      <c r="M116" s="84">
        <f t="shared" si="34"/>
        <v>0</v>
      </c>
      <c r="N116" s="156">
        <v>0</v>
      </c>
      <c r="O116" s="84">
        <f t="shared" si="35"/>
        <v>0</v>
      </c>
      <c r="P116" s="156">
        <v>0</v>
      </c>
      <c r="Q116" s="84">
        <f t="shared" si="36"/>
        <v>0</v>
      </c>
      <c r="R116" s="156">
        <v>0</v>
      </c>
      <c r="S116" s="84">
        <f t="shared" si="37"/>
        <v>0</v>
      </c>
      <c r="T116" s="156">
        <v>1</v>
      </c>
      <c r="U116" s="84">
        <f t="shared" si="38"/>
        <v>250000</v>
      </c>
      <c r="V116" s="156">
        <v>0</v>
      </c>
      <c r="W116" s="84">
        <f t="shared" si="39"/>
        <v>0</v>
      </c>
      <c r="X116" s="156">
        <v>0</v>
      </c>
      <c r="Y116" s="84">
        <f t="shared" si="40"/>
        <v>0</v>
      </c>
      <c r="Z116" s="156">
        <v>0</v>
      </c>
      <c r="AA116" s="86">
        <f t="shared" si="41"/>
        <v>0</v>
      </c>
      <c r="AB116" s="192">
        <f t="shared" si="42"/>
        <v>250000</v>
      </c>
    </row>
    <row r="117" spans="1:28" ht="15.75" thickBot="1" x14ac:dyDescent="0.3">
      <c r="A117" s="684"/>
      <c r="B117" s="179"/>
      <c r="C117" s="180">
        <v>0</v>
      </c>
      <c r="D117" s="181">
        <v>0</v>
      </c>
      <c r="E117" s="107">
        <v>0</v>
      </c>
      <c r="F117" s="201">
        <v>0</v>
      </c>
      <c r="G117" s="107">
        <v>0</v>
      </c>
      <c r="H117" s="201">
        <v>0</v>
      </c>
      <c r="I117" s="107">
        <v>0</v>
      </c>
      <c r="J117" s="201">
        <v>0</v>
      </c>
      <c r="K117" s="107">
        <v>0</v>
      </c>
      <c r="L117" s="201">
        <v>0</v>
      </c>
      <c r="M117" s="107" t="e">
        <f>($C$53*L101 + $C$54*L102+$C$55*L103)*0.15</f>
        <v>#REF!</v>
      </c>
      <c r="N117" s="201">
        <v>0</v>
      </c>
      <c r="O117" s="107" t="e">
        <f>($C$53*N101 + $C$54*N102+$C$55*N103)*0.15</f>
        <v>#REF!</v>
      </c>
      <c r="P117" s="201">
        <v>0</v>
      </c>
      <c r="Q117" s="107" t="e">
        <f>($C$53*P101 + $C$54*P102+$C$55*P103)*0.15</f>
        <v>#REF!</v>
      </c>
      <c r="R117" s="201">
        <v>0</v>
      </c>
      <c r="S117" s="107">
        <v>0</v>
      </c>
      <c r="T117" s="201">
        <v>0</v>
      </c>
      <c r="U117" s="107">
        <v>0</v>
      </c>
      <c r="V117" s="201">
        <v>0</v>
      </c>
      <c r="W117" s="107">
        <v>0</v>
      </c>
      <c r="X117" s="201">
        <v>0</v>
      </c>
      <c r="Y117" s="107">
        <v>0</v>
      </c>
      <c r="Z117" s="201">
        <v>0</v>
      </c>
      <c r="AA117" s="108">
        <v>0</v>
      </c>
      <c r="AB117" s="193" t="e">
        <f>E117+G117+I117+K117+M117+O117+Q117+S117+U117+W117+Y117+AA117</f>
        <v>#REF!</v>
      </c>
    </row>
    <row r="118" spans="1:28" ht="15.75" thickBot="1" x14ac:dyDescent="0.3">
      <c r="A118" s="175" t="s">
        <v>116</v>
      </c>
      <c r="B118" s="176"/>
      <c r="C118" s="185">
        <v>0</v>
      </c>
      <c r="D118" s="186">
        <v>0</v>
      </c>
      <c r="E118" s="115" t="e">
        <f>(D103+D102+D101)*75</f>
        <v>#REF!</v>
      </c>
      <c r="F118" s="202">
        <v>0</v>
      </c>
      <c r="G118" s="115" t="e">
        <f>(F103+F102+F101)*75</f>
        <v>#REF!</v>
      </c>
      <c r="H118" s="202">
        <v>0</v>
      </c>
      <c r="I118" s="115" t="e">
        <f>(H103+H102+H101)*75</f>
        <v>#REF!</v>
      </c>
      <c r="J118" s="202">
        <v>0</v>
      </c>
      <c r="K118" s="115" t="e">
        <f>(J103+J102+J101)*75</f>
        <v>#REF!</v>
      </c>
      <c r="L118" s="202">
        <v>0</v>
      </c>
      <c r="M118" s="115" t="e">
        <f>(L103+L102+L101)*75</f>
        <v>#REF!</v>
      </c>
      <c r="N118" s="202">
        <v>0</v>
      </c>
      <c r="O118" s="115" t="e">
        <f>(N103+N102+N101)*75</f>
        <v>#REF!</v>
      </c>
      <c r="P118" s="202">
        <v>0</v>
      </c>
      <c r="Q118" s="115" t="e">
        <f>(P103+P102+P101)*75</f>
        <v>#REF!</v>
      </c>
      <c r="R118" s="202">
        <v>0</v>
      </c>
      <c r="S118" s="115" t="e">
        <f>(R103+R102+R101)*75</f>
        <v>#REF!</v>
      </c>
      <c r="T118" s="202">
        <v>0</v>
      </c>
      <c r="U118" s="115" t="e">
        <f>(T103+T102+T101)*75</f>
        <v>#REF!</v>
      </c>
      <c r="V118" s="202">
        <v>0</v>
      </c>
      <c r="W118" s="115" t="e">
        <f>(V103+V102+V101)*75</f>
        <v>#REF!</v>
      </c>
      <c r="X118" s="202">
        <v>0</v>
      </c>
      <c r="Y118" s="115" t="e">
        <f>(X103+X102+X101)*75</f>
        <v>#REF!</v>
      </c>
      <c r="Z118" s="202">
        <v>0</v>
      </c>
      <c r="AA118" s="115" t="e">
        <f>(Z103+Z102+Z101)*75</f>
        <v>#REF!</v>
      </c>
      <c r="AB118" s="193" t="e">
        <f>E118+G118+I118+K118+M118+O118+Q118+S118+U118+W118+Y118+AA118</f>
        <v>#REF!</v>
      </c>
    </row>
    <row r="119" spans="1:28" ht="15.75" thickBot="1" x14ac:dyDescent="0.3">
      <c r="B119" s="190" t="s">
        <v>117</v>
      </c>
      <c r="C119" s="182"/>
      <c r="D119" s="183"/>
      <c r="E119" s="197" t="e">
        <f>SUM(E101:E118)</f>
        <v>#REF!</v>
      </c>
      <c r="F119" s="203"/>
      <c r="G119" s="197" t="e">
        <f>SUM(G101:G118)</f>
        <v>#REF!</v>
      </c>
      <c r="H119" s="203"/>
      <c r="I119" s="197" t="e">
        <f>SUM(I101:I118)</f>
        <v>#REF!</v>
      </c>
      <c r="J119" s="203"/>
      <c r="K119" s="197" t="e">
        <f>SUM(K101:K118)</f>
        <v>#REF!</v>
      </c>
      <c r="L119" s="203"/>
      <c r="M119" s="197" t="e">
        <f>SUM(M101:M118)</f>
        <v>#REF!</v>
      </c>
      <c r="N119" s="183"/>
      <c r="O119" s="197" t="e">
        <f>SUM(O101:O118)</f>
        <v>#REF!</v>
      </c>
      <c r="P119" s="203"/>
      <c r="Q119" s="197" t="e">
        <f>SUM(Q101:Q118)</f>
        <v>#REF!</v>
      </c>
      <c r="R119" s="203"/>
      <c r="S119" s="197" t="e">
        <f>SUM(S101:S118)</f>
        <v>#REF!</v>
      </c>
      <c r="T119" s="203"/>
      <c r="U119" s="197" t="e">
        <f>SUM(U101:U118)</f>
        <v>#REF!</v>
      </c>
      <c r="V119" s="203"/>
      <c r="W119" s="197" t="e">
        <f>SUM(W101:W118)</f>
        <v>#REF!</v>
      </c>
      <c r="X119" s="203"/>
      <c r="Y119" s="197" t="e">
        <f>SUM(Y101:Y118)</f>
        <v>#REF!</v>
      </c>
      <c r="Z119" s="203"/>
      <c r="AA119" s="196" t="e">
        <f>SUM(AA101:AA118)</f>
        <v>#REF!</v>
      </c>
      <c r="AB119" s="189" t="e">
        <f>SUM(E119:AA119)</f>
        <v>#REF!</v>
      </c>
    </row>
  </sheetData>
  <mergeCells count="60">
    <mergeCell ref="H51:I51"/>
    <mergeCell ref="J51:K51"/>
    <mergeCell ref="H4:J4"/>
    <mergeCell ref="B4:D4"/>
    <mergeCell ref="B11:E11"/>
    <mergeCell ref="X51:Y51"/>
    <mergeCell ref="Z51:AA51"/>
    <mergeCell ref="B10:E10"/>
    <mergeCell ref="B51:C51"/>
    <mergeCell ref="B50:AB50"/>
    <mergeCell ref="AB51:AB52"/>
    <mergeCell ref="L51:M51"/>
    <mergeCell ref="N51:O51"/>
    <mergeCell ref="P51:Q51"/>
    <mergeCell ref="R51:S51"/>
    <mergeCell ref="T51:U51"/>
    <mergeCell ref="V51:W51"/>
    <mergeCell ref="B22:E22"/>
    <mergeCell ref="B35:E35"/>
    <mergeCell ref="D51:E51"/>
    <mergeCell ref="F51:G51"/>
    <mergeCell ref="A53:A55"/>
    <mergeCell ref="A56:A64"/>
    <mergeCell ref="A66:A69"/>
    <mergeCell ref="B74:AB74"/>
    <mergeCell ref="B75:C75"/>
    <mergeCell ref="D75:E75"/>
    <mergeCell ref="F75:G75"/>
    <mergeCell ref="H75:I75"/>
    <mergeCell ref="J75:K75"/>
    <mergeCell ref="X75:Y75"/>
    <mergeCell ref="Z75:AA75"/>
    <mergeCell ref="AB75:AB76"/>
    <mergeCell ref="T75:U75"/>
    <mergeCell ref="V75:W75"/>
    <mergeCell ref="A90:A93"/>
    <mergeCell ref="L75:M75"/>
    <mergeCell ref="N75:O75"/>
    <mergeCell ref="P75:Q75"/>
    <mergeCell ref="R75:S75"/>
    <mergeCell ref="A77:A79"/>
    <mergeCell ref="A80:A88"/>
    <mergeCell ref="X99:Y99"/>
    <mergeCell ref="Z99:AA99"/>
    <mergeCell ref="B98:AB98"/>
    <mergeCell ref="B99:C99"/>
    <mergeCell ref="D99:E99"/>
    <mergeCell ref="F99:G99"/>
    <mergeCell ref="H99:I99"/>
    <mergeCell ref="J99:K99"/>
    <mergeCell ref="L99:M99"/>
    <mergeCell ref="N99:O99"/>
    <mergeCell ref="AB99:AB100"/>
    <mergeCell ref="A114:A117"/>
    <mergeCell ref="P99:Q99"/>
    <mergeCell ref="R99:S99"/>
    <mergeCell ref="T99:U99"/>
    <mergeCell ref="V99:W99"/>
    <mergeCell ref="A101:A103"/>
    <mergeCell ref="A104:A112"/>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1"/>
  <sheetViews>
    <sheetView zoomScale="80" zoomScaleNormal="80" workbookViewId="0">
      <pane xSplit="2" ySplit="1" topLeftCell="C2" activePane="bottomRight" state="frozen"/>
      <selection pane="topRight" activeCell="C1" sqref="C1"/>
      <selection pane="bottomLeft" activeCell="A2" sqref="A2"/>
      <selection pane="bottomRight" activeCell="F8" sqref="F8"/>
    </sheetView>
  </sheetViews>
  <sheetFormatPr baseColWidth="10" defaultColWidth="11.42578125" defaultRowHeight="15" x14ac:dyDescent="0.25"/>
  <cols>
    <col min="1" max="1" width="11.42578125" style="1"/>
    <col min="2" max="2" width="31" style="1" bestFit="1" customWidth="1"/>
    <col min="3" max="3" width="36.140625" style="1" bestFit="1" customWidth="1"/>
    <col min="4" max="4" width="15.140625" style="1" bestFit="1" customWidth="1"/>
    <col min="5" max="5" width="22" style="1" customWidth="1"/>
    <col min="6" max="6" width="23" style="1" customWidth="1"/>
    <col min="7" max="7" width="11.5703125" style="1" bestFit="1" customWidth="1"/>
    <col min="8" max="8" width="15.5703125" style="1" customWidth="1"/>
    <col min="9" max="9" width="14.140625" style="1" bestFit="1" customWidth="1"/>
    <col min="10" max="10" width="15.140625" style="1" bestFit="1" customWidth="1"/>
    <col min="11" max="11" width="16.7109375" style="1" bestFit="1" customWidth="1"/>
    <col min="12" max="12" width="21.28515625" style="1" customWidth="1"/>
    <col min="13" max="13" width="11.42578125" style="1"/>
    <col min="14" max="14" width="13.5703125" style="1" bestFit="1" customWidth="1"/>
    <col min="15" max="15" width="11.42578125" style="1"/>
    <col min="16" max="16" width="12" style="1" bestFit="1" customWidth="1"/>
    <col min="17" max="17" width="11.42578125" style="1"/>
    <col min="18" max="18" width="12" style="1" bestFit="1" customWidth="1"/>
    <col min="19" max="19" width="11.42578125" style="1"/>
    <col min="20" max="20" width="12" style="1" bestFit="1" customWidth="1"/>
    <col min="21" max="21" width="11.42578125" style="1"/>
    <col min="22" max="22" width="12" style="1" bestFit="1" customWidth="1"/>
    <col min="23" max="23" width="17.85546875" style="1" customWidth="1"/>
    <col min="24" max="24" width="12" style="1" bestFit="1" customWidth="1"/>
    <col min="25" max="25" width="12.42578125" style="1" bestFit="1" customWidth="1"/>
    <col min="26" max="26" width="13.5703125" style="1" bestFit="1" customWidth="1"/>
    <col min="27" max="27" width="15.42578125" style="1" customWidth="1"/>
    <col min="28" max="28" width="11.42578125" style="1"/>
    <col min="29" max="29" width="12.42578125" style="1" bestFit="1" customWidth="1"/>
    <col min="30" max="16384" width="11.42578125" style="1"/>
  </cols>
  <sheetData>
    <row r="1" spans="1:31" s="445" customFormat="1" ht="58.5" customHeight="1" x14ac:dyDescent="0.25">
      <c r="A1" s="447"/>
      <c r="B1" s="447"/>
      <c r="C1" s="447"/>
      <c r="D1" s="447"/>
      <c r="E1" s="450" t="s">
        <v>6</v>
      </c>
      <c r="F1" s="452"/>
      <c r="G1" s="452"/>
      <c r="H1" s="447"/>
      <c r="I1" s="447"/>
      <c r="J1" s="447"/>
      <c r="K1" s="447"/>
      <c r="L1" s="447"/>
      <c r="M1" s="447"/>
      <c r="N1" s="447"/>
      <c r="O1" s="447"/>
      <c r="P1" s="447"/>
      <c r="Q1" s="447"/>
      <c r="R1" s="447"/>
      <c r="S1" s="447"/>
      <c r="T1" s="447"/>
      <c r="U1" s="447"/>
      <c r="V1" s="447"/>
      <c r="W1" s="447"/>
      <c r="X1" s="447"/>
      <c r="Y1" s="447"/>
      <c r="Z1" s="447"/>
      <c r="AA1" s="447"/>
      <c r="AB1" s="447"/>
      <c r="AC1" s="447"/>
      <c r="AD1" s="447"/>
      <c r="AE1" s="447"/>
    </row>
    <row r="3" spans="1:31" ht="15.75" thickBot="1" x14ac:dyDescent="0.3"/>
    <row r="4" spans="1:31" ht="27" thickBot="1" x14ac:dyDescent="0.45">
      <c r="B4" s="670" t="s">
        <v>35</v>
      </c>
      <c r="C4" s="671"/>
      <c r="D4" s="672"/>
      <c r="E4" s="39"/>
      <c r="H4" s="670" t="s">
        <v>122</v>
      </c>
      <c r="I4" s="671"/>
      <c r="J4" s="672"/>
    </row>
    <row r="5" spans="1:31" x14ac:dyDescent="0.25">
      <c r="B5" s="34">
        <v>2019</v>
      </c>
      <c r="C5" s="34">
        <v>2020</v>
      </c>
      <c r="D5" s="34">
        <v>2021</v>
      </c>
      <c r="E5" s="76"/>
      <c r="H5" s="44">
        <v>2019</v>
      </c>
      <c r="I5" s="34">
        <v>2020</v>
      </c>
      <c r="J5" s="45">
        <v>2021</v>
      </c>
    </row>
    <row r="6" spans="1:31" ht="15.75" thickBot="1" x14ac:dyDescent="0.3">
      <c r="B6" s="40">
        <f>Hipótesis!C24</f>
        <v>0.02</v>
      </c>
      <c r="C6" s="40">
        <f>Hipótesis!C25</f>
        <v>0.05</v>
      </c>
      <c r="D6" s="40">
        <f>Hipótesis!C26</f>
        <v>0.1</v>
      </c>
      <c r="E6" s="135"/>
      <c r="H6" s="48">
        <f>$AA$51</f>
        <v>7341662.4450000012</v>
      </c>
      <c r="I6" s="49">
        <f>$AA$69</f>
        <v>8446303.9266666677</v>
      </c>
      <c r="J6" s="50">
        <f>$AA$87</f>
        <v>10262133.115833335</v>
      </c>
    </row>
    <row r="7" spans="1:31" x14ac:dyDescent="0.25">
      <c r="B7" s="33">
        <f>Hipótesis!D24</f>
        <v>121458400</v>
      </c>
      <c r="C7" s="33">
        <f>Hipótesis!D25</f>
        <v>303646000</v>
      </c>
      <c r="D7" s="33">
        <f>Hipótesis!D26</f>
        <v>607292000</v>
      </c>
      <c r="E7" s="132"/>
    </row>
    <row r="10" spans="1:31" ht="15.75" thickBot="1" x14ac:dyDescent="0.3"/>
    <row r="11" spans="1:31" ht="27" thickBot="1" x14ac:dyDescent="0.45">
      <c r="B11" s="670" t="s">
        <v>138</v>
      </c>
      <c r="C11" s="671"/>
      <c r="D11" s="671"/>
      <c r="E11" s="671"/>
      <c r="F11" s="671"/>
      <c r="G11" s="671"/>
      <c r="H11" s="671"/>
      <c r="I11" s="671"/>
      <c r="J11" s="671"/>
      <c r="K11" s="671"/>
      <c r="L11" s="672"/>
    </row>
    <row r="12" spans="1:31" ht="15.75" x14ac:dyDescent="0.25">
      <c r="B12" s="706" t="s">
        <v>129</v>
      </c>
      <c r="C12" s="716" t="s">
        <v>130</v>
      </c>
      <c r="D12" s="714" t="s">
        <v>131</v>
      </c>
      <c r="E12" s="218" t="s">
        <v>123</v>
      </c>
      <c r="F12" s="154" t="s">
        <v>124</v>
      </c>
      <c r="G12" s="154" t="s">
        <v>125</v>
      </c>
      <c r="H12" s="154" t="s">
        <v>126</v>
      </c>
      <c r="I12" s="211" t="s">
        <v>127</v>
      </c>
      <c r="J12" s="228" t="s">
        <v>128</v>
      </c>
      <c r="K12" s="708" t="s">
        <v>140</v>
      </c>
      <c r="L12" s="708" t="s">
        <v>141</v>
      </c>
    </row>
    <row r="13" spans="1:31" ht="16.5" thickBot="1" x14ac:dyDescent="0.3">
      <c r="B13" s="707"/>
      <c r="C13" s="717"/>
      <c r="D13" s="715"/>
      <c r="E13" s="219">
        <v>0.1047</v>
      </c>
      <c r="F13" s="212">
        <v>1.54E-2</v>
      </c>
      <c r="G13" s="213">
        <v>0.06</v>
      </c>
      <c r="H13" s="212">
        <v>9.1999999999999998E-3</v>
      </c>
      <c r="I13" s="213" t="s">
        <v>139</v>
      </c>
      <c r="J13" s="229">
        <v>0.03</v>
      </c>
      <c r="K13" s="709"/>
      <c r="L13" s="709"/>
    </row>
    <row r="14" spans="1:31" ht="15.75" thickBot="1" x14ac:dyDescent="0.3">
      <c r="B14" s="214" t="s">
        <v>132</v>
      </c>
      <c r="C14" s="215"/>
      <c r="D14" s="220">
        <v>80000</v>
      </c>
      <c r="E14" s="124">
        <f>$D$14*E13</f>
        <v>8376</v>
      </c>
      <c r="F14" s="115">
        <f t="shared" ref="F14:J14" si="0">$D$14*F13</f>
        <v>1232</v>
      </c>
      <c r="G14" s="115">
        <f t="shared" si="0"/>
        <v>4800</v>
      </c>
      <c r="H14" s="115">
        <f t="shared" si="0"/>
        <v>736</v>
      </c>
      <c r="I14" s="115">
        <v>18.57</v>
      </c>
      <c r="J14" s="116">
        <f t="shared" si="0"/>
        <v>2400</v>
      </c>
      <c r="K14" s="230">
        <f>SUM(E14:J14)</f>
        <v>17562.57</v>
      </c>
      <c r="L14" s="224">
        <f>D14+K14</f>
        <v>97562.57</v>
      </c>
    </row>
    <row r="15" spans="1:31" x14ac:dyDescent="0.25">
      <c r="B15" s="710" t="s">
        <v>135</v>
      </c>
      <c r="C15" s="216"/>
      <c r="D15" s="221">
        <v>60000</v>
      </c>
      <c r="E15" s="120">
        <f>$D$15*E13</f>
        <v>6282</v>
      </c>
      <c r="F15" s="103">
        <f t="shared" ref="F15:J15" si="1">$D$15*F13</f>
        <v>924</v>
      </c>
      <c r="G15" s="103">
        <f t="shared" si="1"/>
        <v>3600</v>
      </c>
      <c r="H15" s="103">
        <f t="shared" si="1"/>
        <v>552</v>
      </c>
      <c r="I15" s="103">
        <v>18.57</v>
      </c>
      <c r="J15" s="104">
        <f t="shared" si="1"/>
        <v>1800</v>
      </c>
      <c r="K15" s="231">
        <f t="shared" ref="K15:K34" si="2">SUM(E15:J15)</f>
        <v>13176.57</v>
      </c>
      <c r="L15" s="225">
        <f t="shared" ref="L15:L34" si="3">D15+K15</f>
        <v>73176.570000000007</v>
      </c>
    </row>
    <row r="16" spans="1:31" x14ac:dyDescent="0.25">
      <c r="B16" s="711"/>
      <c r="C16" s="75"/>
      <c r="D16" s="222">
        <v>52000</v>
      </c>
      <c r="E16" s="121">
        <f>$D$16*E13</f>
        <v>5444.4</v>
      </c>
      <c r="F16" s="84">
        <f t="shared" ref="F16:J16" si="4">$D$16*F13</f>
        <v>800.80000000000007</v>
      </c>
      <c r="G16" s="84">
        <f t="shared" si="4"/>
        <v>3120</v>
      </c>
      <c r="H16" s="84">
        <f t="shared" si="4"/>
        <v>478.4</v>
      </c>
      <c r="I16" s="84">
        <v>18.57</v>
      </c>
      <c r="J16" s="86">
        <f t="shared" si="4"/>
        <v>1560</v>
      </c>
      <c r="K16" s="232">
        <f t="shared" si="2"/>
        <v>11422.17</v>
      </c>
      <c r="L16" s="226">
        <f t="shared" si="3"/>
        <v>63422.17</v>
      </c>
    </row>
    <row r="17" spans="2:12" x14ac:dyDescent="0.25">
      <c r="B17" s="711"/>
      <c r="C17" s="75"/>
      <c r="D17" s="222">
        <v>52000</v>
      </c>
      <c r="E17" s="121">
        <f>$D$17*E13</f>
        <v>5444.4</v>
      </c>
      <c r="F17" s="84">
        <f t="shared" ref="F17:H17" si="5">$D$17*F13</f>
        <v>800.80000000000007</v>
      </c>
      <c r="G17" s="84">
        <f t="shared" si="5"/>
        <v>3120</v>
      </c>
      <c r="H17" s="84">
        <f t="shared" si="5"/>
        <v>478.4</v>
      </c>
      <c r="I17" s="84">
        <v>18.57</v>
      </c>
      <c r="J17" s="86">
        <f>$D$17*J13</f>
        <v>1560</v>
      </c>
      <c r="K17" s="232">
        <f t="shared" si="2"/>
        <v>11422.17</v>
      </c>
      <c r="L17" s="226">
        <f t="shared" si="3"/>
        <v>63422.17</v>
      </c>
    </row>
    <row r="18" spans="2:12" x14ac:dyDescent="0.25">
      <c r="B18" s="711"/>
      <c r="C18" s="75"/>
      <c r="D18" s="222">
        <v>48000</v>
      </c>
      <c r="E18" s="121">
        <f>$D$18*E13</f>
        <v>5025.6000000000004</v>
      </c>
      <c r="F18" s="84">
        <f t="shared" ref="F18:J18" si="6">$D$18*F13</f>
        <v>739.2</v>
      </c>
      <c r="G18" s="84">
        <f t="shared" si="6"/>
        <v>2880</v>
      </c>
      <c r="H18" s="84">
        <f t="shared" si="6"/>
        <v>441.59999999999997</v>
      </c>
      <c r="I18" s="84">
        <v>18.57</v>
      </c>
      <c r="J18" s="86">
        <f t="shared" si="6"/>
        <v>1440</v>
      </c>
      <c r="K18" s="232">
        <f t="shared" si="2"/>
        <v>10544.97</v>
      </c>
      <c r="L18" s="226">
        <f t="shared" si="3"/>
        <v>58544.97</v>
      </c>
    </row>
    <row r="19" spans="2:12" ht="15.75" thickBot="1" x14ac:dyDescent="0.3">
      <c r="B19" s="712"/>
      <c r="C19" s="217"/>
      <c r="D19" s="223">
        <v>40000</v>
      </c>
      <c r="E19" s="122">
        <f>$D$19*E13</f>
        <v>4188</v>
      </c>
      <c r="F19" s="107">
        <f t="shared" ref="F19:J19" si="7">$D$19*F13</f>
        <v>616</v>
      </c>
      <c r="G19" s="107">
        <f t="shared" si="7"/>
        <v>2400</v>
      </c>
      <c r="H19" s="107">
        <f t="shared" si="7"/>
        <v>368</v>
      </c>
      <c r="I19" s="107">
        <v>18.57</v>
      </c>
      <c r="J19" s="108">
        <f t="shared" si="7"/>
        <v>1200</v>
      </c>
      <c r="K19" s="233">
        <f t="shared" si="2"/>
        <v>8790.57</v>
      </c>
      <c r="L19" s="227">
        <f t="shared" si="3"/>
        <v>48790.57</v>
      </c>
    </row>
    <row r="20" spans="2:12" x14ac:dyDescent="0.25">
      <c r="B20" s="710" t="s">
        <v>133</v>
      </c>
      <c r="C20" s="216"/>
      <c r="D20" s="221">
        <v>52000</v>
      </c>
      <c r="E20" s="120">
        <f>$D$20*E13</f>
        <v>5444.4</v>
      </c>
      <c r="F20" s="103">
        <f t="shared" ref="F20:J20" si="8">$D$20*F13</f>
        <v>800.80000000000007</v>
      </c>
      <c r="G20" s="103">
        <f t="shared" si="8"/>
        <v>3120</v>
      </c>
      <c r="H20" s="103">
        <f t="shared" si="8"/>
        <v>478.4</v>
      </c>
      <c r="I20" s="103">
        <v>18.57</v>
      </c>
      <c r="J20" s="104">
        <f t="shared" si="8"/>
        <v>1560</v>
      </c>
      <c r="K20" s="231">
        <f t="shared" si="2"/>
        <v>11422.17</v>
      </c>
      <c r="L20" s="225">
        <f t="shared" si="3"/>
        <v>63422.17</v>
      </c>
    </row>
    <row r="21" spans="2:12" ht="15.75" thickBot="1" x14ac:dyDescent="0.3">
      <c r="B21" s="712"/>
      <c r="C21" s="217"/>
      <c r="D21" s="223">
        <v>35000</v>
      </c>
      <c r="E21" s="122">
        <f>$D$21*E13</f>
        <v>3664.5</v>
      </c>
      <c r="F21" s="107">
        <f t="shared" ref="F21:J21" si="9">$D$21*F13</f>
        <v>539</v>
      </c>
      <c r="G21" s="107">
        <f t="shared" si="9"/>
        <v>2100</v>
      </c>
      <c r="H21" s="107">
        <f t="shared" si="9"/>
        <v>322</v>
      </c>
      <c r="I21" s="107">
        <v>18.57</v>
      </c>
      <c r="J21" s="108">
        <f t="shared" si="9"/>
        <v>1050</v>
      </c>
      <c r="K21" s="233">
        <f t="shared" si="2"/>
        <v>7694.07</v>
      </c>
      <c r="L21" s="227">
        <f t="shared" si="3"/>
        <v>42694.07</v>
      </c>
    </row>
    <row r="22" spans="2:12" x14ac:dyDescent="0.25">
      <c r="B22" s="710" t="s">
        <v>136</v>
      </c>
      <c r="C22" s="216"/>
      <c r="D22" s="221">
        <v>48000</v>
      </c>
      <c r="E22" s="120">
        <f>$D$22*E13</f>
        <v>5025.6000000000004</v>
      </c>
      <c r="F22" s="103">
        <f t="shared" ref="F22:J22" si="10">$D$22*F13</f>
        <v>739.2</v>
      </c>
      <c r="G22" s="103">
        <f t="shared" si="10"/>
        <v>2880</v>
      </c>
      <c r="H22" s="103">
        <f t="shared" si="10"/>
        <v>441.59999999999997</v>
      </c>
      <c r="I22" s="103">
        <v>18.57</v>
      </c>
      <c r="J22" s="104">
        <f t="shared" si="10"/>
        <v>1440</v>
      </c>
      <c r="K22" s="231">
        <f t="shared" si="2"/>
        <v>10544.97</v>
      </c>
      <c r="L22" s="225">
        <f t="shared" si="3"/>
        <v>58544.97</v>
      </c>
    </row>
    <row r="23" spans="2:12" x14ac:dyDescent="0.25">
      <c r="B23" s="711"/>
      <c r="C23" s="75"/>
      <c r="D23" s="222">
        <v>32000</v>
      </c>
      <c r="E23" s="121">
        <f>$D$23*E13</f>
        <v>3350.4</v>
      </c>
      <c r="F23" s="84">
        <f t="shared" ref="F23:J23" si="11">$D$23*F13</f>
        <v>492.8</v>
      </c>
      <c r="G23" s="84">
        <f t="shared" si="11"/>
        <v>1920</v>
      </c>
      <c r="H23" s="84">
        <f t="shared" si="11"/>
        <v>294.39999999999998</v>
      </c>
      <c r="I23" s="84">
        <v>18.57</v>
      </c>
      <c r="J23" s="86">
        <f t="shared" si="11"/>
        <v>960</v>
      </c>
      <c r="K23" s="232">
        <f t="shared" si="2"/>
        <v>7036.17</v>
      </c>
      <c r="L23" s="226">
        <f t="shared" si="3"/>
        <v>39036.17</v>
      </c>
    </row>
    <row r="24" spans="2:12" x14ac:dyDescent="0.25">
      <c r="B24" s="713"/>
      <c r="C24" s="75"/>
      <c r="D24" s="222">
        <v>32000</v>
      </c>
      <c r="E24" s="121">
        <f>$D$24*E13</f>
        <v>3350.4</v>
      </c>
      <c r="F24" s="121">
        <f t="shared" ref="F24:J24" si="12">$D$24*F13</f>
        <v>492.8</v>
      </c>
      <c r="G24" s="121">
        <f t="shared" si="12"/>
        <v>1920</v>
      </c>
      <c r="H24" s="121">
        <f t="shared" si="12"/>
        <v>294.39999999999998</v>
      </c>
      <c r="I24" s="84">
        <v>18.57</v>
      </c>
      <c r="J24" s="121">
        <f t="shared" si="12"/>
        <v>960</v>
      </c>
      <c r="K24" s="232">
        <f t="shared" si="2"/>
        <v>7036.17</v>
      </c>
      <c r="L24" s="226">
        <f t="shared" ref="L24:L25" si="13">D24+K24</f>
        <v>39036.17</v>
      </c>
    </row>
    <row r="25" spans="2:12" x14ac:dyDescent="0.25">
      <c r="B25" s="713"/>
      <c r="C25" s="78"/>
      <c r="D25" s="234">
        <v>16000</v>
      </c>
      <c r="E25" s="125">
        <f>$D$25*E13</f>
        <v>1675.2</v>
      </c>
      <c r="F25" s="125">
        <f t="shared" ref="F25:J25" si="14">$D$25*F13</f>
        <v>246.4</v>
      </c>
      <c r="G25" s="125">
        <f t="shared" si="14"/>
        <v>960</v>
      </c>
      <c r="H25" s="125">
        <f t="shared" si="14"/>
        <v>147.19999999999999</v>
      </c>
      <c r="I25" s="84">
        <v>18.57</v>
      </c>
      <c r="J25" s="125">
        <f t="shared" si="14"/>
        <v>480</v>
      </c>
      <c r="K25" s="232">
        <f t="shared" si="2"/>
        <v>3527.3700000000003</v>
      </c>
      <c r="L25" s="226">
        <f t="shared" si="13"/>
        <v>19527.37</v>
      </c>
    </row>
    <row r="26" spans="2:12" ht="15.75" thickBot="1" x14ac:dyDescent="0.3">
      <c r="B26" s="712"/>
      <c r="C26" s="217"/>
      <c r="D26" s="223">
        <v>32000</v>
      </c>
      <c r="E26" s="122">
        <f>$D$26*E13</f>
        <v>3350.4</v>
      </c>
      <c r="F26" s="107">
        <f>$D$26*F13</f>
        <v>492.8</v>
      </c>
      <c r="G26" s="107">
        <f>$D$26*G13</f>
        <v>1920</v>
      </c>
      <c r="H26" s="107">
        <f>$D$26*H13</f>
        <v>294.39999999999998</v>
      </c>
      <c r="I26" s="107">
        <v>18.57</v>
      </c>
      <c r="J26" s="108">
        <f>$D$26*J13</f>
        <v>960</v>
      </c>
      <c r="K26" s="233">
        <f>SUM(E26:J26)</f>
        <v>7036.17</v>
      </c>
      <c r="L26" s="227">
        <f>D26+K26</f>
        <v>39036.17</v>
      </c>
    </row>
    <row r="27" spans="2:12" x14ac:dyDescent="0.25">
      <c r="B27" s="710" t="s">
        <v>134</v>
      </c>
      <c r="C27" s="216"/>
      <c r="D27" s="221">
        <v>52000</v>
      </c>
      <c r="E27" s="120">
        <f>$D$27*E13</f>
        <v>5444.4</v>
      </c>
      <c r="F27" s="103">
        <f>$D$27*F13</f>
        <v>800.80000000000007</v>
      </c>
      <c r="G27" s="103">
        <f>$D$27*G13</f>
        <v>3120</v>
      </c>
      <c r="H27" s="103">
        <f>$D$27*H13</f>
        <v>478.4</v>
      </c>
      <c r="I27" s="103">
        <v>18.57</v>
      </c>
      <c r="J27" s="104">
        <f>$D$27*J13</f>
        <v>1560</v>
      </c>
      <c r="K27" s="231">
        <f t="shared" si="2"/>
        <v>11422.17</v>
      </c>
      <c r="L27" s="225">
        <f t="shared" si="3"/>
        <v>63422.17</v>
      </c>
    </row>
    <row r="28" spans="2:12" x14ac:dyDescent="0.25">
      <c r="B28" s="711"/>
      <c r="C28" s="75"/>
      <c r="D28" s="222">
        <v>42000</v>
      </c>
      <c r="E28" s="121">
        <f>$D$28*E13</f>
        <v>4397.3999999999996</v>
      </c>
      <c r="F28" s="84">
        <f>$D$28*F13</f>
        <v>646.80000000000007</v>
      </c>
      <c r="G28" s="84">
        <f>$D$28*G13</f>
        <v>2520</v>
      </c>
      <c r="H28" s="84">
        <f>$D$28*H13</f>
        <v>386.4</v>
      </c>
      <c r="I28" s="84">
        <v>18.57</v>
      </c>
      <c r="J28" s="86">
        <f>$D$28*J13</f>
        <v>1260</v>
      </c>
      <c r="K28" s="232">
        <f t="shared" si="2"/>
        <v>9229.1699999999983</v>
      </c>
      <c r="L28" s="226">
        <f t="shared" si="3"/>
        <v>51229.17</v>
      </c>
    </row>
    <row r="29" spans="2:12" ht="15.75" thickBot="1" x14ac:dyDescent="0.3">
      <c r="B29" s="712"/>
      <c r="C29" s="217"/>
      <c r="D29" s="223">
        <v>40000</v>
      </c>
      <c r="E29" s="122">
        <f>$D$29*E13</f>
        <v>4188</v>
      </c>
      <c r="F29" s="107">
        <f>$D$29*F13</f>
        <v>616</v>
      </c>
      <c r="G29" s="107">
        <f>$D$29*G13</f>
        <v>2400</v>
      </c>
      <c r="H29" s="107">
        <f>$D$29*H13</f>
        <v>368</v>
      </c>
      <c r="I29" s="107">
        <v>18.57</v>
      </c>
      <c r="J29" s="108">
        <f>$D$29*J13</f>
        <v>1200</v>
      </c>
      <c r="K29" s="233">
        <f t="shared" si="2"/>
        <v>8790.57</v>
      </c>
      <c r="L29" s="227">
        <f t="shared" si="3"/>
        <v>48790.57</v>
      </c>
    </row>
    <row r="30" spans="2:12" x14ac:dyDescent="0.25">
      <c r="B30" s="710" t="s">
        <v>137</v>
      </c>
      <c r="C30" s="216"/>
      <c r="D30" s="221">
        <v>48000</v>
      </c>
      <c r="E30" s="120">
        <f>$D$30*E13</f>
        <v>5025.6000000000004</v>
      </c>
      <c r="F30" s="103">
        <f>$D$30*F13</f>
        <v>739.2</v>
      </c>
      <c r="G30" s="103">
        <f>$D$30*G13</f>
        <v>2880</v>
      </c>
      <c r="H30" s="103">
        <f>$D$30*H13</f>
        <v>441.59999999999997</v>
      </c>
      <c r="I30" s="103">
        <v>18.57</v>
      </c>
      <c r="J30" s="104">
        <f>$D$30*J13</f>
        <v>1440</v>
      </c>
      <c r="K30" s="231">
        <f t="shared" si="2"/>
        <v>10544.97</v>
      </c>
      <c r="L30" s="225">
        <f t="shared" si="3"/>
        <v>58544.97</v>
      </c>
    </row>
    <row r="31" spans="2:12" x14ac:dyDescent="0.25">
      <c r="B31" s="711"/>
      <c r="C31" s="75"/>
      <c r="D31" s="222">
        <v>40000</v>
      </c>
      <c r="E31" s="121">
        <f>$D$31*E13</f>
        <v>4188</v>
      </c>
      <c r="F31" s="84">
        <f>$D$31*F13</f>
        <v>616</v>
      </c>
      <c r="G31" s="84">
        <f>$D$31*G13</f>
        <v>2400</v>
      </c>
      <c r="H31" s="84">
        <f>$D$31*H13</f>
        <v>368</v>
      </c>
      <c r="I31" s="84">
        <v>18.57</v>
      </c>
      <c r="J31" s="86">
        <f>$D$31*J13</f>
        <v>1200</v>
      </c>
      <c r="K31" s="232">
        <f t="shared" si="2"/>
        <v>8790.57</v>
      </c>
      <c r="L31" s="226">
        <f t="shared" si="3"/>
        <v>48790.57</v>
      </c>
    </row>
    <row r="32" spans="2:12" x14ac:dyDescent="0.25">
      <c r="B32" s="711"/>
      <c r="C32" s="75"/>
      <c r="D32" s="222">
        <v>35000</v>
      </c>
      <c r="E32" s="121">
        <f>$D$32*E13</f>
        <v>3664.5</v>
      </c>
      <c r="F32" s="84">
        <f>$D$32*F13</f>
        <v>539</v>
      </c>
      <c r="G32" s="84">
        <f>$D$32*G13</f>
        <v>2100</v>
      </c>
      <c r="H32" s="84">
        <f>$D$32*H13</f>
        <v>322</v>
      </c>
      <c r="I32" s="84">
        <v>18.57</v>
      </c>
      <c r="J32" s="86">
        <f>$D$32*J13</f>
        <v>1050</v>
      </c>
      <c r="K32" s="232">
        <f t="shared" si="2"/>
        <v>7694.07</v>
      </c>
      <c r="L32" s="226">
        <f t="shared" si="3"/>
        <v>42694.07</v>
      </c>
    </row>
    <row r="33" spans="2:27" x14ac:dyDescent="0.25">
      <c r="B33" s="711"/>
      <c r="C33" s="75"/>
      <c r="D33" s="222">
        <v>38000</v>
      </c>
      <c r="E33" s="121">
        <f>$D$33*E13</f>
        <v>3978.6</v>
      </c>
      <c r="F33" s="84">
        <f>$D$33*F13</f>
        <v>585.20000000000005</v>
      </c>
      <c r="G33" s="84">
        <f>$D$33*G13</f>
        <v>2280</v>
      </c>
      <c r="H33" s="84">
        <f>$D$33*H13</f>
        <v>349.59999999999997</v>
      </c>
      <c r="I33" s="84">
        <v>18.57</v>
      </c>
      <c r="J33" s="86">
        <f>$D$33*J13</f>
        <v>1140</v>
      </c>
      <c r="K33" s="232">
        <f t="shared" si="2"/>
        <v>8351.9700000000012</v>
      </c>
      <c r="L33" s="226">
        <f t="shared" si="3"/>
        <v>46351.97</v>
      </c>
    </row>
    <row r="34" spans="2:27" ht="15.75" thickBot="1" x14ac:dyDescent="0.3">
      <c r="B34" s="712"/>
      <c r="C34" s="217"/>
      <c r="D34" s="223">
        <v>42000</v>
      </c>
      <c r="E34" s="122">
        <f>$D$34*E13</f>
        <v>4397.3999999999996</v>
      </c>
      <c r="F34" s="107">
        <f>$D$34*F13</f>
        <v>646.80000000000007</v>
      </c>
      <c r="G34" s="107">
        <f>$D$34*G13</f>
        <v>2520</v>
      </c>
      <c r="H34" s="107">
        <f>$D$34*H13</f>
        <v>386.4</v>
      </c>
      <c r="I34" s="107">
        <v>18.57</v>
      </c>
      <c r="J34" s="108">
        <f>$D$34*J13</f>
        <v>1260</v>
      </c>
      <c r="K34" s="233">
        <f t="shared" si="2"/>
        <v>9229.1699999999983</v>
      </c>
      <c r="L34" s="227">
        <f t="shared" si="3"/>
        <v>51229.17</v>
      </c>
    </row>
    <row r="37" spans="2:27" ht="15.75" thickBot="1" x14ac:dyDescent="0.3"/>
    <row r="38" spans="2:27" ht="27" thickBot="1" x14ac:dyDescent="0.45">
      <c r="B38" s="691" t="s">
        <v>144</v>
      </c>
      <c r="C38" s="692"/>
      <c r="D38" s="692"/>
      <c r="E38" s="692"/>
      <c r="F38" s="692"/>
      <c r="G38" s="692"/>
      <c r="H38" s="692"/>
      <c r="I38" s="692"/>
      <c r="J38" s="692"/>
      <c r="K38" s="692"/>
      <c r="L38" s="692"/>
      <c r="M38" s="692"/>
      <c r="N38" s="692"/>
      <c r="O38" s="692"/>
      <c r="P38" s="692"/>
      <c r="Q38" s="692"/>
      <c r="R38" s="692"/>
      <c r="S38" s="692"/>
      <c r="T38" s="692"/>
      <c r="U38" s="692"/>
      <c r="V38" s="692"/>
      <c r="W38" s="692"/>
      <c r="X38" s="692"/>
      <c r="Y38" s="692"/>
      <c r="Z38" s="692"/>
      <c r="AA38" s="693"/>
    </row>
    <row r="39" spans="2:27" ht="15.75" x14ac:dyDescent="0.25">
      <c r="B39" s="701" t="s">
        <v>130</v>
      </c>
      <c r="C39" s="703" t="s">
        <v>40</v>
      </c>
      <c r="D39" s="703"/>
      <c r="E39" s="703" t="s">
        <v>41</v>
      </c>
      <c r="F39" s="703"/>
      <c r="G39" s="703" t="s">
        <v>42</v>
      </c>
      <c r="H39" s="703"/>
      <c r="I39" s="703" t="s">
        <v>43</v>
      </c>
      <c r="J39" s="703"/>
      <c r="K39" s="703" t="s">
        <v>44</v>
      </c>
      <c r="L39" s="703"/>
      <c r="M39" s="703" t="s">
        <v>142</v>
      </c>
      <c r="N39" s="703"/>
      <c r="O39" s="703" t="s">
        <v>46</v>
      </c>
      <c r="P39" s="703"/>
      <c r="Q39" s="703" t="s">
        <v>47</v>
      </c>
      <c r="R39" s="703"/>
      <c r="S39" s="703" t="s">
        <v>48</v>
      </c>
      <c r="T39" s="703"/>
      <c r="U39" s="703" t="s">
        <v>49</v>
      </c>
      <c r="V39" s="703"/>
      <c r="W39" s="703" t="s">
        <v>50</v>
      </c>
      <c r="X39" s="703"/>
      <c r="Y39" s="703" t="s">
        <v>143</v>
      </c>
      <c r="Z39" s="703"/>
      <c r="AA39" s="704" t="s">
        <v>83</v>
      </c>
    </row>
    <row r="40" spans="2:27" ht="15.75" x14ac:dyDescent="0.25">
      <c r="B40" s="702"/>
      <c r="C40" s="235" t="s">
        <v>59</v>
      </c>
      <c r="D40" s="235" t="s">
        <v>70</v>
      </c>
      <c r="E40" s="235" t="s">
        <v>59</v>
      </c>
      <c r="F40" s="235" t="s">
        <v>70</v>
      </c>
      <c r="G40" s="235" t="s">
        <v>59</v>
      </c>
      <c r="H40" s="235" t="s">
        <v>70</v>
      </c>
      <c r="I40" s="235" t="s">
        <v>59</v>
      </c>
      <c r="J40" s="235" t="s">
        <v>70</v>
      </c>
      <c r="K40" s="235" t="s">
        <v>59</v>
      </c>
      <c r="L40" s="235" t="s">
        <v>70</v>
      </c>
      <c r="M40" s="235" t="s">
        <v>59</v>
      </c>
      <c r="N40" s="235" t="s">
        <v>70</v>
      </c>
      <c r="O40" s="235" t="s">
        <v>59</v>
      </c>
      <c r="P40" s="235" t="s">
        <v>70</v>
      </c>
      <c r="Q40" s="235" t="s">
        <v>59</v>
      </c>
      <c r="R40" s="235" t="s">
        <v>70</v>
      </c>
      <c r="S40" s="235" t="s">
        <v>59</v>
      </c>
      <c r="T40" s="235" t="s">
        <v>70</v>
      </c>
      <c r="U40" s="235" t="s">
        <v>59</v>
      </c>
      <c r="V40" s="235" t="s">
        <v>70</v>
      </c>
      <c r="W40" s="235" t="s">
        <v>59</v>
      </c>
      <c r="X40" s="235" t="s">
        <v>70</v>
      </c>
      <c r="Y40" s="235" t="s">
        <v>59</v>
      </c>
      <c r="Z40" s="235" t="s">
        <v>70</v>
      </c>
      <c r="AA40" s="705"/>
    </row>
    <row r="41" spans="2:27" x14ac:dyDescent="0.25">
      <c r="B41" s="249"/>
      <c r="C41" s="133">
        <v>1</v>
      </c>
      <c r="D41" s="134">
        <f>C41*$L$14</f>
        <v>97562.57</v>
      </c>
      <c r="E41" s="133">
        <v>1</v>
      </c>
      <c r="F41" s="134">
        <f>E41*$L$14</f>
        <v>97562.57</v>
      </c>
      <c r="G41" s="133">
        <v>1</v>
      </c>
      <c r="H41" s="134">
        <f>G41*$L$14</f>
        <v>97562.57</v>
      </c>
      <c r="I41" s="133">
        <v>1</v>
      </c>
      <c r="J41" s="134">
        <f>I41*$L$14</f>
        <v>97562.57</v>
      </c>
      <c r="K41" s="133">
        <v>1</v>
      </c>
      <c r="L41" s="134">
        <f>K41*$L$14</f>
        <v>97562.57</v>
      </c>
      <c r="M41" s="133">
        <v>1</v>
      </c>
      <c r="N41" s="134">
        <f>M41*$L$14*1.5</f>
        <v>146343.85500000001</v>
      </c>
      <c r="O41" s="133">
        <v>1</v>
      </c>
      <c r="P41" s="134">
        <f>O41*$L$14</f>
        <v>97562.57</v>
      </c>
      <c r="Q41" s="133">
        <v>1</v>
      </c>
      <c r="R41" s="134">
        <f>Q41*$L$14</f>
        <v>97562.57</v>
      </c>
      <c r="S41" s="133">
        <v>1</v>
      </c>
      <c r="T41" s="134">
        <f>S41*$L$14</f>
        <v>97562.57</v>
      </c>
      <c r="U41" s="133">
        <v>1</v>
      </c>
      <c r="V41" s="134">
        <f>U41*$L$14</f>
        <v>97562.57</v>
      </c>
      <c r="W41" s="133">
        <v>1</v>
      </c>
      <c r="X41" s="134">
        <f>W41*$L$14</f>
        <v>97562.57</v>
      </c>
      <c r="Y41" s="133">
        <v>1</v>
      </c>
      <c r="Z41" s="134">
        <f>Y41*$L$14*1.5</f>
        <v>146343.85500000001</v>
      </c>
      <c r="AA41" s="250">
        <f>D41+F41+H41+J41+L41+N41+P41+R41+T41+V41+X41+Z41</f>
        <v>1268313.4100000004</v>
      </c>
    </row>
    <row r="42" spans="2:27" x14ac:dyDescent="0.25">
      <c r="B42" s="251"/>
      <c r="C42" s="133">
        <v>1</v>
      </c>
      <c r="D42" s="134">
        <f>C42*$L$15</f>
        <v>73176.570000000007</v>
      </c>
      <c r="E42" s="133">
        <v>1</v>
      </c>
      <c r="F42" s="134">
        <f>E42*$L$15</f>
        <v>73176.570000000007</v>
      </c>
      <c r="G42" s="133">
        <v>1</v>
      </c>
      <c r="H42" s="134">
        <f>G42*$L$15</f>
        <v>73176.570000000007</v>
      </c>
      <c r="I42" s="133">
        <v>1</v>
      </c>
      <c r="J42" s="134">
        <f>I42*$L$15</f>
        <v>73176.570000000007</v>
      </c>
      <c r="K42" s="133">
        <v>1</v>
      </c>
      <c r="L42" s="134">
        <f>K42*$L$15</f>
        <v>73176.570000000007</v>
      </c>
      <c r="M42" s="133">
        <v>1</v>
      </c>
      <c r="N42" s="134">
        <f>M42*$L$15*1.5</f>
        <v>109764.85500000001</v>
      </c>
      <c r="O42" s="133">
        <v>1</v>
      </c>
      <c r="P42" s="134">
        <f>O42*$L$15</f>
        <v>73176.570000000007</v>
      </c>
      <c r="Q42" s="133">
        <v>1</v>
      </c>
      <c r="R42" s="134">
        <f>Q42*$L$15</f>
        <v>73176.570000000007</v>
      </c>
      <c r="S42" s="133">
        <v>1</v>
      </c>
      <c r="T42" s="134">
        <f>S42*$L$15</f>
        <v>73176.570000000007</v>
      </c>
      <c r="U42" s="133">
        <v>1</v>
      </c>
      <c r="V42" s="134">
        <f>U42*$L$15</f>
        <v>73176.570000000007</v>
      </c>
      <c r="W42" s="133">
        <v>1</v>
      </c>
      <c r="X42" s="134">
        <f>W42*$L$15</f>
        <v>73176.570000000007</v>
      </c>
      <c r="Y42" s="133">
        <v>1</v>
      </c>
      <c r="Z42" s="134">
        <f>Y42*$L$15*1.5</f>
        <v>109764.85500000001</v>
      </c>
      <c r="AA42" s="250">
        <f t="shared" ref="AA42:AA50" si="15">D42+F42+H42+J42+L42+N42+P42+R42+T42+V42+X42+Z42</f>
        <v>951295.41000000038</v>
      </c>
    </row>
    <row r="43" spans="2:27" x14ac:dyDescent="0.25">
      <c r="B43" s="251"/>
      <c r="C43" s="133">
        <v>1</v>
      </c>
      <c r="D43" s="134">
        <f>C43*$L$27</f>
        <v>63422.17</v>
      </c>
      <c r="E43" s="133">
        <v>1</v>
      </c>
      <c r="F43" s="134">
        <f>E43*$L$27</f>
        <v>63422.17</v>
      </c>
      <c r="G43" s="133">
        <v>1</v>
      </c>
      <c r="H43" s="134">
        <f>G43*$L$27</f>
        <v>63422.17</v>
      </c>
      <c r="I43" s="133">
        <v>1</v>
      </c>
      <c r="J43" s="134">
        <f>I43*$L$27</f>
        <v>63422.17</v>
      </c>
      <c r="K43" s="133">
        <v>1</v>
      </c>
      <c r="L43" s="134">
        <f>K43*$L$27</f>
        <v>63422.17</v>
      </c>
      <c r="M43" s="133">
        <v>1</v>
      </c>
      <c r="N43" s="134">
        <f>M43*$L$27*1.5</f>
        <v>95133.255000000005</v>
      </c>
      <c r="O43" s="133">
        <v>1</v>
      </c>
      <c r="P43" s="134">
        <f>O43*$L$27</f>
        <v>63422.17</v>
      </c>
      <c r="Q43" s="133">
        <v>1</v>
      </c>
      <c r="R43" s="134">
        <f>Q43*$L$27</f>
        <v>63422.17</v>
      </c>
      <c r="S43" s="133">
        <v>1</v>
      </c>
      <c r="T43" s="134">
        <f>S43*$L$27</f>
        <v>63422.17</v>
      </c>
      <c r="U43" s="133">
        <v>1</v>
      </c>
      <c r="V43" s="134">
        <f>U43*$L$27</f>
        <v>63422.17</v>
      </c>
      <c r="W43" s="133">
        <v>1</v>
      </c>
      <c r="X43" s="134">
        <f>W43*$L$27</f>
        <v>63422.17</v>
      </c>
      <c r="Y43" s="133">
        <v>1</v>
      </c>
      <c r="Z43" s="134">
        <f>Y43*$L$27*1.5</f>
        <v>95133.255000000005</v>
      </c>
      <c r="AA43" s="250">
        <f t="shared" si="15"/>
        <v>824488.21000000008</v>
      </c>
    </row>
    <row r="44" spans="2:27" x14ac:dyDescent="0.25">
      <c r="B44" s="251"/>
      <c r="C44" s="133">
        <v>0</v>
      </c>
      <c r="D44" s="134">
        <v>0</v>
      </c>
      <c r="E44" s="133">
        <v>0</v>
      </c>
      <c r="F44" s="134">
        <v>0</v>
      </c>
      <c r="G44" s="133">
        <v>0</v>
      </c>
      <c r="H44" s="134">
        <v>0</v>
      </c>
      <c r="I44" s="133">
        <v>0</v>
      </c>
      <c r="J44" s="134">
        <v>0</v>
      </c>
      <c r="K44" s="133">
        <v>0</v>
      </c>
      <c r="L44" s="134">
        <v>0</v>
      </c>
      <c r="M44" s="133">
        <v>0</v>
      </c>
      <c r="N44" s="134">
        <v>0</v>
      </c>
      <c r="O44" s="133">
        <v>0</v>
      </c>
      <c r="P44" s="134">
        <v>0</v>
      </c>
      <c r="Q44" s="133">
        <v>0</v>
      </c>
      <c r="R44" s="134">
        <v>0</v>
      </c>
      <c r="S44" s="133">
        <v>0</v>
      </c>
      <c r="T44" s="134">
        <v>0</v>
      </c>
      <c r="U44" s="133">
        <v>0</v>
      </c>
      <c r="V44" s="134">
        <v>0</v>
      </c>
      <c r="W44" s="237">
        <v>1</v>
      </c>
      <c r="X44" s="134">
        <f>$L$28*W44</f>
        <v>51229.17</v>
      </c>
      <c r="Y44" s="133">
        <v>1</v>
      </c>
      <c r="Z44" s="134">
        <f>$L$28*Y44*(1+2/12)</f>
        <v>59767.365000000005</v>
      </c>
      <c r="AA44" s="250">
        <f t="shared" si="15"/>
        <v>110996.535</v>
      </c>
    </row>
    <row r="45" spans="2:27" x14ac:dyDescent="0.25">
      <c r="B45" s="251"/>
      <c r="C45" s="133">
        <v>1</v>
      </c>
      <c r="D45" s="134">
        <f>C45*$L$30</f>
        <v>58544.97</v>
      </c>
      <c r="E45" s="133">
        <v>1</v>
      </c>
      <c r="F45" s="134">
        <f>E45*$L$30</f>
        <v>58544.97</v>
      </c>
      <c r="G45" s="133">
        <v>1</v>
      </c>
      <c r="H45" s="134">
        <f>G45*$L$30</f>
        <v>58544.97</v>
      </c>
      <c r="I45" s="133">
        <v>1</v>
      </c>
      <c r="J45" s="134">
        <f>I45*$L$30</f>
        <v>58544.97</v>
      </c>
      <c r="K45" s="133">
        <v>1</v>
      </c>
      <c r="L45" s="134">
        <f>K45*$L$30</f>
        <v>58544.97</v>
      </c>
      <c r="M45" s="133">
        <v>1</v>
      </c>
      <c r="N45" s="134">
        <f>M45*$L$30*1.5</f>
        <v>87817.455000000002</v>
      </c>
      <c r="O45" s="133">
        <v>1</v>
      </c>
      <c r="P45" s="134">
        <f>O45*$L$30</f>
        <v>58544.97</v>
      </c>
      <c r="Q45" s="133">
        <v>1</v>
      </c>
      <c r="R45" s="134">
        <f>Q45*$L$30</f>
        <v>58544.97</v>
      </c>
      <c r="S45" s="133">
        <v>1</v>
      </c>
      <c r="T45" s="134">
        <f>S45*$L$30</f>
        <v>58544.97</v>
      </c>
      <c r="U45" s="133">
        <v>1</v>
      </c>
      <c r="V45" s="134">
        <f>U45*$L$30</f>
        <v>58544.97</v>
      </c>
      <c r="W45" s="133">
        <v>1</v>
      </c>
      <c r="X45" s="134">
        <f>W45*$L$30</f>
        <v>58544.97</v>
      </c>
      <c r="Y45" s="133">
        <v>1</v>
      </c>
      <c r="Z45" s="134">
        <f>Y45*$L$30*1.5</f>
        <v>87817.455000000002</v>
      </c>
      <c r="AA45" s="250">
        <f t="shared" si="15"/>
        <v>761084.60999999987</v>
      </c>
    </row>
    <row r="46" spans="2:27" x14ac:dyDescent="0.25">
      <c r="B46" s="251"/>
      <c r="C46" s="133">
        <v>1</v>
      </c>
      <c r="D46" s="134">
        <f>C46*$L$31</f>
        <v>48790.57</v>
      </c>
      <c r="E46" s="133">
        <v>1</v>
      </c>
      <c r="F46" s="134">
        <f>E46*$L$31</f>
        <v>48790.57</v>
      </c>
      <c r="G46" s="133">
        <v>1</v>
      </c>
      <c r="H46" s="134">
        <f>G46*$L$31</f>
        <v>48790.57</v>
      </c>
      <c r="I46" s="133">
        <v>1</v>
      </c>
      <c r="J46" s="134">
        <f>I46*$L$31</f>
        <v>48790.57</v>
      </c>
      <c r="K46" s="133">
        <v>1</v>
      </c>
      <c r="L46" s="134">
        <f>K46*$L$31</f>
        <v>48790.57</v>
      </c>
      <c r="M46" s="133">
        <v>1</v>
      </c>
      <c r="N46" s="134">
        <f>M46*$L$31*1.5</f>
        <v>73185.854999999996</v>
      </c>
      <c r="O46" s="133">
        <v>1</v>
      </c>
      <c r="P46" s="134">
        <f>O46*$L$31</f>
        <v>48790.57</v>
      </c>
      <c r="Q46" s="133">
        <v>1</v>
      </c>
      <c r="R46" s="134">
        <f>Q46*$L$31</f>
        <v>48790.57</v>
      </c>
      <c r="S46" s="133">
        <v>1</v>
      </c>
      <c r="T46" s="134">
        <f>S46*$L$31</f>
        <v>48790.57</v>
      </c>
      <c r="U46" s="133">
        <v>1</v>
      </c>
      <c r="V46" s="134">
        <f>U46*$L$31</f>
        <v>48790.57</v>
      </c>
      <c r="W46" s="133">
        <v>1</v>
      </c>
      <c r="X46" s="134">
        <f>W46*$L$31</f>
        <v>48790.57</v>
      </c>
      <c r="Y46" s="133">
        <v>1</v>
      </c>
      <c r="Z46" s="134">
        <f>Y46*$L$31*1.5</f>
        <v>73185.854999999996</v>
      </c>
      <c r="AA46" s="250">
        <f t="shared" si="15"/>
        <v>634277.41</v>
      </c>
    </row>
    <row r="47" spans="2:27" x14ac:dyDescent="0.25">
      <c r="B47" s="251"/>
      <c r="C47" s="133">
        <v>1</v>
      </c>
      <c r="D47" s="134">
        <f>C47*$L$23</f>
        <v>39036.17</v>
      </c>
      <c r="E47" s="133">
        <v>1</v>
      </c>
      <c r="F47" s="134">
        <f>E47*$L$23</f>
        <v>39036.17</v>
      </c>
      <c r="G47" s="133">
        <v>1</v>
      </c>
      <c r="H47" s="134">
        <f>G47*$L$23</f>
        <v>39036.17</v>
      </c>
      <c r="I47" s="133">
        <v>1</v>
      </c>
      <c r="J47" s="134">
        <f>I47*$L$23</f>
        <v>39036.17</v>
      </c>
      <c r="K47" s="133">
        <v>1</v>
      </c>
      <c r="L47" s="134">
        <f>K47*$L$23</f>
        <v>39036.17</v>
      </c>
      <c r="M47" s="133">
        <v>1</v>
      </c>
      <c r="N47" s="134">
        <f>M47*$L$23*1.5</f>
        <v>58554.254999999997</v>
      </c>
      <c r="O47" s="133">
        <v>1</v>
      </c>
      <c r="P47" s="134">
        <f>O47*$L$23</f>
        <v>39036.17</v>
      </c>
      <c r="Q47" s="133">
        <v>1</v>
      </c>
      <c r="R47" s="134">
        <f>Q47*$L$23</f>
        <v>39036.17</v>
      </c>
      <c r="S47" s="133">
        <v>1</v>
      </c>
      <c r="T47" s="134">
        <f>S47*$L$23</f>
        <v>39036.17</v>
      </c>
      <c r="U47" s="133">
        <v>1</v>
      </c>
      <c r="V47" s="134">
        <f>U47*$L$23</f>
        <v>39036.17</v>
      </c>
      <c r="W47" s="133">
        <v>1</v>
      </c>
      <c r="X47" s="134">
        <f>W47*$L$23</f>
        <v>39036.17</v>
      </c>
      <c r="Y47" s="133">
        <v>1</v>
      </c>
      <c r="Z47" s="134">
        <f>Y47*$L$23*1.5</f>
        <v>58554.254999999997</v>
      </c>
      <c r="AA47" s="250">
        <f t="shared" si="15"/>
        <v>507470.2099999999</v>
      </c>
    </row>
    <row r="48" spans="2:27" x14ac:dyDescent="0.25">
      <c r="B48" s="251"/>
      <c r="C48" s="133">
        <v>2</v>
      </c>
      <c r="D48" s="134">
        <f>C48*$L$26</f>
        <v>78072.34</v>
      </c>
      <c r="E48" s="133">
        <v>2</v>
      </c>
      <c r="F48" s="134">
        <f>E48*$L$26</f>
        <v>78072.34</v>
      </c>
      <c r="G48" s="133">
        <v>2</v>
      </c>
      <c r="H48" s="134">
        <f>G48*$L$26</f>
        <v>78072.34</v>
      </c>
      <c r="I48" s="133">
        <v>2</v>
      </c>
      <c r="J48" s="134">
        <f>I48*$L$26</f>
        <v>78072.34</v>
      </c>
      <c r="K48" s="133">
        <v>2</v>
      </c>
      <c r="L48" s="134">
        <f>K48*$L$26</f>
        <v>78072.34</v>
      </c>
      <c r="M48" s="133">
        <v>2</v>
      </c>
      <c r="N48" s="134">
        <f>M48*$L$26*1.5</f>
        <v>117108.51</v>
      </c>
      <c r="O48" s="133">
        <v>2</v>
      </c>
      <c r="P48" s="134">
        <f>O48*$L$26</f>
        <v>78072.34</v>
      </c>
      <c r="Q48" s="133">
        <v>2</v>
      </c>
      <c r="R48" s="134">
        <f>Q48*$L$26</f>
        <v>78072.34</v>
      </c>
      <c r="S48" s="133">
        <v>2</v>
      </c>
      <c r="T48" s="134">
        <f>S48*$L$26</f>
        <v>78072.34</v>
      </c>
      <c r="U48" s="133">
        <v>2</v>
      </c>
      <c r="V48" s="134">
        <f>U48*$L$26</f>
        <v>78072.34</v>
      </c>
      <c r="W48" s="133">
        <v>2</v>
      </c>
      <c r="X48" s="134">
        <f>W48*$L$26</f>
        <v>78072.34</v>
      </c>
      <c r="Y48" s="133">
        <v>2</v>
      </c>
      <c r="Z48" s="134">
        <f>Y48*$L$26*1.5</f>
        <v>117108.51</v>
      </c>
      <c r="AA48" s="250">
        <f t="shared" si="15"/>
        <v>1014940.4199999998</v>
      </c>
    </row>
    <row r="49" spans="2:27" x14ac:dyDescent="0.25">
      <c r="B49" s="251"/>
      <c r="C49" s="133">
        <v>2</v>
      </c>
      <c r="D49" s="134">
        <f>C49*$L$24</f>
        <v>78072.34</v>
      </c>
      <c r="E49" s="133">
        <v>2</v>
      </c>
      <c r="F49" s="134">
        <f>E49*$L$24</f>
        <v>78072.34</v>
      </c>
      <c r="G49" s="133">
        <v>2</v>
      </c>
      <c r="H49" s="134">
        <f>G49*$L$24</f>
        <v>78072.34</v>
      </c>
      <c r="I49" s="133">
        <v>2</v>
      </c>
      <c r="J49" s="134">
        <f>I49*$L$24</f>
        <v>78072.34</v>
      </c>
      <c r="K49" s="133">
        <v>2</v>
      </c>
      <c r="L49" s="134">
        <f>K49*$L$24</f>
        <v>78072.34</v>
      </c>
      <c r="M49" s="133">
        <v>2</v>
      </c>
      <c r="N49" s="134">
        <f>M49*$L$24*1.5</f>
        <v>117108.51</v>
      </c>
      <c r="O49" s="133">
        <v>2</v>
      </c>
      <c r="P49" s="134">
        <f>O49*$L$24</f>
        <v>78072.34</v>
      </c>
      <c r="Q49" s="133">
        <v>2</v>
      </c>
      <c r="R49" s="134">
        <f>Q49*$L$24</f>
        <v>78072.34</v>
      </c>
      <c r="S49" s="133">
        <v>2</v>
      </c>
      <c r="T49" s="134">
        <f>S49*$L$24</f>
        <v>78072.34</v>
      </c>
      <c r="U49" s="133">
        <v>2</v>
      </c>
      <c r="V49" s="134">
        <f>U49*$L$24</f>
        <v>78072.34</v>
      </c>
      <c r="W49" s="133">
        <v>2</v>
      </c>
      <c r="X49" s="134">
        <f>W49*$L$24</f>
        <v>78072.34</v>
      </c>
      <c r="Y49" s="133">
        <v>2</v>
      </c>
      <c r="Z49" s="134">
        <f>Y49*$L$24*1.5</f>
        <v>117108.51</v>
      </c>
      <c r="AA49" s="250">
        <f t="shared" si="15"/>
        <v>1014940.4199999998</v>
      </c>
    </row>
    <row r="50" spans="2:27" x14ac:dyDescent="0.25">
      <c r="B50" s="249"/>
      <c r="C50" s="133">
        <v>1</v>
      </c>
      <c r="D50" s="134">
        <f>C50*$L$25</f>
        <v>19527.37</v>
      </c>
      <c r="E50" s="133">
        <v>1</v>
      </c>
      <c r="F50" s="134">
        <f>E50*$L$25</f>
        <v>19527.37</v>
      </c>
      <c r="G50" s="133">
        <v>1</v>
      </c>
      <c r="H50" s="134">
        <f>G50*$L$25</f>
        <v>19527.37</v>
      </c>
      <c r="I50" s="133">
        <v>1</v>
      </c>
      <c r="J50" s="134">
        <f>I50*$L$25</f>
        <v>19527.37</v>
      </c>
      <c r="K50" s="133">
        <v>1</v>
      </c>
      <c r="L50" s="134">
        <f>K50*$L$25</f>
        <v>19527.37</v>
      </c>
      <c r="M50" s="133">
        <v>1</v>
      </c>
      <c r="N50" s="134">
        <f>M50*$L$25*1.5</f>
        <v>29291.055</v>
      </c>
      <c r="O50" s="133">
        <v>1</v>
      </c>
      <c r="P50" s="134">
        <f>O50*$L$25</f>
        <v>19527.37</v>
      </c>
      <c r="Q50" s="133">
        <v>1</v>
      </c>
      <c r="R50" s="134">
        <f>Q50*$L$25</f>
        <v>19527.37</v>
      </c>
      <c r="S50" s="133">
        <v>1</v>
      </c>
      <c r="T50" s="134">
        <f>S50*$L$25</f>
        <v>19527.37</v>
      </c>
      <c r="U50" s="133">
        <v>1</v>
      </c>
      <c r="V50" s="134">
        <f>U50*$L$25</f>
        <v>19527.37</v>
      </c>
      <c r="W50" s="133">
        <v>1</v>
      </c>
      <c r="X50" s="134">
        <f>W50*$L$25</f>
        <v>19527.37</v>
      </c>
      <c r="Y50" s="133">
        <v>1</v>
      </c>
      <c r="Z50" s="134">
        <f>Y50*$L$25*1.5</f>
        <v>29291.055</v>
      </c>
      <c r="AA50" s="250">
        <f t="shared" si="15"/>
        <v>253855.80999999997</v>
      </c>
    </row>
    <row r="51" spans="2:27" ht="16.5" thickBot="1" x14ac:dyDescent="0.3">
      <c r="B51" s="252" t="s">
        <v>145</v>
      </c>
      <c r="C51" s="253">
        <f t="shared" ref="C51" si="16">SUM(C41:C50)</f>
        <v>11</v>
      </c>
      <c r="D51" s="254">
        <f t="shared" ref="D51" si="17">SUM(D41:D50)</f>
        <v>556205.06999999995</v>
      </c>
      <c r="E51" s="253">
        <f t="shared" ref="E51" si="18">SUM(E41:E50)</f>
        <v>11</v>
      </c>
      <c r="F51" s="254">
        <f t="shared" ref="F51" si="19">SUM(F41:F50)</f>
        <v>556205.06999999995</v>
      </c>
      <c r="G51" s="253">
        <f t="shared" ref="G51" si="20">SUM(G41:G50)</f>
        <v>11</v>
      </c>
      <c r="H51" s="254">
        <f t="shared" ref="H51" si="21">SUM(H41:H50)</f>
        <v>556205.06999999995</v>
      </c>
      <c r="I51" s="253">
        <f t="shared" ref="I51" si="22">SUM(I41:I50)</f>
        <v>11</v>
      </c>
      <c r="J51" s="254">
        <f t="shared" ref="J51" si="23">SUM(J41:J50)</f>
        <v>556205.06999999995</v>
      </c>
      <c r="K51" s="253">
        <f t="shared" ref="K51" si="24">SUM(K41:K50)</f>
        <v>11</v>
      </c>
      <c r="L51" s="254">
        <f t="shared" ref="L51" si="25">SUM(L41:L50)</f>
        <v>556205.06999999995</v>
      </c>
      <c r="M51" s="253">
        <f t="shared" ref="M51" si="26">SUM(M41:M50)</f>
        <v>11</v>
      </c>
      <c r="N51" s="254">
        <f t="shared" ref="N51" si="27">SUM(N41:N50)</f>
        <v>834307.6050000001</v>
      </c>
      <c r="O51" s="253">
        <f t="shared" ref="O51" si="28">SUM(O41:O50)</f>
        <v>11</v>
      </c>
      <c r="P51" s="254">
        <f t="shared" ref="P51" si="29">SUM(P41:P50)</f>
        <v>556205.06999999995</v>
      </c>
      <c r="Q51" s="253">
        <f t="shared" ref="Q51" si="30">SUM(Q41:Q50)</f>
        <v>11</v>
      </c>
      <c r="R51" s="254">
        <f t="shared" ref="R51" si="31">SUM(R41:R50)</f>
        <v>556205.06999999995</v>
      </c>
      <c r="S51" s="253">
        <f t="shared" ref="S51" si="32">SUM(S41:S50)</f>
        <v>11</v>
      </c>
      <c r="T51" s="254">
        <f t="shared" ref="T51" si="33">SUM(T41:T50)</f>
        <v>556205.06999999995</v>
      </c>
      <c r="U51" s="253">
        <f t="shared" ref="U51" si="34">SUM(U41:U50)</f>
        <v>11</v>
      </c>
      <c r="V51" s="254">
        <f t="shared" ref="V51" si="35">SUM(V41:V50)</f>
        <v>556205.06999999995</v>
      </c>
      <c r="W51" s="253">
        <f t="shared" ref="W51" si="36">SUM(W41:W50)</f>
        <v>12</v>
      </c>
      <c r="X51" s="254">
        <f t="shared" ref="X51" si="37">SUM(X41:X50)</f>
        <v>607434.23999999987</v>
      </c>
      <c r="Y51" s="253">
        <f t="shared" ref="Y51" si="38">SUM(Y41:Y50)</f>
        <v>12</v>
      </c>
      <c r="Z51" s="254">
        <f t="shared" ref="Z51" si="39">SUM(Z41:Z50)</f>
        <v>894074.97000000009</v>
      </c>
      <c r="AA51" s="255">
        <f>Z51+X51+V51+T51+R51+P51+N51+L51+J51+H51+F51+D51</f>
        <v>7341662.4450000012</v>
      </c>
    </row>
    <row r="54" spans="2:27" ht="15.75" thickBot="1" x14ac:dyDescent="0.3"/>
    <row r="55" spans="2:27" ht="27" thickBot="1" x14ac:dyDescent="0.45">
      <c r="B55" s="691" t="s">
        <v>146</v>
      </c>
      <c r="C55" s="692"/>
      <c r="D55" s="692"/>
      <c r="E55" s="692"/>
      <c r="F55" s="692"/>
      <c r="G55" s="692"/>
      <c r="H55" s="692"/>
      <c r="I55" s="692"/>
      <c r="J55" s="692"/>
      <c r="K55" s="692"/>
      <c r="L55" s="692"/>
      <c r="M55" s="692"/>
      <c r="N55" s="692"/>
      <c r="O55" s="692"/>
      <c r="P55" s="692"/>
      <c r="Q55" s="692"/>
      <c r="R55" s="692"/>
      <c r="S55" s="692"/>
      <c r="T55" s="692"/>
      <c r="U55" s="692"/>
      <c r="V55" s="692"/>
      <c r="W55" s="692"/>
      <c r="X55" s="692"/>
      <c r="Y55" s="692"/>
      <c r="Z55" s="692"/>
      <c r="AA55" s="693"/>
    </row>
    <row r="56" spans="2:27" ht="15.75" x14ac:dyDescent="0.25">
      <c r="B56" s="701" t="s">
        <v>130</v>
      </c>
      <c r="C56" s="703" t="s">
        <v>40</v>
      </c>
      <c r="D56" s="703"/>
      <c r="E56" s="703" t="s">
        <v>41</v>
      </c>
      <c r="F56" s="703"/>
      <c r="G56" s="703" t="s">
        <v>42</v>
      </c>
      <c r="H56" s="703"/>
      <c r="I56" s="703" t="s">
        <v>43</v>
      </c>
      <c r="J56" s="703"/>
      <c r="K56" s="703" t="s">
        <v>44</v>
      </c>
      <c r="L56" s="703"/>
      <c r="M56" s="703" t="s">
        <v>142</v>
      </c>
      <c r="N56" s="703"/>
      <c r="O56" s="703" t="s">
        <v>46</v>
      </c>
      <c r="P56" s="703"/>
      <c r="Q56" s="703" t="s">
        <v>47</v>
      </c>
      <c r="R56" s="703"/>
      <c r="S56" s="703" t="s">
        <v>48</v>
      </c>
      <c r="T56" s="703"/>
      <c r="U56" s="703" t="s">
        <v>49</v>
      </c>
      <c r="V56" s="703"/>
      <c r="W56" s="703" t="s">
        <v>50</v>
      </c>
      <c r="X56" s="703"/>
      <c r="Y56" s="703" t="s">
        <v>143</v>
      </c>
      <c r="Z56" s="703"/>
      <c r="AA56" s="704" t="s">
        <v>83</v>
      </c>
    </row>
    <row r="57" spans="2:27" ht="15.75" x14ac:dyDescent="0.25">
      <c r="B57" s="702"/>
      <c r="C57" s="235" t="s">
        <v>59</v>
      </c>
      <c r="D57" s="235" t="s">
        <v>70</v>
      </c>
      <c r="E57" s="235" t="s">
        <v>59</v>
      </c>
      <c r="F57" s="235" t="s">
        <v>70</v>
      </c>
      <c r="G57" s="235" t="s">
        <v>59</v>
      </c>
      <c r="H57" s="235" t="s">
        <v>70</v>
      </c>
      <c r="I57" s="235" t="s">
        <v>59</v>
      </c>
      <c r="J57" s="235" t="s">
        <v>70</v>
      </c>
      <c r="K57" s="235" t="s">
        <v>59</v>
      </c>
      <c r="L57" s="235" t="s">
        <v>70</v>
      </c>
      <c r="M57" s="235" t="s">
        <v>59</v>
      </c>
      <c r="N57" s="235" t="s">
        <v>70</v>
      </c>
      <c r="O57" s="235" t="s">
        <v>59</v>
      </c>
      <c r="P57" s="235" t="s">
        <v>70</v>
      </c>
      <c r="Q57" s="235" t="s">
        <v>59</v>
      </c>
      <c r="R57" s="235" t="s">
        <v>70</v>
      </c>
      <c r="S57" s="235" t="s">
        <v>59</v>
      </c>
      <c r="T57" s="235" t="s">
        <v>70</v>
      </c>
      <c r="U57" s="235" t="s">
        <v>59</v>
      </c>
      <c r="V57" s="235" t="s">
        <v>70</v>
      </c>
      <c r="W57" s="235" t="s">
        <v>59</v>
      </c>
      <c r="X57" s="235" t="s">
        <v>70</v>
      </c>
      <c r="Y57" s="235" t="s">
        <v>59</v>
      </c>
      <c r="Z57" s="235" t="s">
        <v>70</v>
      </c>
      <c r="AA57" s="705"/>
    </row>
    <row r="58" spans="2:27" x14ac:dyDescent="0.25">
      <c r="B58" s="249"/>
      <c r="C58" s="133">
        <v>1</v>
      </c>
      <c r="D58" s="134">
        <f>C58*$L$14</f>
        <v>97562.57</v>
      </c>
      <c r="E58" s="133">
        <v>1</v>
      </c>
      <c r="F58" s="134">
        <f>E58*$L$14</f>
        <v>97562.57</v>
      </c>
      <c r="G58" s="133">
        <v>1</v>
      </c>
      <c r="H58" s="134">
        <f>G58*$L$14</f>
        <v>97562.57</v>
      </c>
      <c r="I58" s="133">
        <v>1</v>
      </c>
      <c r="J58" s="134">
        <f>I58*$L$14</f>
        <v>97562.57</v>
      </c>
      <c r="K58" s="133">
        <v>1</v>
      </c>
      <c r="L58" s="134">
        <f>K58*$L$14</f>
        <v>97562.57</v>
      </c>
      <c r="M58" s="133">
        <v>1</v>
      </c>
      <c r="N58" s="134">
        <f>M58*$L$14*1.5</f>
        <v>146343.85500000001</v>
      </c>
      <c r="O58" s="133">
        <v>1</v>
      </c>
      <c r="P58" s="134">
        <f>O58*$L$14</f>
        <v>97562.57</v>
      </c>
      <c r="Q58" s="133">
        <v>1</v>
      </c>
      <c r="R58" s="134">
        <f>Q58*$L$14</f>
        <v>97562.57</v>
      </c>
      <c r="S58" s="133">
        <v>1</v>
      </c>
      <c r="T58" s="134">
        <f>S58*$L$14</f>
        <v>97562.57</v>
      </c>
      <c r="U58" s="133">
        <v>1</v>
      </c>
      <c r="V58" s="134">
        <f>U58*$L$14</f>
        <v>97562.57</v>
      </c>
      <c r="W58" s="133">
        <v>1</v>
      </c>
      <c r="X58" s="134">
        <f>W58*$L$14</f>
        <v>97562.57</v>
      </c>
      <c r="Y58" s="133">
        <v>1</v>
      </c>
      <c r="Z58" s="134">
        <f>Y58*$L$14*1.5</f>
        <v>146343.85500000001</v>
      </c>
      <c r="AA58" s="250">
        <f>D58+F58+H58+J58+L58+N58+P58+R58+T58+V58+X58+Z58</f>
        <v>1268313.4100000004</v>
      </c>
    </row>
    <row r="59" spans="2:27" x14ac:dyDescent="0.25">
      <c r="B59" s="251"/>
      <c r="C59" s="133">
        <v>1</v>
      </c>
      <c r="D59" s="134">
        <f>C59*$L$15</f>
        <v>73176.570000000007</v>
      </c>
      <c r="E59" s="133">
        <v>1</v>
      </c>
      <c r="F59" s="134">
        <f>E59*$L$15</f>
        <v>73176.570000000007</v>
      </c>
      <c r="G59" s="133">
        <v>1</v>
      </c>
      <c r="H59" s="134">
        <f>G59*$L$15</f>
        <v>73176.570000000007</v>
      </c>
      <c r="I59" s="133">
        <v>1</v>
      </c>
      <c r="J59" s="134">
        <f>I59*$L$15</f>
        <v>73176.570000000007</v>
      </c>
      <c r="K59" s="133">
        <v>1</v>
      </c>
      <c r="L59" s="134">
        <f>K59*$L$15</f>
        <v>73176.570000000007</v>
      </c>
      <c r="M59" s="133">
        <v>1</v>
      </c>
      <c r="N59" s="134">
        <f>M59*$L$15*1.5</f>
        <v>109764.85500000001</v>
      </c>
      <c r="O59" s="133">
        <v>1</v>
      </c>
      <c r="P59" s="134">
        <f>O59*$L$15</f>
        <v>73176.570000000007</v>
      </c>
      <c r="Q59" s="133">
        <v>1</v>
      </c>
      <c r="R59" s="134">
        <f>Q59*$L$15</f>
        <v>73176.570000000007</v>
      </c>
      <c r="S59" s="133">
        <v>1</v>
      </c>
      <c r="T59" s="134">
        <f>S59*$L$15</f>
        <v>73176.570000000007</v>
      </c>
      <c r="U59" s="133">
        <v>1</v>
      </c>
      <c r="V59" s="134">
        <f>U59*$L$15</f>
        <v>73176.570000000007</v>
      </c>
      <c r="W59" s="133">
        <v>1</v>
      </c>
      <c r="X59" s="134">
        <f>W59*$L$15</f>
        <v>73176.570000000007</v>
      </c>
      <c r="Y59" s="133">
        <v>1</v>
      </c>
      <c r="Z59" s="134">
        <f>Y59*$L$15*1.5</f>
        <v>109764.85500000001</v>
      </c>
      <c r="AA59" s="250">
        <f t="shared" ref="AA59:AA68" si="40">D59+F59+H59+J59+L59+N59+P59+R59+T59+V59+X59+Z59</f>
        <v>951295.41000000038</v>
      </c>
    </row>
    <row r="60" spans="2:27" x14ac:dyDescent="0.25">
      <c r="B60" s="251"/>
      <c r="C60" s="133">
        <v>1</v>
      </c>
      <c r="D60" s="134">
        <f>C60*$L$27</f>
        <v>63422.17</v>
      </c>
      <c r="E60" s="133">
        <v>1</v>
      </c>
      <c r="F60" s="134">
        <f>E60*$L$27</f>
        <v>63422.17</v>
      </c>
      <c r="G60" s="133">
        <v>1</v>
      </c>
      <c r="H60" s="134">
        <f>G60*$L$27</f>
        <v>63422.17</v>
      </c>
      <c r="I60" s="133">
        <v>1</v>
      </c>
      <c r="J60" s="134">
        <f>I60*$L$27</f>
        <v>63422.17</v>
      </c>
      <c r="K60" s="133">
        <v>1</v>
      </c>
      <c r="L60" s="134">
        <f>K60*$L$27</f>
        <v>63422.17</v>
      </c>
      <c r="M60" s="133">
        <v>1</v>
      </c>
      <c r="N60" s="134">
        <f>M60*$L$27*1.5</f>
        <v>95133.255000000005</v>
      </c>
      <c r="O60" s="133">
        <v>1</v>
      </c>
      <c r="P60" s="134">
        <f>O60*$L$27</f>
        <v>63422.17</v>
      </c>
      <c r="Q60" s="133">
        <v>1</v>
      </c>
      <c r="R60" s="134">
        <f>Q60*$L$27</f>
        <v>63422.17</v>
      </c>
      <c r="S60" s="133">
        <v>1</v>
      </c>
      <c r="T60" s="134">
        <f>S60*$L$27</f>
        <v>63422.17</v>
      </c>
      <c r="U60" s="133">
        <v>1</v>
      </c>
      <c r="V60" s="134">
        <f>U60*$L$27</f>
        <v>63422.17</v>
      </c>
      <c r="W60" s="133">
        <v>1</v>
      </c>
      <c r="X60" s="134">
        <f>W60*$L$27</f>
        <v>63422.17</v>
      </c>
      <c r="Y60" s="133">
        <v>1</v>
      </c>
      <c r="Z60" s="134">
        <f>Y60*$L$27*1.5</f>
        <v>95133.255000000005</v>
      </c>
      <c r="AA60" s="250">
        <f t="shared" si="40"/>
        <v>824488.21000000008</v>
      </c>
    </row>
    <row r="61" spans="2:27" x14ac:dyDescent="0.25">
      <c r="B61" s="251"/>
      <c r="C61" s="133">
        <v>1</v>
      </c>
      <c r="D61" s="134">
        <f>C61*$L$28</f>
        <v>51229.17</v>
      </c>
      <c r="E61" s="133">
        <v>1</v>
      </c>
      <c r="F61" s="134">
        <f>E61*$L$28</f>
        <v>51229.17</v>
      </c>
      <c r="G61" s="133">
        <v>1</v>
      </c>
      <c r="H61" s="134">
        <f>G61*$L$28</f>
        <v>51229.17</v>
      </c>
      <c r="I61" s="133">
        <v>1</v>
      </c>
      <c r="J61" s="134">
        <f>I61*$L$28</f>
        <v>51229.17</v>
      </c>
      <c r="K61" s="133">
        <v>1</v>
      </c>
      <c r="L61" s="134">
        <f>K61*$L$28</f>
        <v>51229.17</v>
      </c>
      <c r="M61" s="133">
        <v>1</v>
      </c>
      <c r="N61" s="134">
        <f>$L$28*M61*(1+6/12)</f>
        <v>76843.755000000005</v>
      </c>
      <c r="O61" s="133">
        <v>1</v>
      </c>
      <c r="P61" s="134">
        <f>O61*$L$28</f>
        <v>51229.17</v>
      </c>
      <c r="Q61" s="133">
        <v>1</v>
      </c>
      <c r="R61" s="134">
        <f>Q61*$L$28</f>
        <v>51229.17</v>
      </c>
      <c r="S61" s="133">
        <v>1</v>
      </c>
      <c r="T61" s="134">
        <f>S61*$L$28</f>
        <v>51229.17</v>
      </c>
      <c r="U61" s="133">
        <v>1</v>
      </c>
      <c r="V61" s="134">
        <f>U61*$L$28</f>
        <v>51229.17</v>
      </c>
      <c r="W61" s="133">
        <v>1</v>
      </c>
      <c r="X61" s="134">
        <f>$L$28*W61</f>
        <v>51229.17</v>
      </c>
      <c r="Y61" s="133">
        <v>1</v>
      </c>
      <c r="Z61" s="134">
        <f>$L$28*Y61*(1+6/12)</f>
        <v>76843.755000000005</v>
      </c>
      <c r="AA61" s="250">
        <f t="shared" si="40"/>
        <v>665979.21</v>
      </c>
    </row>
    <row r="62" spans="2:27" x14ac:dyDescent="0.25">
      <c r="B62" s="251"/>
      <c r="C62" s="133">
        <v>1</v>
      </c>
      <c r="D62" s="134">
        <f>C62*$L$30</f>
        <v>58544.97</v>
      </c>
      <c r="E62" s="133">
        <v>1</v>
      </c>
      <c r="F62" s="134">
        <f>E62*$L$30</f>
        <v>58544.97</v>
      </c>
      <c r="G62" s="133">
        <v>1</v>
      </c>
      <c r="H62" s="134">
        <f>G62*$L$30</f>
        <v>58544.97</v>
      </c>
      <c r="I62" s="133">
        <v>1</v>
      </c>
      <c r="J62" s="134">
        <f>I62*$L$30</f>
        <v>58544.97</v>
      </c>
      <c r="K62" s="133">
        <v>1</v>
      </c>
      <c r="L62" s="134">
        <f>K62*$L$30</f>
        <v>58544.97</v>
      </c>
      <c r="M62" s="133">
        <v>1</v>
      </c>
      <c r="N62" s="134">
        <f>M62*$L$30*1.5</f>
        <v>87817.455000000002</v>
      </c>
      <c r="O62" s="133">
        <v>1</v>
      </c>
      <c r="P62" s="134">
        <f>O62*$L$30</f>
        <v>58544.97</v>
      </c>
      <c r="Q62" s="133">
        <v>1</v>
      </c>
      <c r="R62" s="134">
        <f>Q62*$L$30</f>
        <v>58544.97</v>
      </c>
      <c r="S62" s="133">
        <v>1</v>
      </c>
      <c r="T62" s="134">
        <f>S62*$L$30</f>
        <v>58544.97</v>
      </c>
      <c r="U62" s="133">
        <v>1</v>
      </c>
      <c r="V62" s="134">
        <f>U62*$L$30</f>
        <v>58544.97</v>
      </c>
      <c r="W62" s="133">
        <v>1</v>
      </c>
      <c r="X62" s="134">
        <f>W62*$L$30</f>
        <v>58544.97</v>
      </c>
      <c r="Y62" s="133">
        <v>1</v>
      </c>
      <c r="Z62" s="134">
        <f>Y62*$L$30*1.5</f>
        <v>87817.455000000002</v>
      </c>
      <c r="AA62" s="250">
        <f t="shared" si="40"/>
        <v>761084.60999999987</v>
      </c>
    </row>
    <row r="63" spans="2:27" x14ac:dyDescent="0.25">
      <c r="B63" s="251"/>
      <c r="C63" s="133">
        <v>1</v>
      </c>
      <c r="D63" s="134">
        <f>C63*$L$31</f>
        <v>48790.57</v>
      </c>
      <c r="E63" s="133">
        <v>1</v>
      </c>
      <c r="F63" s="134">
        <f>E63*$L$31</f>
        <v>48790.57</v>
      </c>
      <c r="G63" s="133">
        <v>1</v>
      </c>
      <c r="H63" s="134">
        <f>G63*$L$31</f>
        <v>48790.57</v>
      </c>
      <c r="I63" s="133">
        <v>1</v>
      </c>
      <c r="J63" s="134">
        <f>I63*$L$31</f>
        <v>48790.57</v>
      </c>
      <c r="K63" s="133">
        <v>1</v>
      </c>
      <c r="L63" s="134">
        <f>K63*$L$31</f>
        <v>48790.57</v>
      </c>
      <c r="M63" s="133">
        <v>1</v>
      </c>
      <c r="N63" s="134">
        <f>M63*$L$31*1.5</f>
        <v>73185.854999999996</v>
      </c>
      <c r="O63" s="133">
        <v>1</v>
      </c>
      <c r="P63" s="134">
        <f>O63*$L$31</f>
        <v>48790.57</v>
      </c>
      <c r="Q63" s="133">
        <v>1</v>
      </c>
      <c r="R63" s="134">
        <f>Q63*$L$31</f>
        <v>48790.57</v>
      </c>
      <c r="S63" s="133">
        <v>1</v>
      </c>
      <c r="T63" s="134">
        <f>S63*$L$31</f>
        <v>48790.57</v>
      </c>
      <c r="U63" s="133">
        <v>1</v>
      </c>
      <c r="V63" s="134">
        <f>U63*$L$31</f>
        <v>48790.57</v>
      </c>
      <c r="W63" s="133">
        <v>1</v>
      </c>
      <c r="X63" s="134">
        <f>W63*$L$31</f>
        <v>48790.57</v>
      </c>
      <c r="Y63" s="133">
        <v>1</v>
      </c>
      <c r="Z63" s="134">
        <f>Y63*$L$31*1.5</f>
        <v>73185.854999999996</v>
      </c>
      <c r="AA63" s="250">
        <f t="shared" si="40"/>
        <v>634277.41</v>
      </c>
    </row>
    <row r="64" spans="2:27" x14ac:dyDescent="0.25">
      <c r="B64" s="251"/>
      <c r="C64" s="133">
        <v>1</v>
      </c>
      <c r="D64" s="134">
        <f>C64*$L$23</f>
        <v>39036.17</v>
      </c>
      <c r="E64" s="133">
        <v>1</v>
      </c>
      <c r="F64" s="134">
        <f>E64*$L$23</f>
        <v>39036.17</v>
      </c>
      <c r="G64" s="133">
        <v>1</v>
      </c>
      <c r="H64" s="134">
        <f>G64*$L$23</f>
        <v>39036.17</v>
      </c>
      <c r="I64" s="133">
        <v>1</v>
      </c>
      <c r="J64" s="134">
        <f>I64*$L$23</f>
        <v>39036.17</v>
      </c>
      <c r="K64" s="133">
        <v>1</v>
      </c>
      <c r="L64" s="134">
        <f>K64*$L$23</f>
        <v>39036.17</v>
      </c>
      <c r="M64" s="133">
        <v>1</v>
      </c>
      <c r="N64" s="134">
        <f>M64*$L$23*1.5</f>
        <v>58554.254999999997</v>
      </c>
      <c r="O64" s="133">
        <v>1</v>
      </c>
      <c r="P64" s="134">
        <f>O64*$L$23</f>
        <v>39036.17</v>
      </c>
      <c r="Q64" s="133">
        <v>1</v>
      </c>
      <c r="R64" s="134">
        <f>Q64*$L$23</f>
        <v>39036.17</v>
      </c>
      <c r="S64" s="133">
        <v>1</v>
      </c>
      <c r="T64" s="134">
        <f>S64*$L$23</f>
        <v>39036.17</v>
      </c>
      <c r="U64" s="133">
        <v>1</v>
      </c>
      <c r="V64" s="134">
        <f>U64*$L$23</f>
        <v>39036.17</v>
      </c>
      <c r="W64" s="133">
        <v>1</v>
      </c>
      <c r="X64" s="134">
        <f>W64*$L$23</f>
        <v>39036.17</v>
      </c>
      <c r="Y64" s="133">
        <v>1</v>
      </c>
      <c r="Z64" s="134">
        <f>Y64*$L$23*1.5</f>
        <v>58554.254999999997</v>
      </c>
      <c r="AA64" s="250">
        <f t="shared" si="40"/>
        <v>507470.2099999999</v>
      </c>
    </row>
    <row r="65" spans="2:29" x14ac:dyDescent="0.25">
      <c r="B65" s="251"/>
      <c r="C65" s="133">
        <v>2</v>
      </c>
      <c r="D65" s="134">
        <f>C65*$L$26</f>
        <v>78072.34</v>
      </c>
      <c r="E65" s="133">
        <v>2</v>
      </c>
      <c r="F65" s="134">
        <f>E65*$L$26</f>
        <v>78072.34</v>
      </c>
      <c r="G65" s="133">
        <v>2</v>
      </c>
      <c r="H65" s="134">
        <f>G65*$L$26</f>
        <v>78072.34</v>
      </c>
      <c r="I65" s="133">
        <v>2</v>
      </c>
      <c r="J65" s="134">
        <f>I65*$L$26</f>
        <v>78072.34</v>
      </c>
      <c r="K65" s="133">
        <v>2</v>
      </c>
      <c r="L65" s="134">
        <f>K65*$L$26</f>
        <v>78072.34</v>
      </c>
      <c r="M65" s="133">
        <v>2</v>
      </c>
      <c r="N65" s="134">
        <f>M65*$L$26*1.5</f>
        <v>117108.51</v>
      </c>
      <c r="O65" s="133">
        <v>2</v>
      </c>
      <c r="P65" s="134">
        <f>O65*$L$26</f>
        <v>78072.34</v>
      </c>
      <c r="Q65" s="133">
        <v>2</v>
      </c>
      <c r="R65" s="134">
        <f>Q65*$L$26</f>
        <v>78072.34</v>
      </c>
      <c r="S65" s="133">
        <v>2</v>
      </c>
      <c r="T65" s="134">
        <f>S65*$L$26</f>
        <v>78072.34</v>
      </c>
      <c r="U65" s="133">
        <v>2</v>
      </c>
      <c r="V65" s="134">
        <f>U65*$L$26</f>
        <v>78072.34</v>
      </c>
      <c r="W65" s="133">
        <v>2</v>
      </c>
      <c r="X65" s="134">
        <f>W65*$L$26</f>
        <v>78072.34</v>
      </c>
      <c r="Y65" s="133">
        <v>2</v>
      </c>
      <c r="Z65" s="134">
        <f>Y65*$L$26*1.5</f>
        <v>117108.51</v>
      </c>
      <c r="AA65" s="250">
        <f t="shared" si="40"/>
        <v>1014940.4199999998</v>
      </c>
    </row>
    <row r="66" spans="2:29" x14ac:dyDescent="0.25">
      <c r="B66" s="251"/>
      <c r="C66" s="133">
        <v>2</v>
      </c>
      <c r="D66" s="134">
        <f>C66*$L$24</f>
        <v>78072.34</v>
      </c>
      <c r="E66" s="133">
        <v>2</v>
      </c>
      <c r="F66" s="134">
        <f>E66*$L$24</f>
        <v>78072.34</v>
      </c>
      <c r="G66" s="133">
        <v>2</v>
      </c>
      <c r="H66" s="134">
        <f>G66*$L$24</f>
        <v>78072.34</v>
      </c>
      <c r="I66" s="133">
        <v>2</v>
      </c>
      <c r="J66" s="134">
        <f>I66*$L$24</f>
        <v>78072.34</v>
      </c>
      <c r="K66" s="133">
        <v>2</v>
      </c>
      <c r="L66" s="134">
        <f>K66*$L$24</f>
        <v>78072.34</v>
      </c>
      <c r="M66" s="133">
        <v>2</v>
      </c>
      <c r="N66" s="134">
        <f>M66*$L$24*1.5</f>
        <v>117108.51</v>
      </c>
      <c r="O66" s="133">
        <v>2</v>
      </c>
      <c r="P66" s="134">
        <f>O66*$L$24</f>
        <v>78072.34</v>
      </c>
      <c r="Q66" s="133">
        <v>2</v>
      </c>
      <c r="R66" s="134">
        <f>Q66*$L$24</f>
        <v>78072.34</v>
      </c>
      <c r="S66" s="133">
        <v>2</v>
      </c>
      <c r="T66" s="134">
        <f>S66*$L$24</f>
        <v>78072.34</v>
      </c>
      <c r="U66" s="133">
        <v>2</v>
      </c>
      <c r="V66" s="134">
        <f>U66*$L$24</f>
        <v>78072.34</v>
      </c>
      <c r="W66" s="133">
        <v>2</v>
      </c>
      <c r="X66" s="134">
        <f>W66*$L$24</f>
        <v>78072.34</v>
      </c>
      <c r="Y66" s="133">
        <v>2</v>
      </c>
      <c r="Z66" s="134">
        <f>Y66*$L$24*1.5</f>
        <v>117108.51</v>
      </c>
      <c r="AA66" s="250">
        <f t="shared" si="40"/>
        <v>1014940.4199999998</v>
      </c>
    </row>
    <row r="67" spans="2:29" x14ac:dyDescent="0.25">
      <c r="B67" s="249"/>
      <c r="C67" s="133">
        <v>1</v>
      </c>
      <c r="D67" s="134">
        <f>C67*$L$25</f>
        <v>19527.37</v>
      </c>
      <c r="E67" s="133">
        <v>1</v>
      </c>
      <c r="F67" s="134">
        <f>E67*$L$25</f>
        <v>19527.37</v>
      </c>
      <c r="G67" s="133">
        <v>1</v>
      </c>
      <c r="H67" s="134">
        <f>G67*$L$25</f>
        <v>19527.37</v>
      </c>
      <c r="I67" s="133">
        <v>1</v>
      </c>
      <c r="J67" s="134">
        <f>I67*$L$25</f>
        <v>19527.37</v>
      </c>
      <c r="K67" s="133">
        <v>1</v>
      </c>
      <c r="L67" s="134">
        <f>K67*$L$25</f>
        <v>19527.37</v>
      </c>
      <c r="M67" s="133">
        <v>1</v>
      </c>
      <c r="N67" s="134">
        <f>M67*$L$25*1.5</f>
        <v>29291.055</v>
      </c>
      <c r="O67" s="133">
        <v>1</v>
      </c>
      <c r="P67" s="134">
        <f>O67*$L$25</f>
        <v>19527.37</v>
      </c>
      <c r="Q67" s="133">
        <v>1</v>
      </c>
      <c r="R67" s="134">
        <f>Q67*$L$25</f>
        <v>19527.37</v>
      </c>
      <c r="S67" s="133">
        <v>1</v>
      </c>
      <c r="T67" s="134">
        <f>S67*$L$25</f>
        <v>19527.37</v>
      </c>
      <c r="U67" s="133">
        <v>1</v>
      </c>
      <c r="V67" s="134">
        <f>U67*$L$25</f>
        <v>19527.37</v>
      </c>
      <c r="W67" s="133">
        <v>1</v>
      </c>
      <c r="X67" s="134">
        <f>W67*$L$25</f>
        <v>19527.37</v>
      </c>
      <c r="Y67" s="133">
        <v>1</v>
      </c>
      <c r="Z67" s="134">
        <f>Y67*$L$25*1.5</f>
        <v>29291.055</v>
      </c>
      <c r="AA67" s="250">
        <f t="shared" si="40"/>
        <v>253855.80999999997</v>
      </c>
    </row>
    <row r="68" spans="2:29" x14ac:dyDescent="0.25">
      <c r="B68" s="249"/>
      <c r="C68" s="133">
        <v>0</v>
      </c>
      <c r="D68" s="134">
        <f>C68*D20</f>
        <v>0</v>
      </c>
      <c r="E68" s="133">
        <v>0</v>
      </c>
      <c r="F68" s="134">
        <f>E68*F20</f>
        <v>0</v>
      </c>
      <c r="G68" s="133">
        <v>0</v>
      </c>
      <c r="H68" s="134">
        <f>G68*H20</f>
        <v>0</v>
      </c>
      <c r="I68" s="133">
        <v>0</v>
      </c>
      <c r="J68" s="134">
        <f>I68*J20</f>
        <v>0</v>
      </c>
      <c r="K68" s="237">
        <v>1</v>
      </c>
      <c r="L68" s="134">
        <f>K68*$L$20</f>
        <v>63422.17</v>
      </c>
      <c r="M68" s="133">
        <v>1</v>
      </c>
      <c r="N68" s="134">
        <f>M68*$L$20*(1+2/12)</f>
        <v>73992.531666666662</v>
      </c>
      <c r="O68" s="133">
        <v>1</v>
      </c>
      <c r="P68" s="134">
        <f>O68*$L$20</f>
        <v>63422.17</v>
      </c>
      <c r="Q68" s="133">
        <v>1</v>
      </c>
      <c r="R68" s="134">
        <f>Q68*$L$20</f>
        <v>63422.17</v>
      </c>
      <c r="S68" s="133">
        <v>1</v>
      </c>
      <c r="T68" s="134">
        <f>S68*$L$20</f>
        <v>63422.17</v>
      </c>
      <c r="U68" s="133">
        <v>1</v>
      </c>
      <c r="V68" s="134">
        <f>U68*$L$20</f>
        <v>63422.17</v>
      </c>
      <c r="W68" s="133">
        <v>1</v>
      </c>
      <c r="X68" s="134">
        <f>W68*$L$20</f>
        <v>63422.17</v>
      </c>
      <c r="Y68" s="133">
        <v>1</v>
      </c>
      <c r="Z68" s="134">
        <f>Y68*$L$20*(1+6/12)</f>
        <v>95133.255000000005</v>
      </c>
      <c r="AA68" s="250">
        <f t="shared" si="40"/>
        <v>549658.80666666664</v>
      </c>
    </row>
    <row r="69" spans="2:29" ht="15.75" x14ac:dyDescent="0.25">
      <c r="B69" s="256" t="s">
        <v>145</v>
      </c>
      <c r="C69" s="34">
        <f t="shared" ref="C69:Z69" si="41">SUM(C58:C68)</f>
        <v>12</v>
      </c>
      <c r="D69" s="236">
        <f t="shared" si="41"/>
        <v>607434.23999999987</v>
      </c>
      <c r="E69" s="34">
        <f t="shared" si="41"/>
        <v>12</v>
      </c>
      <c r="F69" s="236">
        <f t="shared" si="41"/>
        <v>607434.23999999987</v>
      </c>
      <c r="G69" s="34">
        <f t="shared" si="41"/>
        <v>12</v>
      </c>
      <c r="H69" s="236">
        <f t="shared" si="41"/>
        <v>607434.23999999987</v>
      </c>
      <c r="I69" s="34">
        <f t="shared" si="41"/>
        <v>12</v>
      </c>
      <c r="J69" s="236">
        <f t="shared" si="41"/>
        <v>607434.23999999987</v>
      </c>
      <c r="K69" s="34">
        <f t="shared" si="41"/>
        <v>13</v>
      </c>
      <c r="L69" s="236">
        <f t="shared" si="41"/>
        <v>670856.40999999992</v>
      </c>
      <c r="M69" s="34">
        <f t="shared" si="41"/>
        <v>13</v>
      </c>
      <c r="N69" s="236">
        <f t="shared" si="41"/>
        <v>985143.89166666672</v>
      </c>
      <c r="O69" s="34">
        <f t="shared" si="41"/>
        <v>13</v>
      </c>
      <c r="P69" s="236">
        <f t="shared" si="41"/>
        <v>670856.40999999992</v>
      </c>
      <c r="Q69" s="34">
        <f t="shared" si="41"/>
        <v>13</v>
      </c>
      <c r="R69" s="236">
        <f t="shared" si="41"/>
        <v>670856.40999999992</v>
      </c>
      <c r="S69" s="34">
        <f t="shared" si="41"/>
        <v>13</v>
      </c>
      <c r="T69" s="236">
        <f t="shared" si="41"/>
        <v>670856.40999999992</v>
      </c>
      <c r="U69" s="34">
        <f t="shared" si="41"/>
        <v>13</v>
      </c>
      <c r="V69" s="236">
        <f t="shared" si="41"/>
        <v>670856.40999999992</v>
      </c>
      <c r="W69" s="34">
        <f t="shared" si="41"/>
        <v>13</v>
      </c>
      <c r="X69" s="236">
        <f t="shared" si="41"/>
        <v>670856.40999999992</v>
      </c>
      <c r="Y69" s="34">
        <f t="shared" si="41"/>
        <v>13</v>
      </c>
      <c r="Z69" s="236">
        <f t="shared" si="41"/>
        <v>1006284.6150000001</v>
      </c>
      <c r="AA69" s="257">
        <f>Z69+X69+V69+T69+R69+P69+N69+L69+J69+H69+F69+D69</f>
        <v>8446303.9266666677</v>
      </c>
    </row>
    <row r="70" spans="2:29" ht="15.75" thickBot="1" x14ac:dyDescent="0.3">
      <c r="B70" s="258"/>
      <c r="C70" s="259"/>
      <c r="D70" s="259"/>
      <c r="E70" s="259"/>
      <c r="F70" s="259"/>
      <c r="G70" s="259"/>
      <c r="H70" s="259"/>
      <c r="I70" s="259"/>
      <c r="J70" s="259"/>
      <c r="K70" s="259"/>
      <c r="L70" s="259"/>
      <c r="M70" s="259"/>
      <c r="N70" s="259"/>
      <c r="O70" s="259"/>
      <c r="P70" s="259"/>
      <c r="Q70" s="259"/>
      <c r="R70" s="259"/>
      <c r="S70" s="259"/>
      <c r="T70" s="259"/>
      <c r="U70" s="259"/>
      <c r="V70" s="259"/>
      <c r="W70" s="259"/>
      <c r="X70" s="259"/>
      <c r="Y70" s="259"/>
      <c r="Z70" s="259"/>
      <c r="AA70" s="260"/>
    </row>
    <row r="71" spans="2:29" ht="15.75" thickBot="1" x14ac:dyDescent="0.3"/>
    <row r="72" spans="2:29" ht="27" thickBot="1" x14ac:dyDescent="0.45">
      <c r="B72" s="691" t="s">
        <v>147</v>
      </c>
      <c r="C72" s="692"/>
      <c r="D72" s="692"/>
      <c r="E72" s="692"/>
      <c r="F72" s="692"/>
      <c r="G72" s="692"/>
      <c r="H72" s="692"/>
      <c r="I72" s="692"/>
      <c r="J72" s="692"/>
      <c r="K72" s="692"/>
      <c r="L72" s="692"/>
      <c r="M72" s="692"/>
      <c r="N72" s="692"/>
      <c r="O72" s="692"/>
      <c r="P72" s="692"/>
      <c r="Q72" s="692"/>
      <c r="R72" s="692"/>
      <c r="S72" s="692"/>
      <c r="T72" s="692"/>
      <c r="U72" s="692"/>
      <c r="V72" s="692"/>
      <c r="W72" s="692"/>
      <c r="X72" s="692"/>
      <c r="Y72" s="692"/>
      <c r="Z72" s="692"/>
      <c r="AA72" s="693"/>
    </row>
    <row r="73" spans="2:29" ht="15.75" x14ac:dyDescent="0.25">
      <c r="B73" s="701" t="s">
        <v>130</v>
      </c>
      <c r="C73" s="703" t="s">
        <v>40</v>
      </c>
      <c r="D73" s="703"/>
      <c r="E73" s="703" t="s">
        <v>41</v>
      </c>
      <c r="F73" s="703"/>
      <c r="G73" s="703" t="s">
        <v>42</v>
      </c>
      <c r="H73" s="703"/>
      <c r="I73" s="703" t="s">
        <v>43</v>
      </c>
      <c r="J73" s="703"/>
      <c r="K73" s="703" t="s">
        <v>44</v>
      </c>
      <c r="L73" s="703"/>
      <c r="M73" s="703" t="s">
        <v>142</v>
      </c>
      <c r="N73" s="703"/>
      <c r="O73" s="703" t="s">
        <v>46</v>
      </c>
      <c r="P73" s="703"/>
      <c r="Q73" s="703" t="s">
        <v>47</v>
      </c>
      <c r="R73" s="703"/>
      <c r="S73" s="703" t="s">
        <v>48</v>
      </c>
      <c r="T73" s="703"/>
      <c r="U73" s="703" t="s">
        <v>49</v>
      </c>
      <c r="V73" s="703"/>
      <c r="W73" s="703" t="s">
        <v>50</v>
      </c>
      <c r="X73" s="703"/>
      <c r="Y73" s="703" t="s">
        <v>143</v>
      </c>
      <c r="Z73" s="703"/>
      <c r="AA73" s="704" t="s">
        <v>83</v>
      </c>
    </row>
    <row r="74" spans="2:29" ht="15.75" x14ac:dyDescent="0.25">
      <c r="B74" s="702"/>
      <c r="C74" s="235" t="s">
        <v>59</v>
      </c>
      <c r="D74" s="235" t="s">
        <v>70</v>
      </c>
      <c r="E74" s="235" t="s">
        <v>59</v>
      </c>
      <c r="F74" s="235" t="s">
        <v>70</v>
      </c>
      <c r="G74" s="235" t="s">
        <v>59</v>
      </c>
      <c r="H74" s="235" t="s">
        <v>70</v>
      </c>
      <c r="I74" s="235" t="s">
        <v>59</v>
      </c>
      <c r="J74" s="235" t="s">
        <v>70</v>
      </c>
      <c r="K74" s="235" t="s">
        <v>59</v>
      </c>
      <c r="L74" s="235" t="s">
        <v>70</v>
      </c>
      <c r="M74" s="235" t="s">
        <v>59</v>
      </c>
      <c r="N74" s="235" t="s">
        <v>70</v>
      </c>
      <c r="O74" s="235" t="s">
        <v>59</v>
      </c>
      <c r="P74" s="235" t="s">
        <v>70</v>
      </c>
      <c r="Q74" s="235" t="s">
        <v>59</v>
      </c>
      <c r="R74" s="235" t="s">
        <v>70</v>
      </c>
      <c r="S74" s="235" t="s">
        <v>59</v>
      </c>
      <c r="T74" s="235" t="s">
        <v>70</v>
      </c>
      <c r="U74" s="235" t="s">
        <v>59</v>
      </c>
      <c r="V74" s="235" t="s">
        <v>70</v>
      </c>
      <c r="W74" s="235" t="s">
        <v>59</v>
      </c>
      <c r="X74" s="235" t="s">
        <v>70</v>
      </c>
      <c r="Y74" s="235" t="s">
        <v>59</v>
      </c>
      <c r="Z74" s="235" t="s">
        <v>70</v>
      </c>
      <c r="AA74" s="705"/>
    </row>
    <row r="75" spans="2:29" x14ac:dyDescent="0.25">
      <c r="B75" s="249"/>
      <c r="C75" s="133">
        <v>1</v>
      </c>
      <c r="D75" s="134">
        <f>C75*$L$14</f>
        <v>97562.57</v>
      </c>
      <c r="E75" s="133">
        <v>1</v>
      </c>
      <c r="F75" s="134">
        <f>E75*$L$14</f>
        <v>97562.57</v>
      </c>
      <c r="G75" s="133">
        <v>1</v>
      </c>
      <c r="H75" s="134">
        <f>G75*$L$14</f>
        <v>97562.57</v>
      </c>
      <c r="I75" s="133">
        <v>1</v>
      </c>
      <c r="J75" s="134">
        <f>I75*$L$14</f>
        <v>97562.57</v>
      </c>
      <c r="K75" s="133">
        <v>1</v>
      </c>
      <c r="L75" s="134">
        <f>K75*$L$14</f>
        <v>97562.57</v>
      </c>
      <c r="M75" s="133">
        <v>1</v>
      </c>
      <c r="N75" s="134">
        <f>M75*$L$14*1.5</f>
        <v>146343.85500000001</v>
      </c>
      <c r="O75" s="133">
        <v>1</v>
      </c>
      <c r="P75" s="134">
        <f>O75*$L$14</f>
        <v>97562.57</v>
      </c>
      <c r="Q75" s="133">
        <v>1</v>
      </c>
      <c r="R75" s="134">
        <f>Q75*$L$14</f>
        <v>97562.57</v>
      </c>
      <c r="S75" s="133">
        <v>1</v>
      </c>
      <c r="T75" s="134">
        <f>S75*$L$14</f>
        <v>97562.57</v>
      </c>
      <c r="U75" s="133">
        <v>1</v>
      </c>
      <c r="V75" s="134">
        <f>U75*$L$14</f>
        <v>97562.57</v>
      </c>
      <c r="W75" s="133">
        <v>1</v>
      </c>
      <c r="X75" s="134">
        <f>W75*$L$14</f>
        <v>97562.57</v>
      </c>
      <c r="Y75" s="133">
        <v>1</v>
      </c>
      <c r="Z75" s="134">
        <f>Y75*$L$14*1.5</f>
        <v>146343.85500000001</v>
      </c>
      <c r="AA75" s="250">
        <f>D75+F75+H75+J75+L75+N75+P75+R75+T75+V75+X75+Z75</f>
        <v>1268313.4100000004</v>
      </c>
    </row>
    <row r="76" spans="2:29" x14ac:dyDescent="0.25">
      <c r="B76" s="251"/>
      <c r="C76" s="133">
        <v>1</v>
      </c>
      <c r="D76" s="134">
        <f>C76*$L$15</f>
        <v>73176.570000000007</v>
      </c>
      <c r="E76" s="133">
        <v>1</v>
      </c>
      <c r="F76" s="134">
        <f>E76*$L$15</f>
        <v>73176.570000000007</v>
      </c>
      <c r="G76" s="133">
        <v>1</v>
      </c>
      <c r="H76" s="134">
        <f>G76*$L$15</f>
        <v>73176.570000000007</v>
      </c>
      <c r="I76" s="133">
        <v>1</v>
      </c>
      <c r="J76" s="134">
        <f>I76*$L$15</f>
        <v>73176.570000000007</v>
      </c>
      <c r="K76" s="133">
        <v>1</v>
      </c>
      <c r="L76" s="134">
        <f>K76*$L$15</f>
        <v>73176.570000000007</v>
      </c>
      <c r="M76" s="133">
        <v>1</v>
      </c>
      <c r="N76" s="134">
        <f>M76*$L$15*1.5</f>
        <v>109764.85500000001</v>
      </c>
      <c r="O76" s="133">
        <v>1</v>
      </c>
      <c r="P76" s="134">
        <f>O76*$L$15</f>
        <v>73176.570000000007</v>
      </c>
      <c r="Q76" s="133">
        <v>1</v>
      </c>
      <c r="R76" s="134">
        <f>Q76*$L$15</f>
        <v>73176.570000000007</v>
      </c>
      <c r="S76" s="133">
        <v>1</v>
      </c>
      <c r="T76" s="134">
        <f>S76*$L$15</f>
        <v>73176.570000000007</v>
      </c>
      <c r="U76" s="133">
        <v>1</v>
      </c>
      <c r="V76" s="134">
        <f>U76*$L$15</f>
        <v>73176.570000000007</v>
      </c>
      <c r="W76" s="133">
        <v>1</v>
      </c>
      <c r="X76" s="134">
        <f>W76*$L$15</f>
        <v>73176.570000000007</v>
      </c>
      <c r="Y76" s="133">
        <v>1</v>
      </c>
      <c r="Z76" s="134">
        <f>Y76*$L$15*1.5</f>
        <v>109764.85500000001</v>
      </c>
      <c r="AA76" s="250">
        <f t="shared" ref="AA76:AA85" si="42">D76+F76+H76+J76+L76+N76+P76+R76+T76+V76+X76+Z76</f>
        <v>951295.41000000038</v>
      </c>
    </row>
    <row r="77" spans="2:29" x14ac:dyDescent="0.25">
      <c r="B77" s="251"/>
      <c r="C77" s="133">
        <v>1</v>
      </c>
      <c r="D77" s="134">
        <f>C77*$L$27</f>
        <v>63422.17</v>
      </c>
      <c r="E77" s="133">
        <v>1</v>
      </c>
      <c r="F77" s="134">
        <f>E77*$L$27</f>
        <v>63422.17</v>
      </c>
      <c r="G77" s="133">
        <v>1</v>
      </c>
      <c r="H77" s="134">
        <f>G77*$L$27</f>
        <v>63422.17</v>
      </c>
      <c r="I77" s="133">
        <v>1</v>
      </c>
      <c r="J77" s="134">
        <f>I77*$L$27</f>
        <v>63422.17</v>
      </c>
      <c r="K77" s="133">
        <v>1</v>
      </c>
      <c r="L77" s="134">
        <f>K77*$L$27</f>
        <v>63422.17</v>
      </c>
      <c r="M77" s="133">
        <v>1</v>
      </c>
      <c r="N77" s="134">
        <f>M77*$L$27*1.5</f>
        <v>95133.255000000005</v>
      </c>
      <c r="O77" s="133">
        <v>1</v>
      </c>
      <c r="P77" s="134">
        <f>O77*$L$27</f>
        <v>63422.17</v>
      </c>
      <c r="Q77" s="133">
        <v>1</v>
      </c>
      <c r="R77" s="134">
        <f>Q77*$L$27</f>
        <v>63422.17</v>
      </c>
      <c r="S77" s="133">
        <v>1</v>
      </c>
      <c r="T77" s="134">
        <f>S77*$L$27</f>
        <v>63422.17</v>
      </c>
      <c r="U77" s="133">
        <v>1</v>
      </c>
      <c r="V77" s="134">
        <f>U77*$L$27</f>
        <v>63422.17</v>
      </c>
      <c r="W77" s="133">
        <v>1</v>
      </c>
      <c r="X77" s="134">
        <f>W77*$L$27</f>
        <v>63422.17</v>
      </c>
      <c r="Y77" s="133">
        <v>1</v>
      </c>
      <c r="Z77" s="134">
        <f>Y77*$L$27*1.5</f>
        <v>95133.255000000005</v>
      </c>
      <c r="AA77" s="250">
        <f t="shared" si="42"/>
        <v>824488.21000000008</v>
      </c>
    </row>
    <row r="78" spans="2:29" x14ac:dyDescent="0.25">
      <c r="B78" s="251"/>
      <c r="C78" s="133">
        <v>1</v>
      </c>
      <c r="D78" s="134">
        <f>C78*$L$28</f>
        <v>51229.17</v>
      </c>
      <c r="E78" s="133">
        <v>1</v>
      </c>
      <c r="F78" s="134">
        <f>E78*$L$28</f>
        <v>51229.17</v>
      </c>
      <c r="G78" s="133">
        <v>1</v>
      </c>
      <c r="H78" s="134">
        <f>G78*$L$28</f>
        <v>51229.17</v>
      </c>
      <c r="I78" s="133">
        <v>1</v>
      </c>
      <c r="J78" s="134">
        <f>I78*$L$28</f>
        <v>51229.17</v>
      </c>
      <c r="K78" s="133">
        <v>1</v>
      </c>
      <c r="L78" s="134">
        <f>K78*$L$28</f>
        <v>51229.17</v>
      </c>
      <c r="M78" s="133">
        <v>1</v>
      </c>
      <c r="N78" s="134">
        <f>$L$28*M78*(1+6/12)</f>
        <v>76843.755000000005</v>
      </c>
      <c r="O78" s="133">
        <v>1</v>
      </c>
      <c r="P78" s="134">
        <f>O78*$L$28</f>
        <v>51229.17</v>
      </c>
      <c r="Q78" s="133">
        <v>1</v>
      </c>
      <c r="R78" s="134">
        <f>Q78*$L$28</f>
        <v>51229.17</v>
      </c>
      <c r="S78" s="133">
        <v>1</v>
      </c>
      <c r="T78" s="134">
        <f>S78*$L$28</f>
        <v>51229.17</v>
      </c>
      <c r="U78" s="133">
        <v>1</v>
      </c>
      <c r="V78" s="134">
        <f>U78*$L$28</f>
        <v>51229.17</v>
      </c>
      <c r="W78" s="133">
        <v>1</v>
      </c>
      <c r="X78" s="134">
        <f>$L$28*W78</f>
        <v>51229.17</v>
      </c>
      <c r="Y78" s="133">
        <v>1</v>
      </c>
      <c r="Z78" s="134">
        <f>$L$28*Y78*(1+6/12)</f>
        <v>76843.755000000005</v>
      </c>
      <c r="AA78" s="250">
        <f t="shared" si="42"/>
        <v>665979.21</v>
      </c>
    </row>
    <row r="79" spans="2:29" x14ac:dyDescent="0.25">
      <c r="B79" s="251"/>
      <c r="C79" s="133">
        <v>1</v>
      </c>
      <c r="D79" s="134">
        <f>C79*$L$30</f>
        <v>58544.97</v>
      </c>
      <c r="E79" s="133">
        <v>1</v>
      </c>
      <c r="F79" s="134">
        <f>E79*$L$30</f>
        <v>58544.97</v>
      </c>
      <c r="G79" s="133">
        <v>1</v>
      </c>
      <c r="H79" s="134">
        <f>G79*$L$30</f>
        <v>58544.97</v>
      </c>
      <c r="I79" s="133">
        <v>1</v>
      </c>
      <c r="J79" s="134">
        <f>I79*$L$30</f>
        <v>58544.97</v>
      </c>
      <c r="K79" s="133">
        <v>1</v>
      </c>
      <c r="L79" s="134">
        <f>K79*$L$30</f>
        <v>58544.97</v>
      </c>
      <c r="M79" s="133">
        <v>1</v>
      </c>
      <c r="N79" s="134">
        <f>M79*$L$30*1.5</f>
        <v>87817.455000000002</v>
      </c>
      <c r="O79" s="133">
        <v>1</v>
      </c>
      <c r="P79" s="134">
        <f>O79*$L$30</f>
        <v>58544.97</v>
      </c>
      <c r="Q79" s="133">
        <v>1</v>
      </c>
      <c r="R79" s="134">
        <f>Q79*$L$30</f>
        <v>58544.97</v>
      </c>
      <c r="S79" s="133">
        <v>1</v>
      </c>
      <c r="T79" s="134">
        <f>S79*$L$30</f>
        <v>58544.97</v>
      </c>
      <c r="U79" s="133">
        <v>1</v>
      </c>
      <c r="V79" s="134">
        <f>U79*$L$30</f>
        <v>58544.97</v>
      </c>
      <c r="W79" s="133">
        <v>1</v>
      </c>
      <c r="X79" s="134">
        <f>W79*$L$30</f>
        <v>58544.97</v>
      </c>
      <c r="Y79" s="133">
        <v>1</v>
      </c>
      <c r="Z79" s="134">
        <f>Y79*$L$30*1.5</f>
        <v>87817.455000000002</v>
      </c>
      <c r="AA79" s="250">
        <f t="shared" si="42"/>
        <v>761084.60999999987</v>
      </c>
    </row>
    <row r="80" spans="2:29" x14ac:dyDescent="0.25">
      <c r="B80" s="251"/>
      <c r="C80" s="237">
        <v>2</v>
      </c>
      <c r="D80" s="134">
        <f>C80*$L$31</f>
        <v>97581.14</v>
      </c>
      <c r="E80" s="133">
        <v>2</v>
      </c>
      <c r="F80" s="134">
        <f>E80*$L$31</f>
        <v>97581.14</v>
      </c>
      <c r="G80" s="133">
        <v>2</v>
      </c>
      <c r="H80" s="134">
        <f>G80*$L$31</f>
        <v>97581.14</v>
      </c>
      <c r="I80" s="133">
        <v>2</v>
      </c>
      <c r="J80" s="134">
        <f>I80*$L$31</f>
        <v>97581.14</v>
      </c>
      <c r="K80" s="133">
        <v>2</v>
      </c>
      <c r="L80" s="134">
        <f>K80*$L$31</f>
        <v>97581.14</v>
      </c>
      <c r="M80" s="133">
        <v>2</v>
      </c>
      <c r="N80" s="134">
        <f>M80*$L$31*1.5</f>
        <v>146371.71</v>
      </c>
      <c r="O80" s="133">
        <v>2</v>
      </c>
      <c r="P80" s="134">
        <f>O80*$L$31</f>
        <v>97581.14</v>
      </c>
      <c r="Q80" s="133">
        <v>2</v>
      </c>
      <c r="R80" s="134">
        <f>Q80*$L$31</f>
        <v>97581.14</v>
      </c>
      <c r="S80" s="133">
        <v>2</v>
      </c>
      <c r="T80" s="134">
        <f>S80*$L$31</f>
        <v>97581.14</v>
      </c>
      <c r="U80" s="133">
        <v>2</v>
      </c>
      <c r="V80" s="134">
        <f>U80*$L$31</f>
        <v>97581.14</v>
      </c>
      <c r="W80" s="133">
        <v>2</v>
      </c>
      <c r="X80" s="134">
        <f>W80*$L$31</f>
        <v>97581.14</v>
      </c>
      <c r="Y80" s="133">
        <v>2</v>
      </c>
      <c r="Z80" s="134">
        <f>Y80*$L$31*1.5</f>
        <v>146371.71</v>
      </c>
      <c r="AA80" s="250">
        <f t="shared" si="42"/>
        <v>1268554.82</v>
      </c>
      <c r="AC80" s="35"/>
    </row>
    <row r="81" spans="2:27" x14ac:dyDescent="0.25">
      <c r="B81" s="251"/>
      <c r="C81" s="133">
        <v>1</v>
      </c>
      <c r="D81" s="134">
        <f>C81*$L$23</f>
        <v>39036.17</v>
      </c>
      <c r="E81" s="133">
        <v>1</v>
      </c>
      <c r="F81" s="134">
        <f>E81*$L$23</f>
        <v>39036.17</v>
      </c>
      <c r="G81" s="133">
        <v>1</v>
      </c>
      <c r="H81" s="134">
        <f>G81*$L$23</f>
        <v>39036.17</v>
      </c>
      <c r="I81" s="133">
        <v>1</v>
      </c>
      <c r="J81" s="134">
        <f>I81*$L$23</f>
        <v>39036.17</v>
      </c>
      <c r="K81" s="133">
        <v>1</v>
      </c>
      <c r="L81" s="134">
        <f>K81*$L$23</f>
        <v>39036.17</v>
      </c>
      <c r="M81" s="133">
        <v>1</v>
      </c>
      <c r="N81" s="134">
        <f>M81*$L$23*1.5</f>
        <v>58554.254999999997</v>
      </c>
      <c r="O81" s="133">
        <v>1</v>
      </c>
      <c r="P81" s="134">
        <f>O81*$L$23</f>
        <v>39036.17</v>
      </c>
      <c r="Q81" s="133">
        <v>1</v>
      </c>
      <c r="R81" s="134">
        <f>Q81*$L$23</f>
        <v>39036.17</v>
      </c>
      <c r="S81" s="133">
        <v>1</v>
      </c>
      <c r="T81" s="134">
        <f>S81*$L$23</f>
        <v>39036.17</v>
      </c>
      <c r="U81" s="133">
        <v>1</v>
      </c>
      <c r="V81" s="134">
        <f>U81*$L$23</f>
        <v>39036.17</v>
      </c>
      <c r="W81" s="133">
        <v>1</v>
      </c>
      <c r="X81" s="134">
        <f>W81*$L$23</f>
        <v>39036.17</v>
      </c>
      <c r="Y81" s="133">
        <v>1</v>
      </c>
      <c r="Z81" s="134">
        <f>Y81*$L$23*1.5</f>
        <v>58554.254999999997</v>
      </c>
      <c r="AA81" s="250">
        <f t="shared" si="42"/>
        <v>507470.2099999999</v>
      </c>
    </row>
    <row r="82" spans="2:27" x14ac:dyDescent="0.25">
      <c r="B82" s="251"/>
      <c r="C82" s="133">
        <v>2</v>
      </c>
      <c r="D82" s="134">
        <f>C82*$L$26</f>
        <v>78072.34</v>
      </c>
      <c r="E82" s="133">
        <v>2</v>
      </c>
      <c r="F82" s="134">
        <f>E82*$L$26</f>
        <v>78072.34</v>
      </c>
      <c r="G82" s="133">
        <v>2</v>
      </c>
      <c r="H82" s="134">
        <f>G82*$L$26</f>
        <v>78072.34</v>
      </c>
      <c r="I82" s="133">
        <v>2</v>
      </c>
      <c r="J82" s="134">
        <f>I82*$L$26</f>
        <v>78072.34</v>
      </c>
      <c r="K82" s="133">
        <v>2</v>
      </c>
      <c r="L82" s="134">
        <f>K82*$L$26</f>
        <v>78072.34</v>
      </c>
      <c r="M82" s="133">
        <v>2</v>
      </c>
      <c r="N82" s="134">
        <f>M82*$L$26*1.5</f>
        <v>117108.51</v>
      </c>
      <c r="O82" s="133">
        <v>2</v>
      </c>
      <c r="P82" s="134">
        <f>O82*$L$26</f>
        <v>78072.34</v>
      </c>
      <c r="Q82" s="133">
        <v>2</v>
      </c>
      <c r="R82" s="134">
        <f>Q82*$L$26</f>
        <v>78072.34</v>
      </c>
      <c r="S82" s="237">
        <v>3</v>
      </c>
      <c r="T82" s="134">
        <f>S82*$L$26</f>
        <v>117108.51</v>
      </c>
      <c r="U82" s="133">
        <v>3</v>
      </c>
      <c r="V82" s="134">
        <f>U82*$L$26</f>
        <v>117108.51</v>
      </c>
      <c r="W82" s="133">
        <v>3</v>
      </c>
      <c r="X82" s="134">
        <f>W82*$L$26</f>
        <v>117108.51</v>
      </c>
      <c r="Y82" s="133">
        <v>3</v>
      </c>
      <c r="Z82" s="134">
        <f>Y82*$L$26*1.5- (2/6)*$L$26</f>
        <v>162650.70833333331</v>
      </c>
      <c r="AA82" s="250">
        <f t="shared" si="42"/>
        <v>1177591.1283333332</v>
      </c>
    </row>
    <row r="83" spans="2:27" x14ac:dyDescent="0.25">
      <c r="B83" s="251"/>
      <c r="C83" s="133">
        <v>2</v>
      </c>
      <c r="D83" s="134">
        <f>C83*$L$24</f>
        <v>78072.34</v>
      </c>
      <c r="E83" s="133">
        <v>2</v>
      </c>
      <c r="F83" s="134">
        <f>E83*$L$24</f>
        <v>78072.34</v>
      </c>
      <c r="G83" s="133">
        <v>2</v>
      </c>
      <c r="H83" s="134">
        <f>G83*$L$24</f>
        <v>78072.34</v>
      </c>
      <c r="I83" s="133">
        <v>2</v>
      </c>
      <c r="J83" s="134">
        <f>I83*$L$24</f>
        <v>78072.34</v>
      </c>
      <c r="K83" s="133">
        <v>2</v>
      </c>
      <c r="L83" s="134">
        <f>K83*$L$24</f>
        <v>78072.34</v>
      </c>
      <c r="M83" s="133">
        <v>2</v>
      </c>
      <c r="N83" s="134">
        <f>M83*$L$24*1.5</f>
        <v>117108.51</v>
      </c>
      <c r="O83" s="133">
        <v>2</v>
      </c>
      <c r="P83" s="134">
        <f>O83*$L$24</f>
        <v>78072.34</v>
      </c>
      <c r="Q83" s="133">
        <v>2</v>
      </c>
      <c r="R83" s="134">
        <f>Q83*$L$24</f>
        <v>78072.34</v>
      </c>
      <c r="S83" s="237">
        <v>3</v>
      </c>
      <c r="T83" s="134">
        <f>S83*$L$24</f>
        <v>117108.51</v>
      </c>
      <c r="U83" s="133">
        <v>3</v>
      </c>
      <c r="V83" s="134">
        <f>U83*$L$24</f>
        <v>117108.51</v>
      </c>
      <c r="W83" s="133">
        <v>3</v>
      </c>
      <c r="X83" s="134">
        <f>W83*$L$24</f>
        <v>117108.51</v>
      </c>
      <c r="Y83" s="133">
        <v>3</v>
      </c>
      <c r="Z83" s="134">
        <f>Y83*$L$24*1.5 - (2/6)*$L$24</f>
        <v>162650.70833333331</v>
      </c>
      <c r="AA83" s="250">
        <f t="shared" si="42"/>
        <v>1177591.1283333332</v>
      </c>
    </row>
    <row r="84" spans="2:27" x14ac:dyDescent="0.25">
      <c r="B84" s="249"/>
      <c r="C84" s="133">
        <v>1</v>
      </c>
      <c r="D84" s="134">
        <f>C84*$L$25</f>
        <v>19527.37</v>
      </c>
      <c r="E84" s="133">
        <v>1</v>
      </c>
      <c r="F84" s="134">
        <f>E84*$L$25</f>
        <v>19527.37</v>
      </c>
      <c r="G84" s="133">
        <v>1</v>
      </c>
      <c r="H84" s="134">
        <f>G84*$L$25</f>
        <v>19527.37</v>
      </c>
      <c r="I84" s="133">
        <v>1</v>
      </c>
      <c r="J84" s="134">
        <f>I84*$L$25</f>
        <v>19527.37</v>
      </c>
      <c r="K84" s="133">
        <v>1</v>
      </c>
      <c r="L84" s="134">
        <f>K84*$L$25</f>
        <v>19527.37</v>
      </c>
      <c r="M84" s="133">
        <v>1</v>
      </c>
      <c r="N84" s="134">
        <f>M84*$L$25*1.5</f>
        <v>29291.055</v>
      </c>
      <c r="O84" s="133">
        <v>1</v>
      </c>
      <c r="P84" s="134">
        <f>O84*$L$25</f>
        <v>19527.37</v>
      </c>
      <c r="Q84" s="133">
        <v>1</v>
      </c>
      <c r="R84" s="134">
        <f>Q84*$L$25</f>
        <v>19527.37</v>
      </c>
      <c r="S84" s="133">
        <v>1</v>
      </c>
      <c r="T84" s="134">
        <f>S84*$L$25</f>
        <v>19527.37</v>
      </c>
      <c r="U84" s="133">
        <v>1</v>
      </c>
      <c r="V84" s="134">
        <f>U84*$L$25</f>
        <v>19527.37</v>
      </c>
      <c r="W84" s="133">
        <v>1</v>
      </c>
      <c r="X84" s="134">
        <f>W84*$L$25</f>
        <v>19527.37</v>
      </c>
      <c r="Y84" s="133">
        <v>1</v>
      </c>
      <c r="Z84" s="134">
        <f>Y84*$L$25*1.5</f>
        <v>29291.055</v>
      </c>
      <c r="AA84" s="250">
        <f t="shared" si="42"/>
        <v>253855.80999999997</v>
      </c>
    </row>
    <row r="85" spans="2:27" x14ac:dyDescent="0.25">
      <c r="B85" s="249"/>
      <c r="C85" s="133">
        <v>1</v>
      </c>
      <c r="D85" s="134">
        <f>C85*$L$20</f>
        <v>63422.17</v>
      </c>
      <c r="E85" s="133">
        <v>1</v>
      </c>
      <c r="F85" s="134">
        <f>E85*$L$20</f>
        <v>63422.17</v>
      </c>
      <c r="G85" s="133">
        <v>1</v>
      </c>
      <c r="H85" s="134">
        <f>G85*$L$20</f>
        <v>63422.17</v>
      </c>
      <c r="I85" s="133">
        <v>1</v>
      </c>
      <c r="J85" s="134">
        <f>I85*$L$20</f>
        <v>63422.17</v>
      </c>
      <c r="K85" s="133">
        <v>1</v>
      </c>
      <c r="L85" s="134">
        <f>K85*$L$20</f>
        <v>63422.17</v>
      </c>
      <c r="M85" s="133">
        <v>1</v>
      </c>
      <c r="N85" s="134">
        <f>M85*$L$20*(1+6/12)</f>
        <v>95133.255000000005</v>
      </c>
      <c r="O85" s="133">
        <v>1</v>
      </c>
      <c r="P85" s="134">
        <f>O85*$L$20</f>
        <v>63422.17</v>
      </c>
      <c r="Q85" s="133">
        <v>1</v>
      </c>
      <c r="R85" s="134">
        <f>Q85*$L$20</f>
        <v>63422.17</v>
      </c>
      <c r="S85" s="133">
        <v>1</v>
      </c>
      <c r="T85" s="134">
        <f>S85*$L$20</f>
        <v>63422.17</v>
      </c>
      <c r="U85" s="133">
        <v>1</v>
      </c>
      <c r="V85" s="134">
        <f>U85*$L$20</f>
        <v>63422.17</v>
      </c>
      <c r="W85" s="133">
        <v>1</v>
      </c>
      <c r="X85" s="134">
        <f>W85*$L$20</f>
        <v>63422.17</v>
      </c>
      <c r="Y85" s="133">
        <v>1</v>
      </c>
      <c r="Z85" s="134">
        <f>Y85*$L$20*(1+6/12)</f>
        <v>95133.255000000005</v>
      </c>
      <c r="AA85" s="250">
        <f t="shared" si="42"/>
        <v>824488.21000000008</v>
      </c>
    </row>
    <row r="86" spans="2:27" x14ac:dyDescent="0.25">
      <c r="B86" s="249"/>
      <c r="C86" s="133">
        <v>0</v>
      </c>
      <c r="D86" s="134">
        <f>C86*$L$29</f>
        <v>0</v>
      </c>
      <c r="E86" s="237">
        <v>1</v>
      </c>
      <c r="F86" s="134">
        <f>E86*$L$29</f>
        <v>48790.57</v>
      </c>
      <c r="G86" s="133">
        <v>1</v>
      </c>
      <c r="H86" s="134">
        <f>G86*$L$29</f>
        <v>48790.57</v>
      </c>
      <c r="I86" s="133">
        <v>1</v>
      </c>
      <c r="J86" s="134">
        <f>I86*$L$29</f>
        <v>48790.57</v>
      </c>
      <c r="K86" s="133">
        <v>1</v>
      </c>
      <c r="L86" s="134">
        <f>K86*$L$29</f>
        <v>48790.57</v>
      </c>
      <c r="M86" s="133">
        <v>1</v>
      </c>
      <c r="N86" s="134">
        <f>M86*$L$29*(1+5/12)</f>
        <v>69119.974166666667</v>
      </c>
      <c r="O86" s="133">
        <v>1</v>
      </c>
      <c r="P86" s="134">
        <f>O86*$L$29</f>
        <v>48790.57</v>
      </c>
      <c r="Q86" s="133">
        <v>1</v>
      </c>
      <c r="R86" s="134">
        <f>Q86*$L$29</f>
        <v>48790.57</v>
      </c>
      <c r="S86" s="133">
        <v>1</v>
      </c>
      <c r="T86" s="134">
        <f>S86*$L$29</f>
        <v>48790.57</v>
      </c>
      <c r="U86" s="133">
        <v>1</v>
      </c>
      <c r="V86" s="134">
        <f>U86*$L$29</f>
        <v>48790.57</v>
      </c>
      <c r="W86" s="133">
        <v>1</v>
      </c>
      <c r="X86" s="134">
        <f>W86*$L$29</f>
        <v>48790.57</v>
      </c>
      <c r="Y86" s="133">
        <v>1</v>
      </c>
      <c r="Z86" s="134">
        <f>Y86*$L$29*(1+6/12)</f>
        <v>73185.854999999996</v>
      </c>
      <c r="AA86" s="250">
        <f>D86+F86+H86+J86+L86+N86+P86+R86+T86+V86+X86+Z86</f>
        <v>581420.95916666673</v>
      </c>
    </row>
    <row r="87" spans="2:27" ht="16.5" thickBot="1" x14ac:dyDescent="0.3">
      <c r="B87" s="252" t="s">
        <v>145</v>
      </c>
      <c r="C87" s="253">
        <f>SUM(C75:C86)</f>
        <v>14</v>
      </c>
      <c r="D87" s="254">
        <f t="shared" ref="D87:Z87" si="43">SUM(D75:D86)</f>
        <v>719646.98</v>
      </c>
      <c r="E87" s="253">
        <f t="shared" si="43"/>
        <v>15</v>
      </c>
      <c r="F87" s="254">
        <f t="shared" si="43"/>
        <v>768437.54999999993</v>
      </c>
      <c r="G87" s="253">
        <f t="shared" si="43"/>
        <v>15</v>
      </c>
      <c r="H87" s="254">
        <f t="shared" si="43"/>
        <v>768437.54999999993</v>
      </c>
      <c r="I87" s="253">
        <f t="shared" si="43"/>
        <v>15</v>
      </c>
      <c r="J87" s="254">
        <f t="shared" si="43"/>
        <v>768437.54999999993</v>
      </c>
      <c r="K87" s="253">
        <f t="shared" si="43"/>
        <v>15</v>
      </c>
      <c r="L87" s="254">
        <f t="shared" si="43"/>
        <v>768437.54999999993</v>
      </c>
      <c r="M87" s="253">
        <f t="shared" si="43"/>
        <v>15</v>
      </c>
      <c r="N87" s="254">
        <f t="shared" si="43"/>
        <v>1148590.4441666668</v>
      </c>
      <c r="O87" s="253">
        <f t="shared" si="43"/>
        <v>15</v>
      </c>
      <c r="P87" s="254">
        <f t="shared" si="43"/>
        <v>768437.54999999993</v>
      </c>
      <c r="Q87" s="253">
        <f t="shared" si="43"/>
        <v>15</v>
      </c>
      <c r="R87" s="254">
        <f t="shared" si="43"/>
        <v>768437.54999999993</v>
      </c>
      <c r="S87" s="253">
        <f t="shared" si="43"/>
        <v>17</v>
      </c>
      <c r="T87" s="254">
        <f t="shared" si="43"/>
        <v>846509.8899999999</v>
      </c>
      <c r="U87" s="253">
        <f t="shared" si="43"/>
        <v>17</v>
      </c>
      <c r="V87" s="254">
        <f t="shared" si="43"/>
        <v>846509.8899999999</v>
      </c>
      <c r="W87" s="253">
        <f t="shared" si="43"/>
        <v>17</v>
      </c>
      <c r="X87" s="254">
        <f t="shared" si="43"/>
        <v>846509.8899999999</v>
      </c>
      <c r="Y87" s="253">
        <f t="shared" si="43"/>
        <v>17</v>
      </c>
      <c r="Z87" s="254">
        <f t="shared" si="43"/>
        <v>1243740.7216666667</v>
      </c>
      <c r="AA87" s="255">
        <f>Z87+X87+V87+T87+R87+P87+N87+L87+J87+H87+F87+D87</f>
        <v>10262133.115833335</v>
      </c>
    </row>
    <row r="91" spans="2:27" x14ac:dyDescent="0.25">
      <c r="U91" s="35"/>
      <c r="W91" s="35"/>
      <c r="X91" s="35"/>
      <c r="Y91" s="35"/>
      <c r="Z91" s="35"/>
    </row>
  </sheetData>
  <mergeCells count="58">
    <mergeCell ref="AA73:AA74"/>
    <mergeCell ref="B4:D4"/>
    <mergeCell ref="H4:J4"/>
    <mergeCell ref="B72:AA72"/>
    <mergeCell ref="B73:B74"/>
    <mergeCell ref="C73:D73"/>
    <mergeCell ref="E73:F73"/>
    <mergeCell ref="G73:H73"/>
    <mergeCell ref="I73:J73"/>
    <mergeCell ref="K73:L73"/>
    <mergeCell ref="M73:N73"/>
    <mergeCell ref="O73:P73"/>
    <mergeCell ref="Q73:R73"/>
    <mergeCell ref="S73:T73"/>
    <mergeCell ref="U73:V73"/>
    <mergeCell ref="W73:X73"/>
    <mergeCell ref="Y73:Z73"/>
    <mergeCell ref="K12:K13"/>
    <mergeCell ref="L12:L13"/>
    <mergeCell ref="B11:L11"/>
    <mergeCell ref="C39:D39"/>
    <mergeCell ref="E39:F39"/>
    <mergeCell ref="G39:H39"/>
    <mergeCell ref="I39:J39"/>
    <mergeCell ref="K39:L39"/>
    <mergeCell ref="B15:B19"/>
    <mergeCell ref="B20:B21"/>
    <mergeCell ref="B22:B26"/>
    <mergeCell ref="B27:B29"/>
    <mergeCell ref="B30:B34"/>
    <mergeCell ref="D12:D13"/>
    <mergeCell ref="C12:C13"/>
    <mergeCell ref="B12:B13"/>
    <mergeCell ref="Y39:Z39"/>
    <mergeCell ref="B39:B40"/>
    <mergeCell ref="B38:AA38"/>
    <mergeCell ref="AA39:AA40"/>
    <mergeCell ref="M39:N39"/>
    <mergeCell ref="O39:P39"/>
    <mergeCell ref="Q39:R39"/>
    <mergeCell ref="S39:T39"/>
    <mergeCell ref="U39:V39"/>
    <mergeCell ref="W39:X39"/>
    <mergeCell ref="B55:AA55"/>
    <mergeCell ref="B56:B57"/>
    <mergeCell ref="C56:D56"/>
    <mergeCell ref="E56:F56"/>
    <mergeCell ref="G56:H56"/>
    <mergeCell ref="I56:J56"/>
    <mergeCell ref="K56:L56"/>
    <mergeCell ref="M56:N56"/>
    <mergeCell ref="AA56:AA57"/>
    <mergeCell ref="O56:P56"/>
    <mergeCell ref="Q56:R56"/>
    <mergeCell ref="S56:T56"/>
    <mergeCell ref="U56:V56"/>
    <mergeCell ref="W56:X56"/>
    <mergeCell ref="Y56:Z56"/>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topLeftCell="E1" zoomScale="90" zoomScaleNormal="90" workbookViewId="0">
      <pane ySplit="1" topLeftCell="A2" activePane="bottomLeft" state="frozen"/>
      <selection pane="bottomLeft" sqref="A1:O1"/>
    </sheetView>
  </sheetViews>
  <sheetFormatPr baseColWidth="10" defaultColWidth="11.42578125" defaultRowHeight="15" x14ac:dyDescent="0.25"/>
  <cols>
    <col min="1" max="1" width="17.7109375" style="1" customWidth="1"/>
    <col min="2" max="3" width="15.28515625" style="1" bestFit="1" customWidth="1"/>
    <col min="4" max="4" width="18.42578125" style="1" customWidth="1"/>
    <col min="5" max="7" width="11.42578125" style="1"/>
    <col min="8" max="8" width="15.5703125" style="1" customWidth="1"/>
    <col min="9" max="16384" width="11.42578125" style="1"/>
  </cols>
  <sheetData>
    <row r="1" spans="1:15" s="445" customFormat="1" ht="58.5" customHeight="1" x14ac:dyDescent="0.25">
      <c r="A1" s="447"/>
      <c r="B1" s="447"/>
      <c r="C1" s="447"/>
      <c r="D1" s="447"/>
      <c r="E1" s="447"/>
      <c r="F1" s="450" t="s">
        <v>7</v>
      </c>
      <c r="G1" s="451"/>
      <c r="H1" s="451"/>
      <c r="I1" s="447"/>
      <c r="J1" s="447"/>
      <c r="K1" s="447"/>
      <c r="L1" s="447"/>
      <c r="M1" s="447"/>
      <c r="N1" s="447"/>
      <c r="O1" s="447"/>
    </row>
    <row r="2" spans="1:15" ht="15.75" thickBot="1" x14ac:dyDescent="0.3"/>
    <row r="3" spans="1:15" ht="27" thickBot="1" x14ac:dyDescent="0.45">
      <c r="B3" s="670" t="s">
        <v>35</v>
      </c>
      <c r="C3" s="671"/>
      <c r="D3" s="672"/>
    </row>
    <row r="4" spans="1:15" x14ac:dyDescent="0.25">
      <c r="B4" s="34">
        <v>2019</v>
      </c>
      <c r="C4" s="34">
        <v>2020</v>
      </c>
      <c r="D4" s="34">
        <v>2021</v>
      </c>
    </row>
    <row r="5" spans="1:15" x14ac:dyDescent="0.25">
      <c r="B5" s="40">
        <f>Hipótesis!C24</f>
        <v>0.02</v>
      </c>
      <c r="C5" s="40">
        <f>Hipótesis!C25</f>
        <v>0.05</v>
      </c>
      <c r="D5" s="40">
        <f>Hipótesis!C26</f>
        <v>0.1</v>
      </c>
    </row>
    <row r="6" spans="1:15" x14ac:dyDescent="0.25">
      <c r="B6" s="33">
        <f>Hipótesis!D24</f>
        <v>121458400</v>
      </c>
      <c r="C6" s="33">
        <f>Hipótesis!D25</f>
        <v>303646000</v>
      </c>
      <c r="D6" s="33">
        <f>Hipótesis!D26</f>
        <v>607292000</v>
      </c>
    </row>
    <row r="7" spans="1:15" ht="15.75" thickBot="1" x14ac:dyDescent="0.3">
      <c r="B7" s="132"/>
      <c r="C7" s="132"/>
      <c r="D7" s="132"/>
    </row>
    <row r="8" spans="1:15" ht="27" thickBot="1" x14ac:dyDescent="0.45">
      <c r="B8" s="670" t="s">
        <v>151</v>
      </c>
      <c r="C8" s="671"/>
      <c r="D8" s="672"/>
    </row>
    <row r="9" spans="1:15" x14ac:dyDescent="0.25">
      <c r="B9" s="34">
        <v>2019</v>
      </c>
      <c r="C9" s="34">
        <v>2020</v>
      </c>
      <c r="D9" s="34">
        <v>2021</v>
      </c>
    </row>
    <row r="10" spans="1:15" x14ac:dyDescent="0.25">
      <c r="A10" s="239" t="s">
        <v>148</v>
      </c>
      <c r="B10" s="238">
        <f>'Costos fijos'!$G$5</f>
        <v>2343935.7000000002</v>
      </c>
      <c r="C10" s="238">
        <f>'Costos fijos'!$H$5</f>
        <v>2614351.9749999996</v>
      </c>
      <c r="D10" s="238">
        <f>'Costos fijos'!$I$5</f>
        <v>2971977.4835000001</v>
      </c>
    </row>
    <row r="11" spans="1:15" x14ac:dyDescent="0.25">
      <c r="A11" s="239" t="s">
        <v>149</v>
      </c>
      <c r="B11" s="238" t="e">
        <f>'Costos variables'!$H$6</f>
        <v>#REF!</v>
      </c>
      <c r="C11" s="238" t="e">
        <f>'Costos variables'!$I$6</f>
        <v>#REF!</v>
      </c>
      <c r="D11" s="238" t="e">
        <f>'Costos variables'!$J$6</f>
        <v>#REF!</v>
      </c>
    </row>
    <row r="12" spans="1:15" x14ac:dyDescent="0.25">
      <c r="A12" s="239" t="s">
        <v>150</v>
      </c>
      <c r="B12" s="238">
        <f>'Costos RRHH'!$H$6</f>
        <v>7341662.4450000012</v>
      </c>
      <c r="C12" s="238">
        <f>'Costos RRHH'!$I$6</f>
        <v>8446303.9266666677</v>
      </c>
      <c r="D12" s="238">
        <f>'Costos RRHH'!$J$6</f>
        <v>10262133.115833335</v>
      </c>
    </row>
    <row r="13" spans="1:15" x14ac:dyDescent="0.25">
      <c r="A13" s="239" t="s">
        <v>151</v>
      </c>
      <c r="B13" s="240" t="e">
        <f t="shared" ref="B13:D13" si="0">SUM(B9:B12)</f>
        <v>#REF!</v>
      </c>
      <c r="C13" s="240" t="e">
        <f t="shared" si="0"/>
        <v>#REF!</v>
      </c>
      <c r="D13" s="240" t="e">
        <f t="shared" si="0"/>
        <v>#REF!</v>
      </c>
    </row>
    <row r="14" spans="1:15" x14ac:dyDescent="0.25">
      <c r="A14" s="239" t="s">
        <v>152</v>
      </c>
      <c r="B14" s="238">
        <f>$B$6</f>
        <v>121458400</v>
      </c>
      <c r="C14" s="238">
        <f>$C$6</f>
        <v>303646000</v>
      </c>
      <c r="D14" s="238">
        <f>$D$6</f>
        <v>607292000</v>
      </c>
    </row>
  </sheetData>
  <mergeCells count="2">
    <mergeCell ref="B3:D3"/>
    <mergeCell ref="B8:D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Portada</vt:lpstr>
      <vt:lpstr>Indice</vt:lpstr>
      <vt:lpstr>Hipótesis</vt:lpstr>
      <vt:lpstr>Proy. ventas</vt:lpstr>
      <vt:lpstr>Mod. ingresos</vt:lpstr>
      <vt:lpstr>Costos fijos</vt:lpstr>
      <vt:lpstr>Costos variables</vt:lpstr>
      <vt:lpstr>Costos RRHH</vt:lpstr>
      <vt:lpstr>Mod. egresos</vt:lpstr>
      <vt:lpstr>Mod. inversión</vt:lpstr>
      <vt:lpstr>Amortizaciones</vt:lpstr>
      <vt:lpstr>Presupuesto financiero</vt:lpstr>
      <vt:lpstr>Matriz riesgo</vt:lpstr>
      <vt:lpstr>Escenario 1</vt:lpstr>
      <vt:lpstr>Escenario 2</vt:lpstr>
      <vt:lpstr>Escenario 3</vt:lpstr>
      <vt:lpstr>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cp:lastModifiedBy>
  <dcterms:created xsi:type="dcterms:W3CDTF">2019-08-27T12:23:32Z</dcterms:created>
  <dcterms:modified xsi:type="dcterms:W3CDTF">2020-09-02T18:54:55Z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