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codeName="ThisWorkbook" defaultThemeVersion="166925"/>
  <mc:AlternateContent xmlns:mc="http://schemas.openxmlformats.org/markup-compatibility/2006">
    <mc:Choice Requires="x15">
      <x15ac:absPath xmlns:x15ac="http://schemas.microsoft.com/office/spreadsheetml/2010/11/ac" url="C:\Users\Nico\Documents\UAI\TFI\CareMonitor\CareMonitor\SAP\"/>
    </mc:Choice>
  </mc:AlternateContent>
  <xr:revisionPtr revIDLastSave="0" documentId="13_ncr:1_{232C6487-FA56-4509-9E28-DD929CC88B8D}" xr6:coauthVersionLast="45" xr6:coauthVersionMax="45" xr10:uidLastSave="{00000000-0000-0000-0000-000000000000}"/>
  <bookViews>
    <workbookView xWindow="-120" yWindow="-120" windowWidth="29040" windowHeight="15840" tabRatio="986" activeTab="3" xr2:uid="{00000000-000D-0000-FFFF-FFFF00000000}"/>
  </bookViews>
  <sheets>
    <sheet name="Portada" sheetId="1" r:id="rId1"/>
    <sheet name="Indice" sheetId="2" r:id="rId2"/>
    <sheet name="Hipótesis" sheetId="3" r:id="rId3"/>
    <sheet name="Proy. ventas" sheetId="20" r:id="rId4"/>
    <sheet name="Anexo capacidad operativa" sheetId="34" r:id="rId5"/>
    <sheet name="Mod. ingresos" sheetId="26" r:id="rId6"/>
    <sheet name="Costos fijos" sheetId="22" r:id="rId7"/>
    <sheet name="Costos variables" sheetId="27" r:id="rId8"/>
    <sheet name="Costos RRHH" sheetId="25" r:id="rId9"/>
    <sheet name="Mod. egresos" sheetId="24" r:id="rId10"/>
    <sheet name="Mod. inversión" sheetId="23" r:id="rId11"/>
    <sheet name="Amortizaciones" sheetId="19" r:id="rId12"/>
    <sheet name="Presupuesto financiero" sheetId="21" r:id="rId13"/>
    <sheet name="Matriz riesgo" sheetId="18" r:id="rId14"/>
    <sheet name="Escenario 1" sheetId="29" r:id="rId15"/>
    <sheet name="Escenario 2" sheetId="37" r:id="rId16"/>
    <sheet name="Escenario 3" sheetId="38" r:id="rId17"/>
    <sheet name="Plan de contingencia" sheetId="30" r:id="rId18"/>
    <sheet name="Hoja auxiliar" sheetId="33" r:id="rId19"/>
  </sheets>
  <calcPr calcId="191029" calcOnSave="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N31" i="30" l="1"/>
  <c r="N30" i="30"/>
  <c r="E60" i="22" l="1"/>
  <c r="F60" i="22"/>
  <c r="G60" i="22"/>
  <c r="H60" i="22"/>
  <c r="I60" i="22"/>
  <c r="J60" i="22"/>
  <c r="K60" i="22"/>
  <c r="L60" i="22"/>
  <c r="M60" i="22"/>
  <c r="N60" i="22"/>
  <c r="O60" i="22"/>
  <c r="D60" i="22"/>
  <c r="E41" i="22"/>
  <c r="F41" i="22"/>
  <c r="G41" i="22"/>
  <c r="H41" i="22"/>
  <c r="I41" i="22"/>
  <c r="J41" i="22"/>
  <c r="K41" i="22"/>
  <c r="L41" i="22"/>
  <c r="M41" i="22"/>
  <c r="N41" i="22"/>
  <c r="O41" i="22"/>
  <c r="D41" i="22"/>
  <c r="E23" i="22"/>
  <c r="F23" i="22"/>
  <c r="G23" i="22"/>
  <c r="H23" i="22"/>
  <c r="I23" i="22"/>
  <c r="J23" i="22"/>
  <c r="K23" i="22"/>
  <c r="L23" i="22"/>
  <c r="M23" i="22"/>
  <c r="N23" i="22"/>
  <c r="O23" i="22"/>
  <c r="D23" i="22"/>
  <c r="AA73" i="20" l="1"/>
  <c r="AA74" i="20"/>
  <c r="AA75" i="20"/>
  <c r="AA76" i="20"/>
  <c r="AA77" i="20"/>
  <c r="AA78" i="20"/>
  <c r="AA79" i="20"/>
  <c r="AA80" i="20"/>
  <c r="AA81" i="20"/>
  <c r="AA82" i="20"/>
  <c r="AA83" i="20"/>
  <c r="AA84" i="20"/>
  <c r="AA72" i="20"/>
  <c r="Y73" i="20"/>
  <c r="Y74" i="20"/>
  <c r="Y75" i="20"/>
  <c r="Y76" i="20"/>
  <c r="Y77" i="20"/>
  <c r="Y78" i="20"/>
  <c r="Y79" i="20"/>
  <c r="Y80" i="20"/>
  <c r="Y81" i="20"/>
  <c r="Y82" i="20"/>
  <c r="Y83" i="20"/>
  <c r="Y84" i="20"/>
  <c r="Y72" i="20"/>
  <c r="W73" i="20"/>
  <c r="W74" i="20"/>
  <c r="W75" i="20"/>
  <c r="W76" i="20"/>
  <c r="W77" i="20"/>
  <c r="W78" i="20"/>
  <c r="W79" i="20"/>
  <c r="W80" i="20"/>
  <c r="W81" i="20"/>
  <c r="W82" i="20"/>
  <c r="W83" i="20"/>
  <c r="W84" i="20"/>
  <c r="W72" i="20"/>
  <c r="U73" i="20"/>
  <c r="U74" i="20"/>
  <c r="U75" i="20"/>
  <c r="U76" i="20"/>
  <c r="U77" i="20"/>
  <c r="U78" i="20"/>
  <c r="U79" i="20"/>
  <c r="U80" i="20"/>
  <c r="U81" i="20"/>
  <c r="U82" i="20"/>
  <c r="U83" i="20"/>
  <c r="U84" i="20"/>
  <c r="U72" i="20"/>
  <c r="S73" i="20"/>
  <c r="S74" i="20"/>
  <c r="S75" i="20"/>
  <c r="S76" i="20"/>
  <c r="S77" i="20"/>
  <c r="S78" i="20"/>
  <c r="S79" i="20"/>
  <c r="S80" i="20"/>
  <c r="S81" i="20"/>
  <c r="S82" i="20"/>
  <c r="S83" i="20"/>
  <c r="S84" i="20"/>
  <c r="S72" i="20"/>
  <c r="Q73" i="20"/>
  <c r="Q74" i="20"/>
  <c r="Q75" i="20"/>
  <c r="Q76" i="20"/>
  <c r="Q77" i="20"/>
  <c r="Q78" i="20"/>
  <c r="Q79" i="20"/>
  <c r="Q80" i="20"/>
  <c r="Q81" i="20"/>
  <c r="Q82" i="20"/>
  <c r="Q83" i="20"/>
  <c r="Q84" i="20"/>
  <c r="Q72" i="20"/>
  <c r="O73" i="20"/>
  <c r="O74" i="20"/>
  <c r="O75" i="20"/>
  <c r="O76" i="20"/>
  <c r="O77" i="20"/>
  <c r="O78" i="20"/>
  <c r="O79" i="20"/>
  <c r="O80" i="20"/>
  <c r="O81" i="20"/>
  <c r="O82" i="20"/>
  <c r="O83" i="20"/>
  <c r="O84" i="20"/>
  <c r="O72" i="20"/>
  <c r="M73" i="20"/>
  <c r="M74" i="20"/>
  <c r="M75" i="20"/>
  <c r="M76" i="20"/>
  <c r="M77" i="20"/>
  <c r="M78" i="20"/>
  <c r="M79" i="20"/>
  <c r="M80" i="20"/>
  <c r="M81" i="20"/>
  <c r="M82" i="20"/>
  <c r="M83" i="20"/>
  <c r="M84" i="20"/>
  <c r="M72" i="20"/>
  <c r="K73" i="20"/>
  <c r="K74" i="20"/>
  <c r="K75" i="20"/>
  <c r="K76" i="20"/>
  <c r="K77" i="20"/>
  <c r="K78" i="20"/>
  <c r="K79" i="20"/>
  <c r="K80" i="20"/>
  <c r="K81" i="20"/>
  <c r="K82" i="20"/>
  <c r="K83" i="20"/>
  <c r="K84" i="20"/>
  <c r="K72" i="20"/>
  <c r="I73" i="20"/>
  <c r="I74" i="20"/>
  <c r="I75" i="20"/>
  <c r="I76" i="20"/>
  <c r="I77" i="20"/>
  <c r="I78" i="20"/>
  <c r="I79" i="20"/>
  <c r="I80" i="20"/>
  <c r="I81" i="20"/>
  <c r="I82" i="20"/>
  <c r="I83" i="20"/>
  <c r="I84" i="20"/>
  <c r="I72" i="20"/>
  <c r="G73" i="20"/>
  <c r="G74" i="20"/>
  <c r="G75" i="20"/>
  <c r="G76" i="20"/>
  <c r="G77" i="20"/>
  <c r="G78" i="20"/>
  <c r="G79" i="20"/>
  <c r="G80" i="20"/>
  <c r="G81" i="20"/>
  <c r="G82" i="20"/>
  <c r="G83" i="20"/>
  <c r="G84" i="20"/>
  <c r="G72" i="20"/>
  <c r="E73" i="20"/>
  <c r="E74" i="20"/>
  <c r="E75" i="20"/>
  <c r="E76" i="20"/>
  <c r="E77" i="20"/>
  <c r="E78" i="20"/>
  <c r="E79" i="20"/>
  <c r="E80" i="20"/>
  <c r="E81" i="20"/>
  <c r="E82" i="20"/>
  <c r="E83" i="20"/>
  <c r="E72" i="20"/>
  <c r="AA135" i="20"/>
  <c r="AA136" i="20"/>
  <c r="AA137" i="20"/>
  <c r="AA138" i="20"/>
  <c r="AA139" i="20"/>
  <c r="AA140" i="20"/>
  <c r="AA141" i="20"/>
  <c r="AA142" i="20"/>
  <c r="AA143" i="20"/>
  <c r="AA144" i="20"/>
  <c r="AA145" i="20"/>
  <c r="AA146" i="20"/>
  <c r="AA134" i="20"/>
  <c r="Y135" i="20"/>
  <c r="Y136" i="20"/>
  <c r="Y137" i="20"/>
  <c r="Y138" i="20"/>
  <c r="Y139" i="20"/>
  <c r="Y140" i="20"/>
  <c r="Y141" i="20"/>
  <c r="Y142" i="20"/>
  <c r="Y143" i="20"/>
  <c r="Y144" i="20"/>
  <c r="Y145" i="20"/>
  <c r="Y146" i="20"/>
  <c r="Y134" i="20"/>
  <c r="W135" i="20"/>
  <c r="W136" i="20"/>
  <c r="W137" i="20"/>
  <c r="W138" i="20"/>
  <c r="W139" i="20"/>
  <c r="W140" i="20"/>
  <c r="W141" i="20"/>
  <c r="W142" i="20"/>
  <c r="W143" i="20"/>
  <c r="W144" i="20"/>
  <c r="W145" i="20"/>
  <c r="W146" i="20"/>
  <c r="W134" i="20"/>
  <c r="U135" i="20"/>
  <c r="U136" i="20"/>
  <c r="U137" i="20"/>
  <c r="U138" i="20"/>
  <c r="U139" i="20"/>
  <c r="U140" i="20"/>
  <c r="U141" i="20"/>
  <c r="U142" i="20"/>
  <c r="U143" i="20"/>
  <c r="U144" i="20"/>
  <c r="U145" i="20"/>
  <c r="U146" i="20"/>
  <c r="U134" i="20"/>
  <c r="S135" i="20"/>
  <c r="S136" i="20"/>
  <c r="S137" i="20"/>
  <c r="S138" i="20"/>
  <c r="S139" i="20"/>
  <c r="S140" i="20"/>
  <c r="S141" i="20"/>
  <c r="S142" i="20"/>
  <c r="S143" i="20"/>
  <c r="S144" i="20"/>
  <c r="S145" i="20"/>
  <c r="S146" i="20"/>
  <c r="S134" i="20"/>
  <c r="Q135" i="20"/>
  <c r="Q136" i="20"/>
  <c r="Q137" i="20"/>
  <c r="Q138" i="20"/>
  <c r="Q139" i="20"/>
  <c r="Q140" i="20"/>
  <c r="Q141" i="20"/>
  <c r="Q142" i="20"/>
  <c r="Q143" i="20"/>
  <c r="Q144" i="20"/>
  <c r="Q145" i="20"/>
  <c r="Q146" i="20"/>
  <c r="Q134" i="20"/>
  <c r="O135" i="20"/>
  <c r="O136" i="20"/>
  <c r="O137" i="20"/>
  <c r="O138" i="20"/>
  <c r="O139" i="20"/>
  <c r="O140" i="20"/>
  <c r="O141" i="20"/>
  <c r="O142" i="20"/>
  <c r="O143" i="20"/>
  <c r="O144" i="20"/>
  <c r="O145" i="20"/>
  <c r="O146" i="20"/>
  <c r="O134" i="20"/>
  <c r="M135" i="20"/>
  <c r="M136" i="20"/>
  <c r="M137" i="20"/>
  <c r="M138" i="20"/>
  <c r="M139" i="20"/>
  <c r="M140" i="20"/>
  <c r="M141" i="20"/>
  <c r="M142" i="20"/>
  <c r="M143" i="20"/>
  <c r="M144" i="20"/>
  <c r="M145" i="20"/>
  <c r="M146" i="20"/>
  <c r="M134" i="20"/>
  <c r="K135" i="20"/>
  <c r="K136" i="20"/>
  <c r="K137" i="20"/>
  <c r="K138" i="20"/>
  <c r="K139" i="20"/>
  <c r="K140" i="20"/>
  <c r="K141" i="20"/>
  <c r="K142" i="20"/>
  <c r="K143" i="20"/>
  <c r="K144" i="20"/>
  <c r="K145" i="20"/>
  <c r="K146" i="20"/>
  <c r="K134" i="20"/>
  <c r="I135" i="20"/>
  <c r="I136" i="20"/>
  <c r="I137" i="20"/>
  <c r="I138" i="20"/>
  <c r="I139" i="20"/>
  <c r="I140" i="20"/>
  <c r="I141" i="20"/>
  <c r="I142" i="20"/>
  <c r="I143" i="20"/>
  <c r="I144" i="20"/>
  <c r="I145" i="20"/>
  <c r="I146" i="20"/>
  <c r="I134" i="20"/>
  <c r="G135" i="20"/>
  <c r="G136" i="20"/>
  <c r="G137" i="20"/>
  <c r="G138" i="20"/>
  <c r="G139" i="20"/>
  <c r="G140" i="20"/>
  <c r="G141" i="20"/>
  <c r="G142" i="20"/>
  <c r="G143" i="20"/>
  <c r="G144" i="20"/>
  <c r="G145" i="20"/>
  <c r="G146" i="20"/>
  <c r="G134" i="20"/>
  <c r="E135" i="20"/>
  <c r="E136" i="20"/>
  <c r="E137" i="20"/>
  <c r="E138" i="20"/>
  <c r="E139" i="20"/>
  <c r="E140" i="20"/>
  <c r="E141" i="20"/>
  <c r="E142" i="20"/>
  <c r="E143" i="20"/>
  <c r="E144" i="20"/>
  <c r="E145" i="20"/>
  <c r="E146" i="20"/>
  <c r="E134" i="20"/>
  <c r="M5" i="21" l="1"/>
  <c r="L5" i="21"/>
  <c r="K5" i="21"/>
  <c r="K35" i="19"/>
  <c r="M32" i="19"/>
  <c r="L32" i="19"/>
  <c r="M31" i="19"/>
  <c r="M23" i="19"/>
  <c r="L23" i="19"/>
  <c r="K18" i="19"/>
  <c r="L16" i="19"/>
  <c r="K16" i="19"/>
  <c r="M15" i="19"/>
  <c r="L12" i="19"/>
  <c r="K12" i="19"/>
  <c r="L11" i="19"/>
  <c r="M11" i="19"/>
  <c r="K11" i="19"/>
  <c r="J38" i="19"/>
  <c r="J34" i="19"/>
  <c r="I37" i="19"/>
  <c r="M37" i="19" s="1"/>
  <c r="I33" i="19"/>
  <c r="M33" i="19" s="1"/>
  <c r="H32" i="19"/>
  <c r="H36" i="19"/>
  <c r="M36" i="19" s="1"/>
  <c r="I30" i="19"/>
  <c r="M30" i="19" s="1"/>
  <c r="J27" i="19"/>
  <c r="J25" i="19"/>
  <c r="I24" i="19"/>
  <c r="M24" i="19" s="1"/>
  <c r="H23" i="19"/>
  <c r="I19" i="19"/>
  <c r="M19" i="19" s="1"/>
  <c r="I17" i="19"/>
  <c r="M17" i="19" s="1"/>
  <c r="I15" i="19"/>
  <c r="G35" i="19"/>
  <c r="L35" i="19" s="1"/>
  <c r="G12" i="19"/>
  <c r="M12" i="19" s="1"/>
  <c r="G14" i="19"/>
  <c r="L14" i="19" s="1"/>
  <c r="G16" i="19"/>
  <c r="M16" i="19" s="1"/>
  <c r="G18" i="19"/>
  <c r="L18" i="19" s="1"/>
  <c r="G20" i="19"/>
  <c r="K20" i="19" s="1"/>
  <c r="G22" i="19"/>
  <c r="L22" i="19" s="1"/>
  <c r="G26" i="19"/>
  <c r="M26" i="19" s="1"/>
  <c r="G28" i="19"/>
  <c r="L28" i="19" s="1"/>
  <c r="G29" i="19"/>
  <c r="L29" i="19" s="1"/>
  <c r="G31" i="19"/>
  <c r="K31" i="19" s="1"/>
  <c r="E19" i="19"/>
  <c r="E21" i="19"/>
  <c r="J21" i="19" s="1"/>
  <c r="E17" i="19"/>
  <c r="E15" i="19"/>
  <c r="E13" i="19"/>
  <c r="I13" i="19" s="1"/>
  <c r="M13" i="19" s="1"/>
  <c r="G11" i="19"/>
  <c r="D5" i="19"/>
  <c r="C5" i="19"/>
  <c r="B5" i="19"/>
  <c r="E80" i="23"/>
  <c r="E79" i="23"/>
  <c r="E78" i="23"/>
  <c r="E77" i="23"/>
  <c r="E76" i="23"/>
  <c r="E75" i="23"/>
  <c r="E74" i="23"/>
  <c r="E73" i="23"/>
  <c r="E72" i="23"/>
  <c r="E71" i="23"/>
  <c r="E70" i="23"/>
  <c r="E69" i="23"/>
  <c r="E68" i="23"/>
  <c r="E62" i="23"/>
  <c r="E61" i="23"/>
  <c r="E60" i="23"/>
  <c r="E59" i="23"/>
  <c r="E58" i="23"/>
  <c r="E57" i="23"/>
  <c r="E56" i="23"/>
  <c r="E55" i="23"/>
  <c r="E54" i="23"/>
  <c r="E53" i="23"/>
  <c r="E52" i="23"/>
  <c r="E51" i="23"/>
  <c r="E50" i="23"/>
  <c r="E44" i="23"/>
  <c r="E43" i="23"/>
  <c r="E42" i="23"/>
  <c r="E41" i="23"/>
  <c r="E40" i="23"/>
  <c r="E39" i="23"/>
  <c r="E38" i="23"/>
  <c r="E37" i="23"/>
  <c r="E36" i="23"/>
  <c r="E35" i="23"/>
  <c r="E34" i="23"/>
  <c r="E33" i="23"/>
  <c r="E32" i="23"/>
  <c r="E16" i="23"/>
  <c r="E17" i="23"/>
  <c r="E18" i="23"/>
  <c r="E19" i="23"/>
  <c r="E20" i="23"/>
  <c r="E21" i="23"/>
  <c r="E22" i="23"/>
  <c r="E23" i="23"/>
  <c r="E24" i="23"/>
  <c r="E25" i="23"/>
  <c r="E26" i="23"/>
  <c r="E27" i="23"/>
  <c r="L31" i="19" l="1"/>
  <c r="K26" i="19"/>
  <c r="L26" i="19"/>
  <c r="K28" i="19"/>
  <c r="M35" i="19"/>
  <c r="M18" i="19"/>
  <c r="M28" i="19"/>
  <c r="L36" i="19"/>
  <c r="K14" i="19"/>
  <c r="K39" i="19" s="1"/>
  <c r="I5" i="19" s="1"/>
  <c r="K16" i="21" s="1"/>
  <c r="K29" i="19"/>
  <c r="M14" i="19"/>
  <c r="K22" i="19"/>
  <c r="M29" i="19"/>
  <c r="M22" i="19"/>
  <c r="G8" i="29"/>
  <c r="G8" i="38"/>
  <c r="J7" i="30" s="1"/>
  <c r="G9" i="37"/>
  <c r="H8" i="38"/>
  <c r="K7" i="30" s="1"/>
  <c r="H9" i="37"/>
  <c r="H8" i="29"/>
  <c r="F8" i="29"/>
  <c r="F9" i="37"/>
  <c r="F8" i="38"/>
  <c r="I7" i="30" s="1"/>
  <c r="M20" i="19"/>
  <c r="L20" i="19"/>
  <c r="E81" i="23"/>
  <c r="J5" i="23" s="1"/>
  <c r="M20" i="21" s="1"/>
  <c r="E63" i="23"/>
  <c r="I5" i="23" s="1"/>
  <c r="L20" i="21" s="1"/>
  <c r="E45" i="23"/>
  <c r="H5" i="23" s="1"/>
  <c r="K20" i="21" s="1"/>
  <c r="F17" i="37" l="1"/>
  <c r="F16" i="29"/>
  <c r="F16" i="38"/>
  <c r="I15" i="30" s="1"/>
  <c r="L39" i="19"/>
  <c r="J5" i="19" s="1"/>
  <c r="L16" i="21" s="1"/>
  <c r="M39" i="19"/>
  <c r="K5" i="19" s="1"/>
  <c r="M16" i="21" s="1"/>
  <c r="H17" i="37" s="1"/>
  <c r="H20" i="29"/>
  <c r="H32" i="29" s="1"/>
  <c r="H21" i="37"/>
  <c r="H33" i="37" s="1"/>
  <c r="H20" i="38"/>
  <c r="F21" i="37"/>
  <c r="F33" i="37" s="1"/>
  <c r="F20" i="29"/>
  <c r="F32" i="29" s="1"/>
  <c r="F20" i="38"/>
  <c r="H16" i="38"/>
  <c r="K15" i="30" s="1"/>
  <c r="G20" i="38"/>
  <c r="G20" i="29"/>
  <c r="G32" i="29" s="1"/>
  <c r="G21" i="37"/>
  <c r="G33" i="37" s="1"/>
  <c r="F21" i="21"/>
  <c r="E21" i="21"/>
  <c r="G21" i="21"/>
  <c r="E15" i="23"/>
  <c r="D5" i="23"/>
  <c r="C5" i="23"/>
  <c r="B5" i="23"/>
  <c r="D5" i="24"/>
  <c r="C5" i="24"/>
  <c r="B5" i="24"/>
  <c r="G16" i="29" l="1"/>
  <c r="G16" i="38"/>
  <c r="J15" i="30" s="1"/>
  <c r="G17" i="37"/>
  <c r="H16" i="29"/>
  <c r="F32" i="38"/>
  <c r="I19" i="30"/>
  <c r="I31" i="30" s="1"/>
  <c r="H32" i="38"/>
  <c r="K19" i="30"/>
  <c r="K31" i="30" s="1"/>
  <c r="G32" i="38"/>
  <c r="J19" i="30"/>
  <c r="J31" i="30" s="1"/>
  <c r="E51" i="25" l="1"/>
  <c r="G51" i="25"/>
  <c r="I51" i="25"/>
  <c r="K51" i="25"/>
  <c r="M51" i="25"/>
  <c r="O51" i="25"/>
  <c r="Q51" i="25"/>
  <c r="S51" i="25"/>
  <c r="U51" i="25"/>
  <c r="W51" i="25"/>
  <c r="Y51" i="25"/>
  <c r="E69" i="25"/>
  <c r="G69" i="25"/>
  <c r="I69" i="25"/>
  <c r="K69" i="25"/>
  <c r="M69" i="25"/>
  <c r="O69" i="25"/>
  <c r="Q69" i="25"/>
  <c r="S69" i="25"/>
  <c r="U69" i="25"/>
  <c r="W69" i="25"/>
  <c r="Y69" i="25"/>
  <c r="C69" i="25"/>
  <c r="E87" i="25"/>
  <c r="G87" i="25"/>
  <c r="I87" i="25"/>
  <c r="K87" i="25"/>
  <c r="M87" i="25"/>
  <c r="O87" i="25"/>
  <c r="Q87" i="25"/>
  <c r="S87" i="25"/>
  <c r="U87" i="25"/>
  <c r="W87" i="25"/>
  <c r="Y87" i="25"/>
  <c r="C87" i="25"/>
  <c r="D68" i="25"/>
  <c r="F25" i="25" l="1"/>
  <c r="G25" i="25"/>
  <c r="H25" i="25"/>
  <c r="J25" i="25"/>
  <c r="E25" i="25"/>
  <c r="F24" i="25"/>
  <c r="G24" i="25"/>
  <c r="H24" i="25"/>
  <c r="J24" i="25"/>
  <c r="E24" i="25"/>
  <c r="C51" i="25"/>
  <c r="F34" i="25"/>
  <c r="G34" i="25"/>
  <c r="H34" i="25"/>
  <c r="J34" i="25"/>
  <c r="F33" i="25"/>
  <c r="G33" i="25"/>
  <c r="H33" i="25"/>
  <c r="J33" i="25"/>
  <c r="F32" i="25"/>
  <c r="G32" i="25"/>
  <c r="H32" i="25"/>
  <c r="J32" i="25"/>
  <c r="F31" i="25"/>
  <c r="G31" i="25"/>
  <c r="H31" i="25"/>
  <c r="J31" i="25"/>
  <c r="F30" i="25"/>
  <c r="G30" i="25"/>
  <c r="H30" i="25"/>
  <c r="J30" i="25"/>
  <c r="F29" i="25"/>
  <c r="G29" i="25"/>
  <c r="H29" i="25"/>
  <c r="J29" i="25"/>
  <c r="F28" i="25"/>
  <c r="G28" i="25"/>
  <c r="H28" i="25"/>
  <c r="J28" i="25"/>
  <c r="F27" i="25"/>
  <c r="G27" i="25"/>
  <c r="H27" i="25"/>
  <c r="J27" i="25"/>
  <c r="F26" i="25"/>
  <c r="G26" i="25"/>
  <c r="H26" i="25"/>
  <c r="J26" i="25"/>
  <c r="F23" i="25"/>
  <c r="G23" i="25"/>
  <c r="H23" i="25"/>
  <c r="J23" i="25"/>
  <c r="F22" i="25"/>
  <c r="G22" i="25"/>
  <c r="H22" i="25"/>
  <c r="J22" i="25"/>
  <c r="F21" i="25"/>
  <c r="G21" i="25"/>
  <c r="H21" i="25"/>
  <c r="J21" i="25"/>
  <c r="F20" i="25"/>
  <c r="F68" i="25" s="1"/>
  <c r="G20" i="25"/>
  <c r="H20" i="25"/>
  <c r="H68" i="25" s="1"/>
  <c r="J20" i="25"/>
  <c r="J68" i="25" s="1"/>
  <c r="F19" i="25"/>
  <c r="G19" i="25"/>
  <c r="H19" i="25"/>
  <c r="J19" i="25"/>
  <c r="F18" i="25"/>
  <c r="G18" i="25"/>
  <c r="H18" i="25"/>
  <c r="J18" i="25"/>
  <c r="J17" i="25"/>
  <c r="F17" i="25"/>
  <c r="G17" i="25"/>
  <c r="H17" i="25"/>
  <c r="E34" i="25"/>
  <c r="E33" i="25"/>
  <c r="E32" i="25"/>
  <c r="E31" i="25"/>
  <c r="E30" i="25"/>
  <c r="E29" i="25"/>
  <c r="E28" i="25"/>
  <c r="E27" i="25"/>
  <c r="E26" i="25"/>
  <c r="E23" i="25"/>
  <c r="F16" i="25"/>
  <c r="G16" i="25"/>
  <c r="H16" i="25"/>
  <c r="J16" i="25"/>
  <c r="E22" i="25"/>
  <c r="E21" i="25"/>
  <c r="E20" i="25"/>
  <c r="E19" i="25"/>
  <c r="E18" i="25"/>
  <c r="E17" i="25"/>
  <c r="E16" i="25"/>
  <c r="F15" i="25"/>
  <c r="G15" i="25"/>
  <c r="H15" i="25"/>
  <c r="J15" i="25"/>
  <c r="E15" i="25"/>
  <c r="F14" i="25"/>
  <c r="G14" i="25"/>
  <c r="H14" i="25"/>
  <c r="J14" i="25"/>
  <c r="E14" i="25"/>
  <c r="D6" i="25"/>
  <c r="C6" i="25"/>
  <c r="B6" i="25"/>
  <c r="G113" i="27"/>
  <c r="Z78" i="27"/>
  <c r="Z79" i="27"/>
  <c r="Z80" i="27"/>
  <c r="AA80" i="27" s="1"/>
  <c r="Z81" i="27"/>
  <c r="AA81" i="27" s="1"/>
  <c r="Z82" i="27"/>
  <c r="AA82" i="27" s="1"/>
  <c r="Z83" i="27"/>
  <c r="AA83" i="27" s="1"/>
  <c r="Z84" i="27"/>
  <c r="AA84" i="27" s="1"/>
  <c r="Z85" i="27"/>
  <c r="AA85" i="27" s="1"/>
  <c r="Z86" i="27"/>
  <c r="AA86" i="27" s="1"/>
  <c r="Z87" i="27"/>
  <c r="AA87" i="27" s="1"/>
  <c r="Z88" i="27"/>
  <c r="AA88" i="27" s="1"/>
  <c r="Z77" i="27"/>
  <c r="X78" i="27"/>
  <c r="X79" i="27"/>
  <c r="X80" i="27"/>
  <c r="Y80" i="27" s="1"/>
  <c r="X81" i="27"/>
  <c r="Y81" i="27" s="1"/>
  <c r="X82" i="27"/>
  <c r="Y82" i="27" s="1"/>
  <c r="X83" i="27"/>
  <c r="X84" i="27"/>
  <c r="Y84" i="27" s="1"/>
  <c r="X85" i="27"/>
  <c r="Y85" i="27" s="1"/>
  <c r="X86" i="27"/>
  <c r="Y86" i="27" s="1"/>
  <c r="X87" i="27"/>
  <c r="Y87" i="27" s="1"/>
  <c r="X88" i="27"/>
  <c r="Y88" i="27" s="1"/>
  <c r="X77" i="27"/>
  <c r="V78" i="27"/>
  <c r="V79" i="27"/>
  <c r="V80" i="27"/>
  <c r="W80" i="27" s="1"/>
  <c r="V81" i="27"/>
  <c r="W81" i="27" s="1"/>
  <c r="V82" i="27"/>
  <c r="W82" i="27" s="1"/>
  <c r="V83" i="27"/>
  <c r="W83" i="27" s="1"/>
  <c r="V84" i="27"/>
  <c r="W84" i="27" s="1"/>
  <c r="V85" i="27"/>
  <c r="W85" i="27" s="1"/>
  <c r="V86" i="27"/>
  <c r="W86" i="27" s="1"/>
  <c r="V87" i="27"/>
  <c r="W87" i="27" s="1"/>
  <c r="V88" i="27"/>
  <c r="V77" i="27"/>
  <c r="T78" i="27"/>
  <c r="T79" i="27"/>
  <c r="T80" i="27"/>
  <c r="U80" i="27" s="1"/>
  <c r="T81" i="27"/>
  <c r="U81" i="27" s="1"/>
  <c r="T82" i="27"/>
  <c r="U82" i="27" s="1"/>
  <c r="T83" i="27"/>
  <c r="U83" i="27" s="1"/>
  <c r="T84" i="27"/>
  <c r="U84" i="27" s="1"/>
  <c r="T85" i="27"/>
  <c r="U85" i="27" s="1"/>
  <c r="T86" i="27"/>
  <c r="U86" i="27" s="1"/>
  <c r="T87" i="27"/>
  <c r="U87" i="27" s="1"/>
  <c r="T88" i="27"/>
  <c r="U88" i="27" s="1"/>
  <c r="T77" i="27"/>
  <c r="R78" i="27"/>
  <c r="R79" i="27"/>
  <c r="R80" i="27"/>
  <c r="S80" i="27" s="1"/>
  <c r="R81" i="27"/>
  <c r="S81" i="27" s="1"/>
  <c r="R82" i="27"/>
  <c r="R83" i="27"/>
  <c r="S83" i="27" s="1"/>
  <c r="R84" i="27"/>
  <c r="R85" i="27"/>
  <c r="S85" i="27" s="1"/>
  <c r="R86" i="27"/>
  <c r="S86" i="27" s="1"/>
  <c r="R87" i="27"/>
  <c r="S87" i="27" s="1"/>
  <c r="R88" i="27"/>
  <c r="R77" i="27"/>
  <c r="P78" i="27"/>
  <c r="P79" i="27"/>
  <c r="P80" i="27"/>
  <c r="Q80" i="27" s="1"/>
  <c r="P81" i="27"/>
  <c r="Q81" i="27" s="1"/>
  <c r="P82" i="27"/>
  <c r="Q82" i="27" s="1"/>
  <c r="P83" i="27"/>
  <c r="Q83" i="27" s="1"/>
  <c r="P84" i="27"/>
  <c r="Q84" i="27" s="1"/>
  <c r="P85" i="27"/>
  <c r="Q85" i="27" s="1"/>
  <c r="P86" i="27"/>
  <c r="Q86" i="27" s="1"/>
  <c r="P87" i="27"/>
  <c r="Q87" i="27" s="1"/>
  <c r="P88" i="27"/>
  <c r="Q88" i="27" s="1"/>
  <c r="P77" i="27"/>
  <c r="N78" i="27"/>
  <c r="N79" i="27"/>
  <c r="N80" i="27"/>
  <c r="O80" i="27" s="1"/>
  <c r="N81" i="27"/>
  <c r="O81" i="27" s="1"/>
  <c r="N82" i="27"/>
  <c r="O82" i="27" s="1"/>
  <c r="N83" i="27"/>
  <c r="O83" i="27" s="1"/>
  <c r="N84" i="27"/>
  <c r="N85" i="27"/>
  <c r="O85" i="27" s="1"/>
  <c r="N86" i="27"/>
  <c r="O86" i="27" s="1"/>
  <c r="N87" i="27"/>
  <c r="O87" i="27" s="1"/>
  <c r="N88" i="27"/>
  <c r="N77" i="27"/>
  <c r="L78" i="27"/>
  <c r="L79" i="27"/>
  <c r="L80" i="27"/>
  <c r="M80" i="27" s="1"/>
  <c r="L81" i="27"/>
  <c r="M81" i="27" s="1"/>
  <c r="L82" i="27"/>
  <c r="M82" i="27" s="1"/>
  <c r="L83" i="27"/>
  <c r="M83" i="27" s="1"/>
  <c r="L84" i="27"/>
  <c r="L85" i="27"/>
  <c r="M85" i="27" s="1"/>
  <c r="L86" i="27"/>
  <c r="M86" i="27" s="1"/>
  <c r="L87" i="27"/>
  <c r="M87" i="27" s="1"/>
  <c r="L88" i="27"/>
  <c r="L77" i="27"/>
  <c r="J78" i="27"/>
  <c r="J79" i="27"/>
  <c r="J80" i="27"/>
  <c r="K80" i="27" s="1"/>
  <c r="J81" i="27"/>
  <c r="K81" i="27" s="1"/>
  <c r="J82" i="27"/>
  <c r="K82" i="27" s="1"/>
  <c r="J83" i="27"/>
  <c r="K83" i="27" s="1"/>
  <c r="J84" i="27"/>
  <c r="K84" i="27" s="1"/>
  <c r="J85" i="27"/>
  <c r="K85" i="27" s="1"/>
  <c r="J86" i="27"/>
  <c r="K86" i="27" s="1"/>
  <c r="J87" i="27"/>
  <c r="K87" i="27" s="1"/>
  <c r="J88" i="27"/>
  <c r="J77" i="27"/>
  <c r="H78" i="27"/>
  <c r="H79" i="27"/>
  <c r="H80" i="27"/>
  <c r="I80" i="27" s="1"/>
  <c r="H81" i="27"/>
  <c r="I81" i="27" s="1"/>
  <c r="H82" i="27"/>
  <c r="I82" i="27" s="1"/>
  <c r="H83" i="27"/>
  <c r="I83" i="27" s="1"/>
  <c r="H84" i="27"/>
  <c r="I84" i="27" s="1"/>
  <c r="H85" i="27"/>
  <c r="I85" i="27" s="1"/>
  <c r="H86" i="27"/>
  <c r="I86" i="27" s="1"/>
  <c r="H87" i="27"/>
  <c r="I87" i="27" s="1"/>
  <c r="H88" i="27"/>
  <c r="I88" i="27" s="1"/>
  <c r="H77" i="27"/>
  <c r="F88" i="27"/>
  <c r="G88" i="27" s="1"/>
  <c r="F78" i="27"/>
  <c r="F79" i="27"/>
  <c r="F80" i="27"/>
  <c r="G80" i="27" s="1"/>
  <c r="F81" i="27"/>
  <c r="G81" i="27" s="1"/>
  <c r="F82" i="27"/>
  <c r="G82" i="27" s="1"/>
  <c r="F83" i="27"/>
  <c r="G83" i="27" s="1"/>
  <c r="F84" i="27"/>
  <c r="G84" i="27" s="1"/>
  <c r="F85" i="27"/>
  <c r="G85" i="27" s="1"/>
  <c r="F86" i="27"/>
  <c r="G86" i="27" s="1"/>
  <c r="F87" i="27"/>
  <c r="G89" i="27"/>
  <c r="F77" i="27"/>
  <c r="D78" i="27"/>
  <c r="D79" i="27"/>
  <c r="D80" i="27"/>
  <c r="E80" i="27" s="1"/>
  <c r="D81" i="27"/>
  <c r="E81" i="27" s="1"/>
  <c r="D82" i="27"/>
  <c r="E82" i="27" s="1"/>
  <c r="D83" i="27"/>
  <c r="E83" i="27" s="1"/>
  <c r="D84" i="27"/>
  <c r="E84" i="27" s="1"/>
  <c r="D85" i="27"/>
  <c r="E85" i="27" s="1"/>
  <c r="D86" i="27"/>
  <c r="E86" i="27" s="1"/>
  <c r="D87" i="27"/>
  <c r="E87" i="27" s="1"/>
  <c r="D88" i="27"/>
  <c r="E88" i="27" s="1"/>
  <c r="D77" i="27"/>
  <c r="AA116" i="27"/>
  <c r="Y116" i="27"/>
  <c r="W116" i="27"/>
  <c r="U116" i="27"/>
  <c r="S116" i="27"/>
  <c r="Q116" i="27"/>
  <c r="O116" i="27"/>
  <c r="M116" i="27"/>
  <c r="K116" i="27"/>
  <c r="I116" i="27"/>
  <c r="G116" i="27"/>
  <c r="E116" i="27"/>
  <c r="AA115" i="27"/>
  <c r="Y115" i="27"/>
  <c r="W115" i="27"/>
  <c r="U115" i="27"/>
  <c r="S115" i="27"/>
  <c r="Q115" i="27"/>
  <c r="O115" i="27"/>
  <c r="M115" i="27"/>
  <c r="K115" i="27"/>
  <c r="I115" i="27"/>
  <c r="G115" i="27"/>
  <c r="E115" i="27"/>
  <c r="AA114" i="27"/>
  <c r="Y114" i="27"/>
  <c r="W114" i="27"/>
  <c r="U114" i="27"/>
  <c r="S114" i="27"/>
  <c r="Q114" i="27"/>
  <c r="O114" i="27"/>
  <c r="M114" i="27"/>
  <c r="K114" i="27"/>
  <c r="I114" i="27"/>
  <c r="G114" i="27"/>
  <c r="E114" i="27"/>
  <c r="AA113" i="27"/>
  <c r="Y113" i="27"/>
  <c r="W113" i="27"/>
  <c r="U113" i="27"/>
  <c r="S113" i="27"/>
  <c r="Q113" i="27"/>
  <c r="O113" i="27"/>
  <c r="M113" i="27"/>
  <c r="K113" i="27"/>
  <c r="I113" i="27"/>
  <c r="E113" i="27"/>
  <c r="AA92" i="27"/>
  <c r="Y92" i="27"/>
  <c r="W92" i="27"/>
  <c r="U92" i="27"/>
  <c r="S92" i="27"/>
  <c r="Q92" i="27"/>
  <c r="O92" i="27"/>
  <c r="M92" i="27"/>
  <c r="K92" i="27"/>
  <c r="I92" i="27"/>
  <c r="G92" i="27"/>
  <c r="E92" i="27"/>
  <c r="AA91" i="27"/>
  <c r="Y91" i="27"/>
  <c r="W91" i="27"/>
  <c r="U91" i="27"/>
  <c r="S91" i="27"/>
  <c r="Q91" i="27"/>
  <c r="O91" i="27"/>
  <c r="M91" i="27"/>
  <c r="K91" i="27"/>
  <c r="I91" i="27"/>
  <c r="G91" i="27"/>
  <c r="E91" i="27"/>
  <c r="AA90" i="27"/>
  <c r="Y90" i="27"/>
  <c r="W90" i="27"/>
  <c r="U90" i="27"/>
  <c r="S90" i="27"/>
  <c r="Q90" i="27"/>
  <c r="O90" i="27"/>
  <c r="M90" i="27"/>
  <c r="K90" i="27"/>
  <c r="I90" i="27"/>
  <c r="G90" i="27"/>
  <c r="E90" i="27"/>
  <c r="AA89" i="27"/>
  <c r="Y89" i="27"/>
  <c r="W89" i="27"/>
  <c r="U89" i="27"/>
  <c r="S89" i="27"/>
  <c r="Q89" i="27"/>
  <c r="O89" i="27"/>
  <c r="M89" i="27"/>
  <c r="K89" i="27"/>
  <c r="I89" i="27"/>
  <c r="E89" i="27"/>
  <c r="W88" i="27"/>
  <c r="S88" i="27"/>
  <c r="O88" i="27"/>
  <c r="M88" i="27"/>
  <c r="K88" i="27"/>
  <c r="G87" i="27"/>
  <c r="S84" i="27"/>
  <c r="O84" i="27"/>
  <c r="M84" i="27"/>
  <c r="Y83" i="27"/>
  <c r="S82" i="27"/>
  <c r="K65" i="27"/>
  <c r="K66" i="27"/>
  <c r="K67" i="27"/>
  <c r="K68" i="27"/>
  <c r="G65" i="27"/>
  <c r="G66" i="27"/>
  <c r="G67" i="27"/>
  <c r="G68" i="27"/>
  <c r="AA65" i="27"/>
  <c r="AA66" i="27"/>
  <c r="AA67" i="27"/>
  <c r="AA68" i="27"/>
  <c r="Y65" i="27"/>
  <c r="Y66" i="27"/>
  <c r="Y67" i="27"/>
  <c r="Y68" i="27"/>
  <c r="W65" i="27"/>
  <c r="W66" i="27"/>
  <c r="W67" i="27"/>
  <c r="W68" i="27"/>
  <c r="U65" i="27"/>
  <c r="U66" i="27"/>
  <c r="U67" i="27"/>
  <c r="U68" i="27"/>
  <c r="S65" i="27"/>
  <c r="S66" i="27"/>
  <c r="S67" i="27"/>
  <c r="S68" i="27"/>
  <c r="Q65" i="27"/>
  <c r="Q66" i="27"/>
  <c r="Q67" i="27"/>
  <c r="Q68" i="27"/>
  <c r="O65" i="27"/>
  <c r="O66" i="27"/>
  <c r="O67" i="27"/>
  <c r="O68" i="27"/>
  <c r="M65" i="27"/>
  <c r="M66" i="27"/>
  <c r="M67" i="27"/>
  <c r="M68" i="27"/>
  <c r="I65" i="27"/>
  <c r="I66" i="27"/>
  <c r="I67" i="27"/>
  <c r="I68" i="27"/>
  <c r="E66" i="27"/>
  <c r="E67" i="27"/>
  <c r="E68" i="27"/>
  <c r="D6" i="27"/>
  <c r="C6" i="27"/>
  <c r="B6" i="27"/>
  <c r="E65" i="27"/>
  <c r="E45" i="27"/>
  <c r="E44" i="27"/>
  <c r="E43" i="27"/>
  <c r="E42" i="27"/>
  <c r="E41" i="27"/>
  <c r="E40" i="27"/>
  <c r="E39" i="27"/>
  <c r="E38" i="27"/>
  <c r="E37" i="27"/>
  <c r="E25" i="27"/>
  <c r="E26" i="27"/>
  <c r="E27" i="27"/>
  <c r="E28" i="27"/>
  <c r="E29" i="27"/>
  <c r="E30" i="27"/>
  <c r="E31" i="27"/>
  <c r="E32" i="27"/>
  <c r="E24" i="27"/>
  <c r="E14" i="27"/>
  <c r="E15" i="27"/>
  <c r="E16" i="27"/>
  <c r="E17" i="27"/>
  <c r="E18" i="27"/>
  <c r="E19" i="27"/>
  <c r="E13" i="27"/>
  <c r="Q94" i="27" l="1"/>
  <c r="S94" i="27"/>
  <c r="E94" i="27"/>
  <c r="G94" i="27"/>
  <c r="I94" i="27"/>
  <c r="K94" i="27"/>
  <c r="M94" i="27"/>
  <c r="O94" i="27"/>
  <c r="U94" i="27"/>
  <c r="W94" i="27"/>
  <c r="Y94" i="27"/>
  <c r="AA94" i="27"/>
  <c r="K24" i="25"/>
  <c r="L24" i="25" s="1"/>
  <c r="K25" i="25"/>
  <c r="L25" i="25" s="1"/>
  <c r="K16" i="25"/>
  <c r="L16" i="25" s="1"/>
  <c r="K15" i="25"/>
  <c r="L15" i="25" s="1"/>
  <c r="K17" i="25"/>
  <c r="L17" i="25" s="1"/>
  <c r="K18" i="25"/>
  <c r="L18" i="25" s="1"/>
  <c r="K20" i="25"/>
  <c r="L20" i="25" s="1"/>
  <c r="K21" i="25"/>
  <c r="L21" i="25" s="1"/>
  <c r="K22" i="25"/>
  <c r="L22" i="25" s="1"/>
  <c r="K27" i="25"/>
  <c r="L27" i="25" s="1"/>
  <c r="K28" i="25"/>
  <c r="K30" i="25"/>
  <c r="L30" i="25" s="1"/>
  <c r="K31" i="25"/>
  <c r="L31" i="25" s="1"/>
  <c r="K32" i="25"/>
  <c r="L32" i="25" s="1"/>
  <c r="K34" i="25"/>
  <c r="K14" i="25"/>
  <c r="L14" i="25" s="1"/>
  <c r="K19" i="25"/>
  <c r="L19" i="25" s="1"/>
  <c r="K23" i="25"/>
  <c r="L23" i="25" s="1"/>
  <c r="K29" i="25"/>
  <c r="L29" i="25" s="1"/>
  <c r="K33" i="25"/>
  <c r="L33" i="25" s="1"/>
  <c r="K26" i="25"/>
  <c r="L26" i="25" s="1"/>
  <c r="AB114" i="27"/>
  <c r="AB115" i="27"/>
  <c r="AB113" i="27"/>
  <c r="AB116" i="27"/>
  <c r="AB84" i="27"/>
  <c r="AB90" i="27"/>
  <c r="AB91" i="27"/>
  <c r="AB92" i="27"/>
  <c r="AB85" i="27"/>
  <c r="AB89" i="27"/>
  <c r="AB81" i="27"/>
  <c r="AB82" i="27"/>
  <c r="AB83" i="27"/>
  <c r="AB86" i="27"/>
  <c r="AB87" i="27"/>
  <c r="AB88" i="27"/>
  <c r="AB80" i="27"/>
  <c r="AB65" i="27"/>
  <c r="AB68" i="27"/>
  <c r="AB66" i="27"/>
  <c r="AB67" i="27"/>
  <c r="E33" i="27"/>
  <c r="D12" i="23" s="1"/>
  <c r="E12" i="23" s="1"/>
  <c r="E46" i="27"/>
  <c r="D13" i="23" s="1"/>
  <c r="E20" i="27"/>
  <c r="D11" i="23" s="1"/>
  <c r="E11" i="23" s="1"/>
  <c r="J56" i="22"/>
  <c r="D56" i="22"/>
  <c r="E37" i="22"/>
  <c r="F37" i="22"/>
  <c r="G37" i="22"/>
  <c r="H37" i="22"/>
  <c r="I37" i="22"/>
  <c r="J37" i="22" s="1"/>
  <c r="D37" i="22"/>
  <c r="O59" i="22"/>
  <c r="N59" i="22"/>
  <c r="M59" i="22"/>
  <c r="L59" i="22"/>
  <c r="K59" i="22"/>
  <c r="J59" i="22"/>
  <c r="I59" i="22"/>
  <c r="H59" i="22"/>
  <c r="G59" i="22"/>
  <c r="F59" i="22"/>
  <c r="E59" i="22"/>
  <c r="D59" i="22"/>
  <c r="P58" i="22"/>
  <c r="P57" i="22"/>
  <c r="P55" i="22"/>
  <c r="O54" i="22"/>
  <c r="N54" i="22"/>
  <c r="M54" i="22"/>
  <c r="L54" i="22"/>
  <c r="K54" i="22"/>
  <c r="J54" i="22"/>
  <c r="I54" i="22"/>
  <c r="H54" i="22"/>
  <c r="G54" i="22"/>
  <c r="F54" i="22"/>
  <c r="E54" i="22"/>
  <c r="D54" i="22"/>
  <c r="P53" i="22"/>
  <c r="O52" i="22"/>
  <c r="N52" i="22"/>
  <c r="M52" i="22"/>
  <c r="L52" i="22"/>
  <c r="K52" i="22"/>
  <c r="J52" i="22"/>
  <c r="J61" i="22" s="1"/>
  <c r="I52" i="22"/>
  <c r="H52" i="22"/>
  <c r="G52" i="22"/>
  <c r="F52" i="22"/>
  <c r="F61" i="22" s="1"/>
  <c r="E52" i="22"/>
  <c r="D52" i="22"/>
  <c r="P51" i="22"/>
  <c r="P50" i="22"/>
  <c r="P49" i="22"/>
  <c r="P48" i="22"/>
  <c r="O40" i="22"/>
  <c r="N40" i="22"/>
  <c r="M40" i="22"/>
  <c r="L40" i="22"/>
  <c r="K40" i="22"/>
  <c r="J40" i="22"/>
  <c r="I40" i="22"/>
  <c r="H40" i="22"/>
  <c r="G40" i="22"/>
  <c r="F40" i="22"/>
  <c r="E40" i="22"/>
  <c r="D40" i="22"/>
  <c r="P39" i="22"/>
  <c r="P38" i="22"/>
  <c r="P36" i="22"/>
  <c r="O35" i="22"/>
  <c r="N35" i="22"/>
  <c r="M35" i="22"/>
  <c r="L35" i="22"/>
  <c r="K35" i="22"/>
  <c r="J35" i="22"/>
  <c r="I35" i="22"/>
  <c r="H35" i="22"/>
  <c r="G35" i="22"/>
  <c r="F35" i="22"/>
  <c r="E35" i="22"/>
  <c r="D35" i="22"/>
  <c r="P34" i="22"/>
  <c r="O33" i="22"/>
  <c r="N33" i="22"/>
  <c r="M33" i="22"/>
  <c r="L33" i="22"/>
  <c r="K33" i="22"/>
  <c r="J33" i="22"/>
  <c r="I33" i="22"/>
  <c r="H33" i="22"/>
  <c r="G33" i="22"/>
  <c r="F33" i="22"/>
  <c r="E33" i="22"/>
  <c r="D33" i="22"/>
  <c r="P32" i="22"/>
  <c r="P31" i="22"/>
  <c r="P30" i="22"/>
  <c r="P29" i="22"/>
  <c r="E22" i="22"/>
  <c r="F22" i="22"/>
  <c r="G22" i="22"/>
  <c r="H22" i="22"/>
  <c r="I22" i="22"/>
  <c r="J22" i="22"/>
  <c r="K22" i="22"/>
  <c r="L22" i="22"/>
  <c r="M22" i="22"/>
  <c r="N22" i="22"/>
  <c r="O22" i="22"/>
  <c r="D22" i="22"/>
  <c r="P19" i="22"/>
  <c r="P20" i="22"/>
  <c r="P21" i="22"/>
  <c r="E17" i="22"/>
  <c r="F17" i="22"/>
  <c r="G17" i="22"/>
  <c r="H17" i="22"/>
  <c r="I17" i="22"/>
  <c r="J17" i="22"/>
  <c r="K17" i="22"/>
  <c r="L17" i="22"/>
  <c r="M17" i="22"/>
  <c r="M24" i="22" s="1"/>
  <c r="N17" i="22"/>
  <c r="O17" i="22"/>
  <c r="D17" i="22"/>
  <c r="P16" i="22"/>
  <c r="E15" i="22"/>
  <c r="F15" i="22"/>
  <c r="G15" i="22"/>
  <c r="H15" i="22"/>
  <c r="I15" i="22"/>
  <c r="I24" i="22" s="1"/>
  <c r="J15" i="22"/>
  <c r="K15" i="22"/>
  <c r="L15" i="22"/>
  <c r="M15" i="22"/>
  <c r="N15" i="22"/>
  <c r="O15" i="22"/>
  <c r="D15" i="22"/>
  <c r="P13" i="22"/>
  <c r="P14" i="22"/>
  <c r="P12" i="22"/>
  <c r="P18" i="22"/>
  <c r="P11" i="22"/>
  <c r="E5" i="22"/>
  <c r="D5" i="22"/>
  <c r="C5" i="22"/>
  <c r="AB94" i="27" l="1"/>
  <c r="E14" i="23"/>
  <c r="E13" i="23"/>
  <c r="P37" i="22"/>
  <c r="G24" i="22"/>
  <c r="L24" i="22"/>
  <c r="E28" i="23"/>
  <c r="G5" i="23" s="1"/>
  <c r="J20" i="21" s="1"/>
  <c r="R82" i="25"/>
  <c r="J82" i="25"/>
  <c r="T82" i="25"/>
  <c r="D82" i="25"/>
  <c r="X82" i="25"/>
  <c r="P82" i="25"/>
  <c r="H82" i="25"/>
  <c r="Z82" i="25"/>
  <c r="L82" i="25"/>
  <c r="V82" i="25"/>
  <c r="N82" i="25"/>
  <c r="F82" i="25"/>
  <c r="Z80" i="25"/>
  <c r="X80" i="25"/>
  <c r="P80" i="25"/>
  <c r="H80" i="25"/>
  <c r="J80" i="25"/>
  <c r="V80" i="25"/>
  <c r="N80" i="25"/>
  <c r="F80" i="25"/>
  <c r="R80" i="25"/>
  <c r="T80" i="25"/>
  <c r="L80" i="25"/>
  <c r="D80" i="25"/>
  <c r="Z83" i="25"/>
  <c r="T83" i="25"/>
  <c r="L83" i="25"/>
  <c r="D83" i="25"/>
  <c r="V83" i="25"/>
  <c r="R83" i="25"/>
  <c r="J83" i="25"/>
  <c r="N83" i="25"/>
  <c r="X83" i="25"/>
  <c r="P83" i="25"/>
  <c r="H83" i="25"/>
  <c r="F83" i="25"/>
  <c r="Z81" i="25"/>
  <c r="R81" i="25"/>
  <c r="J81" i="25"/>
  <c r="D81" i="25"/>
  <c r="X81" i="25"/>
  <c r="P81" i="25"/>
  <c r="H81" i="25"/>
  <c r="T81" i="25"/>
  <c r="V81" i="25"/>
  <c r="N81" i="25"/>
  <c r="F81" i="25"/>
  <c r="L81" i="25"/>
  <c r="V84" i="25"/>
  <c r="N84" i="25"/>
  <c r="F84" i="25"/>
  <c r="P84" i="25"/>
  <c r="T84" i="25"/>
  <c r="L84" i="25"/>
  <c r="D84" i="25"/>
  <c r="H84" i="25"/>
  <c r="Z84" i="25"/>
  <c r="R84" i="25"/>
  <c r="J84" i="25"/>
  <c r="X84" i="25"/>
  <c r="X75" i="25"/>
  <c r="P75" i="25"/>
  <c r="H75" i="25"/>
  <c r="D75" i="25"/>
  <c r="Z75" i="25"/>
  <c r="J75" i="25"/>
  <c r="V75" i="25"/>
  <c r="N75" i="25"/>
  <c r="F75" i="25"/>
  <c r="T75" i="25"/>
  <c r="R75" i="25"/>
  <c r="L75" i="25"/>
  <c r="X79" i="25"/>
  <c r="P79" i="25"/>
  <c r="H79" i="25"/>
  <c r="V79" i="25"/>
  <c r="N79" i="25"/>
  <c r="F79" i="25"/>
  <c r="Z79" i="25"/>
  <c r="J79" i="25"/>
  <c r="T79" i="25"/>
  <c r="L79" i="25"/>
  <c r="D79" i="25"/>
  <c r="R79" i="25"/>
  <c r="X76" i="25"/>
  <c r="P76" i="25"/>
  <c r="H76" i="25"/>
  <c r="D76" i="25"/>
  <c r="R76" i="25"/>
  <c r="V76" i="25"/>
  <c r="N76" i="25"/>
  <c r="F76" i="25"/>
  <c r="L76" i="25"/>
  <c r="Z76" i="25"/>
  <c r="J76" i="25"/>
  <c r="T76" i="25"/>
  <c r="X77" i="25"/>
  <c r="P77" i="25"/>
  <c r="H77" i="25"/>
  <c r="T77" i="25"/>
  <c r="J77" i="25"/>
  <c r="V77" i="25"/>
  <c r="N77" i="25"/>
  <c r="F77" i="25"/>
  <c r="D77" i="25"/>
  <c r="R77" i="25"/>
  <c r="L77" i="25"/>
  <c r="Z77" i="25"/>
  <c r="X86" i="25"/>
  <c r="P86" i="25"/>
  <c r="F86" i="25"/>
  <c r="R86" i="25"/>
  <c r="V86" i="25"/>
  <c r="L86" i="25"/>
  <c r="D86" i="25"/>
  <c r="N86" i="25"/>
  <c r="H86" i="25"/>
  <c r="Z86" i="25"/>
  <c r="T86" i="25"/>
  <c r="J86" i="25"/>
  <c r="H85" i="25"/>
  <c r="X85" i="25"/>
  <c r="P85" i="25"/>
  <c r="N68" i="25"/>
  <c r="R68" i="25"/>
  <c r="L68" i="25"/>
  <c r="J85" i="25"/>
  <c r="F85" i="25"/>
  <c r="V85" i="25"/>
  <c r="L85" i="25"/>
  <c r="X68" i="25"/>
  <c r="P68" i="25"/>
  <c r="V68" i="25"/>
  <c r="R85" i="25"/>
  <c r="Z68" i="25"/>
  <c r="N85" i="25"/>
  <c r="D85" i="25"/>
  <c r="T85" i="25"/>
  <c r="Z85" i="25"/>
  <c r="T68" i="25"/>
  <c r="C55" i="27"/>
  <c r="C103" i="27"/>
  <c r="C79" i="27"/>
  <c r="C54" i="27"/>
  <c r="C102" i="27"/>
  <c r="C78" i="27"/>
  <c r="C53" i="27"/>
  <c r="C101" i="27"/>
  <c r="C77" i="27"/>
  <c r="Z62" i="25"/>
  <c r="R62" i="25"/>
  <c r="D62" i="25"/>
  <c r="H62" i="25"/>
  <c r="L62" i="25"/>
  <c r="J62" i="25"/>
  <c r="F62" i="25"/>
  <c r="X62" i="25"/>
  <c r="P62" i="25"/>
  <c r="V62" i="25"/>
  <c r="N62" i="25"/>
  <c r="T62" i="25"/>
  <c r="J59" i="25"/>
  <c r="F59" i="25"/>
  <c r="Z59" i="25"/>
  <c r="R59" i="25"/>
  <c r="D59" i="25"/>
  <c r="X59" i="25"/>
  <c r="P59" i="25"/>
  <c r="T59" i="25"/>
  <c r="H59" i="25"/>
  <c r="V59" i="25"/>
  <c r="N59" i="25"/>
  <c r="L59" i="25"/>
  <c r="V64" i="25"/>
  <c r="N64" i="25"/>
  <c r="F64" i="25"/>
  <c r="P64" i="25"/>
  <c r="H64" i="25"/>
  <c r="T64" i="25"/>
  <c r="L64" i="25"/>
  <c r="X64" i="25"/>
  <c r="Z64" i="25"/>
  <c r="R64" i="25"/>
  <c r="D64" i="25"/>
  <c r="J64" i="25"/>
  <c r="X60" i="25"/>
  <c r="P60" i="25"/>
  <c r="J60" i="25"/>
  <c r="D60" i="25"/>
  <c r="H60" i="25"/>
  <c r="V60" i="25"/>
  <c r="N60" i="25"/>
  <c r="F60" i="25"/>
  <c r="Z60" i="25"/>
  <c r="T60" i="25"/>
  <c r="L60" i="25"/>
  <c r="R60" i="25"/>
  <c r="J67" i="25"/>
  <c r="F67" i="25"/>
  <c r="X67" i="25"/>
  <c r="P67" i="25"/>
  <c r="Z67" i="25"/>
  <c r="V67" i="25"/>
  <c r="N67" i="25"/>
  <c r="D67" i="25"/>
  <c r="H67" i="25"/>
  <c r="T67" i="25"/>
  <c r="L67" i="25"/>
  <c r="R67" i="25"/>
  <c r="T58" i="25"/>
  <c r="L58" i="25"/>
  <c r="V58" i="25"/>
  <c r="J58" i="25"/>
  <c r="F58" i="25"/>
  <c r="Z58" i="25"/>
  <c r="R58" i="25"/>
  <c r="H58" i="25"/>
  <c r="N58" i="25"/>
  <c r="X58" i="25"/>
  <c r="P58" i="25"/>
  <c r="D58" i="25"/>
  <c r="H65" i="25"/>
  <c r="T65" i="25"/>
  <c r="L65" i="25"/>
  <c r="N65" i="25"/>
  <c r="Z65" i="25"/>
  <c r="R65" i="25"/>
  <c r="D65" i="25"/>
  <c r="J65" i="25"/>
  <c r="F65" i="25"/>
  <c r="X65" i="25"/>
  <c r="P65" i="25"/>
  <c r="V65" i="25"/>
  <c r="J63" i="25"/>
  <c r="F63" i="25"/>
  <c r="X63" i="25"/>
  <c r="P63" i="25"/>
  <c r="D63" i="25"/>
  <c r="V63" i="25"/>
  <c r="N63" i="25"/>
  <c r="R63" i="25"/>
  <c r="H63" i="25"/>
  <c r="T63" i="25"/>
  <c r="L63" i="25"/>
  <c r="Z63" i="25"/>
  <c r="Z66" i="25"/>
  <c r="R66" i="25"/>
  <c r="D66" i="25"/>
  <c r="T66" i="25"/>
  <c r="J66" i="25"/>
  <c r="F66" i="25"/>
  <c r="X66" i="25"/>
  <c r="P66" i="25"/>
  <c r="H66" i="25"/>
  <c r="L66" i="25"/>
  <c r="V66" i="25"/>
  <c r="N66" i="25"/>
  <c r="N49" i="25"/>
  <c r="X49" i="25"/>
  <c r="H49" i="25"/>
  <c r="T49" i="25"/>
  <c r="P49" i="25"/>
  <c r="L49" i="25"/>
  <c r="D49" i="25"/>
  <c r="Z49" i="25"/>
  <c r="R49" i="25"/>
  <c r="V49" i="25"/>
  <c r="F49" i="25"/>
  <c r="J49" i="25"/>
  <c r="T47" i="25"/>
  <c r="P47" i="25"/>
  <c r="L47" i="25"/>
  <c r="D47" i="25"/>
  <c r="N47" i="25"/>
  <c r="X47" i="25"/>
  <c r="H47" i="25"/>
  <c r="V47" i="25"/>
  <c r="Z47" i="25"/>
  <c r="R47" i="25"/>
  <c r="J47" i="25"/>
  <c r="F47" i="25"/>
  <c r="Z43" i="25"/>
  <c r="R43" i="25"/>
  <c r="J43" i="25"/>
  <c r="V43" i="25"/>
  <c r="F43" i="25"/>
  <c r="T43" i="25"/>
  <c r="L43" i="25"/>
  <c r="N43" i="25"/>
  <c r="X43" i="25"/>
  <c r="P43" i="25"/>
  <c r="H43" i="25"/>
  <c r="D43" i="25"/>
  <c r="Z48" i="25"/>
  <c r="R48" i="25"/>
  <c r="J48" i="25"/>
  <c r="V48" i="25"/>
  <c r="F48" i="25"/>
  <c r="T48" i="25"/>
  <c r="L48" i="25"/>
  <c r="D48" i="25"/>
  <c r="N48" i="25"/>
  <c r="X48" i="25"/>
  <c r="P48" i="25"/>
  <c r="H48" i="25"/>
  <c r="V46" i="25"/>
  <c r="F46" i="25"/>
  <c r="Z46" i="25"/>
  <c r="R46" i="25"/>
  <c r="J46" i="25"/>
  <c r="N46" i="25"/>
  <c r="X46" i="25"/>
  <c r="P46" i="25"/>
  <c r="T46" i="25"/>
  <c r="L46" i="25"/>
  <c r="D46" i="25"/>
  <c r="H46" i="25"/>
  <c r="V50" i="25"/>
  <c r="F50" i="25"/>
  <c r="Z50" i="25"/>
  <c r="R50" i="25"/>
  <c r="J50" i="25"/>
  <c r="N50" i="25"/>
  <c r="X50" i="25"/>
  <c r="H50" i="25"/>
  <c r="T50" i="25"/>
  <c r="L50" i="25"/>
  <c r="D50" i="25"/>
  <c r="P50" i="25"/>
  <c r="V41" i="25"/>
  <c r="F41" i="25"/>
  <c r="Z41" i="25"/>
  <c r="R41" i="25"/>
  <c r="J41" i="25"/>
  <c r="N41" i="25"/>
  <c r="X41" i="25"/>
  <c r="P41" i="25"/>
  <c r="H41" i="25"/>
  <c r="T41" i="25"/>
  <c r="L41" i="25"/>
  <c r="D41" i="25"/>
  <c r="N45" i="25"/>
  <c r="X45" i="25"/>
  <c r="H45" i="25"/>
  <c r="T45" i="25"/>
  <c r="P45" i="25"/>
  <c r="L45" i="25"/>
  <c r="D45" i="25"/>
  <c r="R45" i="25"/>
  <c r="J45" i="25"/>
  <c r="V45" i="25"/>
  <c r="F45" i="25"/>
  <c r="Z45" i="25"/>
  <c r="T42" i="25"/>
  <c r="P42" i="25"/>
  <c r="L42" i="25"/>
  <c r="D42" i="25"/>
  <c r="N42" i="25"/>
  <c r="X42" i="25"/>
  <c r="H42" i="25"/>
  <c r="V42" i="25"/>
  <c r="F42" i="25"/>
  <c r="Z42" i="25"/>
  <c r="R42" i="25"/>
  <c r="J42" i="25"/>
  <c r="L34" i="25"/>
  <c r="L28" i="25"/>
  <c r="P22" i="22"/>
  <c r="E24" i="22"/>
  <c r="H61" i="22"/>
  <c r="F42" i="22"/>
  <c r="P23" i="22"/>
  <c r="O42" i="22"/>
  <c r="P40" i="22"/>
  <c r="P41" i="22"/>
  <c r="N42" i="22"/>
  <c r="O24" i="22"/>
  <c r="P17" i="22"/>
  <c r="E61" i="22"/>
  <c r="I61" i="22"/>
  <c r="J42" i="22"/>
  <c r="N24" i="22"/>
  <c r="G42" i="22"/>
  <c r="K42" i="22"/>
  <c r="P54" i="22"/>
  <c r="P59" i="22"/>
  <c r="P60" i="22"/>
  <c r="J24" i="22"/>
  <c r="D42" i="22"/>
  <c r="L42" i="22"/>
  <c r="D24" i="22"/>
  <c r="F24" i="22"/>
  <c r="K24" i="22"/>
  <c r="E42" i="22"/>
  <c r="I42" i="22"/>
  <c r="M42" i="22"/>
  <c r="P35" i="22"/>
  <c r="G61" i="22"/>
  <c r="K61" i="22"/>
  <c r="O61" i="22"/>
  <c r="L61" i="22"/>
  <c r="P56" i="22"/>
  <c r="M61" i="22"/>
  <c r="N61" i="22"/>
  <c r="D61" i="22"/>
  <c r="H42" i="22"/>
  <c r="P52" i="22"/>
  <c r="H24" i="22"/>
  <c r="P33" i="22"/>
  <c r="P15" i="22"/>
  <c r="Q93" i="27" l="1"/>
  <c r="O93" i="27"/>
  <c r="M93" i="27"/>
  <c r="AA80" i="25"/>
  <c r="E20" i="38"/>
  <c r="E21" i="37"/>
  <c r="E33" i="37" s="1"/>
  <c r="E34" i="37" s="1"/>
  <c r="E20" i="29"/>
  <c r="E32" i="29" s="1"/>
  <c r="E33" i="29" s="1"/>
  <c r="D21" i="21"/>
  <c r="D22" i="21" s="1"/>
  <c r="N51" i="25"/>
  <c r="T51" i="25"/>
  <c r="F51" i="25"/>
  <c r="AA76" i="25"/>
  <c r="AA81" i="25"/>
  <c r="AA83" i="25"/>
  <c r="J51" i="25"/>
  <c r="V51" i="25"/>
  <c r="AA86" i="25"/>
  <c r="AA79" i="25"/>
  <c r="AA84" i="25"/>
  <c r="X78" i="25"/>
  <c r="X87" i="25" s="1"/>
  <c r="P78" i="25"/>
  <c r="P87" i="25" s="1"/>
  <c r="H78" i="25"/>
  <c r="H87" i="25" s="1"/>
  <c r="T61" i="25"/>
  <c r="T69" i="25" s="1"/>
  <c r="Z78" i="25"/>
  <c r="Z87" i="25" s="1"/>
  <c r="J78" i="25"/>
  <c r="J87" i="25" s="1"/>
  <c r="V61" i="25"/>
  <c r="V69" i="25" s="1"/>
  <c r="V78" i="25"/>
  <c r="V87" i="25" s="1"/>
  <c r="N78" i="25"/>
  <c r="N87" i="25" s="1"/>
  <c r="F78" i="25"/>
  <c r="Z61" i="25"/>
  <c r="R61" i="25"/>
  <c r="R69" i="25" s="1"/>
  <c r="D78" i="25"/>
  <c r="D87" i="25" s="1"/>
  <c r="N61" i="25"/>
  <c r="N69" i="25" s="1"/>
  <c r="R78" i="25"/>
  <c r="T78" i="25"/>
  <c r="T87" i="25" s="1"/>
  <c r="L78" i="25"/>
  <c r="L87" i="25" s="1"/>
  <c r="P61" i="25"/>
  <c r="P69" i="25" s="1"/>
  <c r="L61" i="25"/>
  <c r="L69" i="25" s="1"/>
  <c r="Z69" i="25"/>
  <c r="AA75" i="25"/>
  <c r="AA82" i="25"/>
  <c r="H51" i="25"/>
  <c r="AA41" i="25"/>
  <c r="D51" i="25"/>
  <c r="P51" i="25"/>
  <c r="R51" i="25"/>
  <c r="AA48" i="25"/>
  <c r="AA58" i="25"/>
  <c r="AA67" i="25"/>
  <c r="AA68" i="25"/>
  <c r="L51" i="25"/>
  <c r="AA85" i="25"/>
  <c r="AA77" i="25"/>
  <c r="F87" i="25"/>
  <c r="R87" i="25"/>
  <c r="M79" i="27"/>
  <c r="U79" i="27"/>
  <c r="I79" i="27"/>
  <c r="Y79" i="27"/>
  <c r="E79" i="27"/>
  <c r="S79" i="27"/>
  <c r="Q79" i="27"/>
  <c r="AA79" i="27"/>
  <c r="W79" i="27"/>
  <c r="G79" i="27"/>
  <c r="K79" i="27"/>
  <c r="O79" i="27"/>
  <c r="W78" i="27"/>
  <c r="Q78" i="27"/>
  <c r="O78" i="27"/>
  <c r="U78" i="27"/>
  <c r="E78" i="27"/>
  <c r="S78" i="27"/>
  <c r="AA78" i="27"/>
  <c r="Y78" i="27"/>
  <c r="M78" i="27"/>
  <c r="I78" i="27"/>
  <c r="G78" i="27"/>
  <c r="K78" i="27"/>
  <c r="W77" i="27"/>
  <c r="W95" i="27" s="1"/>
  <c r="U77" i="27"/>
  <c r="Q77" i="27"/>
  <c r="Y77" i="27"/>
  <c r="E77" i="27"/>
  <c r="I77" i="27"/>
  <c r="AA77" i="27"/>
  <c r="O77" i="27"/>
  <c r="M77" i="27"/>
  <c r="G77" i="27"/>
  <c r="G95" i="27" s="1"/>
  <c r="K77" i="27"/>
  <c r="S77" i="27"/>
  <c r="AA42" i="25"/>
  <c r="AA60" i="25"/>
  <c r="AA66" i="25"/>
  <c r="AA65" i="25"/>
  <c r="AA64" i="25"/>
  <c r="AA62" i="25"/>
  <c r="H61" i="25"/>
  <c r="H69" i="25" s="1"/>
  <c r="J61" i="25"/>
  <c r="J69" i="25" s="1"/>
  <c r="F61" i="25"/>
  <c r="F69" i="25" s="1"/>
  <c r="D61" i="25"/>
  <c r="D69" i="25" s="1"/>
  <c r="X61" i="25"/>
  <c r="X69" i="25" s="1"/>
  <c r="AA63" i="25"/>
  <c r="AA59" i="25"/>
  <c r="AA49" i="25"/>
  <c r="Z44" i="25"/>
  <c r="Z51" i="25" s="1"/>
  <c r="X44" i="25"/>
  <c r="X51" i="25" s="1"/>
  <c r="AA50" i="25"/>
  <c r="AA46" i="25"/>
  <c r="AA43" i="25"/>
  <c r="AA45" i="25"/>
  <c r="AA47" i="25"/>
  <c r="P24" i="22"/>
  <c r="G5" i="22" s="1"/>
  <c r="K10" i="21" s="1"/>
  <c r="P42" i="22"/>
  <c r="H5" i="22" s="1"/>
  <c r="L10" i="21" s="1"/>
  <c r="P61" i="22"/>
  <c r="I5" i="22" s="1"/>
  <c r="M10" i="21" s="1"/>
  <c r="AB93" i="27" l="1"/>
  <c r="F10" i="38"/>
  <c r="F11" i="37"/>
  <c r="F25" i="37" s="1"/>
  <c r="F10" i="29"/>
  <c r="F24" i="29" s="1"/>
  <c r="O95" i="27"/>
  <c r="H10" i="38"/>
  <c r="H10" i="29"/>
  <c r="H24" i="29" s="1"/>
  <c r="H11" i="37"/>
  <c r="H25" i="37" s="1"/>
  <c r="M95" i="27"/>
  <c r="I95" i="27"/>
  <c r="Y95" i="27"/>
  <c r="G10" i="29"/>
  <c r="G24" i="29" s="1"/>
  <c r="G10" i="38"/>
  <c r="G11" i="37"/>
  <c r="G25" i="37" s="1"/>
  <c r="E32" i="38"/>
  <c r="E33" i="38" s="1"/>
  <c r="H19" i="30"/>
  <c r="H31" i="30" s="1"/>
  <c r="H32" i="30" s="1"/>
  <c r="AA87" i="25"/>
  <c r="J6" i="25" s="1"/>
  <c r="AA78" i="25"/>
  <c r="G13" i="21"/>
  <c r="D10" i="24"/>
  <c r="F13" i="21"/>
  <c r="C10" i="24"/>
  <c r="E13" i="21"/>
  <c r="B10" i="24"/>
  <c r="S95" i="27"/>
  <c r="Q95" i="27"/>
  <c r="AA95" i="27"/>
  <c r="AB79" i="27"/>
  <c r="K95" i="27"/>
  <c r="U95" i="27"/>
  <c r="AB78" i="27"/>
  <c r="E95" i="27"/>
  <c r="AB77" i="27"/>
  <c r="AA69" i="25"/>
  <c r="I6" i="25" s="1"/>
  <c r="AA61" i="25"/>
  <c r="AA44" i="25"/>
  <c r="D12" i="3"/>
  <c r="D25" i="3" s="1"/>
  <c r="G24" i="38" l="1"/>
  <c r="J9" i="30"/>
  <c r="J23" i="30" s="1"/>
  <c r="H24" i="38"/>
  <c r="K9" i="30"/>
  <c r="K23" i="30" s="1"/>
  <c r="F24" i="38"/>
  <c r="I9" i="30"/>
  <c r="I23" i="30" s="1"/>
  <c r="G9" i="29"/>
  <c r="G23" i="29" s="1"/>
  <c r="G28" i="29" s="1"/>
  <c r="L6" i="21"/>
  <c r="C6" i="19"/>
  <c r="C6" i="23"/>
  <c r="C6" i="24"/>
  <c r="C14" i="24" s="1"/>
  <c r="C7" i="25"/>
  <c r="C7" i="27"/>
  <c r="D6" i="22"/>
  <c r="M12" i="21"/>
  <c r="D12" i="24"/>
  <c r="L12" i="21"/>
  <c r="C12" i="24"/>
  <c r="AB95" i="27"/>
  <c r="I6" i="27" s="1"/>
  <c r="L11" i="21" s="1"/>
  <c r="D24" i="3"/>
  <c r="D26" i="3"/>
  <c r="H9" i="29" s="1"/>
  <c r="H23" i="29" s="1"/>
  <c r="H28" i="29" s="1"/>
  <c r="Y66" i="34"/>
  <c r="Y65" i="34"/>
  <c r="Y64" i="34"/>
  <c r="W66" i="34"/>
  <c r="W65" i="34"/>
  <c r="W64" i="34"/>
  <c r="U66" i="34"/>
  <c r="U65" i="34"/>
  <c r="U64" i="34"/>
  <c r="S66" i="34"/>
  <c r="S65" i="34"/>
  <c r="S64" i="34"/>
  <c r="Q66" i="34"/>
  <c r="Q65" i="34"/>
  <c r="Q64" i="34"/>
  <c r="O66" i="34"/>
  <c r="O65" i="34"/>
  <c r="O64" i="34"/>
  <c r="M66" i="34"/>
  <c r="M65" i="34"/>
  <c r="M64" i="34"/>
  <c r="K66" i="34"/>
  <c r="K65" i="34"/>
  <c r="K64" i="34"/>
  <c r="I66" i="34"/>
  <c r="I65" i="34"/>
  <c r="I64" i="34"/>
  <c r="G66" i="34"/>
  <c r="G65" i="34"/>
  <c r="G64" i="34"/>
  <c r="E66" i="34"/>
  <c r="E65" i="34"/>
  <c r="E64" i="34"/>
  <c r="C66" i="34"/>
  <c r="C65" i="34"/>
  <c r="F14" i="21" l="1"/>
  <c r="G11" i="38"/>
  <c r="G11" i="29"/>
  <c r="G25" i="29" s="1"/>
  <c r="G12" i="37"/>
  <c r="G26" i="37" s="1"/>
  <c r="F9" i="29"/>
  <c r="F23" i="29" s="1"/>
  <c r="F28" i="29" s="1"/>
  <c r="K6" i="21"/>
  <c r="B6" i="19"/>
  <c r="B6" i="24"/>
  <c r="B14" i="24" s="1"/>
  <c r="B6" i="23"/>
  <c r="B7" i="25"/>
  <c r="B7" i="27"/>
  <c r="C6" i="22"/>
  <c r="F12" i="21"/>
  <c r="F17" i="21" s="1"/>
  <c r="G9" i="38"/>
  <c r="G10" i="37"/>
  <c r="G24" i="37" s="1"/>
  <c r="G29" i="37" s="1"/>
  <c r="H13" i="37"/>
  <c r="H27" i="37" s="1"/>
  <c r="H12" i="29"/>
  <c r="H26" i="29" s="1"/>
  <c r="G15" i="21"/>
  <c r="H12" i="38"/>
  <c r="G12" i="38"/>
  <c r="G13" i="37"/>
  <c r="G27" i="37" s="1"/>
  <c r="G12" i="29"/>
  <c r="G26" i="29" s="1"/>
  <c r="G27" i="29" s="1"/>
  <c r="F15" i="21"/>
  <c r="C11" i="24"/>
  <c r="C13" i="24" s="1"/>
  <c r="M6" i="21"/>
  <c r="D6" i="19"/>
  <c r="D6" i="23"/>
  <c r="D6" i="24"/>
  <c r="D14" i="24" s="1"/>
  <c r="D7" i="25"/>
  <c r="D7" i="27"/>
  <c r="E6" i="22"/>
  <c r="G67" i="34"/>
  <c r="K67" i="34"/>
  <c r="O67" i="34"/>
  <c r="S67" i="34"/>
  <c r="W67" i="34"/>
  <c r="E67" i="34"/>
  <c r="I67" i="34"/>
  <c r="M67" i="34"/>
  <c r="Q67" i="34"/>
  <c r="U67" i="34"/>
  <c r="Y67" i="34"/>
  <c r="E46" i="34"/>
  <c r="E45" i="34"/>
  <c r="E44" i="34"/>
  <c r="E43" i="34"/>
  <c r="E42" i="34"/>
  <c r="E31" i="34"/>
  <c r="E32" i="34"/>
  <c r="E33" i="34"/>
  <c r="E34" i="34"/>
  <c r="E30" i="34"/>
  <c r="E21" i="34"/>
  <c r="E22" i="34"/>
  <c r="E20" i="34"/>
  <c r="B14" i="34"/>
  <c r="B10" i="34"/>
  <c r="B12" i="34" s="1"/>
  <c r="C153" i="20"/>
  <c r="C152" i="20"/>
  <c r="C151" i="20"/>
  <c r="C150" i="20"/>
  <c r="C149" i="20"/>
  <c r="C148" i="20"/>
  <c r="C91" i="20"/>
  <c r="C90" i="20"/>
  <c r="C89" i="20"/>
  <c r="C88" i="20"/>
  <c r="C87" i="20"/>
  <c r="C86" i="20"/>
  <c r="E19" i="20"/>
  <c r="C18" i="33"/>
  <c r="C19" i="33" s="1"/>
  <c r="G25" i="38" l="1"/>
  <c r="J10" i="30"/>
  <c r="J24" i="30" s="1"/>
  <c r="C56" i="34"/>
  <c r="D53" i="27"/>
  <c r="E53" i="27" s="1"/>
  <c r="G23" i="38"/>
  <c r="G28" i="38" s="1"/>
  <c r="J8" i="30"/>
  <c r="J22" i="30" s="1"/>
  <c r="J27" i="30" s="1"/>
  <c r="F9" i="38"/>
  <c r="E12" i="21"/>
  <c r="E17" i="21" s="1"/>
  <c r="F10" i="37"/>
  <c r="F24" i="37" s="1"/>
  <c r="F29" i="37" s="1"/>
  <c r="G28" i="37"/>
  <c r="G30" i="37" s="1"/>
  <c r="G12" i="21"/>
  <c r="G17" i="21" s="1"/>
  <c r="H9" i="38"/>
  <c r="H10" i="37"/>
  <c r="H24" i="37" s="1"/>
  <c r="H29" i="37" s="1"/>
  <c r="K11" i="30"/>
  <c r="H26" i="38"/>
  <c r="G29" i="29"/>
  <c r="H30" i="29" s="1"/>
  <c r="G31" i="29"/>
  <c r="G33" i="29" s="1"/>
  <c r="J11" i="30"/>
  <c r="J25" i="30" s="1"/>
  <c r="G26" i="38"/>
  <c r="G27" i="38" s="1"/>
  <c r="F16" i="21"/>
  <c r="E47" i="34"/>
  <c r="E35" i="34"/>
  <c r="E23" i="34"/>
  <c r="AA153" i="20"/>
  <c r="Y153" i="20"/>
  <c r="W153" i="20"/>
  <c r="U153" i="20"/>
  <c r="S153" i="20"/>
  <c r="Q153" i="20"/>
  <c r="O153" i="20"/>
  <c r="M153" i="20"/>
  <c r="K153" i="20"/>
  <c r="I153" i="20"/>
  <c r="G153" i="20"/>
  <c r="E153" i="20"/>
  <c r="Z112" i="27"/>
  <c r="AA112" i="27" s="1"/>
  <c r="X112" i="27"/>
  <c r="Y112" i="27" s="1"/>
  <c r="V112" i="27"/>
  <c r="W112" i="27" s="1"/>
  <c r="T112" i="27"/>
  <c r="U112" i="27" s="1"/>
  <c r="R112" i="27"/>
  <c r="S112" i="27" s="1"/>
  <c r="P112" i="27"/>
  <c r="Q112" i="27" s="1"/>
  <c r="N112" i="27"/>
  <c r="O112" i="27" s="1"/>
  <c r="L112" i="27"/>
  <c r="M112" i="27" s="1"/>
  <c r="J112" i="27"/>
  <c r="K112" i="27" s="1"/>
  <c r="H112" i="27"/>
  <c r="I112" i="27" s="1"/>
  <c r="F112" i="27"/>
  <c r="G112" i="27" s="1"/>
  <c r="D112" i="27"/>
  <c r="E112" i="27" s="1"/>
  <c r="Z111" i="27"/>
  <c r="AA111" i="27" s="1"/>
  <c r="X111" i="27"/>
  <c r="Y111" i="27" s="1"/>
  <c r="V111" i="27"/>
  <c r="W111" i="27" s="1"/>
  <c r="T111" i="27"/>
  <c r="U111" i="27" s="1"/>
  <c r="R111" i="27"/>
  <c r="S111" i="27" s="1"/>
  <c r="P111" i="27"/>
  <c r="Q111" i="27" s="1"/>
  <c r="N111" i="27"/>
  <c r="O111" i="27" s="1"/>
  <c r="L111" i="27"/>
  <c r="M111" i="27" s="1"/>
  <c r="J111" i="27"/>
  <c r="K111" i="27" s="1"/>
  <c r="H111" i="27"/>
  <c r="I111" i="27" s="1"/>
  <c r="F111" i="27"/>
  <c r="G111" i="27" s="1"/>
  <c r="D111" i="27"/>
  <c r="E111" i="27" s="1"/>
  <c r="Z110" i="27"/>
  <c r="AA110" i="27" s="1"/>
  <c r="X110" i="27"/>
  <c r="Y110" i="27" s="1"/>
  <c r="V110" i="27"/>
  <c r="W110" i="27" s="1"/>
  <c r="T110" i="27"/>
  <c r="U110" i="27" s="1"/>
  <c r="R110" i="27"/>
  <c r="S110" i="27" s="1"/>
  <c r="P110" i="27"/>
  <c r="Q110" i="27" s="1"/>
  <c r="N110" i="27"/>
  <c r="O110" i="27" s="1"/>
  <c r="L110" i="27"/>
  <c r="M110" i="27" s="1"/>
  <c r="J110" i="27"/>
  <c r="K110" i="27" s="1"/>
  <c r="H110" i="27"/>
  <c r="I110" i="27" s="1"/>
  <c r="F110" i="27"/>
  <c r="G110" i="27" s="1"/>
  <c r="D110" i="27"/>
  <c r="E110" i="27" s="1"/>
  <c r="Z109" i="27"/>
  <c r="AA109" i="27" s="1"/>
  <c r="X109" i="27"/>
  <c r="Y109" i="27" s="1"/>
  <c r="V109" i="27"/>
  <c r="W109" i="27" s="1"/>
  <c r="T109" i="27"/>
  <c r="U109" i="27" s="1"/>
  <c r="R109" i="27"/>
  <c r="S109" i="27" s="1"/>
  <c r="P109" i="27"/>
  <c r="Q109" i="27" s="1"/>
  <c r="N109" i="27"/>
  <c r="O109" i="27" s="1"/>
  <c r="L109" i="27"/>
  <c r="M109" i="27" s="1"/>
  <c r="J109" i="27"/>
  <c r="K109" i="27" s="1"/>
  <c r="H109" i="27"/>
  <c r="I109" i="27" s="1"/>
  <c r="F109" i="27"/>
  <c r="G109" i="27" s="1"/>
  <c r="D109" i="27"/>
  <c r="E109" i="27" s="1"/>
  <c r="Z107" i="27"/>
  <c r="AA107" i="27" s="1"/>
  <c r="X107" i="27"/>
  <c r="Y107" i="27" s="1"/>
  <c r="V107" i="27"/>
  <c r="W107" i="27" s="1"/>
  <c r="T107" i="27"/>
  <c r="U107" i="27" s="1"/>
  <c r="R107" i="27"/>
  <c r="S107" i="27" s="1"/>
  <c r="P107" i="27"/>
  <c r="Q107" i="27" s="1"/>
  <c r="N107" i="27"/>
  <c r="O107" i="27" s="1"/>
  <c r="L107" i="27"/>
  <c r="M107" i="27" s="1"/>
  <c r="J107" i="27"/>
  <c r="K107" i="27" s="1"/>
  <c r="H107" i="27"/>
  <c r="I107" i="27" s="1"/>
  <c r="F107" i="27"/>
  <c r="G107" i="27" s="1"/>
  <c r="D107" i="27"/>
  <c r="E107" i="27" s="1"/>
  <c r="Z106" i="27"/>
  <c r="AA106" i="27" s="1"/>
  <c r="X106" i="27"/>
  <c r="Y106" i="27" s="1"/>
  <c r="V106" i="27"/>
  <c r="W106" i="27" s="1"/>
  <c r="T106" i="27"/>
  <c r="U106" i="27" s="1"/>
  <c r="R106" i="27"/>
  <c r="S106" i="27" s="1"/>
  <c r="P106" i="27"/>
  <c r="Q106" i="27" s="1"/>
  <c r="N106" i="27"/>
  <c r="O106" i="27" s="1"/>
  <c r="L106" i="27"/>
  <c r="M106" i="27" s="1"/>
  <c r="J106" i="27"/>
  <c r="K106" i="27" s="1"/>
  <c r="H106" i="27"/>
  <c r="I106" i="27" s="1"/>
  <c r="F106" i="27"/>
  <c r="G106" i="27" s="1"/>
  <c r="D106" i="27"/>
  <c r="E106" i="27" s="1"/>
  <c r="Z105" i="27"/>
  <c r="AA105" i="27" s="1"/>
  <c r="X105" i="27"/>
  <c r="Y105" i="27" s="1"/>
  <c r="V105" i="27"/>
  <c r="W105" i="27" s="1"/>
  <c r="T105" i="27"/>
  <c r="U105" i="27" s="1"/>
  <c r="R105" i="27"/>
  <c r="S105" i="27" s="1"/>
  <c r="P105" i="27"/>
  <c r="Q105" i="27" s="1"/>
  <c r="N105" i="27"/>
  <c r="O105" i="27" s="1"/>
  <c r="L105" i="27"/>
  <c r="M105" i="27" s="1"/>
  <c r="J105" i="27"/>
  <c r="K105" i="27" s="1"/>
  <c r="H105" i="27"/>
  <c r="I105" i="27" s="1"/>
  <c r="F105" i="27"/>
  <c r="G105" i="27" s="1"/>
  <c r="D105" i="27"/>
  <c r="E105" i="27" s="1"/>
  <c r="AA91" i="20"/>
  <c r="Y91" i="20"/>
  <c r="W91" i="20"/>
  <c r="U91" i="20"/>
  <c r="S91" i="20"/>
  <c r="Q91" i="20"/>
  <c r="O91" i="20"/>
  <c r="M91" i="20"/>
  <c r="K91" i="20"/>
  <c r="I91" i="20"/>
  <c r="G91" i="20"/>
  <c r="E84" i="20"/>
  <c r="E91" i="20" s="1"/>
  <c r="AA90" i="20"/>
  <c r="Y90" i="20"/>
  <c r="W90" i="20"/>
  <c r="U90" i="20"/>
  <c r="S90" i="20"/>
  <c r="Q90" i="20"/>
  <c r="O90" i="20"/>
  <c r="M90" i="20"/>
  <c r="K90" i="20"/>
  <c r="I90" i="20"/>
  <c r="G90" i="20"/>
  <c r="E90" i="20"/>
  <c r="AA89" i="20"/>
  <c r="Y89" i="20"/>
  <c r="W89" i="20"/>
  <c r="U89" i="20"/>
  <c r="S89" i="20"/>
  <c r="Q89" i="20"/>
  <c r="O89" i="20"/>
  <c r="M89" i="20"/>
  <c r="K89" i="20"/>
  <c r="I89" i="20"/>
  <c r="G89" i="20"/>
  <c r="E89" i="20"/>
  <c r="AA88" i="20"/>
  <c r="Y88" i="20"/>
  <c r="W88" i="20"/>
  <c r="U88" i="20"/>
  <c r="S88" i="20"/>
  <c r="Q88" i="20"/>
  <c r="O88" i="20"/>
  <c r="M88" i="20"/>
  <c r="K88" i="20"/>
  <c r="I88" i="20"/>
  <c r="G88" i="20"/>
  <c r="E88" i="20"/>
  <c r="AA87" i="20"/>
  <c r="Y87" i="20"/>
  <c r="W87" i="20"/>
  <c r="U87" i="20"/>
  <c r="S87" i="20"/>
  <c r="Q87" i="20"/>
  <c r="O87" i="20"/>
  <c r="M87" i="20"/>
  <c r="K87" i="20"/>
  <c r="I87" i="20"/>
  <c r="G87" i="20"/>
  <c r="E87" i="20"/>
  <c r="AA86" i="20"/>
  <c r="Y86" i="20"/>
  <c r="W86" i="20"/>
  <c r="U86" i="20"/>
  <c r="S86" i="20"/>
  <c r="Q86" i="20"/>
  <c r="O86" i="20"/>
  <c r="M86" i="20"/>
  <c r="K86" i="20"/>
  <c r="I86" i="20"/>
  <c r="G86" i="20"/>
  <c r="E86" i="20"/>
  <c r="C64" i="34" s="1"/>
  <c r="AA22" i="20"/>
  <c r="Z56" i="27" s="1"/>
  <c r="AA56" i="27" s="1"/>
  <c r="Z57" i="27"/>
  <c r="AA57" i="27" s="1"/>
  <c r="Z58" i="27"/>
  <c r="AA58" i="27" s="1"/>
  <c r="Z59" i="27"/>
  <c r="AA59" i="27" s="1"/>
  <c r="AA25" i="20"/>
  <c r="Z60" i="27" s="1"/>
  <c r="AA60" i="27" s="1"/>
  <c r="Z61" i="27"/>
  <c r="AA61" i="27" s="1"/>
  <c r="Z62" i="27"/>
  <c r="AA62" i="27" s="1"/>
  <c r="Z63" i="27"/>
  <c r="AA63" i="27" s="1"/>
  <c r="Z64" i="27"/>
  <c r="AA64" i="27" s="1"/>
  <c r="AA19" i="20"/>
  <c r="Y22" i="20"/>
  <c r="X56" i="27" s="1"/>
  <c r="Y56" i="27" s="1"/>
  <c r="X57" i="27"/>
  <c r="Y57" i="27" s="1"/>
  <c r="X58" i="27"/>
  <c r="Y58" i="27" s="1"/>
  <c r="X59" i="27"/>
  <c r="Y59" i="27" s="1"/>
  <c r="Y25" i="20"/>
  <c r="X60" i="27" s="1"/>
  <c r="Y60" i="27" s="1"/>
  <c r="X61" i="27"/>
  <c r="Y61" i="27" s="1"/>
  <c r="X62" i="27"/>
  <c r="Y62" i="27" s="1"/>
  <c r="X63" i="27"/>
  <c r="Y63" i="27" s="1"/>
  <c r="X64" i="27"/>
  <c r="Y64" i="27" s="1"/>
  <c r="Y19" i="20"/>
  <c r="W22" i="20"/>
  <c r="V57" i="27"/>
  <c r="W57" i="27" s="1"/>
  <c r="V58" i="27"/>
  <c r="W58" i="27" s="1"/>
  <c r="V59" i="27"/>
  <c r="W59" i="27" s="1"/>
  <c r="W25" i="20"/>
  <c r="V60" i="27" s="1"/>
  <c r="W60" i="27" s="1"/>
  <c r="V61" i="27"/>
  <c r="W61" i="27" s="1"/>
  <c r="V62" i="27"/>
  <c r="W62" i="27" s="1"/>
  <c r="V63" i="27"/>
  <c r="W63" i="27" s="1"/>
  <c r="V64" i="27"/>
  <c r="W64" i="27" s="1"/>
  <c r="W19" i="20"/>
  <c r="U22" i="20"/>
  <c r="T56" i="27" s="1"/>
  <c r="U56" i="27" s="1"/>
  <c r="T57" i="27"/>
  <c r="U57" i="27" s="1"/>
  <c r="T58" i="27"/>
  <c r="U58" i="27" s="1"/>
  <c r="T59" i="27"/>
  <c r="U59" i="27" s="1"/>
  <c r="U25" i="20"/>
  <c r="T60" i="27" s="1"/>
  <c r="U60" i="27" s="1"/>
  <c r="T61" i="27"/>
  <c r="U61" i="27" s="1"/>
  <c r="T62" i="27"/>
  <c r="U62" i="27" s="1"/>
  <c r="T63" i="27"/>
  <c r="U63" i="27" s="1"/>
  <c r="T64" i="27"/>
  <c r="U64" i="27" s="1"/>
  <c r="U19" i="20"/>
  <c r="S22" i="20"/>
  <c r="R56" i="27" s="1"/>
  <c r="S56" i="27" s="1"/>
  <c r="R57" i="27"/>
  <c r="S57" i="27" s="1"/>
  <c r="R58" i="27"/>
  <c r="S58" i="27" s="1"/>
  <c r="R59" i="27"/>
  <c r="S59" i="27" s="1"/>
  <c r="S25" i="20"/>
  <c r="R60" i="27" s="1"/>
  <c r="S60" i="27" s="1"/>
  <c r="R61" i="27"/>
  <c r="S61" i="27" s="1"/>
  <c r="R62" i="27"/>
  <c r="S62" i="27" s="1"/>
  <c r="R63" i="27"/>
  <c r="S63" i="27" s="1"/>
  <c r="R64" i="27"/>
  <c r="S64" i="27" s="1"/>
  <c r="S19" i="20"/>
  <c r="Q22" i="20"/>
  <c r="P56" i="27" s="1"/>
  <c r="Q56" i="27" s="1"/>
  <c r="P57" i="27"/>
  <c r="Q57" i="27" s="1"/>
  <c r="P58" i="27"/>
  <c r="Q58" i="27" s="1"/>
  <c r="P59" i="27"/>
  <c r="Q59" i="27" s="1"/>
  <c r="Q25" i="20"/>
  <c r="P60" i="27" s="1"/>
  <c r="Q60" i="27" s="1"/>
  <c r="P61" i="27"/>
  <c r="Q61" i="27" s="1"/>
  <c r="P62" i="27"/>
  <c r="Q62" i="27" s="1"/>
  <c r="P63" i="27"/>
  <c r="Q63" i="27" s="1"/>
  <c r="P64" i="27"/>
  <c r="Q64" i="27" s="1"/>
  <c r="Q19" i="20"/>
  <c r="O22" i="20"/>
  <c r="N57" i="27"/>
  <c r="O57" i="27" s="1"/>
  <c r="N58" i="27"/>
  <c r="O58" i="27" s="1"/>
  <c r="N59" i="27"/>
  <c r="O59" i="27" s="1"/>
  <c r="O25" i="20"/>
  <c r="N60" i="27" s="1"/>
  <c r="O60" i="27" s="1"/>
  <c r="N61" i="27"/>
  <c r="O61" i="27" s="1"/>
  <c r="N62" i="27"/>
  <c r="O62" i="27" s="1"/>
  <c r="N63" i="27"/>
  <c r="O63" i="27" s="1"/>
  <c r="N64" i="27"/>
  <c r="O64" i="27" s="1"/>
  <c r="O19" i="20"/>
  <c r="M22" i="20"/>
  <c r="L56" i="27" s="1"/>
  <c r="M56" i="27" s="1"/>
  <c r="L57" i="27"/>
  <c r="M57" i="27" s="1"/>
  <c r="L58" i="27"/>
  <c r="M58" i="27" s="1"/>
  <c r="L59" i="27"/>
  <c r="M59" i="27" s="1"/>
  <c r="M25" i="20"/>
  <c r="L60" i="27" s="1"/>
  <c r="M60" i="27" s="1"/>
  <c r="L61" i="27"/>
  <c r="M61" i="27" s="1"/>
  <c r="L62" i="27"/>
  <c r="M62" i="27" s="1"/>
  <c r="L63" i="27"/>
  <c r="M63" i="27" s="1"/>
  <c r="L64" i="27"/>
  <c r="M64" i="27" s="1"/>
  <c r="M19" i="20"/>
  <c r="K22" i="20"/>
  <c r="J56" i="27" s="1"/>
  <c r="K56" i="27" s="1"/>
  <c r="J57" i="27"/>
  <c r="K57" i="27" s="1"/>
  <c r="J58" i="27"/>
  <c r="K58" i="27" s="1"/>
  <c r="J59" i="27"/>
  <c r="K59" i="27" s="1"/>
  <c r="K25" i="20"/>
  <c r="J60" i="27" s="1"/>
  <c r="K60" i="27" s="1"/>
  <c r="J61" i="27"/>
  <c r="K61" i="27" s="1"/>
  <c r="J62" i="27"/>
  <c r="K62" i="27" s="1"/>
  <c r="J63" i="27"/>
  <c r="K63" i="27" s="1"/>
  <c r="J64" i="27"/>
  <c r="K64" i="27" s="1"/>
  <c r="K19" i="20"/>
  <c r="I22" i="20"/>
  <c r="H56" i="27" s="1"/>
  <c r="I56" i="27" s="1"/>
  <c r="H57" i="27"/>
  <c r="I57" i="27" s="1"/>
  <c r="H58" i="27"/>
  <c r="I58" i="27" s="1"/>
  <c r="H59" i="27"/>
  <c r="I59" i="27" s="1"/>
  <c r="I25" i="20"/>
  <c r="H60" i="27" s="1"/>
  <c r="I60" i="27" s="1"/>
  <c r="H61" i="27"/>
  <c r="I61" i="27" s="1"/>
  <c r="H62" i="27"/>
  <c r="I62" i="27" s="1"/>
  <c r="H63" i="27"/>
  <c r="I63" i="27" s="1"/>
  <c r="H64" i="27"/>
  <c r="I64" i="27" s="1"/>
  <c r="I19" i="20"/>
  <c r="G22" i="20"/>
  <c r="F56" i="27" s="1"/>
  <c r="G56" i="27" s="1"/>
  <c r="F57" i="27"/>
  <c r="G57" i="27" s="1"/>
  <c r="F58" i="27"/>
  <c r="G58" i="27" s="1"/>
  <c r="F59" i="27"/>
  <c r="G59" i="27" s="1"/>
  <c r="G25" i="20"/>
  <c r="F60" i="27" s="1"/>
  <c r="G60" i="27" s="1"/>
  <c r="F61" i="27"/>
  <c r="G61" i="27" s="1"/>
  <c r="F62" i="27"/>
  <c r="G62" i="27" s="1"/>
  <c r="F63" i="27"/>
  <c r="G63" i="27" s="1"/>
  <c r="F64" i="27"/>
  <c r="G64" i="27" s="1"/>
  <c r="G19" i="20"/>
  <c r="E22" i="20"/>
  <c r="D56" i="27" s="1"/>
  <c r="E56" i="27" s="1"/>
  <c r="D57" i="27"/>
  <c r="E57" i="27" s="1"/>
  <c r="D58" i="27"/>
  <c r="E58" i="27" s="1"/>
  <c r="D59" i="27"/>
  <c r="E59" i="27" s="1"/>
  <c r="E25" i="20"/>
  <c r="D60" i="27" s="1"/>
  <c r="E60" i="27" s="1"/>
  <c r="D61" i="27"/>
  <c r="E61" i="27" s="1"/>
  <c r="D62" i="27"/>
  <c r="E62" i="27" s="1"/>
  <c r="D63" i="27"/>
  <c r="E63" i="27" s="1"/>
  <c r="D64" i="27"/>
  <c r="E64" i="27" s="1"/>
  <c r="AB63" i="27" l="1"/>
  <c r="G57" i="34"/>
  <c r="H54" i="27"/>
  <c r="I54" i="27" s="1"/>
  <c r="I56" i="34"/>
  <c r="J53" i="27"/>
  <c r="K53" i="27" s="1"/>
  <c r="I58" i="34"/>
  <c r="J55" i="27"/>
  <c r="K58" i="34"/>
  <c r="L58" i="34" s="1"/>
  <c r="L55" i="27"/>
  <c r="M57" i="34"/>
  <c r="N57" i="34" s="1"/>
  <c r="N54" i="27"/>
  <c r="O54" i="27" s="1"/>
  <c r="O56" i="34"/>
  <c r="O59" i="34" s="1"/>
  <c r="P53" i="27"/>
  <c r="O58" i="34"/>
  <c r="P58" i="34" s="1"/>
  <c r="P55" i="27"/>
  <c r="E56" i="34"/>
  <c r="F53" i="27"/>
  <c r="G53" i="27" s="1"/>
  <c r="Z65" i="34"/>
  <c r="L65" i="34"/>
  <c r="V65" i="34"/>
  <c r="H65" i="34"/>
  <c r="F65" i="34"/>
  <c r="T65" i="34"/>
  <c r="J65" i="34"/>
  <c r="N65" i="34"/>
  <c r="X65" i="34"/>
  <c r="P65" i="34"/>
  <c r="D65" i="34"/>
  <c r="R65" i="34"/>
  <c r="G58" i="34"/>
  <c r="H55" i="27"/>
  <c r="K56" i="34"/>
  <c r="L53" i="27"/>
  <c r="M56" i="34"/>
  <c r="N53" i="27"/>
  <c r="AB59" i="27"/>
  <c r="O57" i="34"/>
  <c r="P54" i="27"/>
  <c r="Q54" i="27" s="1"/>
  <c r="Q56" i="34"/>
  <c r="R53" i="27"/>
  <c r="S53" i="27" s="1"/>
  <c r="Q58" i="34"/>
  <c r="R58" i="34" s="1"/>
  <c r="R55" i="27"/>
  <c r="AB64" i="27"/>
  <c r="Q57" i="34"/>
  <c r="R54" i="27"/>
  <c r="S54" i="27" s="1"/>
  <c r="S56" i="34"/>
  <c r="T56" i="34" s="1"/>
  <c r="T53" i="27"/>
  <c r="U53" i="27" s="1"/>
  <c r="S58" i="34"/>
  <c r="T58" i="34" s="1"/>
  <c r="T55" i="27"/>
  <c r="V56" i="27"/>
  <c r="W56" i="27" s="1"/>
  <c r="E57" i="34"/>
  <c r="F57" i="34" s="1"/>
  <c r="F54" i="27"/>
  <c r="G54" i="27" s="1"/>
  <c r="I57" i="34"/>
  <c r="J54" i="27"/>
  <c r="K54" i="27" s="1"/>
  <c r="AB61" i="27"/>
  <c r="AB58" i="27"/>
  <c r="AB57" i="27"/>
  <c r="S57" i="34"/>
  <c r="T57" i="34" s="1"/>
  <c r="T54" i="27"/>
  <c r="U54" i="27" s="1"/>
  <c r="U56" i="34"/>
  <c r="V56" i="34" s="1"/>
  <c r="V53" i="27"/>
  <c r="W53" i="27" s="1"/>
  <c r="U58" i="34"/>
  <c r="V55" i="27"/>
  <c r="N56" i="27"/>
  <c r="O56" i="27" s="1"/>
  <c r="M58" i="34"/>
  <c r="N58" i="34" s="1"/>
  <c r="N55" i="27"/>
  <c r="U57" i="34"/>
  <c r="V57" i="34" s="1"/>
  <c r="V54" i="27"/>
  <c r="W54" i="27" s="1"/>
  <c r="W56" i="34"/>
  <c r="X56" i="34" s="1"/>
  <c r="X53" i="27"/>
  <c r="Y53" i="27" s="1"/>
  <c r="W58" i="34"/>
  <c r="X58" i="34" s="1"/>
  <c r="X55" i="27"/>
  <c r="G56" i="34"/>
  <c r="H53" i="27"/>
  <c r="I53" i="27" s="1"/>
  <c r="AB62" i="27"/>
  <c r="AB60" i="27"/>
  <c r="AB56" i="27"/>
  <c r="C58" i="34"/>
  <c r="D58" i="34" s="1"/>
  <c r="D55" i="27"/>
  <c r="W57" i="34"/>
  <c r="X57" i="34" s="1"/>
  <c r="X54" i="27"/>
  <c r="Y54" i="27" s="1"/>
  <c r="Y56" i="34"/>
  <c r="Z56" i="34" s="1"/>
  <c r="Z53" i="27"/>
  <c r="AA53" i="27" s="1"/>
  <c r="Y58" i="34"/>
  <c r="Z58" i="34" s="1"/>
  <c r="Z55" i="27"/>
  <c r="E48" i="34"/>
  <c r="V66" i="34"/>
  <c r="T66" i="34"/>
  <c r="Z66" i="34"/>
  <c r="J66" i="34"/>
  <c r="X66" i="34"/>
  <c r="D66" i="34"/>
  <c r="N66" i="34"/>
  <c r="L66" i="34"/>
  <c r="R66" i="34"/>
  <c r="H66" i="34"/>
  <c r="F66" i="34"/>
  <c r="P66" i="34"/>
  <c r="K57" i="34"/>
  <c r="L54" i="27"/>
  <c r="M54" i="27" s="1"/>
  <c r="C57" i="34"/>
  <c r="D57" i="34" s="1"/>
  <c r="D54" i="27"/>
  <c r="E54" i="27" s="1"/>
  <c r="E58" i="34"/>
  <c r="F58" i="34" s="1"/>
  <c r="F55" i="27"/>
  <c r="Y57" i="34"/>
  <c r="Z57" i="34" s="1"/>
  <c r="Z54" i="27"/>
  <c r="AA54" i="27" s="1"/>
  <c r="P64" i="34"/>
  <c r="J64" i="34"/>
  <c r="L64" i="34"/>
  <c r="X64" i="34"/>
  <c r="R64" i="34"/>
  <c r="F64" i="34"/>
  <c r="Z64" i="34"/>
  <c r="Z67" i="34" s="1"/>
  <c r="N64" i="34"/>
  <c r="V64" i="34"/>
  <c r="H64" i="34"/>
  <c r="T64" i="34"/>
  <c r="G32" i="37"/>
  <c r="G34" i="37" s="1"/>
  <c r="F23" i="38"/>
  <c r="F28" i="38" s="1"/>
  <c r="I8" i="30"/>
  <c r="I22" i="30" s="1"/>
  <c r="I27" i="30" s="1"/>
  <c r="K8" i="30"/>
  <c r="K22" i="30" s="1"/>
  <c r="K27" i="30" s="1"/>
  <c r="H23" i="38"/>
  <c r="H28" i="38" s="1"/>
  <c r="K25" i="30"/>
  <c r="J26" i="30"/>
  <c r="F20" i="21"/>
  <c r="F22" i="21" s="1"/>
  <c r="F18" i="21"/>
  <c r="G19" i="21" s="1"/>
  <c r="G29" i="38"/>
  <c r="H30" i="38" s="1"/>
  <c r="G31" i="38"/>
  <c r="G33" i="38" s="1"/>
  <c r="D64" i="34"/>
  <c r="D67" i="34" s="1"/>
  <c r="C67" i="34"/>
  <c r="AB109" i="27"/>
  <c r="AB110" i="27"/>
  <c r="AB111" i="27"/>
  <c r="AB112" i="27"/>
  <c r="AB107" i="27"/>
  <c r="AB105" i="27"/>
  <c r="M152" i="20"/>
  <c r="L108" i="27"/>
  <c r="M108" i="27" s="1"/>
  <c r="G152" i="20"/>
  <c r="F108" i="27"/>
  <c r="G108" i="27" s="1"/>
  <c r="O152" i="20"/>
  <c r="N108" i="27"/>
  <c r="O108" i="27" s="1"/>
  <c r="W152" i="20"/>
  <c r="V108" i="27"/>
  <c r="W108" i="27" s="1"/>
  <c r="U152" i="20"/>
  <c r="T108" i="27"/>
  <c r="U108" i="27" s="1"/>
  <c r="I152" i="20"/>
  <c r="H108" i="27"/>
  <c r="I108" i="27" s="1"/>
  <c r="Q152" i="20"/>
  <c r="P108" i="27"/>
  <c r="Q108" i="27" s="1"/>
  <c r="Y152" i="20"/>
  <c r="X108" i="27"/>
  <c r="Y108" i="27" s="1"/>
  <c r="E152" i="20"/>
  <c r="D108" i="27"/>
  <c r="E108" i="27" s="1"/>
  <c r="K152" i="20"/>
  <c r="J108" i="27"/>
  <c r="K108" i="27" s="1"/>
  <c r="S152" i="20"/>
  <c r="R108" i="27"/>
  <c r="S108" i="27" s="1"/>
  <c r="AA152" i="20"/>
  <c r="Z108" i="27"/>
  <c r="AA108" i="27" s="1"/>
  <c r="AB106" i="27"/>
  <c r="M149" i="20"/>
  <c r="L102" i="27"/>
  <c r="M102" i="27" s="1"/>
  <c r="K73" i="34"/>
  <c r="L73" i="34" s="1"/>
  <c r="G149" i="20"/>
  <c r="F102" i="27"/>
  <c r="G102" i="27" s="1"/>
  <c r="E73" i="34"/>
  <c r="F73" i="34" s="1"/>
  <c r="O149" i="20"/>
  <c r="N102" i="27"/>
  <c r="O102" i="27" s="1"/>
  <c r="M73" i="34"/>
  <c r="N73" i="34" s="1"/>
  <c r="W149" i="20"/>
  <c r="V102" i="27"/>
  <c r="W102" i="27" s="1"/>
  <c r="U73" i="34"/>
  <c r="V73" i="34" s="1"/>
  <c r="E149" i="20"/>
  <c r="D102" i="27"/>
  <c r="E102" i="27" s="1"/>
  <c r="C73" i="34"/>
  <c r="D73" i="34" s="1"/>
  <c r="I149" i="20"/>
  <c r="H102" i="27"/>
  <c r="I102" i="27" s="1"/>
  <c r="G73" i="34"/>
  <c r="H73" i="34" s="1"/>
  <c r="Q149" i="20"/>
  <c r="P102" i="27"/>
  <c r="Q102" i="27" s="1"/>
  <c r="O73" i="34"/>
  <c r="P73" i="34" s="1"/>
  <c r="Y149" i="20"/>
  <c r="X102" i="27"/>
  <c r="Y102" i="27" s="1"/>
  <c r="W73" i="34"/>
  <c r="X73" i="34" s="1"/>
  <c r="U149" i="20"/>
  <c r="T102" i="27"/>
  <c r="U102" i="27" s="1"/>
  <c r="S73" i="34"/>
  <c r="T73" i="34" s="1"/>
  <c r="K149" i="20"/>
  <c r="J102" i="27"/>
  <c r="K102" i="27" s="1"/>
  <c r="I73" i="34"/>
  <c r="J73" i="34" s="1"/>
  <c r="S149" i="20"/>
  <c r="R102" i="27"/>
  <c r="S102" i="27" s="1"/>
  <c r="Q73" i="34"/>
  <c r="R73" i="34" s="1"/>
  <c r="AA149" i="20"/>
  <c r="Z102" i="27"/>
  <c r="AA102" i="27" s="1"/>
  <c r="Y73" i="34"/>
  <c r="Z73" i="34" s="1"/>
  <c r="E151" i="20"/>
  <c r="D104" i="27"/>
  <c r="E104" i="27" s="1"/>
  <c r="G151" i="20"/>
  <c r="F104" i="27"/>
  <c r="G104" i="27" s="1"/>
  <c r="O151" i="20"/>
  <c r="N104" i="27"/>
  <c r="O104" i="27" s="1"/>
  <c r="W151" i="20"/>
  <c r="V104" i="27"/>
  <c r="W104" i="27" s="1"/>
  <c r="M151" i="20"/>
  <c r="L104" i="27"/>
  <c r="M104" i="27" s="1"/>
  <c r="I151" i="20"/>
  <c r="H104" i="27"/>
  <c r="I104" i="27" s="1"/>
  <c r="Q151" i="20"/>
  <c r="P104" i="27"/>
  <c r="Q104" i="27" s="1"/>
  <c r="Y151" i="20"/>
  <c r="X104" i="27"/>
  <c r="Y104" i="27" s="1"/>
  <c r="U151" i="20"/>
  <c r="T104" i="27"/>
  <c r="U104" i="27" s="1"/>
  <c r="K151" i="20"/>
  <c r="J104" i="27"/>
  <c r="K104" i="27" s="1"/>
  <c r="S151" i="20"/>
  <c r="R104" i="27"/>
  <c r="S104" i="27" s="1"/>
  <c r="AA151" i="20"/>
  <c r="Z104" i="27"/>
  <c r="AA104" i="27" s="1"/>
  <c r="E150" i="20"/>
  <c r="D103" i="27"/>
  <c r="C74" i="34"/>
  <c r="D74" i="34" s="1"/>
  <c r="G150" i="20"/>
  <c r="F103" i="27"/>
  <c r="E74" i="34"/>
  <c r="F74" i="34" s="1"/>
  <c r="O150" i="20"/>
  <c r="N103" i="27"/>
  <c r="M74" i="34"/>
  <c r="N74" i="34" s="1"/>
  <c r="W150" i="20"/>
  <c r="V103" i="27"/>
  <c r="U74" i="34"/>
  <c r="V74" i="34" s="1"/>
  <c r="M150" i="20"/>
  <c r="L103" i="27"/>
  <c r="K74" i="34"/>
  <c r="L74" i="34" s="1"/>
  <c r="I150" i="20"/>
  <c r="H103" i="27"/>
  <c r="G74" i="34"/>
  <c r="H74" i="34" s="1"/>
  <c r="Q150" i="20"/>
  <c r="P103" i="27"/>
  <c r="O74" i="34"/>
  <c r="P74" i="34" s="1"/>
  <c r="Y150" i="20"/>
  <c r="X103" i="27"/>
  <c r="W74" i="34"/>
  <c r="X74" i="34" s="1"/>
  <c r="U150" i="20"/>
  <c r="T103" i="27"/>
  <c r="S74" i="34"/>
  <c r="T74" i="34" s="1"/>
  <c r="K150" i="20"/>
  <c r="J103" i="27"/>
  <c r="I74" i="34"/>
  <c r="J74" i="34" s="1"/>
  <c r="S150" i="20"/>
  <c r="R103" i="27"/>
  <c r="Q74" i="34"/>
  <c r="R74" i="34" s="1"/>
  <c r="AA150" i="20"/>
  <c r="Z103" i="27"/>
  <c r="Y74" i="34"/>
  <c r="Z74" i="34" s="1"/>
  <c r="W148" i="20"/>
  <c r="V101" i="27"/>
  <c r="W101" i="27" s="1"/>
  <c r="U72" i="34"/>
  <c r="I148" i="20"/>
  <c r="H101" i="27"/>
  <c r="I101" i="27" s="1"/>
  <c r="G72" i="34"/>
  <c r="Q148" i="20"/>
  <c r="P101" i="27"/>
  <c r="O72" i="34"/>
  <c r="Y148" i="20"/>
  <c r="X101" i="27"/>
  <c r="Y101" i="27" s="1"/>
  <c r="W72" i="34"/>
  <c r="O148" i="20"/>
  <c r="N101" i="27"/>
  <c r="M72" i="34"/>
  <c r="K148" i="20"/>
  <c r="J101" i="27"/>
  <c r="K101" i="27" s="1"/>
  <c r="I72" i="34"/>
  <c r="S148" i="20"/>
  <c r="R101" i="27"/>
  <c r="S101" i="27" s="1"/>
  <c r="Q72" i="34"/>
  <c r="AA148" i="20"/>
  <c r="Z101" i="27"/>
  <c r="AA101" i="27" s="1"/>
  <c r="Y72" i="34"/>
  <c r="G148" i="20"/>
  <c r="F101" i="27"/>
  <c r="G101" i="27" s="1"/>
  <c r="E72" i="34"/>
  <c r="E148" i="20"/>
  <c r="D101" i="27"/>
  <c r="E101" i="27" s="1"/>
  <c r="C72" i="34"/>
  <c r="M148" i="20"/>
  <c r="L101" i="27"/>
  <c r="K72" i="34"/>
  <c r="U148" i="20"/>
  <c r="T101" i="27"/>
  <c r="U101" i="27" s="1"/>
  <c r="S72" i="34"/>
  <c r="E36" i="34"/>
  <c r="L57" i="34"/>
  <c r="R57" i="34"/>
  <c r="J57" i="34"/>
  <c r="P57" i="34"/>
  <c r="H57" i="34"/>
  <c r="H58" i="34"/>
  <c r="V58" i="34"/>
  <c r="J58" i="34"/>
  <c r="E24" i="34"/>
  <c r="D56" i="34"/>
  <c r="L56" i="34"/>
  <c r="J56" i="34"/>
  <c r="H56" i="34"/>
  <c r="R56" i="34"/>
  <c r="F56" i="34"/>
  <c r="D9" i="26"/>
  <c r="C9" i="26"/>
  <c r="B9" i="26"/>
  <c r="R67" i="34" l="1"/>
  <c r="M59" i="34"/>
  <c r="N67" i="34"/>
  <c r="P56" i="34"/>
  <c r="G59" i="34"/>
  <c r="AB54" i="27"/>
  <c r="X67" i="34"/>
  <c r="L67" i="34"/>
  <c r="T59" i="34"/>
  <c r="F67" i="34"/>
  <c r="M53" i="27"/>
  <c r="M69" i="27"/>
  <c r="M70" i="27"/>
  <c r="M55" i="27"/>
  <c r="AA103" i="27"/>
  <c r="AA118" i="27"/>
  <c r="Q101" i="27"/>
  <c r="Q117" i="27"/>
  <c r="K59" i="34"/>
  <c r="AA70" i="27"/>
  <c r="AA55" i="27"/>
  <c r="AA71" i="27" s="1"/>
  <c r="I70" i="27"/>
  <c r="I55" i="27"/>
  <c r="I71" i="27" s="1"/>
  <c r="K70" i="27"/>
  <c r="K55" i="27"/>
  <c r="K71" i="27" s="1"/>
  <c r="J67" i="34"/>
  <c r="C59" i="34"/>
  <c r="S70" i="27"/>
  <c r="S55" i="27"/>
  <c r="G103" i="27"/>
  <c r="G118" i="27"/>
  <c r="P67" i="34"/>
  <c r="Y70" i="27"/>
  <c r="Y55" i="27"/>
  <c r="Y71" i="27" s="1"/>
  <c r="W70" i="27"/>
  <c r="W55" i="27"/>
  <c r="W71" i="27" s="1"/>
  <c r="Y103" i="27"/>
  <c r="Y118" i="27"/>
  <c r="O53" i="27"/>
  <c r="O69" i="27"/>
  <c r="O103" i="27"/>
  <c r="O118" i="27"/>
  <c r="Y59" i="34"/>
  <c r="S71" i="27"/>
  <c r="E59" i="34"/>
  <c r="I59" i="34"/>
  <c r="W103" i="27"/>
  <c r="W118" i="27"/>
  <c r="O70" i="27"/>
  <c r="O55" i="27"/>
  <c r="K103" i="27"/>
  <c r="K118" i="27"/>
  <c r="N56" i="34"/>
  <c r="N59" i="34" s="1"/>
  <c r="T67" i="34"/>
  <c r="Q59" i="34"/>
  <c r="Q70" i="27"/>
  <c r="Q55" i="27"/>
  <c r="M101" i="27"/>
  <c r="M117" i="27"/>
  <c r="Q103" i="27"/>
  <c r="Q118" i="27"/>
  <c r="I103" i="27"/>
  <c r="I118" i="27"/>
  <c r="Z59" i="34"/>
  <c r="O101" i="27"/>
  <c r="O117" i="27"/>
  <c r="U103" i="27"/>
  <c r="U118" i="27"/>
  <c r="M103" i="27"/>
  <c r="M118" i="27"/>
  <c r="E103" i="27"/>
  <c r="E118" i="27"/>
  <c r="H67" i="34"/>
  <c r="G70" i="27"/>
  <c r="G55" i="27"/>
  <c r="G71" i="27" s="1"/>
  <c r="W59" i="34"/>
  <c r="U59" i="34"/>
  <c r="U70" i="27"/>
  <c r="U55" i="27"/>
  <c r="S59" i="34"/>
  <c r="S103" i="27"/>
  <c r="S118" i="27"/>
  <c r="F59" i="34"/>
  <c r="V67" i="34"/>
  <c r="E70" i="27"/>
  <c r="E55" i="27"/>
  <c r="E71" i="27" s="1"/>
  <c r="Q53" i="27"/>
  <c r="Q69" i="27"/>
  <c r="J30" i="30"/>
  <c r="J32" i="30" s="1"/>
  <c r="J28" i="30"/>
  <c r="K29" i="30" s="1"/>
  <c r="AB108" i="27"/>
  <c r="AB102" i="27"/>
  <c r="AA119" i="27"/>
  <c r="AB104" i="27"/>
  <c r="X72" i="34"/>
  <c r="X75" i="34" s="1"/>
  <c r="W75" i="34"/>
  <c r="F72" i="34"/>
  <c r="F75" i="34" s="1"/>
  <c r="E75" i="34"/>
  <c r="N72" i="34"/>
  <c r="N75" i="34" s="1"/>
  <c r="M75" i="34"/>
  <c r="V72" i="34"/>
  <c r="V75" i="34" s="1"/>
  <c r="U75" i="34"/>
  <c r="D72" i="34"/>
  <c r="D75" i="34" s="1"/>
  <c r="C75" i="34"/>
  <c r="J72" i="34"/>
  <c r="J75" i="34" s="1"/>
  <c r="I75" i="34"/>
  <c r="H72" i="34"/>
  <c r="H75" i="34" s="1"/>
  <c r="G75" i="34"/>
  <c r="T72" i="34"/>
  <c r="T75" i="34" s="1"/>
  <c r="S75" i="34"/>
  <c r="Z72" i="34"/>
  <c r="Z75" i="34" s="1"/>
  <c r="Y75" i="34"/>
  <c r="L72" i="34"/>
  <c r="L75" i="34" s="1"/>
  <c r="K75" i="34"/>
  <c r="R72" i="34"/>
  <c r="R75" i="34" s="1"/>
  <c r="Q75" i="34"/>
  <c r="P72" i="34"/>
  <c r="P75" i="34" s="1"/>
  <c r="O75" i="34"/>
  <c r="P59" i="34"/>
  <c r="J59" i="34"/>
  <c r="R59" i="34"/>
  <c r="H59" i="34"/>
  <c r="L59" i="34"/>
  <c r="V59" i="34"/>
  <c r="D59" i="34"/>
  <c r="X59" i="34"/>
  <c r="B135" i="20"/>
  <c r="D135" i="20" s="1"/>
  <c r="B136" i="20"/>
  <c r="D136" i="20" s="1"/>
  <c r="B137" i="20"/>
  <c r="D137" i="20" s="1"/>
  <c r="B138" i="20"/>
  <c r="D138" i="20" s="1"/>
  <c r="B139" i="20"/>
  <c r="D139" i="20" s="1"/>
  <c r="B140" i="20"/>
  <c r="D140" i="20" s="1"/>
  <c r="B141" i="20"/>
  <c r="D141" i="20" s="1"/>
  <c r="B142" i="20"/>
  <c r="D142" i="20" s="1"/>
  <c r="B143" i="20"/>
  <c r="D143" i="20" s="1"/>
  <c r="B144" i="20"/>
  <c r="D144" i="20" s="1"/>
  <c r="B145" i="20"/>
  <c r="D145" i="20" s="1"/>
  <c r="B146" i="20"/>
  <c r="D146" i="20" s="1"/>
  <c r="B134" i="20"/>
  <c r="D134" i="20" s="1"/>
  <c r="B73" i="20"/>
  <c r="D73" i="20" s="1"/>
  <c r="B74" i="20"/>
  <c r="D74" i="20" s="1"/>
  <c r="B75" i="20"/>
  <c r="D75" i="20" s="1"/>
  <c r="B76" i="20"/>
  <c r="D76" i="20" s="1"/>
  <c r="B77" i="20"/>
  <c r="D77" i="20" s="1"/>
  <c r="B78" i="20"/>
  <c r="D78" i="20" s="1"/>
  <c r="B79" i="20"/>
  <c r="D79" i="20" s="1"/>
  <c r="B80" i="20"/>
  <c r="D80" i="20" s="1"/>
  <c r="B81" i="20"/>
  <c r="D81" i="20" s="1"/>
  <c r="B82" i="20"/>
  <c r="D82" i="20" s="1"/>
  <c r="B83" i="20"/>
  <c r="D83" i="20" s="1"/>
  <c r="B84" i="20"/>
  <c r="D84" i="20" s="1"/>
  <c r="B72" i="20"/>
  <c r="D72" i="20" s="1"/>
  <c r="B22" i="20"/>
  <c r="D22" i="20" s="1"/>
  <c r="B25" i="20"/>
  <c r="D25" i="20" s="1"/>
  <c r="B19" i="20"/>
  <c r="D19" i="20" s="1"/>
  <c r="N19" i="20" s="1"/>
  <c r="D7" i="20"/>
  <c r="C7" i="20"/>
  <c r="B7" i="20"/>
  <c r="E119" i="27" l="1"/>
  <c r="K119" i="27"/>
  <c r="I119" i="27"/>
  <c r="G119" i="27"/>
  <c r="U71" i="27"/>
  <c r="O71" i="27"/>
  <c r="M119" i="27"/>
  <c r="Y119" i="27"/>
  <c r="Q119" i="27"/>
  <c r="S119" i="27"/>
  <c r="W119" i="27"/>
  <c r="U119" i="27"/>
  <c r="O119" i="27"/>
  <c r="AB103" i="27"/>
  <c r="AB101" i="27"/>
  <c r="Q71" i="27"/>
  <c r="AB71" i="27" s="1"/>
  <c r="H6" i="27" s="1"/>
  <c r="AB53" i="27"/>
  <c r="AB55" i="27"/>
  <c r="AB69" i="27"/>
  <c r="AB70" i="27"/>
  <c r="M71" i="27"/>
  <c r="AB118" i="27"/>
  <c r="AB117" i="27"/>
  <c r="AA51" i="25"/>
  <c r="H6" i="25" s="1"/>
  <c r="D147" i="20"/>
  <c r="D85" i="20"/>
  <c r="Z134" i="20"/>
  <c r="V134" i="20"/>
  <c r="R134" i="20"/>
  <c r="N134" i="20"/>
  <c r="J134" i="20"/>
  <c r="F134" i="20"/>
  <c r="X134" i="20"/>
  <c r="H134" i="20"/>
  <c r="T134" i="20"/>
  <c r="AB134" i="20"/>
  <c r="L134" i="20"/>
  <c r="P134" i="20"/>
  <c r="Z143" i="20"/>
  <c r="V143" i="20"/>
  <c r="R143" i="20"/>
  <c r="N143" i="20"/>
  <c r="J143" i="20"/>
  <c r="F143" i="20"/>
  <c r="AB143" i="20"/>
  <c r="X143" i="20"/>
  <c r="T143" i="20"/>
  <c r="P143" i="20"/>
  <c r="L143" i="20"/>
  <c r="H143" i="20"/>
  <c r="Z139" i="20"/>
  <c r="V139" i="20"/>
  <c r="R139" i="20"/>
  <c r="N139" i="20"/>
  <c r="J139" i="20"/>
  <c r="F139" i="20"/>
  <c r="AB139" i="20"/>
  <c r="X139" i="20"/>
  <c r="T139" i="20"/>
  <c r="P139" i="20"/>
  <c r="L139" i="20"/>
  <c r="H139" i="20"/>
  <c r="Z135" i="20"/>
  <c r="V135" i="20"/>
  <c r="R135" i="20"/>
  <c r="N135" i="20"/>
  <c r="J135" i="20"/>
  <c r="F135" i="20"/>
  <c r="P135" i="20"/>
  <c r="T135" i="20"/>
  <c r="X135" i="20"/>
  <c r="H135" i="20"/>
  <c r="AB135" i="20"/>
  <c r="L135" i="20"/>
  <c r="Z146" i="20"/>
  <c r="V146" i="20"/>
  <c r="R146" i="20"/>
  <c r="N146" i="20"/>
  <c r="J146" i="20"/>
  <c r="F146" i="20"/>
  <c r="AB146" i="20"/>
  <c r="X146" i="20"/>
  <c r="T146" i="20"/>
  <c r="P146" i="20"/>
  <c r="L146" i="20"/>
  <c r="H146" i="20"/>
  <c r="Z142" i="20"/>
  <c r="V142" i="20"/>
  <c r="R142" i="20"/>
  <c r="N142" i="20"/>
  <c r="J142" i="20"/>
  <c r="F142" i="20"/>
  <c r="AB142" i="20"/>
  <c r="X142" i="20"/>
  <c r="T142" i="20"/>
  <c r="P142" i="20"/>
  <c r="L142" i="20"/>
  <c r="H142" i="20"/>
  <c r="Z138" i="20"/>
  <c r="V138" i="20"/>
  <c r="R138" i="20"/>
  <c r="N138" i="20"/>
  <c r="J138" i="20"/>
  <c r="F138" i="20"/>
  <c r="X138" i="20"/>
  <c r="P138" i="20"/>
  <c r="H138" i="20"/>
  <c r="AB138" i="20"/>
  <c r="T138" i="20"/>
  <c r="L138" i="20"/>
  <c r="Z145" i="20"/>
  <c r="V145" i="20"/>
  <c r="R145" i="20"/>
  <c r="N145" i="20"/>
  <c r="J145" i="20"/>
  <c r="F145" i="20"/>
  <c r="AB145" i="20"/>
  <c r="X145" i="20"/>
  <c r="T145" i="20"/>
  <c r="P145" i="20"/>
  <c r="L145" i="20"/>
  <c r="H145" i="20"/>
  <c r="Z141" i="20"/>
  <c r="V141" i="20"/>
  <c r="R141" i="20"/>
  <c r="N141" i="20"/>
  <c r="J141" i="20"/>
  <c r="F141" i="20"/>
  <c r="AB141" i="20"/>
  <c r="X141" i="20"/>
  <c r="T141" i="20"/>
  <c r="P141" i="20"/>
  <c r="L141" i="20"/>
  <c r="H141" i="20"/>
  <c r="Z137" i="20"/>
  <c r="V137" i="20"/>
  <c r="R137" i="20"/>
  <c r="N137" i="20"/>
  <c r="J137" i="20"/>
  <c r="F137" i="20"/>
  <c r="X137" i="20"/>
  <c r="P137" i="20"/>
  <c r="H137" i="20"/>
  <c r="AB137" i="20"/>
  <c r="T137" i="20"/>
  <c r="L137" i="20"/>
  <c r="Z144" i="20"/>
  <c r="V144" i="20"/>
  <c r="R144" i="20"/>
  <c r="N144" i="20"/>
  <c r="J144" i="20"/>
  <c r="F144" i="20"/>
  <c r="AB144" i="20"/>
  <c r="X144" i="20"/>
  <c r="T144" i="20"/>
  <c r="P144" i="20"/>
  <c r="L144" i="20"/>
  <c r="H144" i="20"/>
  <c r="Z140" i="20"/>
  <c r="V140" i="20"/>
  <c r="R140" i="20"/>
  <c r="N140" i="20"/>
  <c r="J140" i="20"/>
  <c r="F140" i="20"/>
  <c r="L140" i="20"/>
  <c r="AB140" i="20"/>
  <c r="X140" i="20"/>
  <c r="T140" i="20"/>
  <c r="P140" i="20"/>
  <c r="H140" i="20"/>
  <c r="Z136" i="20"/>
  <c r="V136" i="20"/>
  <c r="R136" i="20"/>
  <c r="N136" i="20"/>
  <c r="J136" i="20"/>
  <c r="F136" i="20"/>
  <c r="AB136" i="20"/>
  <c r="X136" i="20"/>
  <c r="H136" i="20"/>
  <c r="T136" i="20"/>
  <c r="L136" i="20"/>
  <c r="P136" i="20"/>
  <c r="AB82" i="20"/>
  <c r="X82" i="20"/>
  <c r="T82" i="20"/>
  <c r="P82" i="20"/>
  <c r="L82" i="20"/>
  <c r="H82" i="20"/>
  <c r="Z82" i="20"/>
  <c r="V82" i="20"/>
  <c r="R82" i="20"/>
  <c r="N82" i="20"/>
  <c r="J82" i="20"/>
  <c r="F82" i="20"/>
  <c r="AB74" i="20"/>
  <c r="X74" i="20"/>
  <c r="T74" i="20"/>
  <c r="P74" i="20"/>
  <c r="L74" i="20"/>
  <c r="H74" i="20"/>
  <c r="F74" i="20"/>
  <c r="Z74" i="20"/>
  <c r="V74" i="20"/>
  <c r="R74" i="20"/>
  <c r="N74" i="20"/>
  <c r="J74" i="20"/>
  <c r="AB81" i="20"/>
  <c r="X81" i="20"/>
  <c r="T81" i="20"/>
  <c r="P81" i="20"/>
  <c r="L81" i="20"/>
  <c r="H81" i="20"/>
  <c r="Z81" i="20"/>
  <c r="V81" i="20"/>
  <c r="R81" i="20"/>
  <c r="N81" i="20"/>
  <c r="J81" i="20"/>
  <c r="F81" i="20"/>
  <c r="AB73" i="20"/>
  <c r="X73" i="20"/>
  <c r="T73" i="20"/>
  <c r="P73" i="20"/>
  <c r="L73" i="20"/>
  <c r="H73" i="20"/>
  <c r="N73" i="20"/>
  <c r="F73" i="20"/>
  <c r="Z73" i="20"/>
  <c r="V73" i="20"/>
  <c r="R73" i="20"/>
  <c r="J73" i="20"/>
  <c r="AB84" i="20"/>
  <c r="X84" i="20"/>
  <c r="T84" i="20"/>
  <c r="P84" i="20"/>
  <c r="L84" i="20"/>
  <c r="H84" i="20"/>
  <c r="Z84" i="20"/>
  <c r="V84" i="20"/>
  <c r="R84" i="20"/>
  <c r="N84" i="20"/>
  <c r="J84" i="20"/>
  <c r="F84" i="20"/>
  <c r="AB80" i="20"/>
  <c r="X80" i="20"/>
  <c r="T80" i="20"/>
  <c r="P80" i="20"/>
  <c r="L80" i="20"/>
  <c r="H80" i="20"/>
  <c r="Z80" i="20"/>
  <c r="V80" i="20"/>
  <c r="R80" i="20"/>
  <c r="N80" i="20"/>
  <c r="J80" i="20"/>
  <c r="F80" i="20"/>
  <c r="AB76" i="20"/>
  <c r="X76" i="20"/>
  <c r="T76" i="20"/>
  <c r="P76" i="20"/>
  <c r="L76" i="20"/>
  <c r="H76" i="20"/>
  <c r="Z76" i="20"/>
  <c r="V76" i="20"/>
  <c r="R76" i="20"/>
  <c r="N76" i="20"/>
  <c r="J76" i="20"/>
  <c r="F76" i="20"/>
  <c r="AB79" i="20"/>
  <c r="X79" i="20"/>
  <c r="T79" i="20"/>
  <c r="P79" i="20"/>
  <c r="L79" i="20"/>
  <c r="H79" i="20"/>
  <c r="Z79" i="20"/>
  <c r="V79" i="20"/>
  <c r="R79" i="20"/>
  <c r="N79" i="20"/>
  <c r="J79" i="20"/>
  <c r="F79" i="20"/>
  <c r="AB78" i="20"/>
  <c r="X78" i="20"/>
  <c r="T78" i="20"/>
  <c r="P78" i="20"/>
  <c r="L78" i="20"/>
  <c r="H78" i="20"/>
  <c r="Z78" i="20"/>
  <c r="V78" i="20"/>
  <c r="R78" i="20"/>
  <c r="N78" i="20"/>
  <c r="J78" i="20"/>
  <c r="F78" i="20"/>
  <c r="AB72" i="20"/>
  <c r="X72" i="20"/>
  <c r="T72" i="20"/>
  <c r="P72" i="20"/>
  <c r="L72" i="20"/>
  <c r="H72" i="20"/>
  <c r="Z72" i="20"/>
  <c r="V72" i="20"/>
  <c r="R72" i="20"/>
  <c r="J72" i="20"/>
  <c r="N72" i="20"/>
  <c r="F72" i="20"/>
  <c r="AB77" i="20"/>
  <c r="X77" i="20"/>
  <c r="T77" i="20"/>
  <c r="P77" i="20"/>
  <c r="L77" i="20"/>
  <c r="H77" i="20"/>
  <c r="Z77" i="20"/>
  <c r="V77" i="20"/>
  <c r="R77" i="20"/>
  <c r="N77" i="20"/>
  <c r="J77" i="20"/>
  <c r="F77" i="20"/>
  <c r="AB83" i="20"/>
  <c r="X83" i="20"/>
  <c r="T83" i="20"/>
  <c r="P83" i="20"/>
  <c r="L83" i="20"/>
  <c r="H83" i="20"/>
  <c r="Z83" i="20"/>
  <c r="V83" i="20"/>
  <c r="R83" i="20"/>
  <c r="N83" i="20"/>
  <c r="J83" i="20"/>
  <c r="F83" i="20"/>
  <c r="AB75" i="20"/>
  <c r="X75" i="20"/>
  <c r="T75" i="20"/>
  <c r="P75" i="20"/>
  <c r="L75" i="20"/>
  <c r="H75" i="20"/>
  <c r="Z75" i="20"/>
  <c r="V75" i="20"/>
  <c r="R75" i="20"/>
  <c r="N75" i="20"/>
  <c r="J75" i="20"/>
  <c r="F75" i="20"/>
  <c r="D23" i="26"/>
  <c r="E17" i="26"/>
  <c r="E22" i="26"/>
  <c r="D26" i="26"/>
  <c r="D18" i="26"/>
  <c r="E25" i="26"/>
  <c r="D29" i="26"/>
  <c r="D25" i="26"/>
  <c r="D21" i="26"/>
  <c r="E28" i="26"/>
  <c r="E24" i="26"/>
  <c r="E20" i="26"/>
  <c r="D27" i="26"/>
  <c r="D19" i="26"/>
  <c r="E26" i="26"/>
  <c r="E18" i="26"/>
  <c r="D17" i="26"/>
  <c r="D22" i="26"/>
  <c r="E29" i="26"/>
  <c r="E21" i="26"/>
  <c r="D24" i="26"/>
  <c r="D28" i="26"/>
  <c r="D20" i="26"/>
  <c r="E27" i="26"/>
  <c r="E23" i="26"/>
  <c r="E19" i="26"/>
  <c r="C29" i="26"/>
  <c r="C25" i="26"/>
  <c r="C21" i="26"/>
  <c r="C28" i="26"/>
  <c r="C24" i="26"/>
  <c r="Z25" i="20"/>
  <c r="V25" i="20"/>
  <c r="R25" i="20"/>
  <c r="N25" i="20"/>
  <c r="J25" i="20"/>
  <c r="X25" i="20"/>
  <c r="P25" i="20"/>
  <c r="L25" i="20"/>
  <c r="F25" i="20"/>
  <c r="AB25" i="20"/>
  <c r="T25" i="20"/>
  <c r="H25" i="20"/>
  <c r="C20" i="26"/>
  <c r="Z22" i="20"/>
  <c r="V22" i="20"/>
  <c r="R22" i="20"/>
  <c r="N22" i="20"/>
  <c r="J22" i="20"/>
  <c r="AB22" i="20"/>
  <c r="X22" i="20"/>
  <c r="T22" i="20"/>
  <c r="P22" i="20"/>
  <c r="H22" i="20"/>
  <c r="F22" i="20"/>
  <c r="L22" i="20"/>
  <c r="C27" i="26"/>
  <c r="C23" i="26"/>
  <c r="C19" i="26"/>
  <c r="C17" i="26"/>
  <c r="AB19" i="20"/>
  <c r="X19" i="20"/>
  <c r="T19" i="20"/>
  <c r="P19" i="20"/>
  <c r="L19" i="20"/>
  <c r="H19" i="20"/>
  <c r="R19" i="20"/>
  <c r="J19" i="20"/>
  <c r="Z19" i="20"/>
  <c r="V19" i="20"/>
  <c r="F19" i="20"/>
  <c r="C26" i="26"/>
  <c r="C22" i="26"/>
  <c r="C18" i="26"/>
  <c r="D28" i="20"/>
  <c r="AB119" i="27" l="1"/>
  <c r="J6" i="27" s="1"/>
  <c r="M11" i="21" s="1"/>
  <c r="H12" i="37" s="1"/>
  <c r="H26" i="37" s="1"/>
  <c r="H28" i="37" s="1"/>
  <c r="K11" i="21"/>
  <c r="B11" i="24"/>
  <c r="H11" i="38"/>
  <c r="H11" i="29"/>
  <c r="H25" i="29" s="1"/>
  <c r="H27" i="29" s="1"/>
  <c r="G14" i="21"/>
  <c r="K12" i="21"/>
  <c r="B12" i="24"/>
  <c r="G16" i="21"/>
  <c r="D11" i="24"/>
  <c r="D13" i="24" s="1"/>
  <c r="V147" i="20"/>
  <c r="T147" i="20"/>
  <c r="J147" i="20"/>
  <c r="Z147" i="20"/>
  <c r="AB147" i="20"/>
  <c r="P147" i="20"/>
  <c r="H147" i="20"/>
  <c r="N147" i="20"/>
  <c r="F147" i="20"/>
  <c r="N85" i="20"/>
  <c r="L147" i="20"/>
  <c r="X147" i="20"/>
  <c r="R147" i="20"/>
  <c r="T85" i="20"/>
  <c r="X85" i="20"/>
  <c r="L85" i="20"/>
  <c r="Z85" i="20"/>
  <c r="J85" i="20"/>
  <c r="H85" i="20"/>
  <c r="R85" i="20"/>
  <c r="AB85" i="20"/>
  <c r="F85" i="20"/>
  <c r="V85" i="20"/>
  <c r="P85" i="20"/>
  <c r="E30" i="26"/>
  <c r="F28" i="20"/>
  <c r="N28" i="20"/>
  <c r="P28" i="20"/>
  <c r="V28" i="20"/>
  <c r="R28" i="20"/>
  <c r="Z28" i="20"/>
  <c r="H28" i="20"/>
  <c r="X28" i="20"/>
  <c r="T28" i="20"/>
  <c r="J28" i="20"/>
  <c r="L28" i="20"/>
  <c r="AB28" i="20"/>
  <c r="D30" i="26"/>
  <c r="C30" i="26"/>
  <c r="B13" i="24" l="1"/>
  <c r="H29" i="29"/>
  <c r="H31" i="29"/>
  <c r="H33" i="29" s="1"/>
  <c r="H25" i="38"/>
  <c r="H27" i="38" s="1"/>
  <c r="K10" i="30"/>
  <c r="K24" i="30" s="1"/>
  <c r="K26" i="30" s="1"/>
  <c r="H32" i="37"/>
  <c r="H34" i="37" s="1"/>
  <c r="H30" i="37"/>
  <c r="E14" i="21"/>
  <c r="F12" i="37"/>
  <c r="F26" i="37" s="1"/>
  <c r="F11" i="29"/>
  <c r="F25" i="29" s="1"/>
  <c r="F11" i="38"/>
  <c r="F12" i="29"/>
  <c r="F26" i="29" s="1"/>
  <c r="F12" i="38"/>
  <c r="F13" i="37"/>
  <c r="F27" i="37" s="1"/>
  <c r="E15" i="21"/>
  <c r="G20" i="21"/>
  <c r="G22" i="21" s="1"/>
  <c r="G18" i="21"/>
  <c r="C4" i="33"/>
  <c r="C5" i="33" s="1"/>
  <c r="J4" i="33"/>
  <c r="F27" i="29" l="1"/>
  <c r="I10" i="30"/>
  <c r="I24" i="30" s="1"/>
  <c r="F25" i="38"/>
  <c r="K28" i="30"/>
  <c r="K30" i="30"/>
  <c r="K32" i="30" s="1"/>
  <c r="H29" i="38"/>
  <c r="H31" i="38"/>
  <c r="H33" i="38" s="1"/>
  <c r="E16" i="21"/>
  <c r="E18" i="21" s="1"/>
  <c r="F28" i="37"/>
  <c r="F30" i="37" s="1"/>
  <c r="F26" i="38"/>
  <c r="I11" i="30"/>
  <c r="I25" i="30" s="1"/>
  <c r="F31" i="29"/>
  <c r="F33" i="29" s="1"/>
  <c r="F29" i="29"/>
  <c r="B10" i="26"/>
  <c r="C8" i="20"/>
  <c r="C10" i="26"/>
  <c r="F27" i="38" l="1"/>
  <c r="F31" i="38" s="1"/>
  <c r="F33" i="38" s="1"/>
  <c r="I26" i="30"/>
  <c r="I30" i="30" s="1"/>
  <c r="I32" i="30" s="1"/>
  <c r="F32" i="37"/>
  <c r="F34" i="37" s="1"/>
  <c r="E20" i="21"/>
  <c r="E22" i="21" s="1"/>
  <c r="B8" i="20"/>
  <c r="D8" i="20"/>
  <c r="D10" i="26"/>
  <c r="F29" i="38" l="1"/>
  <c r="I28" i="30"/>
</calcChain>
</file>

<file path=xl/sharedStrings.xml><?xml version="1.0" encoding="utf-8"?>
<sst xmlns="http://schemas.openxmlformats.org/spreadsheetml/2006/main" count="2092" uniqueCount="381">
  <si>
    <t>TRABAJO FINAL DE INGENIERÍA</t>
  </si>
  <si>
    <t>Hipótesis</t>
  </si>
  <si>
    <t>Proyección de ventas</t>
  </si>
  <si>
    <t>Modelo de ingresos</t>
  </si>
  <si>
    <t>Estructura de costos fijos</t>
  </si>
  <si>
    <t>Estructura de costos variables</t>
  </si>
  <si>
    <t>Estructura de costos de RRHH</t>
  </si>
  <si>
    <t>Modelo de egresos</t>
  </si>
  <si>
    <t>Modelo de inversión</t>
  </si>
  <si>
    <t>Amortizaciones</t>
  </si>
  <si>
    <t>Presupuesto Financiero</t>
  </si>
  <si>
    <t>Matriz de riesgos</t>
  </si>
  <si>
    <t>Plan de contingencia</t>
  </si>
  <si>
    <t>Presupuesto financiero</t>
  </si>
  <si>
    <t>Índice</t>
  </si>
  <si>
    <t>Mercado total</t>
  </si>
  <si>
    <t>CABA</t>
  </si>
  <si>
    <t>Poblacion estimada 2019</t>
  </si>
  <si>
    <t>Argentina</t>
  </si>
  <si>
    <t>Total</t>
  </si>
  <si>
    <t>https://propamba.wordpress.com/amba/que-es-el-amba/</t>
  </si>
  <si>
    <t>AMBA</t>
  </si>
  <si>
    <t>https://www.indec.gob.ar/indec/web/Nivel4-Tema-2-24-85</t>
  </si>
  <si>
    <t>INDEC</t>
  </si>
  <si>
    <t>Conurbano Bonaerense (32% de Argentina)</t>
  </si>
  <si>
    <t>Fuente: https://www.indec.gob.ar/indec/web/Nivel4-Tema-2-24-85</t>
  </si>
  <si>
    <t>Población estimada 2019</t>
  </si>
  <si>
    <t>Total (CABA + Conurbano Bonaerense)</t>
  </si>
  <si>
    <t>Lista de precios</t>
  </si>
  <si>
    <t>PROFUNDIDAD DE LAS LÍNEAS DE PRODUCTOS</t>
  </si>
  <si>
    <t>Líneas de productos</t>
  </si>
  <si>
    <t>Producto</t>
  </si>
  <si>
    <t>Precio</t>
  </si>
  <si>
    <t>Bomba de agua</t>
  </si>
  <si>
    <t xml:space="preserve">Partiremos nuestro análisis del mercado considerando a todos los habitantes del Conurbano Bonaerense y de la Ciudad Autónoma de Buenos Aires que residen en casas o departamentos. 
Según la proyección que realiza el Instituto Nacional de Estadísticas y Censos se estima que en 2019 son más de 17 millones de personas. </t>
  </si>
  <si>
    <t>Evolución de la participación</t>
  </si>
  <si>
    <t>Año</t>
  </si>
  <si>
    <t>Porcentaje</t>
  </si>
  <si>
    <t>Total mercado</t>
  </si>
  <si>
    <t>Ingresos</t>
  </si>
  <si>
    <t>Enero</t>
  </si>
  <si>
    <t>Febrero</t>
  </si>
  <si>
    <t>Marzo</t>
  </si>
  <si>
    <t>Abril</t>
  </si>
  <si>
    <t>Mayo</t>
  </si>
  <si>
    <t>Junio</t>
  </si>
  <si>
    <t>Julio</t>
  </si>
  <si>
    <t>Agosto</t>
  </si>
  <si>
    <t>Septiembre</t>
  </si>
  <si>
    <t>Octubre</t>
  </si>
  <si>
    <t>Noviembre</t>
  </si>
  <si>
    <t>Diciembre</t>
  </si>
  <si>
    <t>Proyección de ventas 2020</t>
  </si>
  <si>
    <t>Proyección de ventas 2021</t>
  </si>
  <si>
    <t>.</t>
  </si>
  <si>
    <t>Ingresos 2019</t>
  </si>
  <si>
    <t>Ingresos 2020</t>
  </si>
  <si>
    <t>Ingresos 2021</t>
  </si>
  <si>
    <t>TOTALES</t>
  </si>
  <si>
    <t>Ingresos por productos</t>
  </si>
  <si>
    <t>Cantidad</t>
  </si>
  <si>
    <t>Anual</t>
  </si>
  <si>
    <t>Estacionalidad</t>
  </si>
  <si>
    <t>RRHH</t>
  </si>
  <si>
    <t>Concepto</t>
  </si>
  <si>
    <t>Año cero - Kick off</t>
  </si>
  <si>
    <t>Año 2019</t>
  </si>
  <si>
    <t>Sin cambios</t>
  </si>
  <si>
    <t>Infraestructura</t>
  </si>
  <si>
    <t>Instalaciones</t>
  </si>
  <si>
    <t>Capacidad operativa - Año 2020</t>
  </si>
  <si>
    <t>Capacidad operativa - Año 2021</t>
  </si>
  <si>
    <t>Evolución de la participación en el mercado</t>
  </si>
  <si>
    <t>Comentarios</t>
  </si>
  <si>
    <t>9 oficina +15 (taller)</t>
  </si>
  <si>
    <r>
      <t xml:space="preserve">En la proyección de ventas se podrá apreciar el efecto de la </t>
    </r>
    <r>
      <rPr>
        <b/>
        <sz val="12"/>
        <color theme="1"/>
        <rFont val="Calibri"/>
        <family val="2"/>
        <scheme val="minor"/>
      </rPr>
      <t>estacionalidad</t>
    </r>
    <r>
      <rPr>
        <sz val="12"/>
        <color theme="1"/>
        <rFont val="Calibri"/>
        <family val="2"/>
        <scheme val="minor"/>
      </rPr>
      <t xml:space="preserve"> remarcada por las siguientes situaciones:
</t>
    </r>
    <r>
      <rPr>
        <u/>
        <sz val="12"/>
        <color theme="1"/>
        <rFont val="Calibri"/>
        <family val="2"/>
        <scheme val="minor"/>
      </rPr>
      <t xml:space="preserve">a) </t>
    </r>
    <r>
      <rPr>
        <b/>
        <u/>
        <sz val="12"/>
        <color theme="1"/>
        <rFont val="Calibri"/>
        <family val="2"/>
        <scheme val="minor"/>
      </rPr>
      <t>Efecto Aguinaldo:</t>
    </r>
    <r>
      <rPr>
        <sz val="12"/>
        <color theme="1"/>
        <rFont val="Calibri"/>
        <family val="2"/>
        <scheme val="minor"/>
      </rPr>
      <t xml:space="preserve"> Preveemos mayores ventas en los meses de </t>
    </r>
    <r>
      <rPr>
        <b/>
        <sz val="12"/>
        <color theme="1"/>
        <rFont val="Calibri"/>
        <family val="2"/>
        <scheme val="minor"/>
      </rPr>
      <t xml:space="preserve">enero y julio </t>
    </r>
    <r>
      <rPr>
        <sz val="12"/>
        <color theme="1"/>
        <rFont val="Calibri"/>
        <family val="2"/>
        <scheme val="minor"/>
      </rPr>
      <t xml:space="preserve">cuando las personas que integran nuestro mercado meta perciban su </t>
    </r>
    <r>
      <rPr>
        <b/>
        <sz val="12"/>
        <color theme="1"/>
        <rFont val="Calibri"/>
        <family val="2"/>
        <scheme val="minor"/>
      </rPr>
      <t>Sueldo Anual Complementario</t>
    </r>
    <r>
      <rPr>
        <sz val="12"/>
        <color theme="1"/>
        <rFont val="Calibri"/>
        <family val="2"/>
        <scheme val="minor"/>
      </rPr>
      <t xml:space="preserve"> para destinarlo a gastos en deseos o gustos personales.
</t>
    </r>
    <r>
      <rPr>
        <u/>
        <sz val="12"/>
        <color theme="1"/>
        <rFont val="Calibri"/>
        <family val="2"/>
        <scheme val="minor"/>
      </rPr>
      <t xml:space="preserve">b) </t>
    </r>
    <r>
      <rPr>
        <b/>
        <u/>
        <sz val="12"/>
        <color theme="1"/>
        <rFont val="Calibri"/>
        <family val="2"/>
        <scheme val="minor"/>
      </rPr>
      <t>Condiciones climatológicas:</t>
    </r>
    <r>
      <rPr>
        <sz val="12"/>
        <color theme="1"/>
        <rFont val="Calibri"/>
        <family val="2"/>
        <scheme val="minor"/>
      </rPr>
      <t xml:space="preserve"> Consideramos que  los meses que tienen un clima más agradable para realizar actividades al aire libre impulsará un mayor número de ventas.  Destacamos en este sentido</t>
    </r>
    <r>
      <rPr>
        <b/>
        <sz val="12"/>
        <color theme="1"/>
        <rFont val="Calibri"/>
        <family val="2"/>
        <scheme val="minor"/>
      </rPr>
      <t xml:space="preserve"> la segunda mitad de septiembre, octubre y noviembre</t>
    </r>
    <r>
      <rPr>
        <sz val="12"/>
        <color theme="1"/>
        <rFont val="Calibri"/>
        <family val="2"/>
        <scheme val="minor"/>
      </rPr>
      <t>. En contraste, esperamos que los meses de abril,mayo y junio se registren se esperen una menor cifra de ventas, por lo que se deberán apllcar medidas difusión publicitaria o promociones para atraer a los consumidores.</t>
    </r>
  </si>
  <si>
    <t>(+) 1 puesto de trabajo de oficina</t>
  </si>
  <si>
    <t>(+) 1 computadora de escritorio</t>
  </si>
  <si>
    <t>(+) 1 analista funcional</t>
  </si>
  <si>
    <t>(+) 1 silla</t>
  </si>
  <si>
    <t>(+) 1 escritorio</t>
  </si>
  <si>
    <t>(+) 1 capacitador</t>
  </si>
  <si>
    <t>(+1 ) puesto de trabajo de oficina</t>
  </si>
  <si>
    <t>(+1 ) computadora</t>
  </si>
  <si>
    <t>(+1 ) servicio de telefonía móvil</t>
  </si>
  <si>
    <t>(+1 )  silla</t>
  </si>
  <si>
    <t>(+1 )  escritorio</t>
  </si>
  <si>
    <t>(+) 1  gerente de marketing</t>
  </si>
  <si>
    <t>(+1 )  empleado de soporte técnico</t>
  </si>
  <si>
    <t>(+1 )  notebook</t>
  </si>
  <si>
    <t>(+1 )  puesto de trabajo</t>
  </si>
  <si>
    <t>(+1 )  operario de línea</t>
  </si>
  <si>
    <t>(+1 )  empleado de atención al público</t>
  </si>
  <si>
    <t>(+1 )  puesto de trabajo de oficina</t>
  </si>
  <si>
    <t>(+1 )  puesto de trabajo de producción</t>
  </si>
  <si>
    <t>(+1 )  computadora</t>
  </si>
  <si>
    <t>1 - Descripción del negocio</t>
  </si>
  <si>
    <t>2 - Mercado meta</t>
  </si>
  <si>
    <t>3 - Participación del mercado</t>
  </si>
  <si>
    <t>4 - Otros datos</t>
  </si>
  <si>
    <t>Cant. Total - Agrohome Classic</t>
  </si>
  <si>
    <t>Cant. Total - Agrohome Professional</t>
  </si>
  <si>
    <t>Cant. Total - Línea de insumos</t>
  </si>
  <si>
    <t>Cant. Total - Línea de accesorios de jardín</t>
  </si>
  <si>
    <t>Ingreso Total</t>
  </si>
  <si>
    <t>Cant. Total - Suscripción a talleres</t>
  </si>
  <si>
    <t>Anexo capacidad operativa</t>
  </si>
  <si>
    <t>Costo</t>
  </si>
  <si>
    <t>Corte de tubos de PVC para canaletas</t>
  </si>
  <si>
    <t>Perforación de tubos de PVC para soporte de estructura vertical</t>
  </si>
  <si>
    <t>Corte de lana de roca a medida</t>
  </si>
  <si>
    <t>N° de tarea</t>
  </si>
  <si>
    <t>Embalaje de producto</t>
  </si>
  <si>
    <t>Jornada laboral</t>
  </si>
  <si>
    <t>horas</t>
  </si>
  <si>
    <t>Semanas por año</t>
  </si>
  <si>
    <t>Días festivos</t>
  </si>
  <si>
    <t>semanas</t>
  </si>
  <si>
    <t>días</t>
  </si>
  <si>
    <t>Semanas de licencias varias al año</t>
  </si>
  <si>
    <t>Consideraremos en promedio:</t>
  </si>
  <si>
    <t>Base horaria [BH]</t>
  </si>
  <si>
    <t>Descripción</t>
  </si>
  <si>
    <t>Horas laborables anuales por empleado</t>
  </si>
  <si>
    <t>Horas laborables anuales / empleado</t>
  </si>
  <si>
    <t>Horas laborables mensuales / empleado
[HsLaboralesXMes]</t>
  </si>
  <si>
    <t>Embalaje del producto</t>
  </si>
  <si>
    <t>Ensamblado de conexiones para fijación de manguera entre niveles</t>
  </si>
  <si>
    <t>* licencias por enfermedad, trámites, días de estudio, etc.</t>
  </si>
  <si>
    <t>Días laborales totales</t>
  </si>
  <si>
    <t>Comentarios: La estructura de madera es fabricada por un proveedor. (tercerización)</t>
  </si>
  <si>
    <t>Cantidad requerida por producto
[CantXProducto]</t>
  </si>
  <si>
    <r>
      <t xml:space="preserve">Horas por tarea de producto
</t>
    </r>
    <r>
      <rPr>
        <sz val="11"/>
        <color theme="1"/>
        <rFont val="Calibri"/>
        <family val="2"/>
        <scheme val="minor"/>
      </rPr>
      <t>Fórmula = CantXProducto / BH</t>
    </r>
  </si>
  <si>
    <r>
      <t>Horas totales por producto
[HsTotalesXProducto]</t>
    </r>
    <r>
      <rPr>
        <sz val="11"/>
        <color theme="1"/>
        <rFont val="Calibri"/>
        <family val="2"/>
        <scheme val="minor"/>
      </rPr>
      <t xml:space="preserve">
Fórmula = Σ Horas por tarea de producto</t>
    </r>
  </si>
  <si>
    <r>
      <t xml:space="preserve">Capacidad operativa mensual por empleado
</t>
    </r>
    <r>
      <rPr>
        <sz val="11"/>
        <color theme="1"/>
        <rFont val="Calibri"/>
        <family val="2"/>
        <scheme val="minor"/>
      </rPr>
      <t>Fórmula = HsLaboralesXMes / HsTotalesXProd</t>
    </r>
  </si>
  <si>
    <t>productos por mes</t>
  </si>
  <si>
    <t>Cálculo de horas laborables de un empleado por mes</t>
  </si>
  <si>
    <t>Unidades requeridas</t>
  </si>
  <si>
    <t>Horas Hombre requeridos</t>
  </si>
  <si>
    <t>Horas Hombre requeridas</t>
  </si>
  <si>
    <t>CAPACIDAD OPERATIVA AÑO 2019</t>
  </si>
  <si>
    <t>CAPACIDAD OPERATIVA AÑO 2020</t>
  </si>
  <si>
    <t>CAPACIDAD OPERATIVA AÑO 2021</t>
  </si>
  <si>
    <t>ANALISIS CAPACIDAD OPERATIVA ANUAL POR PRODUCTO EN HORAS HOMBRE</t>
  </si>
  <si>
    <t>(+) 6 sillas</t>
  </si>
  <si>
    <t>CONCLUSIÓN</t>
  </si>
  <si>
    <t>Considerando en promedio que un operario trabaja 150 horas mensuales, podemos observar que nuestra capacidad productiva puede ser llevada a cabo por 2 personas hasta diciembre de 2020. Luego se requerirá la contratación de un nuevo operario ya que se superan las 300hs hombres requeridas para los niveles de producción especulados.</t>
  </si>
  <si>
    <t>Servicios</t>
  </si>
  <si>
    <t>Gas</t>
  </si>
  <si>
    <t>Agua</t>
  </si>
  <si>
    <t>Luz</t>
  </si>
  <si>
    <t>Alquiler</t>
  </si>
  <si>
    <t>Honorarios</t>
  </si>
  <si>
    <t>Estudio Contable</t>
  </si>
  <si>
    <t>Costos fijos - Año 2019</t>
  </si>
  <si>
    <t>Conceptos</t>
  </si>
  <si>
    <t>Observaciones</t>
  </si>
  <si>
    <t>Total anual</t>
  </si>
  <si>
    <t>Telefonía fija</t>
  </si>
  <si>
    <t>Telefonía móvil (6 líneas, $725 x mes)</t>
  </si>
  <si>
    <t>Internet</t>
  </si>
  <si>
    <t>Cloud Hosting (PlanEnterprise AR$ 18,228.00 /Año)</t>
  </si>
  <si>
    <t>Impuesto municipal (Indicado en alquiler)</t>
  </si>
  <si>
    <t>Expensas (no posee)</t>
  </si>
  <si>
    <t>Publicidad online</t>
  </si>
  <si>
    <t>Costos fijos - Año 2020</t>
  </si>
  <si>
    <t>Costos fijos - Año 2021</t>
  </si>
  <si>
    <t>Costos fijos - Totales</t>
  </si>
  <si>
    <t>Costos variables - Totales</t>
  </si>
  <si>
    <t>Costos variables - Año 2019</t>
  </si>
  <si>
    <t>Subtotal</t>
  </si>
  <si>
    <t>Solucion nutritiva (500cm3)</t>
  </si>
  <si>
    <t>Semillas (muestra)</t>
  </si>
  <si>
    <t>Turba (muestra)</t>
  </si>
  <si>
    <t>Packaging - Caja a medida</t>
  </si>
  <si>
    <t>Costo unitario</t>
  </si>
  <si>
    <t>Lana de roca 3 cm x 42 cm x 14 cm</t>
  </si>
  <si>
    <t>Caños de PVC para estructura y canales (En metros)</t>
  </si>
  <si>
    <t>Empalmes</t>
  </si>
  <si>
    <t>Recipiente repositorio de agua</t>
  </si>
  <si>
    <t>Timer</t>
  </si>
  <si>
    <t>Canaletas de hechas con tubos de PVC (5cm x 45cm x 15cm)</t>
  </si>
  <si>
    <t>Estantería de madera armada a medida (40cm x 49cm x 20cm) (tercerizado)</t>
  </si>
  <si>
    <t>Lana de roca (7,5cm x 1000cm x 15cm)</t>
  </si>
  <si>
    <t>Solucion nutritiva (rinde 1000 litros de preparación)</t>
  </si>
  <si>
    <t>Semillas</t>
  </si>
  <si>
    <t>Packaging</t>
  </si>
  <si>
    <t>Insumos de producción</t>
  </si>
  <si>
    <t>Productos de reventa</t>
  </si>
  <si>
    <t>Insumos de librería</t>
  </si>
  <si>
    <t>Distribución</t>
  </si>
  <si>
    <t>TOTAL</t>
  </si>
  <si>
    <t>Publicidad y promoción</t>
  </si>
  <si>
    <t>Costos variables - Año 2020</t>
  </si>
  <si>
    <t>Costos variables - Año 2021</t>
  </si>
  <si>
    <t>Cálculo de costo unitario de producción</t>
  </si>
  <si>
    <t>Costos de RRHH - Totales</t>
  </si>
  <si>
    <t>Jubilación</t>
  </si>
  <si>
    <t>Ley 1932</t>
  </si>
  <si>
    <t>Obra social</t>
  </si>
  <si>
    <t>F. Nac. Des.</t>
  </si>
  <si>
    <t>S. de Vida</t>
  </si>
  <si>
    <t>ART (Aprox.)</t>
  </si>
  <si>
    <t>Area</t>
  </si>
  <si>
    <t>Puesto</t>
  </si>
  <si>
    <t>Sueldo bruto</t>
  </si>
  <si>
    <t>Gerencia</t>
  </si>
  <si>
    <t>Marketing</t>
  </si>
  <si>
    <t>Tecnología</t>
  </si>
  <si>
    <t>Administración</t>
  </si>
  <si>
    <t>Comercialización</t>
  </si>
  <si>
    <t>Producción</t>
  </si>
  <si>
    <t>Costo mensual por puesto</t>
  </si>
  <si>
    <t>$ 18,57 c/u</t>
  </si>
  <si>
    <t>Total aportes</t>
  </si>
  <si>
    <t>Costo mensual para empresa</t>
  </si>
  <si>
    <t>Junio + SAC</t>
  </si>
  <si>
    <t>Diciembre + SAC</t>
  </si>
  <si>
    <t>Costos de RRHH - Año 2019</t>
  </si>
  <si>
    <t>Totales</t>
  </si>
  <si>
    <t>Costos de RRHH - Año 2020</t>
  </si>
  <si>
    <t>Costos de RRHH - Año 2021</t>
  </si>
  <si>
    <t>Costos Fijos</t>
  </si>
  <si>
    <t>Costos variables</t>
  </si>
  <si>
    <t>Costos de RRHH</t>
  </si>
  <si>
    <t>Costos totales</t>
  </si>
  <si>
    <t>Objetivo ingresos</t>
  </si>
  <si>
    <t>Modelo de Inversión</t>
  </si>
  <si>
    <t>Inversión Inicial</t>
  </si>
  <si>
    <t>Inversión inicial - Año cero</t>
  </si>
  <si>
    <t>Sierra Circular De Banco</t>
  </si>
  <si>
    <t>Tijera cortadora de tubos de pvc</t>
  </si>
  <si>
    <t>Taladro y amalodora</t>
  </si>
  <si>
    <t>Kit de herramientas</t>
  </si>
  <si>
    <t>Precio unitario</t>
  </si>
  <si>
    <t>Inversión - Año 2019</t>
  </si>
  <si>
    <t>Notebook</t>
  </si>
  <si>
    <t>Silla</t>
  </si>
  <si>
    <t>Referencia</t>
  </si>
  <si>
    <t>Desarrollo de plataforma web</t>
  </si>
  <si>
    <t>Camioneta RENAULT MASTER L1H1</t>
  </si>
  <si>
    <t>Escritorio de oficina</t>
  </si>
  <si>
    <t>Impresora multifuncion con toner</t>
  </si>
  <si>
    <t>Celular Samsung J2 Core</t>
  </si>
  <si>
    <t>Computadora de escritorio + monitor 19''</t>
  </si>
  <si>
    <t>Estanteria Metálica 42x90x2mts</t>
  </si>
  <si>
    <t>Inversión - Año 2020</t>
  </si>
  <si>
    <t>Inversión - Año 2021</t>
  </si>
  <si>
    <r>
      <t xml:space="preserve">El emprendimiento saldrá al mercado habiendo invertido previamente en:
* </t>
    </r>
    <r>
      <rPr>
        <b/>
        <u/>
        <sz val="14"/>
        <color theme="1"/>
        <rFont val="Calibri"/>
        <family val="2"/>
        <scheme val="minor"/>
      </rPr>
      <t>La plataforma digital</t>
    </r>
    <r>
      <rPr>
        <b/>
        <sz val="14"/>
        <color theme="1"/>
        <rFont val="Calibri"/>
        <family val="2"/>
        <scheme val="minor"/>
      </rPr>
      <t xml:space="preserve">, cuyo desarrollo fue tercerizado con una consultora, será mantenido y ampliado por un reducido equipo de sistemas en una primera instancia.
* </t>
    </r>
    <r>
      <rPr>
        <b/>
        <u/>
        <sz val="14"/>
        <color theme="1"/>
        <rFont val="Calibri"/>
        <family val="2"/>
        <scheme val="minor"/>
      </rPr>
      <t>Alquiler de inmuebles</t>
    </r>
    <r>
      <rPr>
        <b/>
        <sz val="14"/>
        <color theme="1"/>
        <rFont val="Calibri"/>
        <family val="2"/>
        <scheme val="minor"/>
      </rPr>
      <t xml:space="preserve"> para oficina y atención al público (con una sala adaptada para dar los cursos) y otra de mayor dimensión para el montaje de huertas hidropónicas y depósito de todos los productos ofertados.
* </t>
    </r>
    <r>
      <rPr>
        <b/>
        <u/>
        <sz val="14"/>
        <color theme="1"/>
        <rFont val="Calibri"/>
        <family val="2"/>
        <scheme val="minor"/>
      </rPr>
      <t>Distribución</t>
    </r>
    <r>
      <rPr>
        <b/>
        <sz val="14"/>
        <color theme="1"/>
        <rFont val="Calibri"/>
        <family val="2"/>
        <scheme val="minor"/>
      </rPr>
      <t>: Se contará con 2 camionetas para el envío de los kits de huertas hidropónicas. El resto de los productos de menor tamaño será tercerizado a través de Mercado Envíos.
Además:
* Los talleres prácticos de hidroponía se llevarán a cabo por un capacitador 2 veces por semana, ofreciendo 15 cupos como máximo por clase.
* En noviembre se incorporará a un analista funcional para iniciar proyectos de mejoras del sistema.
* El jefe de producción y un operario técnico especializado podrán afrontar la capacidad operativa de producción según la demanda estimada.</t>
    </r>
  </si>
  <si>
    <t>Silla de escritorio regulable</t>
  </si>
  <si>
    <t>Notebook Asus Amd A6-9225</t>
  </si>
  <si>
    <t>(+5)  estantería</t>
  </si>
  <si>
    <t>(+1)  recambio de herramientas</t>
  </si>
  <si>
    <t>Amortización</t>
  </si>
  <si>
    <t>Rubro</t>
  </si>
  <si>
    <t>Año cero</t>
  </si>
  <si>
    <t>Taladro y amoladora</t>
  </si>
  <si>
    <t>Amortización
( en años )</t>
  </si>
  <si>
    <t>Valor de adquisiciones</t>
  </si>
  <si>
    <t>Estantería Metálica 42x90x2mts</t>
  </si>
  <si>
    <t>(+) 1 camioneta</t>
  </si>
  <si>
    <t>* En febrero se amplía el personal contratando a un empleado para el soporte técnico.
* En septiembre, al preveer un aumento fuerte de la demanda, se incorpora a un operario de línea, un nuevo empleado de atención al público y a un distribuidor junto con una camioneta para reparto.</t>
  </si>
  <si>
    <t>Herramientas y muebles para Producción</t>
  </si>
  <si>
    <t>Vehículos</t>
  </si>
  <si>
    <t>Informática y comunicaciones</t>
  </si>
  <si>
    <t>Muebles de oficina</t>
  </si>
  <si>
    <t>Año 2020</t>
  </si>
  <si>
    <t>Año 2021</t>
  </si>
  <si>
    <t>Costos fijos</t>
  </si>
  <si>
    <t>-</t>
  </si>
  <si>
    <t>Egresos</t>
  </si>
  <si>
    <t>Utilidad Antes de Impuestos (UAII)</t>
  </si>
  <si>
    <t>Impuesto Ingresos Brutos (3%) (IIB)</t>
  </si>
  <si>
    <t>Monto Imponible</t>
  </si>
  <si>
    <t>Impuesto a las ganancias (35%) (IIGG)</t>
  </si>
  <si>
    <t>Utilidad despues de Impuestos (UDII)</t>
  </si>
  <si>
    <t>Inversión</t>
  </si>
  <si>
    <t>Flujo de Fondos (FF)</t>
  </si>
  <si>
    <t>Tasa de Corte</t>
  </si>
  <si>
    <t>VAN</t>
  </si>
  <si>
    <t>TIR</t>
  </si>
  <si>
    <t>Ejercicio</t>
  </si>
  <si>
    <t>Inicio</t>
  </si>
  <si>
    <t>(+1)  escritorio</t>
  </si>
  <si>
    <t>(+1)  silla</t>
  </si>
  <si>
    <t>(+1 )  distribuidor</t>
  </si>
  <si>
    <t>Camioneta Fiat Ducato 2019</t>
  </si>
  <si>
    <t>Riesgo</t>
  </si>
  <si>
    <t>Causa</t>
  </si>
  <si>
    <t>Efecto</t>
  </si>
  <si>
    <t>Probabilidad</t>
  </si>
  <si>
    <t>Impacto</t>
  </si>
  <si>
    <t>Alto</t>
  </si>
  <si>
    <t>Media</t>
  </si>
  <si>
    <t>Escenario 2</t>
  </si>
  <si>
    <t>Medio</t>
  </si>
  <si>
    <t>Baja</t>
  </si>
  <si>
    <t>Bajo</t>
  </si>
  <si>
    <t>Demora de un mes en el desarrollo del plan tecnológico.</t>
  </si>
  <si>
    <t>Se demora la implementación del sistema</t>
  </si>
  <si>
    <t>Escenario 3</t>
  </si>
  <si>
    <t>Número</t>
  </si>
  <si>
    <t>La marca de nuentro competidor adquiere una excelente imagen pública y logra mayor difusión en nuestro mercado meta.</t>
  </si>
  <si>
    <t>Costos</t>
  </si>
  <si>
    <t>Stock inicial del modelo - Agrogome Mini</t>
  </si>
  <si>
    <t>Stock inicial del modelo - Agrogome Classic</t>
  </si>
  <si>
    <t>Stock inicial del modelo - Agrogome Professional</t>
  </si>
  <si>
    <t>Stock inicial de insumos para iniciar producción</t>
  </si>
  <si>
    <t>Se pierde un 25% de nuestros clientes que escogen a nuestra competencia.</t>
  </si>
  <si>
    <t>El gobierno lanza un programa para impulsar el cultivo en hogares subsidiando en un 50% la compra de huertas hogareñas pero sale elegido un competidor directo como proveedor para esta campaña.</t>
  </si>
  <si>
    <t>Aumento tarifario de servicios básicos</t>
  </si>
  <si>
    <t>Se encarece la tarifa de energía eléctrica en un 35%</t>
  </si>
  <si>
    <t>El gobierno reduce subsidios.</t>
  </si>
  <si>
    <t>Problemas de disponibilidad de plataforma web</t>
  </si>
  <si>
    <t>Utilización del enlace secundario, lentitud en acceso a la plataforma. Aumenta la tasa de quejas teléfonicas.</t>
  </si>
  <si>
    <t>Incendio en instalaciones</t>
  </si>
  <si>
    <t>Robo en sucursal</t>
  </si>
  <si>
    <t>Renuncia del gerente general</t>
  </si>
  <si>
    <t>Disminución de la participación en los talleres presenciales</t>
  </si>
  <si>
    <t>Daños en vehículo de distribución.</t>
  </si>
  <si>
    <t>Aparición de un nuevo competidor chino en nuestro mercado.</t>
  </si>
  <si>
    <t>Bloqueo de importaciones</t>
  </si>
  <si>
    <t>Rotación del personal</t>
  </si>
  <si>
    <t>ESCENARIO 1</t>
  </si>
  <si>
    <t>Escenario 1</t>
  </si>
  <si>
    <t>Ajustes</t>
  </si>
  <si>
    <t>Costo fijo</t>
  </si>
  <si>
    <t>Costo variable</t>
  </si>
  <si>
    <t>Costo RRHH</t>
  </si>
  <si>
    <t>Costos RRHH</t>
  </si>
  <si>
    <t>Lanzamiento de un nuevo producto de la competencia.</t>
  </si>
  <si>
    <t>Ingresos objetivo</t>
  </si>
  <si>
    <t>ESCENARIO 2</t>
  </si>
  <si>
    <t>Un operario pierde una extremididad con la sierra tras un desperfecto en la máquina por falta de mantenimiento. Esto ocurre en el 2do período.</t>
  </si>
  <si>
    <t>Pago de juicio por indemnización a operario en accidente laboral no cubierto por ART.</t>
  </si>
  <si>
    <t>Riesgo n°10</t>
  </si>
  <si>
    <t>ESCENARIO 3</t>
  </si>
  <si>
    <t>Pago de indeminización por $3.500.000 más $300.000 por costas legales.</t>
  </si>
  <si>
    <t>Costo variable incorporado 
en ejercicio 2020</t>
  </si>
  <si>
    <t>Riesgo n°3</t>
  </si>
  <si>
    <t>Se posterga la implementación un mes retrasando el crecimiento.</t>
  </si>
  <si>
    <t>Corte inesperado del enlace de Fibra óptica de nuestro proveedor principal.</t>
  </si>
  <si>
    <t>Aumento inflacionario de un 60% en el año 2020.</t>
  </si>
  <si>
    <t>El cambio de Gobierno acrecentó la crisis económica del modelo anterior. Nuestro potenciales clientes disponen de menos dinero para invertir en gustos personales.</t>
  </si>
  <si>
    <t>Caen las ventas un 10% en 2020 y 2021.</t>
  </si>
  <si>
    <t>Se pierden clientes de nuestro nicho de mercado y caen un 20% nuestras ventas en 2021</t>
  </si>
  <si>
    <t>Ajustes en ingresos y costos variables</t>
  </si>
  <si>
    <t>Riesgo n°1</t>
  </si>
  <si>
    <t>PLAN DE CONTINGENCIA</t>
  </si>
  <si>
    <t>Plan de contingencia para escenario 3</t>
  </si>
  <si>
    <t>Con plan de contingencia</t>
  </si>
  <si>
    <t>Ajustes en ingresos y costos variables por escenario 3</t>
  </si>
  <si>
    <t>Medidas de contingencia</t>
  </si>
  <si>
    <t>Ahorro en Inversión 2021</t>
  </si>
  <si>
    <t>Ahorro en costos de RRHH 2021</t>
  </si>
  <si>
    <t>Ahorro en costos de RRHH 2020</t>
  </si>
  <si>
    <t>* En mayo se contratará a un especilista en marketing para ejecutar planes de acción de promociones y RRPP para posicionar mejor a nuestra empresa y alcanzar el objetivo planificado en el último ejercicio. 
* En julio se invierte ampliando las estanterías del depósito y en compra de nuevas herramientas.
* En diciembre se incoporará un capacitador por la proyección del aumento de la demanda de los cursos y en conjunto se ampliará la sala con 5 vacantes nuevas.
* En diciembre se contratará a un operario de producción ya que la demanda de productos fabricados superará la capacidad operativa de los operarios actuales.</t>
  </si>
  <si>
    <r>
      <t xml:space="preserve">El plan de contingencia que se adoptará para este riesgo de reducción de ventas será la implementación de una política de ajuste en la cual no se contratará nuevos empleados en estos dos años, ni se comprará el nuevo vehículo para la distribución.
</t>
    </r>
    <r>
      <rPr>
        <b/>
        <sz val="11"/>
        <color theme="1"/>
        <rFont val="Calibri"/>
        <family val="2"/>
        <scheme val="minor"/>
      </rPr>
      <t xml:space="preserve">
Medida 1:</t>
    </r>
    <r>
      <rPr>
        <sz val="11"/>
        <color theme="1"/>
        <rFont val="Calibri"/>
        <family val="2"/>
        <scheme val="minor"/>
      </rPr>
      <t xml:space="preserve"> No será necesario la adquisición del vehículo extra como inversión del año 2021.  (Ahorro: $1.234.590,00).
</t>
    </r>
    <r>
      <rPr>
        <b/>
        <sz val="11"/>
        <color theme="1"/>
        <rFont val="Calibri"/>
        <family val="2"/>
        <scheme val="minor"/>
      </rPr>
      <t>Medida 2:</t>
    </r>
    <r>
      <rPr>
        <sz val="11"/>
        <color theme="1"/>
        <rFont val="Calibri"/>
        <family val="2"/>
        <scheme val="minor"/>
      </rPr>
      <t xml:space="preserve"> Se decidirá por no contratar a:
1 operario técnico especializado en enero de 2021, ahorrando $634.277,41 en 2021.
</t>
    </r>
    <r>
      <rPr>
        <b/>
        <sz val="11"/>
        <color theme="1"/>
        <rFont val="Calibri"/>
        <family val="2"/>
        <scheme val="minor"/>
      </rPr>
      <t xml:space="preserve">
Medida 3: </t>
    </r>
    <r>
      <rPr>
        <sz val="11"/>
        <color theme="1"/>
        <rFont val="Calibri"/>
        <family val="2"/>
        <scheme val="minor"/>
      </rPr>
      <t xml:space="preserve">Se decidirá por no contratar a:
1 gerente de marketing en mayo de 2020, ahorrando $549.658,81 en 2020 y $824.488,21 en 2021.
</t>
    </r>
    <r>
      <rPr>
        <b/>
        <sz val="11"/>
        <color theme="1"/>
        <rFont val="Calibri"/>
        <family val="2"/>
        <scheme val="minor"/>
      </rPr>
      <t xml:space="preserve">Medida 4: </t>
    </r>
    <r>
      <rPr>
        <sz val="11"/>
        <color theme="1"/>
        <rFont val="Calibri"/>
        <family val="2"/>
        <scheme val="minor"/>
      </rPr>
      <t xml:space="preserve">Se decidirá por no contratar en septiembre de 2021 al nuevo distribuidor y operario ahorrando $338.313,47 en 2021.
$ 39.036,17 (mismo sueldo) x 4 meses = $ 156.144,68 	
$ 156.144,68  + $ 13.012,06 (SAC) = $ 169.156,74 
$ 169.156,74  * 2 empleados = $ 338.313,47
</t>
    </r>
  </si>
  <si>
    <t>Como se puede observar, aplicando el plan de contingencia se pasa de un escenario de pérdidas, con VAN negativo y TIR a varios puntos de distancia de la tasa de corte deseada, a una situación favorable muy cercana al presupuesto financiero original. Donde el negocio mantiene su rentabilidad financiera al tener un VAN positivo con la misma tasa de corte.</t>
  </si>
  <si>
    <t>Clientes</t>
  </si>
  <si>
    <t>Gasto promedio</t>
  </si>
  <si>
    <t xml:space="preserve">Cant. Total -  </t>
  </si>
  <si>
    <t xml:space="preserve">Producción de </t>
  </si>
  <si>
    <t>MODELO: XXXX</t>
  </si>
  <si>
    <t xml:space="preserve">MODELO: </t>
  </si>
  <si>
    <t xml:space="preserve">Modelo </t>
  </si>
  <si>
    <t>Local comercial d</t>
  </si>
  <si>
    <t xml:space="preserve">Publicidad </t>
  </si>
  <si>
    <t xml:space="preserve">CareMonitor es una empresa que tiene como objetivo el monitoreo a la distancia de adultos mayores. El servicio integra múltiples formas de monitoreo, servicios asistenciales y servicios médicos, centralizando la atención bajo un mismo canal, simplificando el acceso a los mismos. 
CareMonitor responde a varias tendencias mundiales como el envejecimiento de la población, el avance tecnológico, los cambios demográficos y los cambios en el paradigma laboral.
Si bien el objetivo principal está centrado en los adultos mayores, el servicio puede ser usado por cualquier persona que requiera un monitoreo en su cuidado, ya sea por alguna enfermedad o simplemente con la intención de cuidarse a uno mismo. </t>
  </si>
  <si>
    <t>Nuestro Mercado Meta está orientado a personas de cualquier sexo y género, de entre 30 y 60 años, que vivan en Ciudad Autónoma de Buenos Aires, pertenezcan a la Clase Media, Media Alta y Alta; y que tengan un familiar en el rango etario entre 60 y 90 años</t>
  </si>
  <si>
    <r>
      <t>Alumno:</t>
    </r>
    <r>
      <rPr>
        <sz val="14"/>
        <color theme="1"/>
        <rFont val="Arial"/>
        <family val="2"/>
      </rPr>
      <t xml:space="preserve"> Nicolas Javier Rubino</t>
    </r>
  </si>
  <si>
    <r>
      <t xml:space="preserve">Legajo: </t>
    </r>
    <r>
      <rPr>
        <sz val="14"/>
        <color theme="1"/>
        <rFont val="Arial"/>
        <family val="2"/>
      </rPr>
      <t>69800</t>
    </r>
  </si>
  <si>
    <r>
      <t xml:space="preserve">Docentes: Dr. </t>
    </r>
    <r>
      <rPr>
        <sz val="14"/>
        <color theme="1"/>
        <rFont val="Arial"/>
        <family val="2"/>
      </rPr>
      <t>Scali, Jorge - Ing. Parkinson, Christian</t>
    </r>
  </si>
  <si>
    <r>
      <t xml:space="preserve">Comisión: </t>
    </r>
    <r>
      <rPr>
        <sz val="14"/>
        <color theme="1"/>
        <rFont val="Arial"/>
        <family val="2"/>
      </rPr>
      <t>5º B</t>
    </r>
  </si>
  <si>
    <r>
      <t xml:space="preserve">Localización: </t>
    </r>
    <r>
      <rPr>
        <sz val="14"/>
        <color theme="1"/>
        <rFont val="Arial"/>
        <family val="2"/>
      </rPr>
      <t>Centro</t>
    </r>
  </si>
  <si>
    <r>
      <t xml:space="preserve">Email: </t>
    </r>
    <r>
      <rPr>
        <sz val="14"/>
        <color theme="1"/>
        <rFont val="Arial"/>
        <family val="2"/>
      </rPr>
      <t>nicolasjrubino@gmail.com</t>
    </r>
  </si>
  <si>
    <r>
      <t>El objetivo estratégico de nuestro emprendimiento es el de alcanzar el 17</t>
    </r>
    <r>
      <rPr>
        <b/>
        <sz val="14"/>
        <color theme="1"/>
        <rFont val="Calibri"/>
        <family val="2"/>
        <scheme val="minor"/>
      </rPr>
      <t>%</t>
    </r>
    <r>
      <rPr>
        <sz val="14"/>
        <color theme="1"/>
        <rFont val="Calibri"/>
        <family val="2"/>
        <scheme val="minor"/>
      </rPr>
      <t xml:space="preserve"> de penetración del mercado meta </t>
    </r>
    <r>
      <rPr>
        <b/>
        <sz val="14"/>
        <color theme="1"/>
        <rFont val="Calibri"/>
        <family val="2"/>
        <scheme val="minor"/>
      </rPr>
      <t>en un horizonte temporal de 3 años.</t>
    </r>
    <r>
      <rPr>
        <sz val="14"/>
        <color theme="1"/>
        <rFont val="Calibri"/>
        <family val="2"/>
        <scheme val="minor"/>
      </rPr>
      <t xml:space="preserve">
</t>
    </r>
  </si>
  <si>
    <t>MediumCare</t>
  </si>
  <si>
    <t>FullCare</t>
  </si>
  <si>
    <t>InitialCare</t>
  </si>
  <si>
    <t>Capacidad operativa Kick off - Año 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</si>
</sst>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2">
    <numFmt numFmtId="164" formatCode="&quot;$&quot;\ #,##0.00;[Red]\-&quot;$&quot;\ #,##0.00"/>
    <numFmt numFmtId="165" formatCode="_-&quot;$&quot;\ * #,##0.00_-;\-&quot;$&quot;\ * #,##0.00_-;_-&quot;$&quot;\ * &quot;-&quot;??_-;_-@_-"/>
    <numFmt numFmtId="166" formatCode="_-* #,##0.00\ _€_-;\-* #,##0.00\ _€_-;_-* &quot;-&quot;??\ _€_-;_-@_-"/>
    <numFmt numFmtId="167" formatCode="0.0%"/>
    <numFmt numFmtId="168" formatCode="General_)"/>
    <numFmt numFmtId="169" formatCode="_-* #,##0\ _€_-;\-* #,##0\ _€_-;_-* &quot;-&quot;??\ _€_-;_-@_-"/>
    <numFmt numFmtId="170" formatCode="_ [$$-2C0A]\ * #,##0.00_ ;_ [$$-2C0A]\ * \-#,##0.00_ ;_ [$$-2C0A]\ * &quot;-&quot;??_ ;_ @_ "/>
    <numFmt numFmtId="171" formatCode="&quot;$&quot;\ #,##0.00"/>
    <numFmt numFmtId="172" formatCode="#,##0_ ;\-#,##0\ "/>
    <numFmt numFmtId="173" formatCode="&quot;$&quot;#,##0.00"/>
    <numFmt numFmtId="174" formatCode="_ &quot;$&quot;\ * #,##0.00_ ;_ &quot;$&quot;\ * \-#,##0.00_ ;_ &quot;$&quot;\ * &quot;-&quot;??_ ;_ @_ "/>
    <numFmt numFmtId="175" formatCode="&quot;$&quot;#,##0;[Red]\-&quot;$&quot;#,##0"/>
  </numFmts>
  <fonts count="30" x14ac:knownFonts="1">
    <font>
      <sz val="11"/>
      <color theme="1"/>
      <name val="Calibri"/>
      <family val="2"/>
      <scheme val="minor"/>
    </font>
    <font>
      <b/>
      <sz val="14"/>
      <color theme="1"/>
      <name val="Arial"/>
      <family val="2"/>
    </font>
    <font>
      <sz val="14"/>
      <color theme="1"/>
      <name val="Arial"/>
      <family val="2"/>
    </font>
    <font>
      <u/>
      <sz val="11"/>
      <color theme="10"/>
      <name val="Calibri"/>
      <family val="2"/>
      <scheme val="minor"/>
    </font>
    <font>
      <b/>
      <sz val="22"/>
      <color theme="1"/>
      <name val="Calibri"/>
      <family val="2"/>
      <scheme val="minor"/>
    </font>
    <font>
      <b/>
      <sz val="48"/>
      <color theme="0"/>
      <name val="Calibri"/>
      <family val="2"/>
      <scheme val="minor"/>
    </font>
    <font>
      <b/>
      <sz val="36"/>
      <color theme="0"/>
      <name val="Calibri"/>
      <family val="2"/>
      <scheme val="minor"/>
    </font>
    <font>
      <sz val="14"/>
      <color theme="1"/>
      <name val="Calibri"/>
      <family val="2"/>
      <scheme val="minor"/>
    </font>
    <font>
      <b/>
      <sz val="16"/>
      <color theme="1"/>
      <name val="Calibri"/>
      <family val="2"/>
      <scheme val="minor"/>
    </font>
    <font>
      <sz val="12"/>
      <color theme="1"/>
      <name val="Calibri"/>
      <family val="2"/>
      <scheme val="minor"/>
    </font>
    <font>
      <sz val="11"/>
      <color theme="1"/>
      <name val="Calibri"/>
      <family val="2"/>
      <scheme val="minor"/>
    </font>
    <font>
      <b/>
      <sz val="11"/>
      <color theme="1"/>
      <name val="Calibri"/>
      <family val="2"/>
      <scheme val="minor"/>
    </font>
    <font>
      <b/>
      <sz val="12"/>
      <color theme="1"/>
      <name val="Calibri"/>
      <family val="2"/>
      <scheme val="minor"/>
    </font>
    <font>
      <sz val="11"/>
      <name val="Calibri"/>
      <family val="2"/>
      <scheme val="minor"/>
    </font>
    <font>
      <b/>
      <sz val="20"/>
      <name val="Calibri"/>
      <family val="2"/>
      <scheme val="minor"/>
    </font>
    <font>
      <b/>
      <sz val="36"/>
      <name val="Calibri"/>
      <family val="2"/>
      <scheme val="minor"/>
    </font>
    <font>
      <b/>
      <sz val="48"/>
      <name val="Calibri"/>
      <family val="2"/>
      <scheme val="minor"/>
    </font>
    <font>
      <sz val="10"/>
      <name val="Courier"/>
    </font>
    <font>
      <sz val="8"/>
      <name val="Arial"/>
      <family val="2"/>
    </font>
    <font>
      <b/>
      <sz val="12"/>
      <color theme="1"/>
      <name val="Arial"/>
      <family val="2"/>
    </font>
    <font>
      <b/>
      <sz val="20"/>
      <color theme="1"/>
      <name val="Calibri"/>
      <family val="2"/>
      <scheme val="minor"/>
    </font>
    <font>
      <b/>
      <sz val="14"/>
      <color theme="1"/>
      <name val="Calibri"/>
      <family val="2"/>
      <scheme val="minor"/>
    </font>
    <font>
      <b/>
      <sz val="11"/>
      <color rgb="FF000000"/>
      <name val="Calibri"/>
      <family val="2"/>
      <scheme val="minor"/>
    </font>
    <font>
      <u/>
      <sz val="12"/>
      <color theme="1"/>
      <name val="Calibri"/>
      <family val="2"/>
      <scheme val="minor"/>
    </font>
    <font>
      <b/>
      <u/>
      <sz val="12"/>
      <color theme="1"/>
      <name val="Calibri"/>
      <family val="2"/>
      <scheme val="minor"/>
    </font>
    <font>
      <b/>
      <u/>
      <sz val="14"/>
      <color theme="1"/>
      <name val="Calibri"/>
      <family val="2"/>
      <scheme val="minor"/>
    </font>
    <font>
      <sz val="8"/>
      <name val="Calibri"/>
      <family val="2"/>
      <scheme val="minor"/>
    </font>
    <font>
      <sz val="11"/>
      <color rgb="FF000000"/>
      <name val="Calibri"/>
      <family val="2"/>
      <scheme val="minor"/>
    </font>
    <font>
      <b/>
      <sz val="11"/>
      <name val="Calibri"/>
      <family val="2"/>
      <scheme val="minor"/>
    </font>
    <font>
      <b/>
      <sz val="18"/>
      <color theme="1"/>
      <name val="Calibri"/>
      <family val="2"/>
      <scheme val="minor"/>
    </font>
  </fonts>
  <fills count="21">
    <fill>
      <patternFill patternType="none"/>
    </fill>
    <fill>
      <patternFill patternType="gray125"/>
    </fill>
    <fill>
      <patternFill patternType="solid">
        <fgColor theme="0"/>
        <bgColor indexed="64"/>
      </patternFill>
    </fill>
    <fill>
      <patternFill patternType="solid">
        <fgColor rgb="FF7AFA72"/>
        <bgColor indexed="64"/>
      </patternFill>
    </fill>
    <fill>
      <patternFill patternType="solid">
        <fgColor indexed="9"/>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rgb="FFFFFF00"/>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1"/>
        <bgColor indexed="64"/>
      </patternFill>
    </fill>
    <fill>
      <patternFill patternType="solid">
        <fgColor theme="9"/>
        <bgColor indexed="64"/>
      </patternFill>
    </fill>
    <fill>
      <patternFill patternType="solid">
        <fgColor theme="5" tint="0.59999389629810485"/>
        <bgColor indexed="64"/>
      </patternFill>
    </fill>
    <fill>
      <patternFill patternType="solid">
        <fgColor theme="4" tint="0.59999389629810485"/>
        <bgColor indexed="64"/>
      </patternFill>
    </fill>
    <fill>
      <patternFill patternType="solid">
        <fgColor theme="6" tint="0.59999389629810485"/>
        <bgColor indexed="64"/>
      </patternFill>
    </fill>
    <fill>
      <patternFill patternType="solid">
        <fgColor rgb="FF92D050"/>
        <bgColor indexed="64"/>
      </patternFill>
    </fill>
    <fill>
      <patternFill patternType="solid">
        <fgColor rgb="FFFFC000"/>
        <bgColor indexed="64"/>
      </patternFill>
    </fill>
  </fills>
  <borders count="112">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medium">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style="medium">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top/>
      <bottom style="thin">
        <color indexed="64"/>
      </bottom>
      <diagonal/>
    </border>
    <border>
      <left/>
      <right style="thin">
        <color indexed="64"/>
      </right>
      <top style="medium">
        <color indexed="64"/>
      </top>
      <bottom/>
      <diagonal/>
    </border>
    <border>
      <left style="thin">
        <color indexed="64"/>
      </left>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diagonal/>
    </border>
    <border>
      <left style="thin">
        <color indexed="64"/>
      </left>
      <right style="medium">
        <color indexed="64"/>
      </right>
      <top/>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style="medium">
        <color indexed="64"/>
      </right>
      <top style="medium">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medium">
        <color indexed="64"/>
      </top>
      <bottom/>
      <diagonal/>
    </border>
    <border>
      <left/>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right style="thin">
        <color indexed="64"/>
      </right>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bottom style="thin">
        <color indexed="64"/>
      </bottom>
      <diagonal/>
    </border>
    <border>
      <left/>
      <right style="thin">
        <color indexed="64"/>
      </right>
      <top style="thin">
        <color indexed="64"/>
      </top>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right/>
      <top/>
      <bottom style="thin">
        <color indexed="64"/>
      </bottom>
      <diagonal/>
    </border>
    <border>
      <left style="thin">
        <color indexed="64"/>
      </left>
      <right/>
      <top/>
      <bottom style="medium">
        <color indexed="64"/>
      </bottom>
      <diagonal/>
    </border>
    <border>
      <left/>
      <right style="thin">
        <color indexed="64"/>
      </right>
      <top/>
      <bottom style="medium">
        <color indexed="64"/>
      </bottom>
      <diagonal/>
    </border>
    <border>
      <left/>
      <right style="thin">
        <color indexed="64"/>
      </right>
      <top/>
      <bottom/>
      <diagonal/>
    </border>
    <border>
      <left style="thin">
        <color theme="4" tint="-0.249977111117893"/>
      </left>
      <right style="thin">
        <color theme="4" tint="-0.249977111117893"/>
      </right>
      <top style="thin">
        <color theme="4" tint="-0.249977111117893"/>
      </top>
      <bottom style="thin">
        <color theme="4" tint="-0.249977111117893"/>
      </bottom>
      <diagonal/>
    </border>
    <border>
      <left style="medium">
        <color theme="4" tint="-0.249977111117893"/>
      </left>
      <right style="medium">
        <color theme="4" tint="-0.249977111117893"/>
      </right>
      <top style="medium">
        <color theme="4" tint="-0.249977111117893"/>
      </top>
      <bottom style="medium">
        <color theme="4" tint="-0.249977111117893"/>
      </bottom>
      <diagonal/>
    </border>
    <border>
      <left style="medium">
        <color theme="4" tint="-0.249977111117893"/>
      </left>
      <right style="medium">
        <color theme="4" tint="-0.249977111117893"/>
      </right>
      <top style="medium">
        <color theme="4" tint="-0.249977111117893"/>
      </top>
      <bottom/>
      <diagonal/>
    </border>
    <border>
      <left style="medium">
        <color theme="4" tint="-0.249977111117893"/>
      </left>
      <right style="medium">
        <color theme="4" tint="-0.249977111117893"/>
      </right>
      <top/>
      <bottom/>
      <diagonal/>
    </border>
    <border>
      <left style="medium">
        <color theme="4" tint="-0.249977111117893"/>
      </left>
      <right style="medium">
        <color theme="4" tint="-0.249977111117893"/>
      </right>
      <top/>
      <bottom style="medium">
        <color theme="4" tint="-0.249977111117893"/>
      </bottom>
      <diagonal/>
    </border>
    <border>
      <left style="medium">
        <color theme="4" tint="-0.249977111117893"/>
      </left>
      <right/>
      <top style="medium">
        <color theme="4" tint="-0.249977111117893"/>
      </top>
      <bottom style="medium">
        <color theme="4" tint="-0.249977111117893"/>
      </bottom>
      <diagonal/>
    </border>
    <border>
      <left/>
      <right/>
      <top style="medium">
        <color theme="4" tint="-0.249977111117893"/>
      </top>
      <bottom style="medium">
        <color theme="4" tint="-0.249977111117893"/>
      </bottom>
      <diagonal/>
    </border>
    <border>
      <left/>
      <right style="medium">
        <color theme="4" tint="-0.249977111117893"/>
      </right>
      <top style="medium">
        <color theme="4" tint="-0.249977111117893"/>
      </top>
      <bottom style="medium">
        <color theme="4" tint="-0.249977111117893"/>
      </bottom>
      <diagonal/>
    </border>
    <border>
      <left style="medium">
        <color theme="4" tint="-0.249977111117893"/>
      </left>
      <right style="thin">
        <color indexed="64"/>
      </right>
      <top style="medium">
        <color theme="4" tint="-0.249977111117893"/>
      </top>
      <bottom style="medium">
        <color indexed="64"/>
      </bottom>
      <diagonal/>
    </border>
    <border>
      <left style="thin">
        <color indexed="64"/>
      </left>
      <right style="thin">
        <color indexed="64"/>
      </right>
      <top style="medium">
        <color theme="4" tint="-0.249977111117893"/>
      </top>
      <bottom style="medium">
        <color indexed="64"/>
      </bottom>
      <diagonal/>
    </border>
    <border>
      <left style="thin">
        <color indexed="64"/>
      </left>
      <right style="medium">
        <color theme="4" tint="-0.249977111117893"/>
      </right>
      <top style="medium">
        <color theme="4" tint="-0.249977111117893"/>
      </top>
      <bottom style="medium">
        <color indexed="64"/>
      </bottom>
      <diagonal/>
    </border>
    <border>
      <left style="medium">
        <color theme="4" tint="-0.249977111117893"/>
      </left>
      <right style="thin">
        <color indexed="64"/>
      </right>
      <top/>
      <bottom style="medium">
        <color theme="4" tint="-0.249977111117893"/>
      </bottom>
      <diagonal/>
    </border>
    <border>
      <left style="thin">
        <color indexed="64"/>
      </left>
      <right style="thin">
        <color indexed="64"/>
      </right>
      <top/>
      <bottom style="medium">
        <color theme="4" tint="-0.249977111117893"/>
      </bottom>
      <diagonal/>
    </border>
    <border>
      <left style="thin">
        <color indexed="64"/>
      </left>
      <right style="medium">
        <color theme="4" tint="-0.249977111117893"/>
      </right>
      <top/>
      <bottom style="medium">
        <color theme="4" tint="-0.249977111117893"/>
      </bottom>
      <diagonal/>
    </border>
    <border>
      <left style="medium">
        <color theme="4" tint="-0.249977111117893"/>
      </left>
      <right style="thin">
        <color indexed="64"/>
      </right>
      <top style="medium">
        <color theme="4" tint="-0.249977111117893"/>
      </top>
      <bottom style="medium">
        <color theme="4" tint="-0.249977111117893"/>
      </bottom>
      <diagonal/>
    </border>
    <border>
      <left style="thin">
        <color indexed="64"/>
      </left>
      <right style="thin">
        <color indexed="64"/>
      </right>
      <top style="medium">
        <color theme="4" tint="-0.249977111117893"/>
      </top>
      <bottom style="medium">
        <color theme="4" tint="-0.249977111117893"/>
      </bottom>
      <diagonal/>
    </border>
    <border>
      <left style="thin">
        <color indexed="64"/>
      </left>
      <right style="medium">
        <color theme="4" tint="-0.249977111117893"/>
      </right>
      <top style="medium">
        <color theme="4" tint="-0.249977111117893"/>
      </top>
      <bottom style="medium">
        <color theme="4" tint="-0.249977111117893"/>
      </bottom>
      <diagonal/>
    </border>
    <border>
      <left style="medium">
        <color theme="4" tint="-0.249977111117893"/>
      </left>
      <right style="thin">
        <color indexed="64"/>
      </right>
      <top/>
      <bottom style="thin">
        <color indexed="64"/>
      </bottom>
      <diagonal/>
    </border>
    <border>
      <left style="thin">
        <color indexed="64"/>
      </left>
      <right style="medium">
        <color theme="4" tint="-0.249977111117893"/>
      </right>
      <top/>
      <bottom style="thin">
        <color indexed="64"/>
      </bottom>
      <diagonal/>
    </border>
    <border>
      <left style="medium">
        <color theme="4" tint="-0.249977111117893"/>
      </left>
      <right style="thin">
        <color indexed="64"/>
      </right>
      <top style="thin">
        <color indexed="64"/>
      </top>
      <bottom style="thin">
        <color indexed="64"/>
      </bottom>
      <diagonal/>
    </border>
    <border>
      <left style="thin">
        <color indexed="64"/>
      </left>
      <right style="medium">
        <color theme="4" tint="-0.249977111117893"/>
      </right>
      <top style="thin">
        <color indexed="64"/>
      </top>
      <bottom style="thin">
        <color indexed="64"/>
      </bottom>
      <diagonal/>
    </border>
    <border>
      <left style="medium">
        <color theme="4" tint="-0.249977111117893"/>
      </left>
      <right style="thin">
        <color indexed="64"/>
      </right>
      <top style="thin">
        <color indexed="64"/>
      </top>
      <bottom style="medium">
        <color theme="4" tint="-0.249977111117893"/>
      </bottom>
      <diagonal/>
    </border>
    <border>
      <left style="thin">
        <color indexed="64"/>
      </left>
      <right style="thin">
        <color indexed="64"/>
      </right>
      <top style="thin">
        <color indexed="64"/>
      </top>
      <bottom style="medium">
        <color theme="4" tint="-0.249977111117893"/>
      </bottom>
      <diagonal/>
    </border>
    <border>
      <left style="thin">
        <color indexed="64"/>
      </left>
      <right style="medium">
        <color theme="4" tint="-0.249977111117893"/>
      </right>
      <top style="thin">
        <color indexed="64"/>
      </top>
      <bottom style="medium">
        <color theme="4" tint="-0.249977111117893"/>
      </bottom>
      <diagonal/>
    </border>
    <border>
      <left style="medium">
        <color theme="4" tint="-0.249977111117893"/>
      </left>
      <right style="thin">
        <color indexed="64"/>
      </right>
      <top style="medium">
        <color theme="4" tint="-0.249977111117893"/>
      </top>
      <bottom style="thin">
        <color indexed="64"/>
      </bottom>
      <diagonal/>
    </border>
    <border>
      <left style="thin">
        <color indexed="64"/>
      </left>
      <right style="thin">
        <color indexed="64"/>
      </right>
      <top style="medium">
        <color theme="4" tint="-0.249977111117893"/>
      </top>
      <bottom style="thin">
        <color indexed="64"/>
      </bottom>
      <diagonal/>
    </border>
    <border>
      <left style="thin">
        <color indexed="64"/>
      </left>
      <right style="medium">
        <color theme="4" tint="-0.249977111117893"/>
      </right>
      <top style="medium">
        <color theme="4" tint="-0.249977111117893"/>
      </top>
      <bottom style="thin">
        <color indexed="64"/>
      </bottom>
      <diagonal/>
    </border>
    <border>
      <left style="medium">
        <color theme="4" tint="-0.249977111117893"/>
      </left>
      <right style="thin">
        <color indexed="64"/>
      </right>
      <top/>
      <bottom/>
      <diagonal/>
    </border>
    <border>
      <left/>
      <right/>
      <top style="medium">
        <color theme="4" tint="-0.249977111117893"/>
      </top>
      <bottom/>
      <diagonal/>
    </border>
    <border>
      <left/>
      <right style="medium">
        <color theme="4" tint="-0.249977111117893"/>
      </right>
      <top style="medium">
        <color theme="4" tint="-0.249977111117893"/>
      </top>
      <bottom/>
      <diagonal/>
    </border>
    <border>
      <left style="medium">
        <color theme="4" tint="-0.249977111117893"/>
      </left>
      <right/>
      <top style="medium">
        <color theme="4" tint="-0.249977111117893"/>
      </top>
      <bottom/>
      <diagonal/>
    </border>
    <border>
      <left style="medium">
        <color theme="4" tint="-0.249977111117893"/>
      </left>
      <right/>
      <top/>
      <bottom/>
      <diagonal/>
    </border>
    <border>
      <left style="medium">
        <color theme="4" tint="-0.249977111117893"/>
      </left>
      <right/>
      <top/>
      <bottom style="medium">
        <color theme="4" tint="-0.249977111117893"/>
      </bottom>
      <diagonal/>
    </border>
    <border>
      <left style="medium">
        <color theme="4" tint="-0.249977111117893"/>
      </left>
      <right style="thin">
        <color indexed="64"/>
      </right>
      <top style="medium">
        <color indexed="64"/>
      </top>
      <bottom/>
      <diagonal/>
    </border>
    <border>
      <left style="medium">
        <color theme="4" tint="-0.249977111117893"/>
      </left>
      <right style="thin">
        <color indexed="64"/>
      </right>
      <top/>
      <bottom style="medium">
        <color indexed="64"/>
      </bottom>
      <diagonal/>
    </border>
  </borders>
  <cellStyleXfs count="7">
    <xf numFmtId="0" fontId="0" fillId="0" borderId="0"/>
    <xf numFmtId="0" fontId="3" fillId="0" borderId="0" applyNumberFormat="0" applyFill="0" applyBorder="0" applyAlignment="0" applyProtection="0"/>
    <xf numFmtId="166" fontId="10" fillId="0" borderId="0" applyFont="0" applyFill="0" applyBorder="0" applyAlignment="0" applyProtection="0"/>
    <xf numFmtId="9" fontId="10" fillId="0" borderId="0" applyFont="0" applyFill="0" applyBorder="0" applyAlignment="0" applyProtection="0"/>
    <xf numFmtId="168" fontId="17" fillId="0" borderId="0"/>
    <xf numFmtId="168" fontId="17" fillId="0" borderId="0"/>
    <xf numFmtId="165" fontId="10" fillId="0" borderId="0" applyFont="0" applyFill="0" applyBorder="0" applyAlignment="0" applyProtection="0"/>
  </cellStyleXfs>
  <cellXfs count="1089">
    <xf numFmtId="0" fontId="0" fillId="0" borderId="0" xfId="0"/>
    <xf numFmtId="0" fontId="0" fillId="2" borderId="0" xfId="0" applyFill="1"/>
    <xf numFmtId="0" fontId="4" fillId="2" borderId="0" xfId="0" applyFont="1" applyFill="1"/>
    <xf numFmtId="0" fontId="1" fillId="2" borderId="0" xfId="0" applyFont="1" applyFill="1" applyAlignment="1">
      <alignment horizontal="left" vertical="center"/>
    </xf>
    <xf numFmtId="0" fontId="0" fillId="2" borderId="0" xfId="0" applyFill="1" applyAlignment="1">
      <alignment vertical="center" wrapText="1"/>
    </xf>
    <xf numFmtId="0" fontId="13" fillId="2" borderId="0" xfId="0" applyFont="1" applyFill="1"/>
    <xf numFmtId="0" fontId="3" fillId="0" borderId="0" xfId="1"/>
    <xf numFmtId="166" fontId="0" fillId="0" borderId="0" xfId="0" applyNumberFormat="1"/>
    <xf numFmtId="167" fontId="0" fillId="0" borderId="0" xfId="3" applyNumberFormat="1" applyFont="1"/>
    <xf numFmtId="0" fontId="0" fillId="0" borderId="0" xfId="0" applyAlignment="1">
      <alignment horizontal="center" vertical="center"/>
    </xf>
    <xf numFmtId="0" fontId="18" fillId="4" borderId="0" xfId="4" applyNumberFormat="1" applyFont="1" applyFill="1" applyAlignment="1">
      <alignment horizontal="center"/>
    </xf>
    <xf numFmtId="3" fontId="18" fillId="4" borderId="0" xfId="4" applyNumberFormat="1" applyFont="1" applyFill="1" applyAlignment="1">
      <alignment horizontal="right"/>
    </xf>
    <xf numFmtId="0" fontId="0" fillId="4" borderId="0" xfId="0" applyFill="1" applyBorder="1"/>
    <xf numFmtId="0" fontId="18" fillId="4" borderId="0" xfId="5" applyNumberFormat="1" applyFont="1" applyFill="1" applyAlignment="1">
      <alignment horizontal="center"/>
    </xf>
    <xf numFmtId="3" fontId="18" fillId="4" borderId="0" xfId="5" applyNumberFormat="1" applyFont="1" applyFill="1" applyAlignment="1">
      <alignment horizontal="right"/>
    </xf>
    <xf numFmtId="0" fontId="0" fillId="0" borderId="1" xfId="0" applyBorder="1"/>
    <xf numFmtId="166" fontId="0" fillId="0" borderId="1" xfId="2" applyFont="1" applyBorder="1"/>
    <xf numFmtId="0" fontId="0" fillId="3" borderId="1" xfId="0" applyFill="1" applyBorder="1" applyAlignment="1">
      <alignment horizontal="center" vertical="center"/>
    </xf>
    <xf numFmtId="0" fontId="0" fillId="3" borderId="1" xfId="0" applyFill="1" applyBorder="1"/>
    <xf numFmtId="166" fontId="0" fillId="3" borderId="1" xfId="0" applyNumberFormat="1" applyFill="1" applyBorder="1"/>
    <xf numFmtId="0" fontId="0" fillId="0" borderId="3" xfId="0" applyBorder="1"/>
    <xf numFmtId="0" fontId="0" fillId="0" borderId="0" xfId="0" applyBorder="1"/>
    <xf numFmtId="166" fontId="0" fillId="0" borderId="2" xfId="2" applyFont="1" applyBorder="1"/>
    <xf numFmtId="0" fontId="9" fillId="2" borderId="0" xfId="0" applyFont="1" applyFill="1" applyBorder="1" applyAlignment="1">
      <alignment horizontal="left" vertical="top" wrapText="1"/>
    </xf>
    <xf numFmtId="0" fontId="11" fillId="5" borderId="1" xfId="0" applyFont="1" applyFill="1" applyBorder="1" applyAlignment="1">
      <alignment horizontal="center" vertical="center"/>
    </xf>
    <xf numFmtId="169" fontId="0" fillId="0" borderId="2" xfId="2" applyNumberFormat="1" applyFont="1" applyBorder="1" applyAlignment="1">
      <alignment horizontal="right"/>
    </xf>
    <xf numFmtId="169" fontId="0" fillId="0" borderId="1" xfId="2" applyNumberFormat="1" applyFont="1" applyBorder="1" applyAlignment="1">
      <alignment horizontal="right"/>
    </xf>
    <xf numFmtId="169" fontId="11" fillId="5" borderId="1" xfId="0" applyNumberFormat="1" applyFont="1" applyFill="1" applyBorder="1" applyAlignment="1">
      <alignment horizontal="right"/>
    </xf>
    <xf numFmtId="9" fontId="9" fillId="2" borderId="1" xfId="3" applyFont="1" applyFill="1" applyBorder="1" applyAlignment="1">
      <alignment horizontal="left" vertical="top" wrapText="1"/>
    </xf>
    <xf numFmtId="0" fontId="0" fillId="2" borderId="0" xfId="0" applyFont="1" applyFill="1"/>
    <xf numFmtId="0" fontId="0" fillId="2" borderId="0" xfId="0" applyFont="1" applyFill="1" applyBorder="1" applyAlignment="1"/>
    <xf numFmtId="0" fontId="0" fillId="2" borderId="0" xfId="0" applyFont="1" applyFill="1" applyBorder="1" applyAlignment="1">
      <alignment horizontal="center"/>
    </xf>
    <xf numFmtId="0" fontId="0" fillId="2" borderId="0" xfId="0" applyFont="1" applyFill="1" applyBorder="1"/>
    <xf numFmtId="171" fontId="0" fillId="2" borderId="1" xfId="0" applyNumberFormat="1" applyFont="1" applyFill="1" applyBorder="1" applyAlignment="1">
      <alignment horizontal="center"/>
    </xf>
    <xf numFmtId="0" fontId="11" fillId="6" borderId="1" xfId="0" applyFont="1" applyFill="1" applyBorder="1" applyAlignment="1">
      <alignment horizontal="center"/>
    </xf>
    <xf numFmtId="171" fontId="0" fillId="2" borderId="0" xfId="0" applyNumberFormat="1" applyFill="1"/>
    <xf numFmtId="0" fontId="0" fillId="0" borderId="1" xfId="0" applyBorder="1" applyAlignment="1">
      <alignment wrapText="1"/>
    </xf>
    <xf numFmtId="0" fontId="0" fillId="0" borderId="3" xfId="0" applyBorder="1" applyAlignment="1">
      <alignment wrapText="1"/>
    </xf>
    <xf numFmtId="0" fontId="11" fillId="5" borderId="1" xfId="0" applyFont="1" applyFill="1" applyBorder="1" applyAlignment="1">
      <alignment wrapText="1"/>
    </xf>
    <xf numFmtId="0" fontId="14" fillId="2" borderId="0" xfId="0" applyFont="1" applyFill="1" applyBorder="1" applyAlignment="1">
      <alignment horizontal="left"/>
    </xf>
    <xf numFmtId="9" fontId="0" fillId="2" borderId="1" xfId="0" applyNumberFormat="1" applyFont="1" applyFill="1" applyBorder="1" applyAlignment="1">
      <alignment horizontal="center"/>
    </xf>
    <xf numFmtId="169" fontId="0" fillId="2" borderId="0" xfId="0" applyNumberFormat="1" applyFill="1"/>
    <xf numFmtId="171" fontId="0" fillId="2" borderId="0" xfId="0" applyNumberFormat="1" applyFill="1" applyBorder="1"/>
    <xf numFmtId="165" fontId="0" fillId="2" borderId="0" xfId="0" applyNumberFormat="1" applyFill="1"/>
    <xf numFmtId="165" fontId="0" fillId="9" borderId="24" xfId="6" applyFont="1" applyFill="1" applyBorder="1"/>
    <xf numFmtId="165" fontId="0" fillId="10" borderId="24" xfId="6" applyFont="1" applyFill="1" applyBorder="1"/>
    <xf numFmtId="165" fontId="0" fillId="11" borderId="24" xfId="6" applyFont="1" applyFill="1" applyBorder="1"/>
    <xf numFmtId="169" fontId="0" fillId="9" borderId="33" xfId="2" applyNumberFormat="1" applyFont="1" applyFill="1" applyBorder="1"/>
    <xf numFmtId="165" fontId="0" fillId="9" borderId="43" xfId="6" applyFont="1" applyFill="1" applyBorder="1"/>
    <xf numFmtId="169" fontId="0" fillId="10" borderId="33" xfId="2" applyNumberFormat="1" applyFont="1" applyFill="1" applyBorder="1"/>
    <xf numFmtId="165" fontId="0" fillId="10" borderId="43" xfId="6" applyFont="1" applyFill="1" applyBorder="1"/>
    <xf numFmtId="169" fontId="0" fillId="11" borderId="33" xfId="2" applyNumberFormat="1" applyFont="1" applyFill="1" applyBorder="1"/>
    <xf numFmtId="165" fontId="0" fillId="11" borderId="43" xfId="6" applyFont="1" applyFill="1" applyBorder="1"/>
    <xf numFmtId="166" fontId="9" fillId="9" borderId="30" xfId="2" applyFont="1" applyFill="1" applyBorder="1" applyAlignment="1"/>
    <xf numFmtId="165" fontId="0" fillId="9" borderId="22" xfId="6" applyFont="1" applyFill="1" applyBorder="1"/>
    <xf numFmtId="169" fontId="0" fillId="9" borderId="30" xfId="2" applyNumberFormat="1" applyFont="1" applyFill="1" applyBorder="1"/>
    <xf numFmtId="165" fontId="0" fillId="9" borderId="47" xfId="6" applyFont="1" applyFill="1" applyBorder="1"/>
    <xf numFmtId="166" fontId="9" fillId="9" borderId="33" xfId="2" applyFont="1" applyFill="1" applyBorder="1" applyAlignment="1"/>
    <xf numFmtId="166" fontId="9" fillId="9" borderId="35" xfId="2" applyFont="1" applyFill="1" applyBorder="1" applyAlignment="1"/>
    <xf numFmtId="165" fontId="0" fillId="9" borderId="39" xfId="6" applyFont="1" applyFill="1" applyBorder="1"/>
    <xf numFmtId="169" fontId="0" fillId="9" borderId="35" xfId="2" applyNumberFormat="1" applyFont="1" applyFill="1" applyBorder="1"/>
    <xf numFmtId="165" fontId="0" fillId="9" borderId="44" xfId="6" applyFont="1" applyFill="1" applyBorder="1"/>
    <xf numFmtId="166" fontId="9" fillId="10" borderId="30" xfId="2" applyFont="1" applyFill="1" applyBorder="1" applyAlignment="1"/>
    <xf numFmtId="165" fontId="0" fillId="10" borderId="22" xfId="6" applyFont="1" applyFill="1" applyBorder="1"/>
    <xf numFmtId="169" fontId="0" fillId="10" borderId="30" xfId="2" applyNumberFormat="1" applyFont="1" applyFill="1" applyBorder="1"/>
    <xf numFmtId="165" fontId="0" fillId="10" borderId="47" xfId="6" applyFont="1" applyFill="1" applyBorder="1"/>
    <xf numFmtId="166" fontId="9" fillId="10" borderId="33" xfId="2" applyFont="1" applyFill="1" applyBorder="1" applyAlignment="1">
      <alignment wrapText="1"/>
    </xf>
    <xf numFmtId="166" fontId="9" fillId="10" borderId="33" xfId="2" applyFont="1" applyFill="1" applyBorder="1" applyAlignment="1"/>
    <xf numFmtId="166" fontId="9" fillId="10" borderId="35" xfId="2" applyFont="1" applyFill="1" applyBorder="1" applyAlignment="1"/>
    <xf numFmtId="165" fontId="0" fillId="10" borderId="39" xfId="6" applyFont="1" applyFill="1" applyBorder="1"/>
    <xf numFmtId="169" fontId="0" fillId="10" borderId="35" xfId="2" applyNumberFormat="1" applyFont="1" applyFill="1" applyBorder="1"/>
    <xf numFmtId="165" fontId="0" fillId="10" borderId="44" xfId="6" applyFont="1" applyFill="1" applyBorder="1"/>
    <xf numFmtId="166" fontId="9" fillId="11" borderId="30" xfId="2" applyFont="1" applyFill="1" applyBorder="1" applyAlignment="1"/>
    <xf numFmtId="165" fontId="0" fillId="11" borderId="22" xfId="6" applyFont="1" applyFill="1" applyBorder="1"/>
    <xf numFmtId="169" fontId="0" fillId="11" borderId="30" xfId="2" applyNumberFormat="1" applyFont="1" applyFill="1" applyBorder="1"/>
    <xf numFmtId="165" fontId="0" fillId="11" borderId="47" xfId="6" applyFont="1" applyFill="1" applyBorder="1"/>
    <xf numFmtId="166" fontId="9" fillId="11" borderId="33" xfId="2" applyFont="1" applyFill="1" applyBorder="1" applyAlignment="1"/>
    <xf numFmtId="166" fontId="9" fillId="11" borderId="35" xfId="2" applyFont="1" applyFill="1" applyBorder="1" applyAlignment="1">
      <alignment vertical="center" wrapText="1"/>
    </xf>
    <xf numFmtId="165" fontId="0" fillId="11" borderId="39" xfId="6" applyFont="1" applyFill="1" applyBorder="1"/>
    <xf numFmtId="169" fontId="0" fillId="11" borderId="35" xfId="2" applyNumberFormat="1" applyFont="1" applyFill="1" applyBorder="1"/>
    <xf numFmtId="165" fontId="0" fillId="11" borderId="44" xfId="6" applyFont="1" applyFill="1" applyBorder="1"/>
    <xf numFmtId="0" fontId="11" fillId="6" borderId="41" xfId="0" applyFont="1" applyFill="1" applyBorder="1" applyAlignment="1">
      <alignment horizontal="center" vertical="center" wrapText="1"/>
    </xf>
    <xf numFmtId="0" fontId="11" fillId="6" borderId="34" xfId="0" applyFont="1" applyFill="1" applyBorder="1" applyAlignment="1">
      <alignment horizontal="center" vertical="center" wrapText="1"/>
    </xf>
    <xf numFmtId="169" fontId="0" fillId="9" borderId="30" xfId="0" applyNumberFormat="1" applyFill="1" applyBorder="1"/>
    <xf numFmtId="169" fontId="0" fillId="9" borderId="33" xfId="0" applyNumberFormat="1" applyFill="1" applyBorder="1"/>
    <xf numFmtId="169" fontId="0" fillId="9" borderId="35" xfId="0" applyNumberFormat="1" applyFill="1" applyBorder="1"/>
    <xf numFmtId="169" fontId="0" fillId="10" borderId="30" xfId="0" applyNumberFormat="1" applyFill="1" applyBorder="1"/>
    <xf numFmtId="169" fontId="0" fillId="10" borderId="33" xfId="0" applyNumberFormat="1" applyFill="1" applyBorder="1"/>
    <xf numFmtId="169" fontId="0" fillId="10" borderId="35" xfId="0" applyNumberFormat="1" applyFill="1" applyBorder="1"/>
    <xf numFmtId="169" fontId="0" fillId="11" borderId="30" xfId="0" applyNumberFormat="1" applyFill="1" applyBorder="1"/>
    <xf numFmtId="169" fontId="0" fillId="11" borderId="33" xfId="0" applyNumberFormat="1" applyFill="1" applyBorder="1"/>
    <xf numFmtId="169" fontId="0" fillId="11" borderId="35" xfId="0" applyNumberFormat="1" applyFill="1" applyBorder="1"/>
    <xf numFmtId="169" fontId="0" fillId="9" borderId="47" xfId="0" applyNumberFormat="1" applyFill="1" applyBorder="1"/>
    <xf numFmtId="169" fontId="0" fillId="9" borderId="43" xfId="0" applyNumberFormat="1" applyFill="1" applyBorder="1"/>
    <xf numFmtId="169" fontId="0" fillId="9" borderId="44" xfId="0" applyNumberFormat="1" applyFill="1" applyBorder="1"/>
    <xf numFmtId="169" fontId="0" fillId="10" borderId="47" xfId="0" applyNumberFormat="1" applyFill="1" applyBorder="1"/>
    <xf numFmtId="169" fontId="0" fillId="10" borderId="43" xfId="0" applyNumberFormat="1" applyFill="1" applyBorder="1"/>
    <xf numFmtId="169" fontId="0" fillId="10" borderId="44" xfId="0" applyNumberFormat="1" applyFill="1" applyBorder="1"/>
    <xf numFmtId="169" fontId="0" fillId="11" borderId="47" xfId="0" applyNumberFormat="1" applyFill="1" applyBorder="1"/>
    <xf numFmtId="169" fontId="0" fillId="11" borderId="43" xfId="0" applyNumberFormat="1" applyFill="1" applyBorder="1"/>
    <xf numFmtId="169" fontId="0" fillId="11" borderId="44" xfId="0" applyNumberFormat="1" applyFill="1" applyBorder="1"/>
    <xf numFmtId="0" fontId="11" fillId="6" borderId="35" xfId="0" applyFont="1" applyFill="1" applyBorder="1" applyAlignment="1">
      <alignment horizontal="center" vertical="center" wrapText="1"/>
    </xf>
    <xf numFmtId="0" fontId="11" fillId="6" borderId="44" xfId="0" applyFont="1" applyFill="1" applyBorder="1" applyAlignment="1">
      <alignment horizontal="center" vertical="center" wrapText="1"/>
    </xf>
    <xf numFmtId="169" fontId="0" fillId="9" borderId="33" xfId="2" applyNumberFormat="1" applyFont="1" applyFill="1" applyBorder="1" applyAlignment="1">
      <alignment horizontal="center"/>
    </xf>
    <xf numFmtId="169" fontId="0" fillId="10" borderId="33" xfId="2" applyNumberFormat="1" applyFont="1" applyFill="1" applyBorder="1" applyAlignment="1">
      <alignment horizontal="center"/>
    </xf>
    <xf numFmtId="169" fontId="0" fillId="11" borderId="33" xfId="2" applyNumberFormat="1" applyFont="1" applyFill="1" applyBorder="1" applyAlignment="1">
      <alignment horizontal="center"/>
    </xf>
    <xf numFmtId="169" fontId="0" fillId="10" borderId="35" xfId="2" applyNumberFormat="1" applyFont="1" applyFill="1" applyBorder="1" applyAlignment="1">
      <alignment horizontal="center"/>
    </xf>
    <xf numFmtId="169" fontId="0" fillId="9" borderId="30" xfId="2" applyNumberFormat="1" applyFont="1" applyFill="1" applyBorder="1" applyAlignment="1">
      <alignment horizontal="center"/>
    </xf>
    <xf numFmtId="169" fontId="0" fillId="9" borderId="35" xfId="2" applyNumberFormat="1" applyFont="1" applyFill="1" applyBorder="1" applyAlignment="1">
      <alignment horizontal="center"/>
    </xf>
    <xf numFmtId="169" fontId="0" fillId="10" borderId="30" xfId="2" applyNumberFormat="1" applyFont="1" applyFill="1" applyBorder="1" applyAlignment="1">
      <alignment horizontal="center"/>
    </xf>
    <xf numFmtId="169" fontId="0" fillId="10" borderId="42" xfId="2" applyNumberFormat="1" applyFont="1" applyFill="1" applyBorder="1" applyAlignment="1">
      <alignment horizontal="center"/>
    </xf>
    <xf numFmtId="165" fontId="0" fillId="10" borderId="38" xfId="6" applyFont="1" applyFill="1" applyBorder="1"/>
    <xf numFmtId="169" fontId="0" fillId="10" borderId="42" xfId="0" applyNumberFormat="1" applyFill="1" applyBorder="1"/>
    <xf numFmtId="169" fontId="0" fillId="10" borderId="38" xfId="0" applyNumberFormat="1" applyFill="1" applyBorder="1"/>
    <xf numFmtId="169" fontId="0" fillId="11" borderId="30" xfId="2" applyNumberFormat="1" applyFont="1" applyFill="1" applyBorder="1" applyAlignment="1">
      <alignment horizontal="center"/>
    </xf>
    <xf numFmtId="169" fontId="0" fillId="11" borderId="35" xfId="2" applyNumberFormat="1" applyFont="1" applyFill="1" applyBorder="1" applyAlignment="1">
      <alignment horizontal="center"/>
    </xf>
    <xf numFmtId="0" fontId="11" fillId="6" borderId="33" xfId="0" applyFont="1" applyFill="1" applyBorder="1" applyAlignment="1">
      <alignment horizontal="center"/>
    </xf>
    <xf numFmtId="0" fontId="11" fillId="6" borderId="43" xfId="0" applyFont="1" applyFill="1" applyBorder="1" applyAlignment="1">
      <alignment horizontal="center"/>
    </xf>
    <xf numFmtId="9" fontId="0" fillId="2" borderId="33" xfId="0" applyNumberFormat="1" applyFont="1" applyFill="1" applyBorder="1" applyAlignment="1">
      <alignment horizontal="center"/>
    </xf>
    <xf numFmtId="9" fontId="0" fillId="2" borderId="43" xfId="0" applyNumberFormat="1" applyFont="1" applyFill="1" applyBorder="1" applyAlignment="1">
      <alignment horizontal="center"/>
    </xf>
    <xf numFmtId="171" fontId="0" fillId="2" borderId="35" xfId="0" applyNumberFormat="1" applyFont="1" applyFill="1" applyBorder="1" applyAlignment="1">
      <alignment horizontal="center"/>
    </xf>
    <xf numFmtId="171" fontId="0" fillId="2" borderId="36" xfId="0" applyNumberFormat="1" applyFont="1" applyFill="1" applyBorder="1" applyAlignment="1">
      <alignment horizontal="center"/>
    </xf>
    <xf numFmtId="171" fontId="0" fillId="2" borderId="44" xfId="0" applyNumberFormat="1" applyFont="1" applyFill="1" applyBorder="1" applyAlignment="1">
      <alignment horizontal="center"/>
    </xf>
    <xf numFmtId="0" fontId="0" fillId="2" borderId="0" xfId="0" applyFont="1" applyFill="1" applyBorder="1" applyAlignment="1">
      <alignment horizontal="left" vertical="top" wrapText="1"/>
    </xf>
    <xf numFmtId="0" fontId="0" fillId="2" borderId="0" xfId="0" applyFill="1" applyBorder="1"/>
    <xf numFmtId="169" fontId="0" fillId="12" borderId="42" xfId="2" applyNumberFormat="1" applyFont="1" applyFill="1" applyBorder="1"/>
    <xf numFmtId="165" fontId="0" fillId="12" borderId="38" xfId="6" applyFont="1" applyFill="1" applyBorder="1"/>
    <xf numFmtId="169" fontId="0" fillId="12" borderId="42" xfId="0" applyNumberFormat="1" applyFill="1" applyBorder="1"/>
    <xf numFmtId="169" fontId="0" fillId="12" borderId="38" xfId="0" applyNumberFormat="1" applyFill="1" applyBorder="1"/>
    <xf numFmtId="170" fontId="12" fillId="9" borderId="1" xfId="0" applyNumberFormat="1" applyFont="1" applyFill="1" applyBorder="1"/>
    <xf numFmtId="0" fontId="12" fillId="9" borderId="30" xfId="0" applyFont="1" applyFill="1" applyBorder="1"/>
    <xf numFmtId="170" fontId="12" fillId="9" borderId="31" xfId="0" applyNumberFormat="1" applyFont="1" applyFill="1" applyBorder="1"/>
    <xf numFmtId="0" fontId="12" fillId="9" borderId="33" xfId="0" applyFont="1" applyFill="1" applyBorder="1"/>
    <xf numFmtId="0" fontId="12" fillId="9" borderId="35" xfId="0" applyFont="1" applyFill="1" applyBorder="1"/>
    <xf numFmtId="170" fontId="12" fillId="9" borderId="36" xfId="0" applyNumberFormat="1" applyFont="1" applyFill="1" applyBorder="1"/>
    <xf numFmtId="9" fontId="9" fillId="2" borderId="0" xfId="3" applyFont="1" applyFill="1" applyBorder="1" applyAlignment="1">
      <alignment horizontal="left" vertical="top" wrapText="1"/>
    </xf>
    <xf numFmtId="165" fontId="9" fillId="2" borderId="0" xfId="0" applyNumberFormat="1" applyFont="1" applyFill="1" applyBorder="1" applyAlignment="1">
      <alignment horizontal="left" vertical="top" wrapText="1"/>
    </xf>
    <xf numFmtId="171" fontId="0" fillId="2" borderId="58" xfId="0" applyNumberFormat="1" applyFill="1" applyBorder="1" applyAlignment="1">
      <alignment horizontal="left" wrapText="1"/>
    </xf>
    <xf numFmtId="0" fontId="20" fillId="2" borderId="0" xfId="0" applyFont="1" applyFill="1" applyBorder="1" applyAlignment="1">
      <alignment horizontal="center" vertical="center"/>
    </xf>
    <xf numFmtId="171" fontId="0" fillId="2" borderId="0" xfId="0" applyNumberFormat="1" applyFill="1" applyBorder="1" applyAlignment="1"/>
    <xf numFmtId="0" fontId="0" fillId="2" borderId="0" xfId="0" applyFont="1" applyFill="1" applyBorder="1" applyAlignment="1">
      <alignment horizontal="center" vertical="center"/>
    </xf>
    <xf numFmtId="0" fontId="11" fillId="2" borderId="25" xfId="0" applyFont="1" applyFill="1" applyBorder="1" applyAlignment="1">
      <alignment horizontal="center" vertical="center"/>
    </xf>
    <xf numFmtId="0" fontId="11" fillId="8" borderId="16" xfId="0" applyFont="1" applyFill="1" applyBorder="1" applyAlignment="1">
      <alignment horizontal="center"/>
    </xf>
    <xf numFmtId="0" fontId="11" fillId="8" borderId="53" xfId="0" applyFont="1" applyFill="1" applyBorder="1" applyAlignment="1">
      <alignment horizontal="center"/>
    </xf>
    <xf numFmtId="0" fontId="11" fillId="8" borderId="18" xfId="0" applyFont="1" applyFill="1" applyBorder="1" applyAlignment="1">
      <alignment horizontal="center" vertical="center"/>
    </xf>
    <xf numFmtId="0" fontId="0" fillId="8" borderId="57" xfId="0" applyFill="1" applyBorder="1" applyAlignment="1">
      <alignment horizontal="left" wrapText="1"/>
    </xf>
    <xf numFmtId="0" fontId="11" fillId="0" borderId="25" xfId="0" applyFont="1" applyFill="1" applyBorder="1" applyAlignment="1">
      <alignment horizontal="center" vertical="center"/>
    </xf>
    <xf numFmtId="171" fontId="0" fillId="0" borderId="58" xfId="0" applyNumberFormat="1" applyFill="1" applyBorder="1" applyAlignment="1">
      <alignment horizontal="left" wrapText="1"/>
    </xf>
    <xf numFmtId="0" fontId="9" fillId="2" borderId="0" xfId="0" applyFont="1" applyFill="1" applyBorder="1" applyAlignment="1">
      <alignment horizontal="left" vertical="top" wrapText="1"/>
    </xf>
    <xf numFmtId="0" fontId="11" fillId="8" borderId="25" xfId="0" applyFont="1" applyFill="1" applyBorder="1" applyAlignment="1">
      <alignment horizontal="center" vertical="center"/>
    </xf>
    <xf numFmtId="171" fontId="0" fillId="8" borderId="58" xfId="0" applyNumberFormat="1" applyFill="1" applyBorder="1" applyAlignment="1">
      <alignment horizontal="left" wrapText="1"/>
    </xf>
    <xf numFmtId="0" fontId="11" fillId="8" borderId="56" xfId="0" applyFont="1" applyFill="1" applyBorder="1" applyAlignment="1">
      <alignment horizontal="center" vertical="center"/>
    </xf>
    <xf numFmtId="171" fontId="0" fillId="8" borderId="59" xfId="0" applyNumberFormat="1" applyFill="1" applyBorder="1" applyAlignment="1">
      <alignment horizontal="left" wrapText="1"/>
    </xf>
    <xf numFmtId="171" fontId="0" fillId="8" borderId="57" xfId="0" applyNumberFormat="1" applyFill="1" applyBorder="1" applyAlignment="1">
      <alignment horizontal="left" wrapText="1"/>
    </xf>
    <xf numFmtId="0" fontId="11" fillId="8" borderId="25" xfId="0" applyFont="1" applyFill="1" applyBorder="1" applyAlignment="1">
      <alignment horizontal="center" vertical="center" wrapText="1"/>
    </xf>
    <xf numFmtId="171" fontId="0" fillId="8" borderId="58" xfId="0" applyNumberFormat="1" applyFill="1" applyBorder="1" applyAlignment="1">
      <alignment horizontal="left" vertical="center" wrapText="1"/>
    </xf>
    <xf numFmtId="171" fontId="0" fillId="8" borderId="57" xfId="0" applyNumberFormat="1" applyFill="1" applyBorder="1"/>
    <xf numFmtId="171" fontId="0" fillId="8" borderId="59" xfId="0" applyNumberFormat="1" applyFill="1" applyBorder="1"/>
    <xf numFmtId="0" fontId="20" fillId="5" borderId="53" xfId="0" applyFont="1" applyFill="1" applyBorder="1" applyAlignment="1">
      <alignment horizontal="center" vertical="center"/>
    </xf>
    <xf numFmtId="166" fontId="22" fillId="6" borderId="26" xfId="2" applyFont="1" applyFill="1" applyBorder="1" applyAlignment="1">
      <alignment horizontal="center" vertical="center" wrapText="1"/>
    </xf>
    <xf numFmtId="166" fontId="12" fillId="6" borderId="45" xfId="2" applyFont="1" applyFill="1" applyBorder="1" applyAlignment="1">
      <alignment horizontal="center" wrapText="1"/>
    </xf>
    <xf numFmtId="166" fontId="22" fillId="6" borderId="46" xfId="2" applyFont="1" applyFill="1" applyBorder="1" applyAlignment="1">
      <alignment horizontal="center" vertical="center" wrapText="1"/>
    </xf>
    <xf numFmtId="0" fontId="11" fillId="7" borderId="35" xfId="0" applyFont="1" applyFill="1" applyBorder="1" applyAlignment="1">
      <alignment wrapText="1"/>
    </xf>
    <xf numFmtId="165" fontId="11" fillId="7" borderId="36" xfId="0" applyNumberFormat="1" applyFont="1" applyFill="1" applyBorder="1" applyAlignment="1">
      <alignment wrapText="1"/>
    </xf>
    <xf numFmtId="165" fontId="11" fillId="7" borderId="44" xfId="0" applyNumberFormat="1" applyFont="1" applyFill="1" applyBorder="1" applyAlignment="1">
      <alignment wrapText="1"/>
    </xf>
    <xf numFmtId="166" fontId="12" fillId="13" borderId="30" xfId="2" applyFont="1" applyFill="1" applyBorder="1" applyAlignment="1">
      <alignment horizontal="left" wrapText="1"/>
    </xf>
    <xf numFmtId="165" fontId="0" fillId="13" borderId="31" xfId="0" applyNumberFormat="1" applyFill="1" applyBorder="1" applyAlignment="1">
      <alignment wrapText="1"/>
    </xf>
    <xf numFmtId="165" fontId="0" fillId="13" borderId="47" xfId="0" applyNumberFormat="1" applyFill="1" applyBorder="1" applyAlignment="1">
      <alignment wrapText="1"/>
    </xf>
    <xf numFmtId="166" fontId="12" fillId="13" borderId="33" xfId="2" applyFont="1" applyFill="1" applyBorder="1" applyAlignment="1">
      <alignment horizontal="left" wrapText="1"/>
    </xf>
    <xf numFmtId="165" fontId="0" fillId="13" borderId="1" xfId="0" applyNumberFormat="1" applyFill="1" applyBorder="1" applyAlignment="1">
      <alignment wrapText="1"/>
    </xf>
    <xf numFmtId="165" fontId="0" fillId="13" borderId="43" xfId="0" applyNumberFormat="1" applyFill="1" applyBorder="1" applyAlignment="1">
      <alignment wrapText="1"/>
    </xf>
    <xf numFmtId="166" fontId="12" fillId="13" borderId="35" xfId="2" applyFont="1" applyFill="1" applyBorder="1" applyAlignment="1">
      <alignment horizontal="left" wrapText="1"/>
    </xf>
    <xf numFmtId="165" fontId="0" fillId="13" borderId="36" xfId="0" applyNumberFormat="1" applyFill="1" applyBorder="1" applyAlignment="1">
      <alignment wrapText="1"/>
    </xf>
    <xf numFmtId="165" fontId="0" fillId="13" borderId="44" xfId="0" applyNumberFormat="1" applyFill="1" applyBorder="1" applyAlignment="1">
      <alignment wrapText="1"/>
    </xf>
    <xf numFmtId="166" fontId="12" fillId="10" borderId="30" xfId="2" applyFont="1" applyFill="1" applyBorder="1" applyAlignment="1">
      <alignment horizontal="left" wrapText="1"/>
    </xf>
    <xf numFmtId="165" fontId="0" fillId="10" borderId="31" xfId="0" applyNumberFormat="1" applyFill="1" applyBorder="1" applyAlignment="1">
      <alignment wrapText="1"/>
    </xf>
    <xf numFmtId="165" fontId="0" fillId="10" borderId="47" xfId="0" applyNumberFormat="1" applyFill="1" applyBorder="1" applyAlignment="1">
      <alignment wrapText="1"/>
    </xf>
    <xf numFmtId="166" fontId="12" fillId="10" borderId="33" xfId="2" applyFont="1" applyFill="1" applyBorder="1" applyAlignment="1">
      <alignment horizontal="left" wrapText="1"/>
    </xf>
    <xf numFmtId="165" fontId="0" fillId="10" borderId="1" xfId="0" applyNumberFormat="1" applyFill="1" applyBorder="1" applyAlignment="1">
      <alignment wrapText="1"/>
    </xf>
    <xf numFmtId="165" fontId="0" fillId="10" borderId="43" xfId="0" applyNumberFormat="1" applyFill="1" applyBorder="1" applyAlignment="1">
      <alignment wrapText="1"/>
    </xf>
    <xf numFmtId="166" fontId="12" fillId="10" borderId="35" xfId="2" applyFont="1" applyFill="1" applyBorder="1" applyAlignment="1">
      <alignment horizontal="left" wrapText="1"/>
    </xf>
    <xf numFmtId="165" fontId="0" fillId="10" borderId="36" xfId="0" applyNumberFormat="1" applyFill="1" applyBorder="1" applyAlignment="1">
      <alignment wrapText="1"/>
    </xf>
    <xf numFmtId="165" fontId="0" fillId="10" borderId="44" xfId="0" applyNumberFormat="1" applyFill="1" applyBorder="1" applyAlignment="1">
      <alignment wrapText="1"/>
    </xf>
    <xf numFmtId="166" fontId="12" fillId="6" borderId="30" xfId="2" applyFont="1" applyFill="1" applyBorder="1" applyAlignment="1">
      <alignment horizontal="left" wrapText="1"/>
    </xf>
    <xf numFmtId="165" fontId="0" fillId="6" borderId="31" xfId="0" applyNumberFormat="1" applyFill="1" applyBorder="1" applyAlignment="1">
      <alignment wrapText="1"/>
    </xf>
    <xf numFmtId="165" fontId="0" fillId="6" borderId="47" xfId="0" applyNumberFormat="1" applyFill="1" applyBorder="1" applyAlignment="1">
      <alignment wrapText="1"/>
    </xf>
    <xf numFmtId="166" fontId="12" fillId="6" borderId="33" xfId="2" applyFont="1" applyFill="1" applyBorder="1" applyAlignment="1">
      <alignment horizontal="left" wrapText="1"/>
    </xf>
    <xf numFmtId="165" fontId="0" fillId="6" borderId="1" xfId="0" applyNumberFormat="1" applyFill="1" applyBorder="1" applyAlignment="1">
      <alignment wrapText="1"/>
    </xf>
    <xf numFmtId="165" fontId="0" fillId="6" borderId="43" xfId="0" applyNumberFormat="1" applyFill="1" applyBorder="1" applyAlignment="1">
      <alignment wrapText="1"/>
    </xf>
    <xf numFmtId="166" fontId="12" fillId="6" borderId="35" xfId="2" applyFont="1" applyFill="1" applyBorder="1" applyAlignment="1">
      <alignment horizontal="left" vertical="center" wrapText="1"/>
    </xf>
    <xf numFmtId="165" fontId="0" fillId="6" borderId="36" xfId="0" applyNumberFormat="1" applyFill="1" applyBorder="1" applyAlignment="1">
      <alignment wrapText="1"/>
    </xf>
    <xf numFmtId="165" fontId="0" fillId="6" borderId="44" xfId="0" applyNumberFormat="1" applyFill="1" applyBorder="1" applyAlignment="1">
      <alignment wrapText="1"/>
    </xf>
    <xf numFmtId="166" fontId="12" fillId="12" borderId="61" xfId="2" applyFont="1" applyFill="1" applyBorder="1" applyAlignment="1">
      <alignment horizontal="left" vertical="center" wrapText="1"/>
    </xf>
    <xf numFmtId="165" fontId="0" fillId="12" borderId="3" xfId="0" applyNumberFormat="1" applyFill="1" applyBorder="1" applyAlignment="1">
      <alignment wrapText="1"/>
    </xf>
    <xf numFmtId="165" fontId="0" fillId="12" borderId="62" xfId="0" applyNumberFormat="1" applyFill="1" applyBorder="1" applyAlignment="1">
      <alignment wrapText="1"/>
    </xf>
    <xf numFmtId="0" fontId="20" fillId="14" borderId="0" xfId="0" applyFont="1" applyFill="1" applyBorder="1" applyAlignment="1">
      <alignment horizontal="center" vertical="center"/>
    </xf>
    <xf numFmtId="0" fontId="0" fillId="14" borderId="0" xfId="0" applyFill="1" applyBorder="1"/>
    <xf numFmtId="171" fontId="0" fillId="14" borderId="0" xfId="0" applyNumberFormat="1" applyFill="1" applyBorder="1"/>
    <xf numFmtId="0" fontId="0" fillId="14" borderId="0" xfId="0" applyFont="1" applyFill="1" applyBorder="1" applyAlignment="1">
      <alignment horizontal="center" vertical="center"/>
    </xf>
    <xf numFmtId="0" fontId="0" fillId="14" borderId="0" xfId="0" applyFill="1"/>
    <xf numFmtId="171" fontId="0" fillId="14" borderId="0" xfId="0" applyNumberFormat="1" applyFill="1" applyBorder="1" applyAlignment="1"/>
    <xf numFmtId="0" fontId="7" fillId="2" borderId="0" xfId="0" applyFont="1" applyFill="1" applyBorder="1" applyAlignment="1">
      <alignment horizontal="left" vertical="top" wrapText="1"/>
    </xf>
    <xf numFmtId="165" fontId="11" fillId="2" borderId="46" xfId="0" applyNumberFormat="1" applyFont="1" applyFill="1" applyBorder="1"/>
    <xf numFmtId="169" fontId="11" fillId="14" borderId="45" xfId="0" applyNumberFormat="1" applyFont="1" applyFill="1" applyBorder="1"/>
    <xf numFmtId="165" fontId="11" fillId="2" borderId="46" xfId="6" applyFont="1" applyFill="1" applyBorder="1"/>
    <xf numFmtId="0" fontId="0" fillId="2" borderId="1" xfId="0" applyFill="1" applyBorder="1"/>
    <xf numFmtId="166" fontId="9" fillId="14" borderId="1" xfId="2" applyFont="1" applyFill="1" applyBorder="1" applyAlignment="1"/>
    <xf numFmtId="166" fontId="9" fillId="14" borderId="16" xfId="2" applyFont="1" applyFill="1" applyBorder="1" applyAlignment="1">
      <alignment vertical="center" wrapText="1"/>
    </xf>
    <xf numFmtId="166" fontId="9" fillId="14" borderId="16" xfId="2" applyFont="1" applyFill="1" applyBorder="1" applyAlignment="1"/>
    <xf numFmtId="166" fontId="9" fillId="14" borderId="16" xfId="2" applyFont="1" applyFill="1" applyBorder="1" applyAlignment="1">
      <alignment wrapText="1"/>
    </xf>
    <xf numFmtId="166" fontId="9" fillId="14" borderId="31" xfId="2" applyFont="1" applyFill="1" applyBorder="1" applyAlignment="1"/>
    <xf numFmtId="166" fontId="9" fillId="14" borderId="47" xfId="2" applyFont="1" applyFill="1" applyBorder="1" applyAlignment="1"/>
    <xf numFmtId="166" fontId="9" fillId="14" borderId="43" xfId="2" applyFont="1" applyFill="1" applyBorder="1" applyAlignment="1"/>
    <xf numFmtId="166" fontId="9" fillId="14" borderId="36" xfId="2" applyFont="1" applyFill="1" applyBorder="1" applyAlignment="1"/>
    <xf numFmtId="166" fontId="9" fillId="14" borderId="44" xfId="2" applyFont="1" applyFill="1" applyBorder="1" applyAlignment="1"/>
    <xf numFmtId="166" fontId="9" fillId="14" borderId="17" xfId="2" applyFont="1" applyFill="1" applyBorder="1" applyAlignment="1">
      <alignment wrapText="1"/>
    </xf>
    <xf numFmtId="166" fontId="9" fillId="14" borderId="17" xfId="2" applyFont="1" applyFill="1" applyBorder="1" applyAlignment="1"/>
    <xf numFmtId="166" fontId="9" fillId="14" borderId="17" xfId="2" applyFont="1" applyFill="1" applyBorder="1" applyAlignment="1">
      <alignment vertical="center" wrapText="1"/>
    </xf>
    <xf numFmtId="166" fontId="9" fillId="14" borderId="7" xfId="2" applyFont="1" applyFill="1" applyBorder="1" applyAlignment="1">
      <alignment wrapText="1"/>
    </xf>
    <xf numFmtId="166" fontId="9" fillId="14" borderId="7" xfId="2" applyFont="1" applyFill="1" applyBorder="1" applyAlignment="1"/>
    <xf numFmtId="166" fontId="9" fillId="14" borderId="7" xfId="2" applyFont="1" applyFill="1" applyBorder="1" applyAlignment="1">
      <alignment vertical="center" wrapText="1"/>
    </xf>
    <xf numFmtId="172" fontId="12" fillId="9" borderId="30" xfId="2" applyNumberFormat="1" applyFont="1" applyFill="1" applyBorder="1" applyAlignment="1">
      <alignment vertical="center"/>
    </xf>
    <xf numFmtId="172" fontId="12" fillId="9" borderId="33" xfId="2" applyNumberFormat="1" applyFont="1" applyFill="1" applyBorder="1" applyAlignment="1">
      <alignment vertical="center"/>
    </xf>
    <xf numFmtId="172" fontId="12" fillId="9" borderId="35" xfId="2" applyNumberFormat="1" applyFont="1" applyFill="1" applyBorder="1" applyAlignment="1">
      <alignment vertical="center"/>
    </xf>
    <xf numFmtId="172" fontId="12" fillId="10" borderId="16" xfId="2" applyNumberFormat="1" applyFont="1" applyFill="1" applyBorder="1" applyAlignment="1">
      <alignment vertical="center" wrapText="1"/>
    </xf>
    <xf numFmtId="172" fontId="12" fillId="11" borderId="16" xfId="2" applyNumberFormat="1" applyFont="1" applyFill="1" applyBorder="1" applyAlignment="1">
      <alignment vertical="center"/>
    </xf>
    <xf numFmtId="172" fontId="12" fillId="12" borderId="16" xfId="2" applyNumberFormat="1" applyFont="1" applyFill="1" applyBorder="1" applyAlignment="1">
      <alignment vertical="center" wrapText="1"/>
    </xf>
    <xf numFmtId="0" fontId="0" fillId="2" borderId="0" xfId="0" applyFill="1" applyAlignment="1">
      <alignment horizontal="center"/>
    </xf>
    <xf numFmtId="172" fontId="12" fillId="9" borderId="23" xfId="2" applyNumberFormat="1" applyFont="1" applyFill="1" applyBorder="1" applyAlignment="1">
      <alignment vertical="center"/>
    </xf>
    <xf numFmtId="172" fontId="12" fillId="9" borderId="2" xfId="2" applyNumberFormat="1" applyFont="1" applyFill="1" applyBorder="1" applyAlignment="1">
      <alignment vertical="center"/>
    </xf>
    <xf numFmtId="172" fontId="12" fillId="9" borderId="54" xfId="2" applyNumberFormat="1" applyFont="1" applyFill="1" applyBorder="1" applyAlignment="1">
      <alignment vertical="center"/>
    </xf>
    <xf numFmtId="172" fontId="12" fillId="10" borderId="17" xfId="2" applyNumberFormat="1" applyFont="1" applyFill="1" applyBorder="1" applyAlignment="1">
      <alignment vertical="center" wrapText="1"/>
    </xf>
    <xf numFmtId="172" fontId="12" fillId="11" borderId="17" xfId="2" applyNumberFormat="1" applyFont="1" applyFill="1" applyBorder="1" applyAlignment="1">
      <alignment vertical="center"/>
    </xf>
    <xf numFmtId="172" fontId="12" fillId="12" borderId="17" xfId="2" applyNumberFormat="1" applyFont="1" applyFill="1" applyBorder="1" applyAlignment="1">
      <alignment vertical="center" wrapText="1"/>
    </xf>
    <xf numFmtId="166" fontId="9" fillId="12" borderId="45" xfId="2" applyFont="1" applyFill="1" applyBorder="1" applyAlignment="1">
      <alignment vertical="center" wrapText="1"/>
    </xf>
    <xf numFmtId="165" fontId="0" fillId="12" borderId="64" xfId="6" applyFont="1" applyFill="1" applyBorder="1"/>
    <xf numFmtId="166" fontId="9" fillId="10" borderId="45" xfId="2" applyFont="1" applyFill="1" applyBorder="1" applyAlignment="1">
      <alignment vertical="center" wrapText="1"/>
    </xf>
    <xf numFmtId="165" fontId="0" fillId="10" borderId="64" xfId="6" applyFont="1" applyFill="1" applyBorder="1"/>
    <xf numFmtId="0" fontId="0" fillId="14" borderId="8" xfId="0" applyFill="1" applyBorder="1"/>
    <xf numFmtId="165" fontId="11" fillId="2" borderId="55" xfId="0" applyNumberFormat="1" applyFont="1" applyFill="1" applyBorder="1"/>
    <xf numFmtId="0" fontId="0" fillId="2" borderId="0" xfId="0" applyFill="1" applyAlignment="1">
      <alignment wrapText="1"/>
    </xf>
    <xf numFmtId="0" fontId="0" fillId="2" borderId="0" xfId="0" applyFill="1" applyAlignment="1">
      <alignment horizontal="center" vertical="center" wrapText="1"/>
    </xf>
    <xf numFmtId="0" fontId="0" fillId="2" borderId="0" xfId="0" applyFill="1" applyAlignment="1">
      <alignment horizontal="center"/>
    </xf>
    <xf numFmtId="0" fontId="0" fillId="2" borderId="1" xfId="0" applyFill="1" applyBorder="1" applyAlignment="1">
      <alignment wrapText="1"/>
    </xf>
    <xf numFmtId="0" fontId="0" fillId="2" borderId="1" xfId="0" applyFill="1" applyBorder="1" applyAlignment="1">
      <alignment horizontal="center" wrapText="1"/>
    </xf>
    <xf numFmtId="0" fontId="11" fillId="2" borderId="0" xfId="0" applyFont="1" applyFill="1" applyBorder="1" applyAlignment="1">
      <alignment horizontal="center"/>
    </xf>
    <xf numFmtId="1" fontId="11" fillId="2" borderId="0" xfId="0" applyNumberFormat="1" applyFont="1" applyFill="1" applyBorder="1" applyAlignment="1">
      <alignment horizontal="center"/>
    </xf>
    <xf numFmtId="0" fontId="11" fillId="14" borderId="0" xfId="0" applyFont="1" applyFill="1" applyBorder="1" applyAlignment="1">
      <alignment horizontal="center"/>
    </xf>
    <xf numFmtId="1" fontId="11" fillId="14" borderId="0" xfId="0" applyNumberFormat="1" applyFont="1" applyFill="1" applyBorder="1" applyAlignment="1">
      <alignment horizontal="center"/>
    </xf>
    <xf numFmtId="0" fontId="0" fillId="2" borderId="0" xfId="0" applyFill="1" applyBorder="1" applyAlignment="1">
      <alignment horizontal="center" vertical="center" wrapText="1"/>
    </xf>
    <xf numFmtId="0" fontId="11" fillId="2" borderId="0" xfId="0" applyFont="1" applyFill="1" applyBorder="1" applyAlignment="1">
      <alignment horizontal="center" wrapText="1"/>
    </xf>
    <xf numFmtId="0" fontId="0" fillId="14" borderId="0" xfId="0" applyFill="1" applyBorder="1" applyAlignment="1">
      <alignment horizontal="center" vertical="center" wrapText="1"/>
    </xf>
    <xf numFmtId="0" fontId="11" fillId="14" borderId="0" xfId="0" applyFont="1" applyFill="1" applyBorder="1" applyAlignment="1">
      <alignment horizontal="center" wrapText="1"/>
    </xf>
    <xf numFmtId="0" fontId="11" fillId="2" borderId="0" xfId="0" applyFont="1" applyFill="1" applyBorder="1" applyAlignment="1">
      <alignment horizontal="center" vertical="center" wrapText="1"/>
    </xf>
    <xf numFmtId="0" fontId="11" fillId="14" borderId="0" xfId="0" applyFont="1" applyFill="1" applyBorder="1" applyAlignment="1">
      <alignment horizontal="center" vertical="center" wrapText="1"/>
    </xf>
    <xf numFmtId="0" fontId="0" fillId="14" borderId="0" xfId="0" applyFill="1" applyAlignment="1">
      <alignment wrapText="1"/>
    </xf>
    <xf numFmtId="0" fontId="14" fillId="2" borderId="0" xfId="0" applyFont="1" applyFill="1" applyBorder="1" applyAlignment="1"/>
    <xf numFmtId="0" fontId="0" fillId="2" borderId="63" xfId="0" applyFill="1" applyBorder="1" applyAlignment="1">
      <alignment wrapText="1"/>
    </xf>
    <xf numFmtId="0" fontId="0" fillId="2" borderId="63" xfId="0" applyFill="1" applyBorder="1" applyAlignment="1">
      <alignment horizontal="center" wrapText="1"/>
    </xf>
    <xf numFmtId="0" fontId="0" fillId="2" borderId="63" xfId="0" applyFill="1" applyBorder="1"/>
    <xf numFmtId="0" fontId="11" fillId="2" borderId="28" xfId="0" applyFont="1" applyFill="1" applyBorder="1" applyAlignment="1">
      <alignment horizontal="center" vertical="center" wrapText="1"/>
    </xf>
    <xf numFmtId="0" fontId="11" fillId="8" borderId="19" xfId="0" applyFont="1" applyFill="1" applyBorder="1" applyAlignment="1">
      <alignment horizontal="center" vertical="center" wrapText="1"/>
    </xf>
    <xf numFmtId="0" fontId="0" fillId="2" borderId="31" xfId="0" applyFill="1" applyBorder="1" applyAlignment="1">
      <alignment vertical="center" wrapText="1"/>
    </xf>
    <xf numFmtId="0" fontId="0" fillId="2" borderId="31" xfId="0" applyFill="1" applyBorder="1" applyAlignment="1">
      <alignment horizontal="center" vertical="center"/>
    </xf>
    <xf numFmtId="0" fontId="0" fillId="2" borderId="1" xfId="0" applyFill="1" applyBorder="1" applyAlignment="1">
      <alignment vertical="center" wrapText="1"/>
    </xf>
    <xf numFmtId="0" fontId="0" fillId="2" borderId="1" xfId="0" applyFill="1" applyBorder="1" applyAlignment="1">
      <alignment horizontal="center" vertical="center"/>
    </xf>
    <xf numFmtId="0" fontId="0" fillId="2" borderId="36" xfId="0" applyFill="1" applyBorder="1" applyAlignment="1">
      <alignment vertical="center" wrapText="1"/>
    </xf>
    <xf numFmtId="0" fontId="0" fillId="2" borderId="36" xfId="0" applyFill="1" applyBorder="1" applyAlignment="1">
      <alignment horizontal="center" vertical="center"/>
    </xf>
    <xf numFmtId="0" fontId="11" fillId="5" borderId="66" xfId="0" applyFont="1" applyFill="1" applyBorder="1" applyAlignment="1">
      <alignment horizontal="center" vertical="center" wrapText="1"/>
    </xf>
    <xf numFmtId="0" fontId="11" fillId="5" borderId="55" xfId="0" applyFont="1" applyFill="1" applyBorder="1" applyAlignment="1">
      <alignment horizontal="center" vertical="center" wrapText="1"/>
    </xf>
    <xf numFmtId="0" fontId="0" fillId="2" borderId="22" xfId="0" applyFill="1" applyBorder="1" applyAlignment="1">
      <alignment horizontal="center" vertical="center"/>
    </xf>
    <xf numFmtId="0" fontId="0" fillId="2" borderId="24" xfId="0" applyFill="1" applyBorder="1" applyAlignment="1">
      <alignment horizontal="center" vertical="center"/>
    </xf>
    <xf numFmtId="0" fontId="0" fillId="2" borderId="39" xfId="0" applyFill="1" applyBorder="1" applyAlignment="1">
      <alignment horizontal="center" vertical="center"/>
    </xf>
    <xf numFmtId="0" fontId="11" fillId="5" borderId="65" xfId="0" applyFont="1" applyFill="1" applyBorder="1" applyAlignment="1">
      <alignment horizontal="center" vertical="center" wrapText="1"/>
    </xf>
    <xf numFmtId="1" fontId="11" fillId="2" borderId="20" xfId="0" applyNumberFormat="1" applyFont="1" applyFill="1" applyBorder="1" applyAlignment="1">
      <alignment horizontal="center" vertical="center"/>
    </xf>
    <xf numFmtId="0" fontId="0" fillId="2" borderId="47" xfId="0" applyFill="1" applyBorder="1" applyAlignment="1">
      <alignment horizontal="center" vertical="center"/>
    </xf>
    <xf numFmtId="0" fontId="0" fillId="2" borderId="43" xfId="0" applyFill="1" applyBorder="1" applyAlignment="1">
      <alignment horizontal="center" vertical="center"/>
    </xf>
    <xf numFmtId="0" fontId="0" fillId="2" borderId="44" xfId="0" applyFill="1" applyBorder="1" applyAlignment="1">
      <alignment horizontal="center" vertical="center"/>
    </xf>
    <xf numFmtId="0" fontId="0" fillId="2" borderId="30" xfId="0" applyFill="1" applyBorder="1" applyAlignment="1">
      <alignment horizontal="center" vertical="center"/>
    </xf>
    <xf numFmtId="0" fontId="0" fillId="2" borderId="33" xfId="0" applyFill="1" applyBorder="1" applyAlignment="1">
      <alignment horizontal="center" vertical="center"/>
    </xf>
    <xf numFmtId="0" fontId="0" fillId="2" borderId="35" xfId="0" applyFill="1" applyBorder="1" applyAlignment="1">
      <alignment horizontal="center" vertical="center"/>
    </xf>
    <xf numFmtId="1" fontId="11" fillId="2" borderId="0" xfId="0" applyNumberFormat="1" applyFont="1" applyFill="1" applyBorder="1" applyAlignment="1">
      <alignment horizontal="center" vertical="center"/>
    </xf>
    <xf numFmtId="0" fontId="0" fillId="2" borderId="0" xfId="0" applyFill="1" applyAlignment="1">
      <alignment horizontal="left" vertical="center"/>
    </xf>
    <xf numFmtId="0" fontId="0" fillId="2" borderId="0" xfId="0" applyFill="1" applyAlignment="1"/>
    <xf numFmtId="1" fontId="0" fillId="2" borderId="1" xfId="0" applyNumberFormat="1" applyFill="1" applyBorder="1"/>
    <xf numFmtId="166" fontId="12" fillId="9" borderId="1" xfId="2" applyFont="1" applyFill="1" applyBorder="1" applyAlignment="1"/>
    <xf numFmtId="0" fontId="11" fillId="5" borderId="1" xfId="0" applyFont="1" applyFill="1" applyBorder="1" applyAlignment="1">
      <alignment horizontal="center" vertical="center" wrapText="1"/>
    </xf>
    <xf numFmtId="2" fontId="11" fillId="8" borderId="1" xfId="0" applyNumberFormat="1" applyFont="1" applyFill="1" applyBorder="1"/>
    <xf numFmtId="0" fontId="11" fillId="2" borderId="55" xfId="0" applyFont="1" applyFill="1" applyBorder="1" applyAlignment="1">
      <alignment horizontal="center" vertical="center" wrapText="1"/>
    </xf>
    <xf numFmtId="0" fontId="11" fillId="8" borderId="20" xfId="0" applyFont="1" applyFill="1" applyBorder="1" applyAlignment="1">
      <alignment horizontal="center" vertical="center" wrapText="1"/>
    </xf>
    <xf numFmtId="2" fontId="11" fillId="2" borderId="55" xfId="0" applyNumberFormat="1" applyFont="1" applyFill="1" applyBorder="1" applyAlignment="1">
      <alignment horizontal="center" vertical="center"/>
    </xf>
    <xf numFmtId="2" fontId="0" fillId="2" borderId="46" xfId="0" applyNumberFormat="1" applyFill="1" applyBorder="1" applyAlignment="1">
      <alignment horizontal="center" vertical="center"/>
    </xf>
    <xf numFmtId="165" fontId="0" fillId="0" borderId="1" xfId="6" applyFont="1" applyBorder="1" applyAlignment="1">
      <alignment horizontal="center"/>
    </xf>
    <xf numFmtId="0" fontId="0" fillId="0" borderId="12" xfId="0" applyBorder="1"/>
    <xf numFmtId="165" fontId="0" fillId="0" borderId="24" xfId="6" applyFont="1" applyBorder="1" applyAlignment="1">
      <alignment horizontal="center"/>
    </xf>
    <xf numFmtId="0" fontId="0" fillId="2" borderId="49" xfId="0" applyFill="1" applyBorder="1" applyAlignment="1">
      <alignment horizontal="left"/>
    </xf>
    <xf numFmtId="0" fontId="3" fillId="2" borderId="49" xfId="1" applyFill="1" applyBorder="1" applyAlignment="1">
      <alignment horizontal="left"/>
    </xf>
    <xf numFmtId="0" fontId="0" fillId="2" borderId="49" xfId="0" applyFill="1" applyBorder="1"/>
    <xf numFmtId="165" fontId="11" fillId="5" borderId="58" xfId="6" applyFont="1" applyFill="1" applyBorder="1" applyAlignment="1">
      <alignment horizontal="center"/>
    </xf>
    <xf numFmtId="165" fontId="11" fillId="5" borderId="59" xfId="6" applyFont="1" applyFill="1" applyBorder="1" applyAlignment="1">
      <alignment horizontal="center"/>
    </xf>
    <xf numFmtId="165" fontId="11" fillId="5" borderId="68" xfId="6" applyFont="1" applyFill="1" applyBorder="1" applyAlignment="1">
      <alignment horizontal="center"/>
    </xf>
    <xf numFmtId="0" fontId="11" fillId="5" borderId="19" xfId="0" applyFont="1" applyFill="1" applyBorder="1"/>
    <xf numFmtId="165" fontId="11" fillId="5" borderId="21" xfId="6" applyFont="1" applyFill="1" applyBorder="1" applyAlignment="1">
      <alignment horizontal="center"/>
    </xf>
    <xf numFmtId="165" fontId="11" fillId="5" borderId="71" xfId="6" applyFont="1" applyFill="1" applyBorder="1" applyAlignment="1">
      <alignment horizontal="center"/>
    </xf>
    <xf numFmtId="165" fontId="11" fillId="5" borderId="53" xfId="6" applyFont="1" applyFill="1" applyBorder="1" applyAlignment="1">
      <alignment horizontal="center"/>
    </xf>
    <xf numFmtId="165" fontId="0" fillId="0" borderId="3" xfId="6" applyFont="1" applyBorder="1" applyAlignment="1">
      <alignment horizontal="center"/>
    </xf>
    <xf numFmtId="165" fontId="0" fillId="0" borderId="27" xfId="6" applyFont="1" applyBorder="1" applyAlignment="1">
      <alignment horizontal="center"/>
    </xf>
    <xf numFmtId="0" fontId="11" fillId="5" borderId="21" xfId="0" applyFont="1" applyFill="1" applyBorder="1" applyAlignment="1">
      <alignment horizontal="center"/>
    </xf>
    <xf numFmtId="0" fontId="11" fillId="5" borderId="71" xfId="0" applyFont="1" applyFill="1" applyBorder="1" applyAlignment="1">
      <alignment horizontal="center"/>
    </xf>
    <xf numFmtId="0" fontId="11" fillId="5" borderId="53" xfId="0" applyFont="1" applyFill="1" applyBorder="1" applyAlignment="1">
      <alignment horizontal="center"/>
    </xf>
    <xf numFmtId="0" fontId="11" fillId="5" borderId="7" xfId="0" applyFont="1" applyFill="1" applyBorder="1" applyAlignment="1">
      <alignment horizontal="center"/>
    </xf>
    <xf numFmtId="165" fontId="0" fillId="0" borderId="31" xfId="6" applyFont="1" applyBorder="1" applyAlignment="1">
      <alignment horizontal="center"/>
    </xf>
    <xf numFmtId="165" fontId="0" fillId="0" borderId="22" xfId="6" applyFont="1" applyBorder="1" applyAlignment="1">
      <alignment horizontal="center"/>
    </xf>
    <xf numFmtId="165" fontId="11" fillId="5" borderId="57" xfId="6" applyFont="1" applyFill="1" applyBorder="1" applyAlignment="1">
      <alignment horizontal="center"/>
    </xf>
    <xf numFmtId="0" fontId="0" fillId="2" borderId="32" xfId="0" applyFill="1" applyBorder="1" applyAlignment="1">
      <alignment horizontal="left"/>
    </xf>
    <xf numFmtId="165" fontId="0" fillId="0" borderId="36" xfId="6" applyFont="1" applyBorder="1" applyAlignment="1">
      <alignment horizontal="center"/>
    </xf>
    <xf numFmtId="165" fontId="0" fillId="0" borderId="39" xfId="6" applyFont="1" applyBorder="1" applyAlignment="1">
      <alignment horizontal="center"/>
    </xf>
    <xf numFmtId="0" fontId="0" fillId="2" borderId="60" xfId="0" applyFill="1" applyBorder="1" applyAlignment="1">
      <alignment horizontal="left"/>
    </xf>
    <xf numFmtId="165" fontId="0" fillId="0" borderId="31" xfId="6" applyFont="1" applyBorder="1" applyAlignment="1">
      <alignment horizontal="left" vertical="center"/>
    </xf>
    <xf numFmtId="165" fontId="0" fillId="0" borderId="22" xfId="6" applyFont="1" applyBorder="1" applyAlignment="1">
      <alignment horizontal="left" vertical="center"/>
    </xf>
    <xf numFmtId="165" fontId="11" fillId="5" borderId="57" xfId="6" applyFont="1" applyFill="1" applyBorder="1" applyAlignment="1">
      <alignment horizontal="left" vertical="center"/>
    </xf>
    <xf numFmtId="0" fontId="0" fillId="2" borderId="32" xfId="0" applyFill="1" applyBorder="1" applyAlignment="1">
      <alignment horizontal="left" vertical="center"/>
    </xf>
    <xf numFmtId="0" fontId="21" fillId="5" borderId="53" xfId="0" applyFont="1" applyFill="1" applyBorder="1" applyAlignment="1">
      <alignment horizontal="center"/>
    </xf>
    <xf numFmtId="165" fontId="0" fillId="0" borderId="21" xfId="6" applyFont="1" applyBorder="1" applyAlignment="1">
      <alignment horizontal="center"/>
    </xf>
    <xf numFmtId="165" fontId="0" fillId="0" borderId="71" xfId="6" applyFont="1" applyBorder="1" applyAlignment="1">
      <alignment horizontal="center"/>
    </xf>
    <xf numFmtId="0" fontId="0" fillId="2" borderId="7" xfId="0" applyFill="1" applyBorder="1" applyAlignment="1">
      <alignment horizontal="left"/>
    </xf>
    <xf numFmtId="165" fontId="11" fillId="8" borderId="53" xfId="6" applyFont="1" applyFill="1" applyBorder="1" applyAlignment="1">
      <alignment horizontal="center"/>
    </xf>
    <xf numFmtId="0" fontId="11" fillId="5" borderId="72" xfId="0" applyFont="1" applyFill="1" applyBorder="1" applyAlignment="1">
      <alignment horizontal="center"/>
    </xf>
    <xf numFmtId="165" fontId="0" fillId="0" borderId="23" xfId="6" applyFont="1" applyBorder="1" applyAlignment="1">
      <alignment horizontal="center"/>
    </xf>
    <xf numFmtId="165" fontId="0" fillId="0" borderId="2" xfId="6" applyFont="1" applyBorder="1" applyAlignment="1">
      <alignment horizontal="center"/>
    </xf>
    <xf numFmtId="165" fontId="0" fillId="0" borderId="54" xfId="6" applyFont="1" applyBorder="1" applyAlignment="1">
      <alignment horizontal="center"/>
    </xf>
    <xf numFmtId="165" fontId="0" fillId="0" borderId="23" xfId="6" applyFont="1" applyBorder="1" applyAlignment="1">
      <alignment horizontal="left" vertical="center"/>
    </xf>
    <xf numFmtId="165" fontId="0" fillId="0" borderId="72" xfId="6" applyFont="1" applyBorder="1" applyAlignment="1">
      <alignment horizontal="center"/>
    </xf>
    <xf numFmtId="165" fontId="0" fillId="0" borderId="70" xfId="6" applyFont="1" applyBorder="1" applyAlignment="1">
      <alignment horizontal="center"/>
    </xf>
    <xf numFmtId="0" fontId="0" fillId="0" borderId="32" xfId="0" applyBorder="1"/>
    <xf numFmtId="0" fontId="0" fillId="0" borderId="49" xfId="0" applyBorder="1"/>
    <xf numFmtId="0" fontId="0" fillId="2" borderId="49" xfId="0" applyFill="1" applyBorder="1" applyAlignment="1">
      <alignment wrapText="1"/>
    </xf>
    <xf numFmtId="0" fontId="0" fillId="0" borderId="60" xfId="0" applyBorder="1"/>
    <xf numFmtId="0" fontId="0" fillId="0" borderId="32" xfId="0" applyBorder="1" applyAlignment="1">
      <alignment wrapText="1"/>
    </xf>
    <xf numFmtId="0" fontId="0" fillId="0" borderId="7" xfId="0" applyBorder="1"/>
    <xf numFmtId="171" fontId="0" fillId="2" borderId="0" xfId="0" applyNumberFormat="1" applyFont="1" applyFill="1" applyBorder="1" applyAlignment="1">
      <alignment horizontal="center"/>
    </xf>
    <xf numFmtId="0" fontId="0" fillId="0" borderId="1" xfId="0" applyBorder="1" applyAlignment="1">
      <alignment horizontal="center"/>
    </xf>
    <xf numFmtId="173" fontId="0" fillId="0" borderId="1" xfId="0" applyNumberFormat="1" applyBorder="1" applyAlignment="1">
      <alignment horizontal="center"/>
    </xf>
    <xf numFmtId="9" fontId="0" fillId="2" borderId="0" xfId="0" applyNumberFormat="1" applyFont="1" applyFill="1" applyBorder="1" applyAlignment="1">
      <alignment horizontal="center"/>
    </xf>
    <xf numFmtId="0" fontId="0" fillId="2" borderId="1" xfId="0" applyFill="1" applyBorder="1" applyAlignment="1">
      <alignment horizontal="center"/>
    </xf>
    <xf numFmtId="165" fontId="0" fillId="2" borderId="1" xfId="6" applyFont="1" applyFill="1" applyBorder="1" applyAlignment="1">
      <alignment horizontal="center"/>
    </xf>
    <xf numFmtId="0" fontId="12" fillId="5" borderId="3" xfId="0" applyFont="1" applyFill="1" applyBorder="1" applyAlignment="1">
      <alignment horizontal="center" vertical="center"/>
    </xf>
    <xf numFmtId="0" fontId="0" fillId="2" borderId="33" xfId="0" applyFill="1" applyBorder="1" applyAlignment="1">
      <alignment wrapText="1"/>
    </xf>
    <xf numFmtId="165" fontId="0" fillId="2" borderId="43" xfId="6" applyFont="1" applyFill="1" applyBorder="1" applyAlignment="1">
      <alignment horizontal="center"/>
    </xf>
    <xf numFmtId="0" fontId="0" fillId="2" borderId="35" xfId="0" applyFill="1" applyBorder="1" applyAlignment="1">
      <alignment wrapText="1"/>
    </xf>
    <xf numFmtId="0" fontId="0" fillId="2" borderId="36" xfId="0" applyFill="1" applyBorder="1" applyAlignment="1">
      <alignment horizontal="center"/>
    </xf>
    <xf numFmtId="165" fontId="0" fillId="2" borderId="36" xfId="6" applyFont="1" applyFill="1" applyBorder="1" applyAlignment="1">
      <alignment horizontal="center"/>
    </xf>
    <xf numFmtId="165" fontId="0" fillId="2" borderId="44" xfId="6" applyFont="1" applyFill="1" applyBorder="1" applyAlignment="1">
      <alignment horizontal="center"/>
    </xf>
    <xf numFmtId="0" fontId="12" fillId="5" borderId="19" xfId="0" applyFont="1" applyFill="1" applyBorder="1" applyAlignment="1">
      <alignment horizontal="center" vertical="center"/>
    </xf>
    <xf numFmtId="0" fontId="12" fillId="5" borderId="61" xfId="0" applyFont="1" applyFill="1" applyBorder="1" applyAlignment="1">
      <alignment horizontal="center" vertical="center" wrapText="1"/>
    </xf>
    <xf numFmtId="0" fontId="12" fillId="5" borderId="62" xfId="0" applyFont="1" applyFill="1" applyBorder="1" applyAlignment="1">
      <alignment horizontal="center" vertical="center"/>
    </xf>
    <xf numFmtId="0" fontId="12" fillId="2" borderId="0" xfId="0" applyFont="1" applyFill="1" applyBorder="1" applyAlignment="1">
      <alignment horizontal="center" vertical="center"/>
    </xf>
    <xf numFmtId="165" fontId="0" fillId="2" borderId="0" xfId="6" applyFont="1" applyFill="1" applyBorder="1" applyAlignment="1">
      <alignment horizontal="center"/>
    </xf>
    <xf numFmtId="165" fontId="0" fillId="2" borderId="0" xfId="0" applyNumberFormat="1" applyFill="1" applyBorder="1"/>
    <xf numFmtId="0" fontId="12" fillId="2" borderId="0" xfId="0" applyFont="1" applyFill="1" applyBorder="1"/>
    <xf numFmtId="165" fontId="11" fillId="8" borderId="20" xfId="0" applyNumberFormat="1" applyFont="1" applyFill="1" applyBorder="1"/>
    <xf numFmtId="0" fontId="12" fillId="6" borderId="61" xfId="0" applyFont="1" applyFill="1" applyBorder="1" applyAlignment="1">
      <alignment horizontal="center" vertical="center" wrapText="1"/>
    </xf>
    <xf numFmtId="0" fontId="12" fillId="6" borderId="3" xfId="0" applyFont="1" applyFill="1" applyBorder="1" applyAlignment="1">
      <alignment horizontal="center" vertical="center"/>
    </xf>
    <xf numFmtId="0" fontId="12" fillId="6" borderId="62" xfId="0" applyFont="1" applyFill="1" applyBorder="1" applyAlignment="1">
      <alignment horizontal="center" vertical="center"/>
    </xf>
    <xf numFmtId="1" fontId="0" fillId="0" borderId="1" xfId="0" applyNumberFormat="1" applyBorder="1" applyAlignment="1">
      <alignment horizontal="center"/>
    </xf>
    <xf numFmtId="1" fontId="0" fillId="0" borderId="3" xfId="0" applyNumberFormat="1" applyBorder="1" applyAlignment="1">
      <alignment horizontal="center"/>
    </xf>
    <xf numFmtId="1" fontId="0" fillId="0" borderId="67" xfId="0" applyNumberFormat="1" applyBorder="1" applyAlignment="1">
      <alignment horizontal="center"/>
    </xf>
    <xf numFmtId="1" fontId="0" fillId="0" borderId="2" xfId="0" applyNumberFormat="1" applyBorder="1" applyAlignment="1">
      <alignment horizontal="center"/>
    </xf>
    <xf numFmtId="173" fontId="0" fillId="0" borderId="62" xfId="0" applyNumberFormat="1" applyBorder="1" applyAlignment="1">
      <alignment horizontal="center"/>
    </xf>
    <xf numFmtId="0" fontId="0" fillId="0" borderId="33" xfId="0" applyBorder="1" applyAlignment="1">
      <alignment horizontal="left" vertical="center"/>
    </xf>
    <xf numFmtId="173" fontId="0" fillId="0" borderId="43" xfId="0" applyNumberFormat="1" applyBorder="1" applyAlignment="1">
      <alignment horizontal="center"/>
    </xf>
    <xf numFmtId="0" fontId="0" fillId="0" borderId="33" xfId="0" applyBorder="1" applyAlignment="1">
      <alignment horizontal="left" vertical="center" wrapText="1"/>
    </xf>
    <xf numFmtId="0" fontId="11" fillId="5" borderId="41" xfId="0" applyFont="1" applyFill="1" applyBorder="1" applyAlignment="1">
      <alignment horizontal="center"/>
    </xf>
    <xf numFmtId="0" fontId="11" fillId="5" borderId="34" xfId="0" applyFont="1" applyFill="1" applyBorder="1" applyAlignment="1">
      <alignment horizontal="center"/>
    </xf>
    <xf numFmtId="0" fontId="11" fillId="5" borderId="70" xfId="0" applyFont="1" applyFill="1" applyBorder="1" applyAlignment="1">
      <alignment horizontal="center"/>
    </xf>
    <xf numFmtId="0" fontId="11" fillId="5" borderId="63" xfId="0" applyFont="1" applyFill="1" applyBorder="1" applyAlignment="1">
      <alignment horizontal="center"/>
    </xf>
    <xf numFmtId="0" fontId="11" fillId="5" borderId="29" xfId="0" applyFont="1" applyFill="1" applyBorder="1" applyAlignment="1">
      <alignment horizontal="center"/>
    </xf>
    <xf numFmtId="0" fontId="0" fillId="0" borderId="30" xfId="0" applyBorder="1" applyAlignment="1">
      <alignment horizontal="left" vertical="center"/>
    </xf>
    <xf numFmtId="173" fontId="0" fillId="0" borderId="47" xfId="0" applyNumberFormat="1" applyBorder="1" applyAlignment="1">
      <alignment horizontal="center"/>
    </xf>
    <xf numFmtId="1" fontId="0" fillId="0" borderId="23" xfId="0" applyNumberFormat="1" applyBorder="1" applyAlignment="1">
      <alignment horizontal="center"/>
    </xf>
    <xf numFmtId="0" fontId="0" fillId="0" borderId="35" xfId="0" applyBorder="1" applyAlignment="1">
      <alignment horizontal="left" vertical="center"/>
    </xf>
    <xf numFmtId="173" fontId="0" fillId="0" borderId="44" xfId="0" applyNumberFormat="1" applyBorder="1" applyAlignment="1">
      <alignment horizontal="center"/>
    </xf>
    <xf numFmtId="1" fontId="0" fillId="0" borderId="54" xfId="0" applyNumberFormat="1" applyBorder="1" applyAlignment="1">
      <alignment horizontal="center"/>
    </xf>
    <xf numFmtId="0" fontId="11" fillId="5" borderId="16" xfId="0" applyFont="1" applyFill="1" applyBorder="1" applyAlignment="1">
      <alignment horizontal="center" vertical="center" wrapText="1"/>
    </xf>
    <xf numFmtId="0" fontId="0" fillId="0" borderId="19" xfId="0" applyBorder="1" applyAlignment="1">
      <alignment horizontal="left" vertical="center"/>
    </xf>
    <xf numFmtId="173" fontId="0" fillId="0" borderId="20" xfId="0" applyNumberFormat="1" applyBorder="1" applyAlignment="1">
      <alignment horizontal="center"/>
    </xf>
    <xf numFmtId="1" fontId="0" fillId="0" borderId="72" xfId="0" applyNumberFormat="1" applyBorder="1" applyAlignment="1">
      <alignment horizontal="center"/>
    </xf>
    <xf numFmtId="0" fontId="0" fillId="0" borderId="35" xfId="0" applyBorder="1" applyAlignment="1">
      <alignment horizontal="left" vertical="center" wrapText="1"/>
    </xf>
    <xf numFmtId="173" fontId="0" fillId="14" borderId="44" xfId="0" applyNumberFormat="1" applyFill="1" applyBorder="1" applyAlignment="1">
      <alignment horizontal="center"/>
    </xf>
    <xf numFmtId="1" fontId="0" fillId="14" borderId="54" xfId="0" applyNumberFormat="1" applyFill="1" applyBorder="1" applyAlignment="1">
      <alignment horizontal="center"/>
    </xf>
    <xf numFmtId="0" fontId="0" fillId="14" borderId="12" xfId="0" applyFill="1" applyBorder="1"/>
    <xf numFmtId="0" fontId="0" fillId="14" borderId="11" xfId="0" applyFill="1" applyBorder="1"/>
    <xf numFmtId="165" fontId="0" fillId="0" borderId="37" xfId="6" applyFont="1" applyBorder="1" applyAlignment="1">
      <alignment horizontal="center"/>
    </xf>
    <xf numFmtId="173" fontId="0" fillId="14" borderId="20" xfId="0" applyNumberFormat="1" applyFill="1" applyBorder="1" applyAlignment="1">
      <alignment horizontal="center"/>
    </xf>
    <xf numFmtId="1" fontId="0" fillId="14" borderId="72" xfId="0" applyNumberFormat="1" applyFill="1" applyBorder="1" applyAlignment="1">
      <alignment horizontal="center"/>
    </xf>
    <xf numFmtId="0" fontId="0" fillId="0" borderId="61" xfId="0" applyBorder="1"/>
    <xf numFmtId="0" fontId="0" fillId="0" borderId="33" xfId="0" applyBorder="1"/>
    <xf numFmtId="174" fontId="11" fillId="8" borderId="6" xfId="0" applyNumberFormat="1" applyFont="1" applyFill="1" applyBorder="1"/>
    <xf numFmtId="0" fontId="11" fillId="6" borderId="15" xfId="0" applyFont="1" applyFill="1" applyBorder="1" applyAlignment="1">
      <alignment horizontal="center"/>
    </xf>
    <xf numFmtId="165" fontId="0" fillId="6" borderId="57" xfId="0" applyNumberFormat="1" applyFill="1" applyBorder="1"/>
    <xf numFmtId="165" fontId="0" fillId="6" borderId="58" xfId="0" applyNumberFormat="1" applyFill="1" applyBorder="1"/>
    <xf numFmtId="165" fontId="0" fillId="6" borderId="59" xfId="0" applyNumberFormat="1" applyFill="1" applyBorder="1"/>
    <xf numFmtId="165" fontId="0" fillId="6" borderId="53" xfId="0" applyNumberFormat="1" applyFill="1" applyBorder="1"/>
    <xf numFmtId="165" fontId="0" fillId="6" borderId="69" xfId="0" applyNumberFormat="1" applyFill="1" applyBorder="1"/>
    <xf numFmtId="174" fontId="0" fillId="6" borderId="74" xfId="0" applyNumberFormat="1" applyFill="1" applyBorder="1"/>
    <xf numFmtId="174" fontId="0" fillId="6" borderId="37" xfId="0" applyNumberFormat="1" applyFill="1" applyBorder="1"/>
    <xf numFmtId="1" fontId="0" fillId="0" borderId="31" xfId="0" applyNumberFormat="1" applyBorder="1" applyAlignment="1">
      <alignment horizontal="center"/>
    </xf>
    <xf numFmtId="1" fontId="0" fillId="0" borderId="36" xfId="0" applyNumberFormat="1" applyBorder="1" applyAlignment="1">
      <alignment horizontal="center"/>
    </xf>
    <xf numFmtId="1" fontId="0" fillId="0" borderId="21" xfId="0" applyNumberFormat="1" applyBorder="1" applyAlignment="1">
      <alignment horizontal="center"/>
    </xf>
    <xf numFmtId="1" fontId="0" fillId="14" borderId="36" xfId="0" applyNumberFormat="1" applyFill="1" applyBorder="1" applyAlignment="1">
      <alignment horizontal="center"/>
    </xf>
    <xf numFmtId="1" fontId="0" fillId="14" borderId="21" xfId="0" applyNumberFormat="1" applyFill="1" applyBorder="1" applyAlignment="1">
      <alignment horizontal="center"/>
    </xf>
    <xf numFmtId="1" fontId="0" fillId="14" borderId="11" xfId="0" applyNumberFormat="1" applyFill="1" applyBorder="1"/>
    <xf numFmtId="1" fontId="0" fillId="0" borderId="75" xfId="0" applyNumberFormat="1" applyBorder="1" applyAlignment="1">
      <alignment horizontal="center"/>
    </xf>
    <xf numFmtId="1" fontId="0" fillId="0" borderId="37" xfId="0" applyNumberFormat="1" applyBorder="1" applyAlignment="1">
      <alignment horizontal="center"/>
    </xf>
    <xf numFmtId="165" fontId="0" fillId="0" borderId="74" xfId="6" applyFont="1" applyBorder="1" applyAlignment="1">
      <alignment horizontal="center"/>
    </xf>
    <xf numFmtId="165" fontId="0" fillId="6" borderId="6" xfId="0" applyNumberFormat="1" applyFill="1" applyBorder="1"/>
    <xf numFmtId="0" fontId="11" fillId="5" borderId="15" xfId="0" applyFont="1" applyFill="1" applyBorder="1" applyAlignment="1">
      <alignment horizontal="center" vertical="center" wrapText="1"/>
    </xf>
    <xf numFmtId="0" fontId="0" fillId="0" borderId="42" xfId="0" applyBorder="1" applyAlignment="1">
      <alignment horizontal="left" vertical="center"/>
    </xf>
    <xf numFmtId="173" fontId="0" fillId="0" borderId="38" xfId="0" applyNumberFormat="1" applyBorder="1" applyAlignment="1">
      <alignment horizontal="center"/>
    </xf>
    <xf numFmtId="0" fontId="12" fillId="6" borderId="3" xfId="0" applyFont="1" applyFill="1" applyBorder="1" applyAlignment="1">
      <alignment horizontal="center" vertical="center" wrapText="1"/>
    </xf>
    <xf numFmtId="10" fontId="12" fillId="6" borderId="63" xfId="0" applyNumberFormat="1" applyFont="1" applyFill="1" applyBorder="1" applyAlignment="1">
      <alignment horizontal="center" vertical="center"/>
    </xf>
    <xf numFmtId="9" fontId="12" fillId="6" borderId="63" xfId="0" applyNumberFormat="1" applyFont="1" applyFill="1" applyBorder="1" applyAlignment="1">
      <alignment horizontal="center" vertical="center"/>
    </xf>
    <xf numFmtId="0" fontId="0" fillId="0" borderId="19" xfId="0" applyBorder="1" applyAlignment="1">
      <alignment horizontal="center" vertical="center"/>
    </xf>
    <xf numFmtId="0" fontId="0" fillId="0" borderId="21" xfId="0" applyBorder="1" applyAlignment="1">
      <alignment vertical="center"/>
    </xf>
    <xf numFmtId="0" fontId="0" fillId="2" borderId="31" xfId="0" applyFill="1" applyBorder="1"/>
    <xf numFmtId="0" fontId="0" fillId="2" borderId="36" xfId="0" applyFill="1" applyBorder="1"/>
    <xf numFmtId="0" fontId="12" fillId="6" borderId="67" xfId="0" applyFont="1" applyFill="1" applyBorder="1" applyAlignment="1">
      <alignment horizontal="center" vertical="center"/>
    </xf>
    <xf numFmtId="10" fontId="12" fillId="6" borderId="70" xfId="0" applyNumberFormat="1" applyFont="1" applyFill="1" applyBorder="1" applyAlignment="1">
      <alignment horizontal="center" vertical="center"/>
    </xf>
    <xf numFmtId="165" fontId="0" fillId="0" borderId="20" xfId="6" applyFont="1" applyBorder="1" applyAlignment="1">
      <alignment horizontal="left" vertical="center"/>
    </xf>
    <xf numFmtId="165" fontId="0" fillId="2" borderId="47" xfId="6" applyFont="1" applyFill="1" applyBorder="1"/>
    <xf numFmtId="165" fontId="0" fillId="2" borderId="43" xfId="6" applyFont="1" applyFill="1" applyBorder="1"/>
    <xf numFmtId="165" fontId="0" fillId="2" borderId="44" xfId="6" applyFont="1" applyFill="1" applyBorder="1"/>
    <xf numFmtId="165" fontId="11" fillId="6" borderId="53" xfId="6" applyFont="1" applyFill="1" applyBorder="1"/>
    <xf numFmtId="165" fontId="11" fillId="6" borderId="57" xfId="6" applyFont="1" applyFill="1" applyBorder="1"/>
    <xf numFmtId="165" fontId="11" fillId="6" borderId="58" xfId="6" applyFont="1" applyFill="1" applyBorder="1"/>
    <xf numFmtId="165" fontId="11" fillId="6" borderId="59" xfId="6" applyFont="1" applyFill="1" applyBorder="1"/>
    <xf numFmtId="0" fontId="12" fillId="6" borderId="27" xfId="0" applyFont="1" applyFill="1" applyBorder="1" applyAlignment="1">
      <alignment horizontal="center" vertical="center" wrapText="1"/>
    </xf>
    <xf numFmtId="9" fontId="12" fillId="6" borderId="29" xfId="0" applyNumberFormat="1" applyFont="1" applyFill="1" applyBorder="1" applyAlignment="1">
      <alignment horizontal="center" vertical="center"/>
    </xf>
    <xf numFmtId="165" fontId="0" fillId="0" borderId="53" xfId="6" applyFont="1" applyBorder="1" applyAlignment="1">
      <alignment horizontal="center"/>
    </xf>
    <xf numFmtId="165" fontId="0" fillId="0" borderId="57" xfId="6" applyFont="1" applyBorder="1" applyAlignment="1">
      <alignment horizontal="center"/>
    </xf>
    <xf numFmtId="165" fontId="0" fillId="0" borderId="58" xfId="6" applyFont="1" applyBorder="1" applyAlignment="1">
      <alignment horizontal="center"/>
    </xf>
    <xf numFmtId="165" fontId="0" fillId="0" borderId="59" xfId="6" applyFont="1" applyBorder="1" applyAlignment="1">
      <alignment horizontal="center"/>
    </xf>
    <xf numFmtId="165" fontId="0" fillId="2" borderId="34" xfId="6" applyFont="1" applyFill="1" applyBorder="1"/>
    <xf numFmtId="0" fontId="12" fillId="6" borderId="1" xfId="0" applyFont="1" applyFill="1" applyBorder="1" applyAlignment="1">
      <alignment horizontal="center" vertical="center"/>
    </xf>
    <xf numFmtId="173" fontId="11" fillId="6" borderId="1" xfId="0" applyNumberFormat="1" applyFont="1" applyFill="1" applyBorder="1" applyAlignment="1">
      <alignment horizontal="center"/>
    </xf>
    <xf numFmtId="0" fontId="11" fillId="8" borderId="1" xfId="0" applyFont="1" applyFill="1" applyBorder="1" applyAlignment="1">
      <alignment horizontal="center"/>
    </xf>
    <xf numFmtId="171" fontId="0" fillId="2" borderId="1" xfId="0" applyNumberFormat="1" applyFont="1" applyFill="1" applyBorder="1" applyAlignment="1">
      <alignment horizontal="right"/>
    </xf>
    <xf numFmtId="0" fontId="11" fillId="6" borderId="1" xfId="0" applyFont="1" applyFill="1" applyBorder="1" applyAlignment="1">
      <alignment horizontal="left"/>
    </xf>
    <xf numFmtId="171" fontId="11" fillId="8" borderId="1" xfId="0" applyNumberFormat="1" applyFont="1" applyFill="1" applyBorder="1" applyAlignment="1">
      <alignment horizontal="right"/>
    </xf>
    <xf numFmtId="171" fontId="0" fillId="0" borderId="1" xfId="0" applyNumberFormat="1" applyBorder="1" applyAlignment="1">
      <alignment horizontal="center"/>
    </xf>
    <xf numFmtId="171" fontId="0" fillId="0" borderId="35" xfId="0" applyNumberFormat="1" applyBorder="1" applyAlignment="1">
      <alignment horizontal="center"/>
    </xf>
    <xf numFmtId="171" fontId="0" fillId="0" borderId="36" xfId="0" applyNumberFormat="1" applyBorder="1" applyAlignment="1">
      <alignment horizontal="center"/>
    </xf>
    <xf numFmtId="171" fontId="0" fillId="0" borderId="44" xfId="0" applyNumberFormat="1" applyBorder="1" applyAlignment="1">
      <alignment horizontal="center"/>
    </xf>
    <xf numFmtId="0" fontId="11" fillId="6" borderId="61" xfId="0" applyFont="1" applyFill="1" applyBorder="1" applyAlignment="1">
      <alignment horizontal="center"/>
    </xf>
    <xf numFmtId="0" fontId="11" fillId="6" borderId="3" xfId="0" applyFont="1" applyFill="1" applyBorder="1" applyAlignment="1">
      <alignment horizontal="center"/>
    </xf>
    <xf numFmtId="0" fontId="11" fillId="6" borderId="62" xfId="0" applyFont="1" applyFill="1" applyBorder="1" applyAlignment="1">
      <alignment horizontal="center"/>
    </xf>
    <xf numFmtId="171" fontId="0" fillId="0" borderId="3" xfId="0" applyNumberFormat="1" applyBorder="1" applyAlignment="1">
      <alignment horizontal="center"/>
    </xf>
    <xf numFmtId="0" fontId="0" fillId="0" borderId="33" xfId="0" applyBorder="1" applyAlignment="1">
      <alignment vertical="center"/>
    </xf>
    <xf numFmtId="171" fontId="0" fillId="6" borderId="43" xfId="0" applyNumberFormat="1" applyFill="1" applyBorder="1"/>
    <xf numFmtId="0" fontId="0" fillId="2" borderId="33" xfId="0" applyFill="1" applyBorder="1"/>
    <xf numFmtId="0" fontId="12" fillId="6" borderId="35" xfId="0" applyFont="1" applyFill="1" applyBorder="1" applyAlignment="1">
      <alignment horizontal="center" vertical="center"/>
    </xf>
    <xf numFmtId="0" fontId="11" fillId="6" borderId="36" xfId="0" applyFont="1" applyFill="1" applyBorder="1" applyAlignment="1">
      <alignment horizontal="center"/>
    </xf>
    <xf numFmtId="173" fontId="11" fillId="6" borderId="36" xfId="0" applyNumberFormat="1" applyFont="1" applyFill="1" applyBorder="1" applyAlignment="1">
      <alignment horizontal="center"/>
    </xf>
    <xf numFmtId="171" fontId="11" fillId="8" borderId="44" xfId="0" applyNumberFormat="1" applyFont="1" applyFill="1" applyBorder="1"/>
    <xf numFmtId="0" fontId="12" fillId="6" borderId="33" xfId="0" applyFont="1" applyFill="1" applyBorder="1" applyAlignment="1">
      <alignment horizontal="center" vertical="center"/>
    </xf>
    <xf numFmtId="171" fontId="11" fillId="8" borderId="43" xfId="0" applyNumberFormat="1" applyFont="1" applyFill="1" applyBorder="1"/>
    <xf numFmtId="0" fontId="0" fillId="2" borderId="15" xfId="0" applyFill="1" applyBorder="1"/>
    <xf numFmtId="0" fontId="0" fillId="2" borderId="11" xfId="0" applyFill="1" applyBorder="1"/>
    <xf numFmtId="0" fontId="0" fillId="2" borderId="12" xfId="0" applyFill="1" applyBorder="1"/>
    <xf numFmtId="0" fontId="3" fillId="2" borderId="43" xfId="1" applyFill="1" applyBorder="1"/>
    <xf numFmtId="0" fontId="3" fillId="0" borderId="43" xfId="1" applyBorder="1"/>
    <xf numFmtId="0" fontId="0" fillId="0" borderId="35" xfId="0" applyBorder="1" applyAlignment="1">
      <alignment vertical="center"/>
    </xf>
    <xf numFmtId="0" fontId="0" fillId="0" borderId="36" xfId="0" applyBorder="1" applyAlignment="1">
      <alignment horizontal="center"/>
    </xf>
    <xf numFmtId="0" fontId="0" fillId="2" borderId="44" xfId="0" applyFill="1" applyBorder="1"/>
    <xf numFmtId="171" fontId="11" fillId="8" borderId="53" xfId="0" applyNumberFormat="1" applyFont="1" applyFill="1" applyBorder="1" applyAlignment="1">
      <alignment horizontal="center"/>
    </xf>
    <xf numFmtId="171" fontId="0" fillId="0" borderId="63" xfId="0" applyNumberFormat="1" applyBorder="1" applyAlignment="1">
      <alignment horizontal="center"/>
    </xf>
    <xf numFmtId="0" fontId="12" fillId="6" borderId="61" xfId="0" applyFont="1" applyFill="1" applyBorder="1" applyAlignment="1">
      <alignment horizontal="center"/>
    </xf>
    <xf numFmtId="0" fontId="12" fillId="6" borderId="3" xfId="0" applyFont="1" applyFill="1" applyBorder="1" applyAlignment="1">
      <alignment horizontal="center"/>
    </xf>
    <xf numFmtId="0" fontId="12" fillId="6" borderId="62" xfId="0" applyFont="1" applyFill="1" applyBorder="1" applyAlignment="1">
      <alignment horizontal="center"/>
    </xf>
    <xf numFmtId="171" fontId="11" fillId="8" borderId="6" xfId="0" applyNumberFormat="1" applyFont="1" applyFill="1" applyBorder="1" applyAlignment="1">
      <alignment horizontal="center"/>
    </xf>
    <xf numFmtId="0" fontId="14" fillId="0" borderId="0" xfId="0" applyFont="1" applyFill="1" applyBorder="1" applyAlignment="1"/>
    <xf numFmtId="171" fontId="0" fillId="0" borderId="43" xfId="0" applyNumberFormat="1" applyBorder="1" applyAlignment="1">
      <alignment horizontal="center"/>
    </xf>
    <xf numFmtId="171" fontId="0" fillId="0" borderId="34" xfId="0" applyNumberFormat="1" applyBorder="1" applyAlignment="1">
      <alignment horizontal="center"/>
    </xf>
    <xf numFmtId="0" fontId="0" fillId="0" borderId="1" xfId="0" applyBorder="1" applyAlignment="1">
      <alignment horizontal="center" vertical="center"/>
    </xf>
    <xf numFmtId="0" fontId="0" fillId="0" borderId="67" xfId="0" applyBorder="1" applyAlignment="1">
      <alignment horizontal="center"/>
    </xf>
    <xf numFmtId="0" fontId="0" fillId="0" borderId="2" xfId="0" applyBorder="1" applyAlignment="1">
      <alignment vertical="center"/>
    </xf>
    <xf numFmtId="171" fontId="0" fillId="15" borderId="1" xfId="0" applyNumberFormat="1" applyFill="1" applyBorder="1" applyAlignment="1">
      <alignment horizontal="center"/>
    </xf>
    <xf numFmtId="171" fontId="0" fillId="8" borderId="1" xfId="0" applyNumberFormat="1" applyFill="1" applyBorder="1" applyAlignment="1">
      <alignment horizontal="center"/>
    </xf>
    <xf numFmtId="171" fontId="0" fillId="8" borderId="1" xfId="0" applyNumberFormat="1" applyFill="1" applyBorder="1"/>
    <xf numFmtId="171" fontId="0" fillId="15" borderId="1" xfId="0" applyNumberFormat="1" applyFill="1" applyBorder="1"/>
    <xf numFmtId="0" fontId="0" fillId="0" borderId="24" xfId="0" applyBorder="1" applyAlignment="1">
      <alignment horizontal="center"/>
    </xf>
    <xf numFmtId="0" fontId="0" fillId="0" borderId="27" xfId="0" applyBorder="1" applyAlignment="1">
      <alignment horizontal="center"/>
    </xf>
    <xf numFmtId="171" fontId="0" fillId="8" borderId="33" xfId="0" applyNumberFormat="1" applyFill="1" applyBorder="1" applyAlignment="1">
      <alignment horizontal="center"/>
    </xf>
    <xf numFmtId="171" fontId="0" fillId="15" borderId="43" xfId="0" applyNumberFormat="1" applyFill="1" applyBorder="1" applyAlignment="1">
      <alignment horizontal="center"/>
    </xf>
    <xf numFmtId="171" fontId="0" fillId="15" borderId="33" xfId="0" applyNumberFormat="1" applyFill="1" applyBorder="1" applyAlignment="1">
      <alignment horizontal="center"/>
    </xf>
    <xf numFmtId="171" fontId="0" fillId="8" borderId="43" xfId="0" applyNumberFormat="1" applyFill="1" applyBorder="1" applyAlignment="1">
      <alignment horizontal="center"/>
    </xf>
    <xf numFmtId="171" fontId="0" fillId="15" borderId="35" xfId="0" applyNumberFormat="1" applyFill="1" applyBorder="1" applyAlignment="1">
      <alignment horizontal="center"/>
    </xf>
    <xf numFmtId="171" fontId="0" fillId="15" borderId="36" xfId="0" applyNumberFormat="1" applyFill="1" applyBorder="1" applyAlignment="1">
      <alignment horizontal="center"/>
    </xf>
    <xf numFmtId="171" fontId="0" fillId="8" borderId="44" xfId="0" applyNumberFormat="1" applyFill="1" applyBorder="1" applyAlignment="1">
      <alignment horizontal="center"/>
    </xf>
    <xf numFmtId="171" fontId="0" fillId="8" borderId="33" xfId="0" applyNumberFormat="1" applyFill="1" applyBorder="1"/>
    <xf numFmtId="171" fontId="0" fillId="8" borderId="43" xfId="0" applyNumberFormat="1" applyFill="1" applyBorder="1"/>
    <xf numFmtId="171" fontId="0" fillId="15" borderId="33" xfId="0" applyNumberFormat="1" applyFill="1" applyBorder="1"/>
    <xf numFmtId="171" fontId="0" fillId="15" borderId="43" xfId="0" applyNumberFormat="1" applyFill="1" applyBorder="1"/>
    <xf numFmtId="171" fontId="0" fillId="15" borderId="35" xfId="0" applyNumberFormat="1" applyFill="1" applyBorder="1"/>
    <xf numFmtId="171" fontId="0" fillId="15" borderId="36" xfId="0" applyNumberFormat="1" applyFill="1" applyBorder="1"/>
    <xf numFmtId="171" fontId="0" fillId="15" borderId="44" xfId="0" applyNumberFormat="1" applyFill="1" applyBorder="1"/>
    <xf numFmtId="171" fontId="12" fillId="8" borderId="21" xfId="0" applyNumberFormat="1" applyFont="1" applyFill="1" applyBorder="1"/>
    <xf numFmtId="171" fontId="12" fillId="8" borderId="20" xfId="0" applyNumberFormat="1" applyFont="1" applyFill="1" applyBorder="1"/>
    <xf numFmtId="0" fontId="0" fillId="0" borderId="23" xfId="0" applyBorder="1" applyAlignment="1">
      <alignment vertical="center"/>
    </xf>
    <xf numFmtId="0" fontId="0" fillId="0" borderId="31" xfId="0" applyBorder="1" applyAlignment="1">
      <alignment horizontal="center"/>
    </xf>
    <xf numFmtId="171" fontId="0" fillId="0" borderId="31" xfId="0" applyNumberFormat="1" applyBorder="1" applyAlignment="1">
      <alignment horizontal="center"/>
    </xf>
    <xf numFmtId="0" fontId="0" fillId="0" borderId="22" xfId="0" applyBorder="1" applyAlignment="1">
      <alignment horizontal="center"/>
    </xf>
    <xf numFmtId="171" fontId="0" fillId="8" borderId="30" xfId="0" applyNumberFormat="1" applyFill="1" applyBorder="1" applyAlignment="1">
      <alignment horizontal="center"/>
    </xf>
    <xf numFmtId="171" fontId="0" fillId="15" borderId="31" xfId="0" applyNumberFormat="1" applyFill="1" applyBorder="1" applyAlignment="1">
      <alignment horizontal="center"/>
    </xf>
    <xf numFmtId="171" fontId="0" fillId="15" borderId="47" xfId="0" applyNumberFormat="1" applyFill="1" applyBorder="1" applyAlignment="1">
      <alignment horizontal="center"/>
    </xf>
    <xf numFmtId="171" fontId="0" fillId="8" borderId="30" xfId="0" applyNumberFormat="1" applyFill="1" applyBorder="1"/>
    <xf numFmtId="171" fontId="0" fillId="8" borderId="47" xfId="0" applyNumberFormat="1" applyFill="1" applyBorder="1"/>
    <xf numFmtId="0" fontId="0" fillId="0" borderId="54" xfId="0" applyBorder="1" applyAlignment="1">
      <alignment vertical="center"/>
    </xf>
    <xf numFmtId="0" fontId="0" fillId="0" borderId="39" xfId="0" applyBorder="1" applyAlignment="1">
      <alignment horizontal="center"/>
    </xf>
    <xf numFmtId="171" fontId="0" fillId="8" borderId="31" xfId="0" applyNumberFormat="1" applyFill="1" applyBorder="1"/>
    <xf numFmtId="171" fontId="0" fillId="8" borderId="36" xfId="0" applyNumberFormat="1" applyFill="1" applyBorder="1" applyAlignment="1">
      <alignment horizontal="center"/>
    </xf>
    <xf numFmtId="171" fontId="0" fillId="15" borderId="44" xfId="0" applyNumberFormat="1" applyFill="1" applyBorder="1" applyAlignment="1">
      <alignment horizontal="center"/>
    </xf>
    <xf numFmtId="171" fontId="0" fillId="8" borderId="44" xfId="0" applyNumberFormat="1" applyFill="1" applyBorder="1"/>
    <xf numFmtId="0" fontId="0" fillId="0" borderId="74" xfId="0" applyBorder="1" applyAlignment="1">
      <alignment horizontal="center"/>
    </xf>
    <xf numFmtId="0" fontId="11" fillId="6" borderId="35" xfId="0" applyFont="1" applyFill="1" applyBorder="1" applyAlignment="1">
      <alignment horizontal="center" vertical="center"/>
    </xf>
    <xf numFmtId="0" fontId="11" fillId="6" borderId="36" xfId="0" applyFont="1" applyFill="1" applyBorder="1" applyAlignment="1">
      <alignment horizontal="center" vertical="center"/>
    </xf>
    <xf numFmtId="0" fontId="11" fillId="6" borderId="44" xfId="0" applyFont="1" applyFill="1" applyBorder="1" applyAlignment="1">
      <alignment horizontal="center" vertical="center"/>
    </xf>
    <xf numFmtId="171" fontId="12" fillId="8" borderId="72" xfId="0" applyNumberFormat="1" applyFont="1" applyFill="1" applyBorder="1"/>
    <xf numFmtId="0" fontId="0" fillId="0" borderId="2" xfId="0" applyBorder="1" applyAlignment="1">
      <alignment horizontal="center"/>
    </xf>
    <xf numFmtId="0" fontId="0" fillId="0" borderId="43" xfId="0" applyBorder="1"/>
    <xf numFmtId="171" fontId="0" fillId="0" borderId="62" xfId="0" applyNumberFormat="1" applyBorder="1" applyAlignment="1">
      <alignment horizontal="center"/>
    </xf>
    <xf numFmtId="0" fontId="11" fillId="6" borderId="72" xfId="0" applyFont="1" applyFill="1" applyBorder="1" applyAlignment="1">
      <alignment horizontal="center"/>
    </xf>
    <xf numFmtId="0" fontId="11" fillId="6" borderId="21" xfId="0" applyFont="1" applyFill="1" applyBorder="1" applyAlignment="1">
      <alignment horizontal="center"/>
    </xf>
    <xf numFmtId="0" fontId="11" fillId="6" borderId="20" xfId="0" applyFont="1" applyFill="1" applyBorder="1" applyAlignment="1">
      <alignment horizontal="center"/>
    </xf>
    <xf numFmtId="0" fontId="0" fillId="0" borderId="34" xfId="0" applyBorder="1"/>
    <xf numFmtId="0" fontId="0" fillId="0" borderId="70" xfId="0" applyBorder="1" applyAlignment="1">
      <alignment horizontal="center"/>
    </xf>
    <xf numFmtId="0" fontId="0" fillId="8" borderId="72" xfId="0" applyFill="1" applyBorder="1" applyAlignment="1">
      <alignment horizontal="center"/>
    </xf>
    <xf numFmtId="171" fontId="0" fillId="8" borderId="21" xfId="0" applyNumberFormat="1" applyFill="1" applyBorder="1" applyAlignment="1">
      <alignment horizontal="center"/>
    </xf>
    <xf numFmtId="171" fontId="0" fillId="8" borderId="20" xfId="0" applyNumberFormat="1" applyFill="1" applyBorder="1" applyAlignment="1">
      <alignment horizontal="center"/>
    </xf>
    <xf numFmtId="171" fontId="0" fillId="0" borderId="76" xfId="0" applyNumberFormat="1" applyBorder="1" applyAlignment="1">
      <alignment horizontal="center"/>
    </xf>
    <xf numFmtId="171" fontId="0" fillId="0" borderId="26" xfId="0" applyNumberFormat="1" applyBorder="1" applyAlignment="1">
      <alignment horizontal="center"/>
    </xf>
    <xf numFmtId="171" fontId="0" fillId="0" borderId="46" xfId="0" applyNumberFormat="1" applyBorder="1" applyAlignment="1">
      <alignment horizontal="center"/>
    </xf>
    <xf numFmtId="165" fontId="0" fillId="2" borderId="0" xfId="6" applyFont="1" applyFill="1"/>
    <xf numFmtId="164" fontId="0" fillId="2" borderId="0" xfId="0" applyNumberFormat="1" applyFill="1"/>
    <xf numFmtId="171" fontId="11" fillId="8" borderId="30" xfId="0" applyNumberFormat="1" applyFont="1" applyFill="1" applyBorder="1"/>
    <xf numFmtId="9" fontId="11" fillId="12" borderId="47" xfId="0" applyNumberFormat="1" applyFont="1" applyFill="1" applyBorder="1" applyAlignment="1">
      <alignment horizontal="center"/>
    </xf>
    <xf numFmtId="171" fontId="11" fillId="8" borderId="33" xfId="0" applyNumberFormat="1" applyFont="1" applyFill="1" applyBorder="1"/>
    <xf numFmtId="175" fontId="11" fillId="12" borderId="43" xfId="0" applyNumberFormat="1" applyFont="1" applyFill="1" applyBorder="1" applyAlignment="1">
      <alignment horizontal="center"/>
    </xf>
    <xf numFmtId="171" fontId="11" fillId="8" borderId="35" xfId="0" applyNumberFormat="1" applyFont="1" applyFill="1" applyBorder="1"/>
    <xf numFmtId="9" fontId="11" fillId="12" borderId="44" xfId="0" applyNumberFormat="1" applyFont="1" applyFill="1" applyBorder="1" applyAlignment="1">
      <alignment horizontal="center"/>
    </xf>
    <xf numFmtId="171" fontId="0" fillId="8" borderId="72" xfId="0" applyNumberFormat="1" applyFill="1" applyBorder="1" applyAlignment="1">
      <alignment horizontal="center"/>
    </xf>
    <xf numFmtId="165" fontId="11" fillId="2" borderId="0" xfId="6" applyFont="1" applyFill="1" applyBorder="1" applyAlignment="1">
      <alignment horizontal="center"/>
    </xf>
    <xf numFmtId="0" fontId="0" fillId="2" borderId="1" xfId="0" applyFill="1" applyBorder="1" applyAlignment="1">
      <alignment horizontal="left" vertical="center" wrapText="1"/>
    </xf>
    <xf numFmtId="0" fontId="0" fillId="0" borderId="1" xfId="0" applyBorder="1" applyAlignment="1">
      <alignment vertical="center" wrapText="1"/>
    </xf>
    <xf numFmtId="0" fontId="0" fillId="2" borderId="3" xfId="0" applyFill="1" applyBorder="1" applyAlignment="1">
      <alignment horizontal="left" vertical="center" wrapText="1"/>
    </xf>
    <xf numFmtId="0" fontId="12" fillId="2" borderId="3" xfId="0" applyFont="1" applyFill="1" applyBorder="1" applyAlignment="1">
      <alignment horizontal="center"/>
    </xf>
    <xf numFmtId="0" fontId="0" fillId="2" borderId="3" xfId="0" applyFont="1" applyFill="1" applyBorder="1" applyAlignment="1">
      <alignment horizontal="center" vertical="center"/>
    </xf>
    <xf numFmtId="0" fontId="0" fillId="8" borderId="24" xfId="0" applyFill="1" applyBorder="1"/>
    <xf numFmtId="0" fontId="0" fillId="8" borderId="2" xfId="0" applyFill="1" applyBorder="1"/>
    <xf numFmtId="0" fontId="27" fillId="5" borderId="25" xfId="0" applyFont="1" applyFill="1" applyBorder="1" applyAlignment="1">
      <alignment vertical="center"/>
    </xf>
    <xf numFmtId="0" fontId="27" fillId="5" borderId="2" xfId="0" applyFont="1" applyFill="1" applyBorder="1" applyAlignment="1">
      <alignment vertical="center"/>
    </xf>
    <xf numFmtId="10" fontId="0" fillId="2" borderId="1" xfId="0" applyNumberFormat="1" applyFill="1" applyBorder="1" applyAlignment="1">
      <alignment horizontal="center"/>
    </xf>
    <xf numFmtId="171" fontId="0" fillId="2" borderId="1" xfId="0" applyNumberFormat="1" applyFill="1" applyBorder="1" applyAlignment="1">
      <alignment horizontal="center"/>
    </xf>
    <xf numFmtId="9" fontId="0" fillId="2" borderId="1" xfId="0" applyNumberFormat="1" applyFill="1" applyBorder="1" applyAlignment="1">
      <alignment horizontal="center"/>
    </xf>
    <xf numFmtId="175" fontId="0" fillId="2" borderId="1" xfId="0" applyNumberFormat="1" applyFill="1" applyBorder="1" applyAlignment="1">
      <alignment horizontal="center"/>
    </xf>
    <xf numFmtId="167" fontId="0" fillId="2" borderId="1" xfId="0" applyNumberFormat="1" applyFill="1" applyBorder="1" applyAlignment="1">
      <alignment horizontal="center"/>
    </xf>
    <xf numFmtId="0" fontId="0" fillId="2" borderId="3" xfId="0" applyFill="1" applyBorder="1" applyAlignment="1">
      <alignment horizontal="center"/>
    </xf>
    <xf numFmtId="0" fontId="11" fillId="5" borderId="24" xfId="0" applyFont="1" applyFill="1" applyBorder="1" applyAlignment="1">
      <alignment horizontal="center" vertical="center" wrapText="1"/>
    </xf>
    <xf numFmtId="171" fontId="0" fillId="5" borderId="1" xfId="0" applyNumberFormat="1" applyFill="1" applyBorder="1"/>
    <xf numFmtId="0" fontId="0" fillId="5" borderId="1" xfId="0" applyFill="1" applyBorder="1" applyAlignment="1">
      <alignment horizontal="center"/>
    </xf>
    <xf numFmtId="0" fontId="0" fillId="5" borderId="24" xfId="0" applyFill="1" applyBorder="1" applyAlignment="1">
      <alignment vertical="center"/>
    </xf>
    <xf numFmtId="0" fontId="0" fillId="5" borderId="2" xfId="0" applyFill="1" applyBorder="1" applyAlignment="1">
      <alignment vertical="center"/>
    </xf>
    <xf numFmtId="0" fontId="0" fillId="5" borderId="1" xfId="0" applyFill="1" applyBorder="1"/>
    <xf numFmtId="0" fontId="0" fillId="5" borderId="24" xfId="0" applyFill="1" applyBorder="1"/>
    <xf numFmtId="0" fontId="0" fillId="5" borderId="2" xfId="0" applyFill="1" applyBorder="1"/>
    <xf numFmtId="0" fontId="0" fillId="2" borderId="2" xfId="0" applyFill="1" applyBorder="1" applyAlignment="1">
      <alignment horizontal="center" vertical="center"/>
    </xf>
    <xf numFmtId="171" fontId="0" fillId="2" borderId="1" xfId="0" applyNumberFormat="1" applyFill="1" applyBorder="1" applyAlignment="1">
      <alignment horizontal="center" vertical="center"/>
    </xf>
    <xf numFmtId="0" fontId="0" fillId="2" borderId="26" xfId="0" applyFill="1" applyBorder="1" applyAlignment="1">
      <alignment horizontal="left" vertical="center" wrapText="1"/>
    </xf>
    <xf numFmtId="0" fontId="0" fillId="8" borderId="1" xfId="0" applyFill="1" applyBorder="1" applyAlignment="1">
      <alignment horizontal="center" vertical="center"/>
    </xf>
    <xf numFmtId="171" fontId="0" fillId="8" borderId="1" xfId="0" applyNumberFormat="1" applyFill="1" applyBorder="1" applyAlignment="1">
      <alignment horizontal="center" vertical="center"/>
    </xf>
    <xf numFmtId="0" fontId="11" fillId="5" borderId="24" xfId="0" applyFont="1" applyFill="1" applyBorder="1"/>
    <xf numFmtId="0" fontId="11" fillId="5" borderId="2" xfId="0" applyFont="1" applyFill="1" applyBorder="1"/>
    <xf numFmtId="0" fontId="22" fillId="5" borderId="24" xfId="0" applyFont="1" applyFill="1" applyBorder="1" applyAlignment="1">
      <alignment vertical="center"/>
    </xf>
    <xf numFmtId="171" fontId="0" fillId="5" borderId="1" xfId="0" applyNumberFormat="1" applyFont="1" applyFill="1" applyBorder="1" applyAlignment="1">
      <alignment horizontal="center"/>
    </xf>
    <xf numFmtId="0" fontId="0" fillId="2" borderId="0" xfId="0" applyFill="1" applyBorder="1" applyAlignment="1">
      <alignment horizontal="center"/>
    </xf>
    <xf numFmtId="171" fontId="0" fillId="2" borderId="33" xfId="0" applyNumberFormat="1" applyFont="1" applyFill="1" applyBorder="1" applyAlignment="1">
      <alignment horizontal="center"/>
    </xf>
    <xf numFmtId="171" fontId="0" fillId="2" borderId="43" xfId="0" applyNumberFormat="1" applyFont="1" applyFill="1" applyBorder="1" applyAlignment="1">
      <alignment horizontal="center"/>
    </xf>
    <xf numFmtId="0" fontId="0" fillId="2" borderId="6" xfId="0" applyFill="1" applyBorder="1" applyAlignment="1">
      <alignment horizontal="left" vertical="center" wrapText="1"/>
    </xf>
    <xf numFmtId="0" fontId="15" fillId="2" borderId="0" xfId="0" applyFont="1" applyFill="1" applyAlignment="1">
      <alignment horizontal="center" vertical="center"/>
    </xf>
    <xf numFmtId="0" fontId="16" fillId="2" borderId="0" xfId="0" applyFont="1" applyFill="1" applyAlignment="1">
      <alignment horizontal="center" vertical="center"/>
    </xf>
    <xf numFmtId="0" fontId="0" fillId="2" borderId="13" xfId="0" applyFill="1" applyBorder="1"/>
    <xf numFmtId="0" fontId="0" fillId="2" borderId="8" xfId="0" applyFill="1" applyBorder="1"/>
    <xf numFmtId="0" fontId="0" fillId="2" borderId="9" xfId="0" applyFill="1" applyBorder="1"/>
    <xf numFmtId="0" fontId="0" fillId="2" borderId="14" xfId="0" applyFill="1" applyBorder="1" applyAlignment="1"/>
    <xf numFmtId="0" fontId="0" fillId="2" borderId="10" xfId="0" applyFill="1" applyBorder="1" applyAlignment="1"/>
    <xf numFmtId="0" fontId="0" fillId="2" borderId="0" xfId="0" applyFill="1" applyBorder="1" applyAlignment="1"/>
    <xf numFmtId="0" fontId="0" fillId="2" borderId="15" xfId="0" applyFill="1" applyBorder="1" applyAlignment="1"/>
    <xf numFmtId="0" fontId="0" fillId="2" borderId="11" xfId="0" applyFill="1" applyBorder="1" applyAlignment="1"/>
    <xf numFmtId="0" fontId="0" fillId="2" borderId="12" xfId="0" applyFill="1" applyBorder="1" applyAlignment="1"/>
    <xf numFmtId="0" fontId="0" fillId="2" borderId="13" xfId="0" applyFill="1" applyBorder="1" applyAlignment="1"/>
    <xf numFmtId="0" fontId="0" fillId="2" borderId="8" xfId="0" applyFill="1" applyBorder="1" applyAlignment="1"/>
    <xf numFmtId="0" fontId="0" fillId="2" borderId="9" xfId="0" applyFill="1" applyBorder="1" applyAlignment="1"/>
    <xf numFmtId="0" fontId="0" fillId="2" borderId="14" xfId="0" applyFill="1" applyBorder="1"/>
    <xf numFmtId="0" fontId="0" fillId="2" borderId="10" xfId="0" applyFill="1" applyBorder="1"/>
    <xf numFmtId="171" fontId="11" fillId="16" borderId="1" xfId="0" applyNumberFormat="1" applyFont="1" applyFill="1" applyBorder="1" applyAlignment="1">
      <alignment horizontal="center" vertical="center"/>
    </xf>
    <xf numFmtId="171" fontId="11" fillId="5" borderId="1" xfId="0" applyNumberFormat="1" applyFont="1" applyFill="1" applyBorder="1" applyAlignment="1">
      <alignment horizontal="right"/>
    </xf>
    <xf numFmtId="9" fontId="11" fillId="2" borderId="1" xfId="0" applyNumberFormat="1" applyFont="1" applyFill="1" applyBorder="1" applyAlignment="1">
      <alignment horizontal="center"/>
    </xf>
    <xf numFmtId="175" fontId="11" fillId="2" borderId="1" xfId="0" applyNumberFormat="1" applyFont="1" applyFill="1" applyBorder="1" applyAlignment="1">
      <alignment horizontal="center"/>
    </xf>
    <xf numFmtId="167" fontId="11" fillId="2" borderId="1" xfId="0" applyNumberFormat="1" applyFont="1" applyFill="1" applyBorder="1" applyAlignment="1">
      <alignment horizontal="center"/>
    </xf>
    <xf numFmtId="0" fontId="0" fillId="2" borderId="0" xfId="0" applyFill="1" applyBorder="1" applyAlignment="1">
      <alignment horizontal="left" vertical="center" wrapText="1"/>
    </xf>
    <xf numFmtId="0" fontId="0" fillId="2" borderId="36" xfId="0" applyFill="1" applyBorder="1" applyAlignment="1">
      <alignment horizontal="left" vertical="center" wrapText="1"/>
    </xf>
    <xf numFmtId="0" fontId="0" fillId="2" borderId="3" xfId="0" applyFill="1" applyBorder="1" applyAlignment="1">
      <alignment horizontal="center" vertical="center"/>
    </xf>
    <xf numFmtId="0" fontId="0" fillId="2" borderId="62" xfId="0" applyFill="1" applyBorder="1" applyAlignment="1">
      <alignment horizontal="center" vertical="center"/>
    </xf>
    <xf numFmtId="0" fontId="11" fillId="5" borderId="35" xfId="0" applyFont="1" applyFill="1" applyBorder="1" applyAlignment="1">
      <alignment horizontal="center"/>
    </xf>
    <xf numFmtId="0" fontId="11" fillId="5" borderId="36" xfId="0" applyFont="1" applyFill="1" applyBorder="1" applyAlignment="1">
      <alignment horizontal="center" vertical="center" wrapText="1"/>
    </xf>
    <xf numFmtId="0" fontId="11" fillId="5" borderId="36" xfId="0" applyFont="1" applyFill="1" applyBorder="1" applyAlignment="1">
      <alignment horizontal="center"/>
    </xf>
    <xf numFmtId="0" fontId="11" fillId="5" borderId="44" xfId="0" applyFont="1" applyFill="1" applyBorder="1" applyAlignment="1">
      <alignment horizontal="center"/>
    </xf>
    <xf numFmtId="0" fontId="0" fillId="2" borderId="67" xfId="0" applyFill="1" applyBorder="1" applyAlignment="1">
      <alignment horizontal="left" vertical="center" wrapText="1"/>
    </xf>
    <xf numFmtId="0" fontId="0" fillId="2" borderId="2" xfId="0" applyFill="1" applyBorder="1" applyAlignment="1">
      <alignment horizontal="left" vertical="center" wrapText="1"/>
    </xf>
    <xf numFmtId="0" fontId="0" fillId="2" borderId="54" xfId="0" applyFill="1" applyBorder="1" applyAlignment="1">
      <alignment horizontal="left" vertical="center" wrapText="1"/>
    </xf>
    <xf numFmtId="0" fontId="11" fillId="5" borderId="57" xfId="0" applyFont="1" applyFill="1" applyBorder="1" applyAlignment="1">
      <alignment horizontal="center" vertical="center"/>
    </xf>
    <xf numFmtId="0" fontId="11" fillId="5" borderId="58" xfId="0" applyFont="1" applyFill="1" applyBorder="1" applyAlignment="1">
      <alignment horizontal="center" vertical="center"/>
    </xf>
    <xf numFmtId="0" fontId="11" fillId="5" borderId="59" xfId="0" applyFont="1" applyFill="1" applyBorder="1" applyAlignment="1">
      <alignment horizontal="center" vertical="center"/>
    </xf>
    <xf numFmtId="0" fontId="11" fillId="5" borderId="68" xfId="0" applyFont="1" applyFill="1" applyBorder="1" applyAlignment="1">
      <alignment horizontal="center" vertical="center"/>
    </xf>
    <xf numFmtId="0" fontId="0" fillId="2" borderId="70" xfId="0" applyFill="1" applyBorder="1" applyAlignment="1">
      <alignment horizontal="left" vertical="center" wrapText="1"/>
    </xf>
    <xf numFmtId="0" fontId="0" fillId="2" borderId="63" xfId="0" applyFill="1" applyBorder="1" applyAlignment="1">
      <alignment horizontal="left" vertical="center" wrapText="1"/>
    </xf>
    <xf numFmtId="0" fontId="0" fillId="2" borderId="63" xfId="0" applyFill="1" applyBorder="1" applyAlignment="1">
      <alignment horizontal="center" vertical="center"/>
    </xf>
    <xf numFmtId="0" fontId="0" fillId="2" borderId="34" xfId="0" applyFill="1" applyBorder="1" applyAlignment="1">
      <alignment horizontal="center" vertical="center"/>
    </xf>
    <xf numFmtId="0" fontId="11" fillId="5" borderId="69" xfId="0" applyFont="1" applyFill="1" applyBorder="1" applyAlignment="1">
      <alignment horizontal="center" vertical="center"/>
    </xf>
    <xf numFmtId="0" fontId="11" fillId="5" borderId="53" xfId="0" applyFont="1" applyFill="1" applyBorder="1" applyAlignment="1">
      <alignment horizontal="center" vertical="center"/>
    </xf>
    <xf numFmtId="0" fontId="0" fillId="5" borderId="72" xfId="0" applyFill="1" applyBorder="1" applyAlignment="1">
      <alignment horizontal="left" vertical="center" wrapText="1"/>
    </xf>
    <xf numFmtId="0" fontId="0" fillId="5" borderId="21" xfId="0" applyFill="1" applyBorder="1" applyAlignment="1">
      <alignment horizontal="left" vertical="center" wrapText="1"/>
    </xf>
    <xf numFmtId="0" fontId="0" fillId="5" borderId="21" xfId="0" applyFill="1" applyBorder="1" applyAlignment="1">
      <alignment horizontal="center" vertical="center"/>
    </xf>
    <xf numFmtId="0" fontId="0" fillId="5" borderId="20" xfId="0" applyFill="1" applyBorder="1" applyAlignment="1">
      <alignment horizontal="center" vertical="center"/>
    </xf>
    <xf numFmtId="0" fontId="0" fillId="2" borderId="76" xfId="0" applyFill="1" applyBorder="1" applyAlignment="1">
      <alignment horizontal="left" vertical="center" wrapText="1"/>
    </xf>
    <xf numFmtId="0" fontId="0" fillId="2" borderId="26" xfId="0" applyFill="1" applyBorder="1" applyAlignment="1">
      <alignment horizontal="center" vertical="center"/>
    </xf>
    <xf numFmtId="0" fontId="0" fillId="2" borderId="46" xfId="0" applyFill="1" applyBorder="1" applyAlignment="1">
      <alignment horizontal="center" vertical="center"/>
    </xf>
    <xf numFmtId="0" fontId="0" fillId="5" borderId="19" xfId="0" applyFill="1" applyBorder="1" applyAlignment="1">
      <alignment horizontal="left" vertical="center" wrapText="1"/>
    </xf>
    <xf numFmtId="171" fontId="11" fillId="10" borderId="1" xfId="0" applyNumberFormat="1" applyFont="1" applyFill="1" applyBorder="1" applyAlignment="1">
      <alignment horizontal="center" vertical="center"/>
    </xf>
    <xf numFmtId="2" fontId="0" fillId="10" borderId="1" xfId="0" applyNumberFormat="1" applyFill="1" applyBorder="1" applyAlignment="1">
      <alignment horizontal="center"/>
    </xf>
    <xf numFmtId="0" fontId="0" fillId="2" borderId="3" xfId="0" applyFont="1" applyFill="1" applyBorder="1" applyAlignment="1">
      <alignment vertical="center"/>
    </xf>
    <xf numFmtId="171" fontId="0" fillId="5" borderId="61" xfId="0" applyNumberFormat="1" applyFill="1" applyBorder="1"/>
    <xf numFmtId="9" fontId="0" fillId="2" borderId="62" xfId="0" applyNumberFormat="1" applyFill="1" applyBorder="1" applyAlignment="1">
      <alignment horizontal="center"/>
    </xf>
    <xf numFmtId="171" fontId="0" fillId="5" borderId="33" xfId="0" applyNumberFormat="1" applyFill="1" applyBorder="1"/>
    <xf numFmtId="175" fontId="0" fillId="2" borderId="43" xfId="0" applyNumberFormat="1" applyFill="1" applyBorder="1" applyAlignment="1">
      <alignment horizontal="center"/>
    </xf>
    <xf numFmtId="171" fontId="0" fillId="5" borderId="35" xfId="0" applyNumberFormat="1" applyFill="1" applyBorder="1"/>
    <xf numFmtId="167" fontId="0" fillId="2" borderId="44" xfId="0" applyNumberFormat="1" applyFill="1" applyBorder="1" applyAlignment="1">
      <alignment horizontal="center"/>
    </xf>
    <xf numFmtId="0" fontId="0" fillId="2" borderId="3" xfId="0" applyFill="1" applyBorder="1" applyAlignment="1">
      <alignment horizontal="left"/>
    </xf>
    <xf numFmtId="2" fontId="0" fillId="2" borderId="1" xfId="0" applyNumberFormat="1" applyFill="1" applyBorder="1" applyAlignment="1">
      <alignment horizontal="left"/>
    </xf>
    <xf numFmtId="166" fontId="0" fillId="2" borderId="0" xfId="2" applyFont="1" applyFill="1"/>
    <xf numFmtId="0" fontId="28" fillId="17" borderId="53" xfId="0" applyFont="1" applyFill="1" applyBorder="1" applyAlignment="1">
      <alignment horizontal="center"/>
    </xf>
    <xf numFmtId="171" fontId="11" fillId="18" borderId="1" xfId="0" applyNumberFormat="1" applyFont="1" applyFill="1" applyBorder="1" applyAlignment="1">
      <alignment horizontal="center" vertical="center"/>
    </xf>
    <xf numFmtId="171" fontId="11" fillId="13" borderId="1" xfId="0" applyNumberFormat="1" applyFont="1" applyFill="1" applyBorder="1" applyAlignment="1">
      <alignment horizontal="center" vertical="center"/>
    </xf>
    <xf numFmtId="171" fontId="11" fillId="17" borderId="1" xfId="0" applyNumberFormat="1" applyFont="1" applyFill="1" applyBorder="1" applyAlignment="1">
      <alignment horizontal="center" vertical="center"/>
    </xf>
    <xf numFmtId="0" fontId="0" fillId="0" borderId="0" xfId="0" applyFill="1"/>
    <xf numFmtId="0" fontId="0" fillId="19" borderId="0" xfId="0" applyFill="1"/>
    <xf numFmtId="0" fontId="0" fillId="20" borderId="0" xfId="0" applyFill="1"/>
    <xf numFmtId="0" fontId="15" fillId="19" borderId="0" xfId="0" applyFont="1" applyFill="1" applyAlignment="1">
      <alignment vertical="center"/>
    </xf>
    <xf numFmtId="0" fontId="5" fillId="19" borderId="0" xfId="0" applyFont="1" applyFill="1" applyAlignment="1">
      <alignment vertical="center"/>
    </xf>
    <xf numFmtId="0" fontId="15" fillId="20" borderId="0" xfId="0" applyFont="1" applyFill="1" applyAlignment="1">
      <alignment vertical="center"/>
    </xf>
    <xf numFmtId="0" fontId="5" fillId="20" borderId="0" xfId="0" applyFont="1" applyFill="1" applyAlignment="1">
      <alignment vertical="center"/>
    </xf>
    <xf numFmtId="0" fontId="0" fillId="20" borderId="0" xfId="0" applyFill="1" applyAlignment="1">
      <alignment wrapText="1"/>
    </xf>
    <xf numFmtId="0" fontId="6" fillId="20" borderId="0" xfId="0" applyFont="1" applyFill="1" applyAlignment="1">
      <alignment vertical="center"/>
    </xf>
    <xf numFmtId="0" fontId="14" fillId="5" borderId="16" xfId="0" applyFont="1" applyFill="1" applyBorder="1" applyAlignment="1">
      <alignment horizontal="left"/>
    </xf>
    <xf numFmtId="0" fontId="14" fillId="5" borderId="17" xfId="0" applyFont="1" applyFill="1" applyBorder="1" applyAlignment="1">
      <alignment horizontal="left"/>
    </xf>
    <xf numFmtId="0" fontId="14" fillId="5" borderId="7" xfId="0" applyFont="1" applyFill="1" applyBorder="1" applyAlignment="1">
      <alignment horizontal="left"/>
    </xf>
    <xf numFmtId="0" fontId="7" fillId="2" borderId="22" xfId="0" applyFont="1" applyFill="1" applyBorder="1" applyAlignment="1">
      <alignment horizontal="left" vertical="top" wrapText="1"/>
    </xf>
    <xf numFmtId="0" fontId="7" fillId="2" borderId="18" xfId="0" applyFont="1" applyFill="1" applyBorder="1" applyAlignment="1">
      <alignment horizontal="left" vertical="top" wrapText="1"/>
    </xf>
    <xf numFmtId="0" fontId="7" fillId="2" borderId="23" xfId="0" applyFont="1" applyFill="1" applyBorder="1" applyAlignment="1">
      <alignment horizontal="left" vertical="top" wrapText="1"/>
    </xf>
    <xf numFmtId="0" fontId="14" fillId="5" borderId="19" xfId="0" applyFont="1" applyFill="1" applyBorder="1" applyAlignment="1">
      <alignment horizontal="left"/>
    </xf>
    <xf numFmtId="0" fontId="14" fillId="5" borderId="21" xfId="0" applyFont="1" applyFill="1" applyBorder="1" applyAlignment="1">
      <alignment horizontal="left"/>
    </xf>
    <xf numFmtId="0" fontId="14" fillId="5" borderId="20" xfId="0" applyFont="1" applyFill="1" applyBorder="1" applyAlignment="1">
      <alignment horizontal="left"/>
    </xf>
    <xf numFmtId="0" fontId="14" fillId="5" borderId="16" xfId="0" applyFont="1" applyFill="1" applyBorder="1" applyAlignment="1">
      <alignment horizontal="center"/>
    </xf>
    <xf numFmtId="0" fontId="14" fillId="5" borderId="17" xfId="0" applyFont="1" applyFill="1" applyBorder="1" applyAlignment="1">
      <alignment horizontal="center"/>
    </xf>
    <xf numFmtId="0" fontId="14" fillId="5" borderId="7" xfId="0" applyFont="1" applyFill="1" applyBorder="1" applyAlignment="1">
      <alignment horizontal="center"/>
    </xf>
    <xf numFmtId="0" fontId="11" fillId="6" borderId="40" xfId="0" applyFont="1" applyFill="1" applyBorder="1" applyAlignment="1">
      <alignment horizontal="center" vertical="center"/>
    </xf>
    <xf numFmtId="0" fontId="11" fillId="6" borderId="32" xfId="0" applyFont="1" applyFill="1" applyBorder="1" applyAlignment="1">
      <alignment horizontal="center" vertical="center"/>
    </xf>
    <xf numFmtId="9" fontId="11" fillId="8" borderId="48" xfId="3" applyFont="1" applyFill="1" applyBorder="1" applyAlignment="1">
      <alignment horizontal="center" vertical="center"/>
    </xf>
    <xf numFmtId="9" fontId="11" fillId="8" borderId="49" xfId="3" applyFont="1" applyFill="1" applyBorder="1" applyAlignment="1">
      <alignment horizontal="center" vertical="center"/>
    </xf>
    <xf numFmtId="0" fontId="21" fillId="2" borderId="16" xfId="0" applyFont="1" applyFill="1" applyBorder="1" applyAlignment="1">
      <alignment horizontal="left" vertical="top" wrapText="1"/>
    </xf>
    <xf numFmtId="0" fontId="21" fillId="2" borderId="17" xfId="0" applyFont="1" applyFill="1" applyBorder="1" applyAlignment="1">
      <alignment horizontal="left" vertical="top"/>
    </xf>
    <xf numFmtId="0" fontId="21" fillId="2" borderId="7" xfId="0" applyFont="1" applyFill="1" applyBorder="1" applyAlignment="1">
      <alignment horizontal="left" vertical="top"/>
    </xf>
    <xf numFmtId="0" fontId="9" fillId="2" borderId="13" xfId="0" applyFont="1" applyFill="1" applyBorder="1" applyAlignment="1">
      <alignment horizontal="left" vertical="top" wrapText="1"/>
    </xf>
    <xf numFmtId="0" fontId="9" fillId="2" borderId="8" xfId="0" applyFont="1" applyFill="1" applyBorder="1" applyAlignment="1">
      <alignment horizontal="left" vertical="top" wrapText="1"/>
    </xf>
    <xf numFmtId="0" fontId="9" fillId="2" borderId="9" xfId="0" applyFont="1" applyFill="1" applyBorder="1" applyAlignment="1">
      <alignment horizontal="left" vertical="top" wrapText="1"/>
    </xf>
    <xf numFmtId="0" fontId="9" fillId="2" borderId="14" xfId="0" applyFont="1" applyFill="1" applyBorder="1" applyAlignment="1">
      <alignment horizontal="left" vertical="top" wrapText="1"/>
    </xf>
    <xf numFmtId="0" fontId="9" fillId="2" borderId="0" xfId="0" applyFont="1" applyFill="1" applyBorder="1" applyAlignment="1">
      <alignment horizontal="left" vertical="top" wrapText="1"/>
    </xf>
    <xf numFmtId="0" fontId="9" fillId="2" borderId="10" xfId="0" applyFont="1" applyFill="1" applyBorder="1" applyAlignment="1">
      <alignment horizontal="left" vertical="top" wrapText="1"/>
    </xf>
    <xf numFmtId="0" fontId="9" fillId="2" borderId="15" xfId="0" applyFont="1" applyFill="1" applyBorder="1" applyAlignment="1">
      <alignment horizontal="left" vertical="top" wrapText="1"/>
    </xf>
    <xf numFmtId="0" fontId="9" fillId="2" borderId="11" xfId="0" applyFont="1" applyFill="1" applyBorder="1" applyAlignment="1">
      <alignment horizontal="left" vertical="top" wrapText="1"/>
    </xf>
    <xf numFmtId="0" fontId="9" fillId="2" borderId="12" xfId="0" applyFont="1" applyFill="1" applyBorder="1" applyAlignment="1">
      <alignment horizontal="left" vertical="top" wrapText="1"/>
    </xf>
    <xf numFmtId="0" fontId="20" fillId="7" borderId="16" xfId="0" applyFont="1" applyFill="1" applyBorder="1" applyAlignment="1">
      <alignment horizontal="left"/>
    </xf>
    <xf numFmtId="0" fontId="20" fillId="7" borderId="17" xfId="0" applyFont="1" applyFill="1" applyBorder="1" applyAlignment="1">
      <alignment horizontal="left"/>
    </xf>
    <xf numFmtId="0" fontId="20" fillId="7" borderId="7" xfId="0" applyFont="1" applyFill="1" applyBorder="1" applyAlignment="1">
      <alignment horizontal="left"/>
    </xf>
    <xf numFmtId="0" fontId="8" fillId="5" borderId="41" xfId="0" applyFont="1" applyFill="1" applyBorder="1" applyAlignment="1">
      <alignment horizontal="center" vertical="center"/>
    </xf>
    <xf numFmtId="0" fontId="8" fillId="5" borderId="34" xfId="0" applyFont="1" applyFill="1" applyBorder="1" applyAlignment="1">
      <alignment horizontal="center" vertical="center"/>
    </xf>
    <xf numFmtId="0" fontId="11" fillId="5" borderId="8" xfId="0" applyFont="1" applyFill="1" applyBorder="1" applyAlignment="1">
      <alignment horizontal="center" vertical="center"/>
    </xf>
    <xf numFmtId="0" fontId="11" fillId="5" borderId="9" xfId="0" applyFont="1" applyFill="1" applyBorder="1" applyAlignment="1">
      <alignment horizontal="center" vertical="center"/>
    </xf>
    <xf numFmtId="0" fontId="11" fillId="5" borderId="13" xfId="0" applyFont="1" applyFill="1" applyBorder="1" applyAlignment="1">
      <alignment horizontal="center" vertical="center"/>
    </xf>
    <xf numFmtId="166" fontId="22" fillId="6" borderId="51" xfId="2" applyFont="1" applyFill="1" applyBorder="1" applyAlignment="1">
      <alignment horizontal="center" vertical="center"/>
    </xf>
    <xf numFmtId="166" fontId="22" fillId="6" borderId="48" xfId="2" applyFont="1" applyFill="1" applyBorder="1" applyAlignment="1">
      <alignment horizontal="center" vertical="center"/>
    </xf>
    <xf numFmtId="166" fontId="22" fillId="6" borderId="50" xfId="2" applyFont="1" applyFill="1" applyBorder="1" applyAlignment="1">
      <alignment horizontal="center" vertical="center"/>
    </xf>
    <xf numFmtId="166" fontId="22" fillId="6" borderId="27" xfId="2" applyFont="1" applyFill="1" applyBorder="1" applyAlignment="1">
      <alignment horizontal="center" vertical="center"/>
    </xf>
    <xf numFmtId="166" fontId="22" fillId="6" borderId="24" xfId="2" applyFont="1" applyFill="1" applyBorder="1" applyAlignment="1">
      <alignment horizontal="center" vertical="center"/>
    </xf>
    <xf numFmtId="166" fontId="22" fillId="6" borderId="39" xfId="2" applyFont="1" applyFill="1" applyBorder="1" applyAlignment="1">
      <alignment horizontal="center" vertical="center"/>
    </xf>
    <xf numFmtId="166" fontId="22" fillId="6" borderId="52" xfId="2" applyFont="1" applyFill="1" applyBorder="1" applyAlignment="1">
      <alignment horizontal="center" vertical="center"/>
    </xf>
    <xf numFmtId="166" fontId="22" fillId="6" borderId="41" xfId="2" applyFont="1" applyFill="1" applyBorder="1" applyAlignment="1">
      <alignment horizontal="center" vertical="center"/>
    </xf>
    <xf numFmtId="166" fontId="22" fillId="6" borderId="42" xfId="2" applyFont="1" applyFill="1" applyBorder="1" applyAlignment="1">
      <alignment horizontal="center" vertical="center"/>
    </xf>
    <xf numFmtId="166" fontId="22" fillId="6" borderId="34" xfId="2" applyFont="1" applyFill="1" applyBorder="1" applyAlignment="1">
      <alignment horizontal="center" vertical="center"/>
    </xf>
    <xf numFmtId="166" fontId="22" fillId="6" borderId="38" xfId="2" applyFont="1" applyFill="1" applyBorder="1" applyAlignment="1">
      <alignment horizontal="center" vertical="center"/>
    </xf>
    <xf numFmtId="0" fontId="11" fillId="6" borderId="51" xfId="0" applyFont="1" applyFill="1" applyBorder="1" applyAlignment="1">
      <alignment horizontal="center" vertical="center"/>
    </xf>
    <xf numFmtId="166" fontId="22" fillId="6" borderId="40" xfId="2" applyFont="1" applyFill="1" applyBorder="1" applyAlignment="1">
      <alignment horizontal="center" vertical="center"/>
    </xf>
    <xf numFmtId="166" fontId="22" fillId="6" borderId="32" xfId="2" applyFont="1" applyFill="1" applyBorder="1" applyAlignment="1">
      <alignment horizontal="center" vertical="center"/>
    </xf>
    <xf numFmtId="0" fontId="0" fillId="6" borderId="1" xfId="0" applyFont="1" applyFill="1" applyBorder="1" applyAlignment="1">
      <alignment horizontal="center" vertical="center"/>
    </xf>
    <xf numFmtId="0" fontId="0" fillId="6" borderId="31" xfId="0" applyFont="1" applyFill="1" applyBorder="1" applyAlignment="1">
      <alignment horizontal="center" vertical="center"/>
    </xf>
    <xf numFmtId="166" fontId="22" fillId="6" borderId="22" xfId="2" applyFont="1" applyFill="1" applyBorder="1" applyAlignment="1">
      <alignment horizontal="center" vertical="center"/>
    </xf>
    <xf numFmtId="0" fontId="8" fillId="8" borderId="28" xfId="0" applyFont="1" applyFill="1" applyBorder="1" applyAlignment="1">
      <alignment horizontal="center" vertical="center"/>
    </xf>
    <xf numFmtId="0" fontId="8" fillId="8" borderId="55" xfId="0" applyFont="1" applyFill="1" applyBorder="1" applyAlignment="1">
      <alignment horizontal="center" vertical="center"/>
    </xf>
    <xf numFmtId="0" fontId="20" fillId="5" borderId="13" xfId="0" applyFont="1" applyFill="1" applyBorder="1" applyAlignment="1">
      <alignment horizontal="center" vertical="center"/>
    </xf>
    <xf numFmtId="0" fontId="20" fillId="5" borderId="9" xfId="0" applyFont="1" applyFill="1" applyBorder="1" applyAlignment="1">
      <alignment horizontal="center" vertical="center"/>
    </xf>
    <xf numFmtId="0" fontId="20" fillId="5" borderId="14" xfId="0" applyFont="1" applyFill="1" applyBorder="1" applyAlignment="1">
      <alignment horizontal="center" vertical="center"/>
    </xf>
    <xf numFmtId="0" fontId="20" fillId="5" borderId="10" xfId="0" applyFont="1" applyFill="1" applyBorder="1" applyAlignment="1">
      <alignment horizontal="center" vertical="center"/>
    </xf>
    <xf numFmtId="0" fontId="20" fillId="5" borderId="15" xfId="0" applyFont="1" applyFill="1" applyBorder="1" applyAlignment="1">
      <alignment horizontal="center" vertical="center"/>
    </xf>
    <xf numFmtId="0" fontId="20" fillId="5" borderId="12" xfId="0" applyFont="1" applyFill="1" applyBorder="1" applyAlignment="1">
      <alignment horizontal="center" vertical="center"/>
    </xf>
    <xf numFmtId="0" fontId="0" fillId="6" borderId="23" xfId="0" applyFont="1" applyFill="1" applyBorder="1" applyAlignment="1">
      <alignment horizontal="center" vertical="center"/>
    </xf>
    <xf numFmtId="0" fontId="14" fillId="7" borderId="16" xfId="0" applyFont="1" applyFill="1" applyBorder="1" applyAlignment="1">
      <alignment horizontal="left"/>
    </xf>
    <xf numFmtId="0" fontId="14" fillId="7" borderId="17" xfId="0" applyFont="1" applyFill="1" applyBorder="1" applyAlignment="1">
      <alignment horizontal="left"/>
    </xf>
    <xf numFmtId="0" fontId="14" fillId="7" borderId="7" xfId="0" applyFont="1" applyFill="1" applyBorder="1" applyAlignment="1">
      <alignment horizontal="left"/>
    </xf>
    <xf numFmtId="0" fontId="0" fillId="6" borderId="2" xfId="0" applyFont="1" applyFill="1" applyBorder="1" applyAlignment="1">
      <alignment horizontal="center" vertical="center"/>
    </xf>
    <xf numFmtId="0" fontId="0" fillId="6" borderId="54" xfId="0" applyFont="1" applyFill="1" applyBorder="1" applyAlignment="1">
      <alignment horizontal="center" vertical="center"/>
    </xf>
    <xf numFmtId="0" fontId="0" fillId="6" borderId="36" xfId="0" applyFont="1" applyFill="1" applyBorder="1" applyAlignment="1">
      <alignment horizontal="center" vertical="center"/>
    </xf>
    <xf numFmtId="0" fontId="0" fillId="6" borderId="47" xfId="0" applyFont="1" applyFill="1" applyBorder="1" applyAlignment="1">
      <alignment horizontal="center" vertical="center"/>
    </xf>
    <xf numFmtId="0" fontId="0" fillId="6" borderId="43" xfId="0" applyFont="1" applyFill="1" applyBorder="1" applyAlignment="1">
      <alignment horizontal="center" vertical="center"/>
    </xf>
    <xf numFmtId="0" fontId="11" fillId="8" borderId="1" xfId="0" applyFont="1" applyFill="1" applyBorder="1" applyAlignment="1">
      <alignment horizontal="center" vertical="center"/>
    </xf>
    <xf numFmtId="0" fontId="8" fillId="5" borderId="11" xfId="0" applyFont="1" applyFill="1" applyBorder="1" applyAlignment="1">
      <alignment horizontal="left"/>
    </xf>
    <xf numFmtId="0" fontId="8" fillId="5" borderId="12" xfId="0" applyFont="1" applyFill="1" applyBorder="1" applyAlignment="1">
      <alignment horizontal="left"/>
    </xf>
    <xf numFmtId="0" fontId="8" fillId="5" borderId="30" xfId="0" applyFont="1" applyFill="1" applyBorder="1" applyAlignment="1">
      <alignment horizontal="center" vertical="center"/>
    </xf>
    <xf numFmtId="0" fontId="8" fillId="5" borderId="47" xfId="0" applyFont="1" applyFill="1" applyBorder="1" applyAlignment="1">
      <alignment horizontal="center" vertical="center"/>
    </xf>
    <xf numFmtId="0" fontId="20" fillId="5" borderId="30" xfId="0" applyFont="1" applyFill="1" applyBorder="1" applyAlignment="1">
      <alignment horizontal="center" vertical="center"/>
    </xf>
    <xf numFmtId="0" fontId="20" fillId="5" borderId="47" xfId="0" applyFont="1" applyFill="1" applyBorder="1" applyAlignment="1">
      <alignment horizontal="center" vertical="center"/>
    </xf>
    <xf numFmtId="0" fontId="20" fillId="5" borderId="33" xfId="0" applyFont="1" applyFill="1" applyBorder="1" applyAlignment="1">
      <alignment horizontal="center" vertical="center"/>
    </xf>
    <xf numFmtId="0" fontId="20" fillId="5" borderId="43" xfId="0" applyFont="1" applyFill="1" applyBorder="1" applyAlignment="1">
      <alignment horizontal="center" vertical="center"/>
    </xf>
    <xf numFmtId="0" fontId="20" fillId="5" borderId="35" xfId="0" applyFont="1" applyFill="1" applyBorder="1" applyAlignment="1">
      <alignment horizontal="center" vertical="center"/>
    </xf>
    <xf numFmtId="0" fontId="20" fillId="5" borderId="44" xfId="0" applyFont="1" applyFill="1" applyBorder="1" applyAlignment="1">
      <alignment horizontal="center" vertical="center"/>
    </xf>
    <xf numFmtId="0" fontId="0" fillId="6" borderId="44" xfId="0" applyFont="1" applyFill="1" applyBorder="1" applyAlignment="1">
      <alignment horizontal="center" vertical="center"/>
    </xf>
    <xf numFmtId="0" fontId="0" fillId="6" borderId="40" xfId="0" applyFont="1" applyFill="1" applyBorder="1" applyAlignment="1">
      <alignment horizontal="center" vertical="center"/>
    </xf>
    <xf numFmtId="0" fontId="0" fillId="6" borderId="22" xfId="0" applyFont="1" applyFill="1" applyBorder="1" applyAlignment="1">
      <alignment horizontal="center" vertical="center"/>
    </xf>
    <xf numFmtId="0" fontId="11" fillId="8" borderId="43" xfId="0" applyFont="1" applyFill="1" applyBorder="1" applyAlignment="1">
      <alignment horizontal="center" vertical="center"/>
    </xf>
    <xf numFmtId="0" fontId="0" fillId="6" borderId="24" xfId="0" applyFont="1" applyFill="1" applyBorder="1" applyAlignment="1">
      <alignment horizontal="center" vertical="center"/>
    </xf>
    <xf numFmtId="0" fontId="0" fillId="6" borderId="49" xfId="0" applyFont="1" applyFill="1" applyBorder="1" applyAlignment="1">
      <alignment horizontal="center" vertical="center"/>
    </xf>
    <xf numFmtId="171" fontId="0" fillId="2" borderId="48" xfId="0" applyNumberFormat="1" applyFill="1" applyBorder="1" applyAlignment="1">
      <alignment horizontal="center"/>
    </xf>
    <xf numFmtId="171" fontId="0" fillId="2" borderId="49" xfId="0" applyNumberFormat="1" applyFill="1" applyBorder="1" applyAlignment="1">
      <alignment horizontal="center"/>
    </xf>
    <xf numFmtId="171" fontId="0" fillId="8" borderId="48" xfId="0" applyNumberFormat="1" applyFill="1" applyBorder="1" applyAlignment="1">
      <alignment horizontal="center"/>
    </xf>
    <xf numFmtId="171" fontId="0" fillId="8" borderId="49" xfId="0" applyNumberFormat="1" applyFill="1" applyBorder="1" applyAlignment="1">
      <alignment horizontal="center"/>
    </xf>
    <xf numFmtId="0" fontId="0" fillId="2" borderId="40" xfId="0" applyFill="1" applyBorder="1" applyAlignment="1">
      <alignment horizontal="center"/>
    </xf>
    <xf numFmtId="0" fontId="0" fillId="2" borderId="32" xfId="0" applyFill="1" applyBorder="1" applyAlignment="1">
      <alignment horizontal="center"/>
    </xf>
    <xf numFmtId="0" fontId="11" fillId="5" borderId="16" xfId="0" applyFont="1" applyFill="1" applyBorder="1" applyAlignment="1">
      <alignment horizontal="center" vertical="center"/>
    </xf>
    <xf numFmtId="0" fontId="11" fillId="5" borderId="7" xfId="0" applyFont="1" applyFill="1" applyBorder="1" applyAlignment="1">
      <alignment horizontal="center" vertical="center"/>
    </xf>
    <xf numFmtId="171" fontId="0" fillId="2" borderId="40" xfId="0" applyNumberFormat="1" applyFill="1" applyBorder="1" applyAlignment="1">
      <alignment horizontal="center"/>
    </xf>
    <xf numFmtId="171" fontId="0" fillId="2" borderId="32" xfId="0" applyNumberFormat="1" applyFill="1" applyBorder="1" applyAlignment="1">
      <alignment horizontal="center"/>
    </xf>
    <xf numFmtId="171" fontId="0" fillId="2" borderId="50" xfId="0" applyNumberFormat="1" applyFill="1" applyBorder="1" applyAlignment="1">
      <alignment horizontal="center"/>
    </xf>
    <xf numFmtId="171" fontId="0" fillId="2" borderId="60" xfId="0" applyNumberFormat="1" applyFill="1" applyBorder="1" applyAlignment="1">
      <alignment horizontal="center"/>
    </xf>
    <xf numFmtId="171" fontId="0" fillId="8" borderId="40" xfId="0" applyNumberFormat="1" applyFill="1" applyBorder="1" applyAlignment="1">
      <alignment horizontal="center"/>
    </xf>
    <xf numFmtId="171" fontId="0" fillId="8" borderId="32" xfId="0" applyNumberFormat="1" applyFill="1" applyBorder="1" applyAlignment="1">
      <alignment horizontal="center"/>
    </xf>
    <xf numFmtId="0" fontId="0" fillId="6" borderId="39" xfId="0" applyFont="1" applyFill="1" applyBorder="1" applyAlignment="1">
      <alignment horizontal="center" vertical="center"/>
    </xf>
    <xf numFmtId="166" fontId="12" fillId="9" borderId="35" xfId="2" applyFont="1" applyFill="1" applyBorder="1" applyAlignment="1">
      <alignment horizontal="left"/>
    </xf>
    <xf numFmtId="166" fontId="12" fillId="9" borderId="44" xfId="2" applyFont="1" applyFill="1" applyBorder="1" applyAlignment="1">
      <alignment horizontal="left"/>
    </xf>
    <xf numFmtId="166" fontId="12" fillId="9" borderId="33" xfId="2" applyFont="1" applyFill="1" applyBorder="1" applyAlignment="1">
      <alignment horizontal="left"/>
    </xf>
    <xf numFmtId="166" fontId="12" fillId="9" borderId="43" xfId="2" applyFont="1" applyFill="1" applyBorder="1" applyAlignment="1">
      <alignment horizontal="left"/>
    </xf>
    <xf numFmtId="166" fontId="12" fillId="9" borderId="30" xfId="2" applyFont="1" applyFill="1" applyBorder="1" applyAlignment="1">
      <alignment horizontal="left"/>
    </xf>
    <xf numFmtId="166" fontId="12" fillId="9" borderId="47" xfId="2" applyFont="1" applyFill="1" applyBorder="1" applyAlignment="1">
      <alignment horizontal="left"/>
    </xf>
    <xf numFmtId="0" fontId="12" fillId="8" borderId="19" xfId="0" applyFont="1" applyFill="1" applyBorder="1" applyAlignment="1">
      <alignment horizontal="left"/>
    </xf>
    <xf numFmtId="0" fontId="12" fillId="8" borderId="20" xfId="0" applyFont="1" applyFill="1" applyBorder="1" applyAlignment="1">
      <alignment horizontal="left"/>
    </xf>
    <xf numFmtId="0" fontId="12" fillId="8" borderId="30" xfId="0" applyFont="1" applyFill="1" applyBorder="1" applyAlignment="1">
      <alignment horizontal="left"/>
    </xf>
    <xf numFmtId="0" fontId="12" fillId="8" borderId="47" xfId="0" applyFont="1" applyFill="1" applyBorder="1" applyAlignment="1">
      <alignment horizontal="left"/>
    </xf>
    <xf numFmtId="0" fontId="11" fillId="8" borderId="65" xfId="0" applyFont="1" applyFill="1" applyBorder="1" applyAlignment="1">
      <alignment horizontal="left"/>
    </xf>
    <xf numFmtId="0" fontId="11" fillId="8" borderId="55" xfId="0" applyFont="1" applyFill="1" applyBorder="1" applyAlignment="1">
      <alignment horizontal="left"/>
    </xf>
    <xf numFmtId="166" fontId="12" fillId="10" borderId="45" xfId="2" applyFont="1" applyFill="1" applyBorder="1" applyAlignment="1">
      <alignment horizontal="left"/>
    </xf>
    <xf numFmtId="166" fontId="12" fillId="10" borderId="46" xfId="2" applyFont="1" applyFill="1" applyBorder="1" applyAlignment="1">
      <alignment horizontal="left"/>
    </xf>
    <xf numFmtId="166" fontId="12" fillId="11" borderId="19" xfId="2" applyFont="1" applyFill="1" applyBorder="1" applyAlignment="1">
      <alignment horizontal="left"/>
    </xf>
    <xf numFmtId="166" fontId="12" fillId="11" borderId="20" xfId="2" applyFont="1" applyFill="1" applyBorder="1" applyAlignment="1">
      <alignment horizontal="left"/>
    </xf>
    <xf numFmtId="166" fontId="12" fillId="12" borderId="42" xfId="2" applyFont="1" applyFill="1" applyBorder="1" applyAlignment="1">
      <alignment horizontal="left" vertical="center"/>
    </xf>
    <xf numFmtId="166" fontId="12" fillId="12" borderId="38" xfId="2" applyFont="1" applyFill="1" applyBorder="1" applyAlignment="1">
      <alignment horizontal="left" vertical="center"/>
    </xf>
    <xf numFmtId="166" fontId="12" fillId="12" borderId="42" xfId="2" applyFont="1" applyFill="1" applyBorder="1" applyAlignment="1">
      <alignment horizontal="left" vertical="center" wrapText="1"/>
    </xf>
    <xf numFmtId="166" fontId="12" fillId="12" borderId="38" xfId="2" applyFont="1" applyFill="1" applyBorder="1" applyAlignment="1">
      <alignment horizontal="left" vertical="center" wrapText="1"/>
    </xf>
    <xf numFmtId="166" fontId="12" fillId="10" borderId="45" xfId="2" applyFont="1" applyFill="1" applyBorder="1" applyAlignment="1">
      <alignment horizontal="left" wrapText="1"/>
    </xf>
    <xf numFmtId="166" fontId="12" fillId="10" borderId="46" xfId="2" applyFont="1" applyFill="1" applyBorder="1" applyAlignment="1">
      <alignment horizontal="left" wrapText="1"/>
    </xf>
    <xf numFmtId="0" fontId="11" fillId="8" borderId="1" xfId="0" applyFont="1" applyFill="1" applyBorder="1" applyAlignment="1">
      <alignment horizontal="left"/>
    </xf>
    <xf numFmtId="0" fontId="14" fillId="7" borderId="16" xfId="0" applyFont="1" applyFill="1" applyBorder="1" applyAlignment="1">
      <alignment horizontal="center"/>
    </xf>
    <xf numFmtId="0" fontId="14" fillId="7" borderId="17" xfId="0" applyFont="1" applyFill="1" applyBorder="1" applyAlignment="1">
      <alignment horizontal="center"/>
    </xf>
    <xf numFmtId="0" fontId="14" fillId="7" borderId="7" xfId="0" applyFont="1" applyFill="1" applyBorder="1" applyAlignment="1">
      <alignment horizontal="center"/>
    </xf>
    <xf numFmtId="0" fontId="0" fillId="2" borderId="3" xfId="0" applyFill="1" applyBorder="1" applyAlignment="1">
      <alignment horizontal="left" vertical="center" wrapText="1"/>
    </xf>
    <xf numFmtId="0" fontId="11" fillId="5" borderId="1" xfId="0" applyFont="1" applyFill="1" applyBorder="1" applyAlignment="1">
      <alignment horizontal="center" vertical="center"/>
    </xf>
    <xf numFmtId="0" fontId="4" fillId="5" borderId="1" xfId="0" applyFont="1" applyFill="1" applyBorder="1" applyAlignment="1">
      <alignment horizontal="center" vertical="center"/>
    </xf>
    <xf numFmtId="0" fontId="0" fillId="2" borderId="57" xfId="0" applyFill="1" applyBorder="1" applyAlignment="1">
      <alignment horizontal="center" vertical="center" wrapText="1"/>
    </xf>
    <xf numFmtId="0" fontId="0" fillId="2" borderId="59" xfId="0" applyFill="1" applyBorder="1" applyAlignment="1">
      <alignment horizontal="center" vertical="center" wrapText="1"/>
    </xf>
    <xf numFmtId="0" fontId="11" fillId="2" borderId="13" xfId="0" applyFont="1" applyFill="1" applyBorder="1" applyAlignment="1">
      <alignment horizontal="center" vertical="center" wrapText="1"/>
    </xf>
    <xf numFmtId="0" fontId="11" fillId="2" borderId="8" xfId="0" applyFont="1" applyFill="1" applyBorder="1" applyAlignment="1">
      <alignment horizontal="center" vertical="center" wrapText="1"/>
    </xf>
    <xf numFmtId="0" fontId="11" fillId="2" borderId="9" xfId="0" applyFont="1" applyFill="1" applyBorder="1" applyAlignment="1">
      <alignment horizontal="center" vertical="center" wrapText="1"/>
    </xf>
    <xf numFmtId="0" fontId="11" fillId="2" borderId="15" xfId="0" applyFont="1" applyFill="1" applyBorder="1" applyAlignment="1">
      <alignment horizontal="center" vertical="center" wrapText="1"/>
    </xf>
    <xf numFmtId="0" fontId="11" fillId="2" borderId="11" xfId="0" applyFont="1" applyFill="1" applyBorder="1" applyAlignment="1">
      <alignment horizontal="center" vertical="center" wrapText="1"/>
    </xf>
    <xf numFmtId="0" fontId="11" fillId="2" borderId="12" xfId="0" applyFont="1" applyFill="1" applyBorder="1" applyAlignment="1">
      <alignment horizontal="center" vertical="center" wrapText="1"/>
    </xf>
    <xf numFmtId="0" fontId="0" fillId="2" borderId="14" xfId="0" applyFill="1" applyBorder="1" applyAlignment="1">
      <alignment horizontal="center" vertical="center" wrapText="1"/>
    </xf>
    <xf numFmtId="0" fontId="0" fillId="2" borderId="0" xfId="0" applyFill="1" applyBorder="1" applyAlignment="1">
      <alignment horizontal="center" vertical="center" wrapText="1"/>
    </xf>
    <xf numFmtId="0" fontId="0" fillId="2" borderId="10" xfId="0" applyFill="1" applyBorder="1" applyAlignment="1">
      <alignment horizontal="center" vertical="center" wrapText="1"/>
    </xf>
    <xf numFmtId="0" fontId="0" fillId="2" borderId="15" xfId="0" applyFill="1" applyBorder="1" applyAlignment="1">
      <alignment horizontal="center" vertical="center" wrapText="1"/>
    </xf>
    <xf numFmtId="0" fontId="0" fillId="2" borderId="11" xfId="0" applyFill="1" applyBorder="1" applyAlignment="1">
      <alignment horizontal="center" vertical="center" wrapText="1"/>
    </xf>
    <xf numFmtId="0" fontId="0" fillId="2" borderId="12" xfId="0" applyFill="1" applyBorder="1" applyAlignment="1">
      <alignment horizontal="center" vertical="center" wrapText="1"/>
    </xf>
    <xf numFmtId="0" fontId="0" fillId="2" borderId="16" xfId="0" applyFill="1" applyBorder="1" applyAlignment="1">
      <alignment horizontal="left" vertical="top" wrapText="1"/>
    </xf>
    <xf numFmtId="0" fontId="0" fillId="2" borderId="17" xfId="0" applyFill="1" applyBorder="1" applyAlignment="1">
      <alignment horizontal="left" vertical="top" wrapText="1"/>
    </xf>
    <xf numFmtId="0" fontId="0" fillId="2" borderId="7" xfId="0" applyFill="1" applyBorder="1" applyAlignment="1">
      <alignment horizontal="left" vertical="top" wrapText="1"/>
    </xf>
    <xf numFmtId="0" fontId="14" fillId="5" borderId="16" xfId="0" applyFont="1" applyFill="1" applyBorder="1" applyAlignment="1">
      <alignment horizontal="left" wrapText="1"/>
    </xf>
    <xf numFmtId="0" fontId="14" fillId="5" borderId="17" xfId="0" applyFont="1" applyFill="1" applyBorder="1" applyAlignment="1">
      <alignment horizontal="left" wrapText="1"/>
    </xf>
    <xf numFmtId="0" fontId="14" fillId="5" borderId="7" xfId="0" applyFont="1" applyFill="1" applyBorder="1" applyAlignment="1">
      <alignment horizontal="left" wrapText="1"/>
    </xf>
    <xf numFmtId="0" fontId="21" fillId="5" borderId="57" xfId="0" applyFont="1" applyFill="1" applyBorder="1" applyAlignment="1">
      <alignment horizontal="center" vertical="center"/>
    </xf>
    <xf numFmtId="0" fontId="21" fillId="5" borderId="58" xfId="0" applyFont="1" applyFill="1" applyBorder="1" applyAlignment="1">
      <alignment horizontal="center" vertical="center"/>
    </xf>
    <xf numFmtId="0" fontId="21" fillId="5" borderId="59" xfId="0" applyFont="1" applyFill="1" applyBorder="1" applyAlignment="1">
      <alignment horizontal="center" vertical="center"/>
    </xf>
    <xf numFmtId="0" fontId="21" fillId="5" borderId="58" xfId="0" applyFont="1" applyFill="1" applyBorder="1" applyAlignment="1">
      <alignment horizontal="center" vertical="center" wrapText="1"/>
    </xf>
    <xf numFmtId="0" fontId="21" fillId="5" borderId="59" xfId="0" applyFont="1" applyFill="1" applyBorder="1" applyAlignment="1">
      <alignment horizontal="center" vertical="center" wrapText="1"/>
    </xf>
    <xf numFmtId="0" fontId="21" fillId="5" borderId="16" xfId="0" applyFont="1" applyFill="1" applyBorder="1" applyAlignment="1">
      <alignment horizontal="center" vertical="center"/>
    </xf>
    <xf numFmtId="0" fontId="21" fillId="5" borderId="7" xfId="0" applyFont="1" applyFill="1" applyBorder="1" applyAlignment="1">
      <alignment horizontal="center" vertical="center"/>
    </xf>
    <xf numFmtId="0" fontId="21" fillId="5" borderId="4" xfId="0" applyFont="1" applyFill="1" applyBorder="1" applyAlignment="1">
      <alignment horizontal="center" vertical="center"/>
    </xf>
    <xf numFmtId="0" fontId="21" fillId="5" borderId="6" xfId="0" applyFont="1" applyFill="1" applyBorder="1" applyAlignment="1">
      <alignment horizontal="center" vertical="center"/>
    </xf>
    <xf numFmtId="0" fontId="11" fillId="5" borderId="57" xfId="0" applyFont="1" applyFill="1" applyBorder="1" applyAlignment="1">
      <alignment horizontal="center" vertical="center" wrapText="1"/>
    </xf>
    <xf numFmtId="0" fontId="11" fillId="5" borderId="58" xfId="0" applyFont="1" applyFill="1" applyBorder="1" applyAlignment="1">
      <alignment horizontal="center" vertical="center" wrapText="1"/>
    </xf>
    <xf numFmtId="0" fontId="11" fillId="5" borderId="59" xfId="0" applyFont="1" applyFill="1" applyBorder="1" applyAlignment="1">
      <alignment horizontal="center" vertical="center" wrapText="1"/>
    </xf>
    <xf numFmtId="0" fontId="11" fillId="5" borderId="27" xfId="0" applyFont="1" applyFill="1" applyBorder="1" applyAlignment="1">
      <alignment horizontal="center"/>
    </xf>
    <xf numFmtId="0" fontId="11" fillId="5" borderId="67" xfId="0" applyFont="1" applyFill="1" applyBorder="1" applyAlignment="1">
      <alignment horizontal="center"/>
    </xf>
    <xf numFmtId="0" fontId="11" fillId="5" borderId="40" xfId="0" applyFont="1" applyFill="1" applyBorder="1" applyAlignment="1">
      <alignment horizontal="center" vertical="center" wrapText="1"/>
    </xf>
    <xf numFmtId="0" fontId="11" fillId="5" borderId="48" xfId="0" applyFont="1" applyFill="1" applyBorder="1" applyAlignment="1">
      <alignment horizontal="center" vertical="center" wrapText="1"/>
    </xf>
    <xf numFmtId="0" fontId="11" fillId="5" borderId="50" xfId="0" applyFont="1" applyFill="1" applyBorder="1" applyAlignment="1">
      <alignment horizontal="center" vertical="center" wrapText="1"/>
    </xf>
    <xf numFmtId="0" fontId="11" fillId="5" borderId="73" xfId="0" applyFont="1" applyFill="1" applyBorder="1" applyAlignment="1">
      <alignment horizontal="center"/>
    </xf>
    <xf numFmtId="0" fontId="11" fillId="5" borderId="40" xfId="0" applyFont="1" applyFill="1" applyBorder="1" applyAlignment="1">
      <alignment horizontal="center"/>
    </xf>
    <xf numFmtId="0" fontId="11" fillId="5" borderId="32" xfId="0" applyFont="1" applyFill="1" applyBorder="1" applyAlignment="1">
      <alignment horizontal="center"/>
    </xf>
    <xf numFmtId="0" fontId="11" fillId="5" borderId="4" xfId="0" applyFont="1" applyFill="1" applyBorder="1" applyAlignment="1">
      <alignment horizontal="center" vertical="center"/>
    </xf>
    <xf numFmtId="0" fontId="11" fillId="5" borderId="5" xfId="0" applyFont="1" applyFill="1" applyBorder="1" applyAlignment="1">
      <alignment horizontal="center" vertical="center"/>
    </xf>
    <xf numFmtId="0" fontId="14" fillId="6" borderId="16" xfId="0" applyFont="1" applyFill="1" applyBorder="1" applyAlignment="1">
      <alignment horizontal="left"/>
    </xf>
    <xf numFmtId="0" fontId="14" fillId="6" borderId="17" xfId="0" applyFont="1" applyFill="1" applyBorder="1" applyAlignment="1">
      <alignment horizontal="left"/>
    </xf>
    <xf numFmtId="0" fontId="14" fillId="6" borderId="7" xfId="0" applyFont="1" applyFill="1" applyBorder="1" applyAlignment="1">
      <alignment horizontal="left"/>
    </xf>
    <xf numFmtId="0" fontId="12" fillId="6" borderId="61" xfId="0" applyFont="1" applyFill="1" applyBorder="1" applyAlignment="1">
      <alignment horizontal="center" vertical="center"/>
    </xf>
    <xf numFmtId="0" fontId="12" fillId="6" borderId="33" xfId="0" applyFont="1" applyFill="1" applyBorder="1" applyAlignment="1">
      <alignment horizontal="center" vertical="center"/>
    </xf>
    <xf numFmtId="0" fontId="12" fillId="6" borderId="3" xfId="0" applyFont="1" applyFill="1" applyBorder="1" applyAlignment="1">
      <alignment horizontal="center" vertical="center"/>
    </xf>
    <xf numFmtId="0" fontId="12" fillId="6" borderId="62" xfId="0" applyFont="1" applyFill="1" applyBorder="1" applyAlignment="1">
      <alignment horizontal="center" vertical="center"/>
    </xf>
    <xf numFmtId="0" fontId="12" fillId="6" borderId="43" xfId="0" applyFont="1" applyFill="1" applyBorder="1" applyAlignment="1">
      <alignment horizontal="center" vertical="center"/>
    </xf>
    <xf numFmtId="0" fontId="12" fillId="6" borderId="30" xfId="0" applyFont="1" applyFill="1" applyBorder="1" applyAlignment="1">
      <alignment horizontal="center" vertical="center"/>
    </xf>
    <xf numFmtId="0" fontId="12" fillId="6" borderId="41" xfId="0" applyFont="1" applyFill="1" applyBorder="1" applyAlignment="1">
      <alignment horizontal="center" vertical="center"/>
    </xf>
    <xf numFmtId="0" fontId="12" fillId="6" borderId="57" xfId="0" applyFont="1" applyFill="1" applyBorder="1" applyAlignment="1">
      <alignment horizontal="center" vertical="center" wrapText="1"/>
    </xf>
    <xf numFmtId="0" fontId="12" fillId="6" borderId="68" xfId="0" applyFont="1" applyFill="1" applyBorder="1" applyAlignment="1">
      <alignment horizontal="center" vertical="center" wrapText="1"/>
    </xf>
    <xf numFmtId="0" fontId="0" fillId="2" borderId="30" xfId="0" applyFill="1" applyBorder="1" applyAlignment="1">
      <alignment horizontal="center" vertical="center"/>
    </xf>
    <xf numFmtId="0" fontId="0" fillId="2" borderId="33" xfId="0" applyFill="1" applyBorder="1" applyAlignment="1">
      <alignment horizontal="center" vertical="center"/>
    </xf>
    <xf numFmtId="0" fontId="0" fillId="2" borderId="35" xfId="0" applyFill="1" applyBorder="1" applyAlignment="1">
      <alignment horizontal="center" vertical="center"/>
    </xf>
    <xf numFmtId="0" fontId="0" fillId="2" borderId="41" xfId="0" applyFill="1" applyBorder="1" applyAlignment="1">
      <alignment horizontal="center" vertical="center"/>
    </xf>
    <xf numFmtId="0" fontId="12" fillId="6" borderId="47" xfId="0" applyFont="1" applyFill="1" applyBorder="1" applyAlignment="1">
      <alignment horizontal="center" vertical="center" wrapText="1"/>
    </xf>
    <xf numFmtId="0" fontId="12" fillId="6" borderId="34" xfId="0" applyFont="1" applyFill="1" applyBorder="1" applyAlignment="1">
      <alignment horizontal="center" vertical="center" wrapText="1"/>
    </xf>
    <xf numFmtId="0" fontId="12" fillId="6" borderId="31" xfId="0" applyFont="1" applyFill="1" applyBorder="1" applyAlignment="1">
      <alignment horizontal="center" vertical="center"/>
    </xf>
    <xf numFmtId="0" fontId="12" fillId="6" borderId="63" xfId="0" applyFont="1" applyFill="1" applyBorder="1" applyAlignment="1">
      <alignment horizontal="center" vertical="center"/>
    </xf>
    <xf numFmtId="0" fontId="11" fillId="6" borderId="42" xfId="0" applyFont="1" applyFill="1" applyBorder="1" applyAlignment="1">
      <alignment horizontal="center"/>
    </xf>
    <xf numFmtId="0" fontId="11" fillId="6" borderId="37" xfId="0" applyFont="1" applyFill="1" applyBorder="1" applyAlignment="1">
      <alignment horizontal="center"/>
    </xf>
    <xf numFmtId="0" fontId="11" fillId="6" borderId="74" xfId="0" applyFont="1" applyFill="1" applyBorder="1" applyAlignment="1">
      <alignment horizontal="center"/>
    </xf>
    <xf numFmtId="0" fontId="11" fillId="2" borderId="0" xfId="0" applyFont="1" applyFill="1" applyBorder="1" applyAlignment="1">
      <alignment horizontal="center" vertical="center"/>
    </xf>
    <xf numFmtId="0" fontId="0" fillId="2" borderId="0" xfId="0" applyFont="1" applyFill="1" applyBorder="1" applyAlignment="1">
      <alignment horizontal="center" vertical="center"/>
    </xf>
    <xf numFmtId="0" fontId="0" fillId="0" borderId="65" xfId="0" applyBorder="1" applyAlignment="1">
      <alignment horizontal="center" vertical="center"/>
    </xf>
    <xf numFmtId="0" fontId="0" fillId="0" borderId="45" xfId="0" applyBorder="1" applyAlignment="1">
      <alignment horizontal="center" vertical="center"/>
    </xf>
    <xf numFmtId="0" fontId="0" fillId="0" borderId="42" xfId="0" applyBorder="1" applyAlignment="1">
      <alignment horizontal="center" vertical="center"/>
    </xf>
    <xf numFmtId="0" fontId="12" fillId="5" borderId="19" xfId="0" applyFont="1" applyFill="1" applyBorder="1" applyAlignment="1">
      <alignment horizontal="right"/>
    </xf>
    <xf numFmtId="0" fontId="12" fillId="5" borderId="21" xfId="0" applyFont="1" applyFill="1" applyBorder="1" applyAlignment="1">
      <alignment horizontal="right"/>
    </xf>
    <xf numFmtId="0" fontId="12" fillId="5" borderId="20" xfId="0" applyFont="1" applyFill="1" applyBorder="1" applyAlignment="1">
      <alignment horizontal="right"/>
    </xf>
    <xf numFmtId="0" fontId="11" fillId="6" borderId="22" xfId="0" applyFont="1" applyFill="1" applyBorder="1" applyAlignment="1">
      <alignment horizontal="center" vertical="center" wrapText="1"/>
    </xf>
    <xf numFmtId="0" fontId="11" fillId="6" borderId="39" xfId="0" applyFont="1" applyFill="1" applyBorder="1" applyAlignment="1">
      <alignment horizontal="center" vertical="center"/>
    </xf>
    <xf numFmtId="0" fontId="11" fillId="6" borderId="66" xfId="0" applyFont="1" applyFill="1" applyBorder="1" applyAlignment="1">
      <alignment horizontal="center" vertical="center"/>
    </xf>
    <xf numFmtId="0" fontId="11" fillId="6" borderId="37" xfId="0" applyFont="1" applyFill="1" applyBorder="1" applyAlignment="1">
      <alignment horizontal="center" vertical="center"/>
    </xf>
    <xf numFmtId="0" fontId="0" fillId="0" borderId="65" xfId="0" applyBorder="1" applyAlignment="1">
      <alignment horizontal="center" vertical="center" wrapText="1"/>
    </xf>
    <xf numFmtId="0" fontId="0" fillId="0" borderId="45" xfId="0" applyBorder="1" applyAlignment="1">
      <alignment horizontal="center" vertical="center" wrapText="1"/>
    </xf>
    <xf numFmtId="0" fontId="0" fillId="0" borderId="42" xfId="0" applyBorder="1" applyAlignment="1">
      <alignment horizontal="center" vertical="center" wrapText="1"/>
    </xf>
    <xf numFmtId="0" fontId="11" fillId="6" borderId="30" xfId="0" applyFont="1" applyFill="1" applyBorder="1" applyAlignment="1">
      <alignment horizontal="center" vertical="center"/>
    </xf>
    <xf numFmtId="0" fontId="11" fillId="6" borderId="31" xfId="0" applyFont="1" applyFill="1" applyBorder="1" applyAlignment="1">
      <alignment horizontal="center" vertical="center"/>
    </xf>
    <xf numFmtId="0" fontId="11" fillId="6" borderId="47" xfId="0" applyFont="1" applyFill="1" applyBorder="1" applyAlignment="1">
      <alignment horizontal="center" vertical="center"/>
    </xf>
    <xf numFmtId="0" fontId="14" fillId="5" borderId="13" xfId="0" applyFont="1" applyFill="1" applyBorder="1" applyAlignment="1">
      <alignment horizontal="left"/>
    </xf>
    <xf numFmtId="0" fontId="14" fillId="5" borderId="8" xfId="0" applyFont="1" applyFill="1" applyBorder="1" applyAlignment="1">
      <alignment horizontal="left"/>
    </xf>
    <xf numFmtId="0" fontId="14" fillId="5" borderId="9" xfId="0" applyFont="1" applyFill="1" applyBorder="1" applyAlignment="1">
      <alignment horizontal="left"/>
    </xf>
    <xf numFmtId="0" fontId="11" fillId="6" borderId="35" xfId="0" applyFont="1" applyFill="1" applyBorder="1" applyAlignment="1">
      <alignment horizontal="center" vertical="center"/>
    </xf>
    <xf numFmtId="0" fontId="11" fillId="6" borderId="36" xfId="0" applyFont="1" applyFill="1" applyBorder="1" applyAlignment="1">
      <alignment horizontal="center" vertical="center"/>
    </xf>
    <xf numFmtId="0" fontId="0" fillId="8" borderId="19" xfId="0" applyFill="1" applyBorder="1" applyAlignment="1">
      <alignment horizontal="left"/>
    </xf>
    <xf numFmtId="0" fontId="0" fillId="8" borderId="20" xfId="0" applyFill="1" applyBorder="1" applyAlignment="1">
      <alignment horizontal="left"/>
    </xf>
    <xf numFmtId="0" fontId="0" fillId="8" borderId="16" xfId="0" applyFill="1" applyBorder="1" applyAlignment="1">
      <alignment horizontal="left"/>
    </xf>
    <xf numFmtId="0" fontId="0" fillId="8" borderId="7" xfId="0" applyFill="1" applyBorder="1" applyAlignment="1">
      <alignment horizontal="left"/>
    </xf>
    <xf numFmtId="0" fontId="0" fillId="0" borderId="61" xfId="0" applyBorder="1" applyAlignment="1">
      <alignment horizontal="left" vertical="center"/>
    </xf>
    <xf numFmtId="0" fontId="0" fillId="0" borderId="62" xfId="0" applyBorder="1" applyAlignment="1">
      <alignment horizontal="left" vertical="center"/>
    </xf>
    <xf numFmtId="0" fontId="0" fillId="0" borderId="33" xfId="0" applyBorder="1" applyAlignment="1">
      <alignment horizontal="center" vertical="center"/>
    </xf>
    <xf numFmtId="0" fontId="0" fillId="0" borderId="41" xfId="0" applyBorder="1" applyAlignment="1">
      <alignment horizontal="center" vertical="center"/>
    </xf>
    <xf numFmtId="0" fontId="0" fillId="0" borderId="33" xfId="0" applyBorder="1" applyAlignment="1">
      <alignment horizontal="left"/>
    </xf>
    <xf numFmtId="0" fontId="0" fillId="0" borderId="43" xfId="0" applyBorder="1" applyAlignment="1">
      <alignment horizontal="left"/>
    </xf>
    <xf numFmtId="0" fontId="11" fillId="6" borderId="19" xfId="0" applyFont="1" applyFill="1" applyBorder="1" applyAlignment="1">
      <alignment horizontal="left"/>
    </xf>
    <xf numFmtId="0" fontId="11" fillId="6" borderId="20" xfId="0" applyFont="1" applyFill="1" applyBorder="1" applyAlignment="1">
      <alignment horizontal="left"/>
    </xf>
    <xf numFmtId="0" fontId="0" fillId="0" borderId="45" xfId="0" applyBorder="1" applyAlignment="1">
      <alignment horizontal="left"/>
    </xf>
    <xf numFmtId="0" fontId="0" fillId="0" borderId="46" xfId="0" applyBorder="1" applyAlignment="1">
      <alignment horizontal="left"/>
    </xf>
    <xf numFmtId="0" fontId="0" fillId="0" borderId="61" xfId="0" applyBorder="1" applyAlignment="1">
      <alignment horizontal="left"/>
    </xf>
    <xf numFmtId="0" fontId="0" fillId="0" borderId="62" xfId="0" applyBorder="1" applyAlignment="1">
      <alignment horizontal="left"/>
    </xf>
    <xf numFmtId="0" fontId="0" fillId="0" borderId="41" xfId="0" applyBorder="1" applyAlignment="1">
      <alignment horizontal="left"/>
    </xf>
    <xf numFmtId="0" fontId="0" fillId="0" borderId="34" xfId="0" applyBorder="1" applyAlignment="1">
      <alignment horizontal="left"/>
    </xf>
    <xf numFmtId="0" fontId="15" fillId="20" borderId="0" xfId="0" applyFont="1" applyFill="1" applyAlignment="1">
      <alignment horizontal="center" vertical="center"/>
    </xf>
    <xf numFmtId="0" fontId="16" fillId="20" borderId="0" xfId="0" applyFont="1" applyFill="1" applyAlignment="1">
      <alignment horizontal="center" vertical="center"/>
    </xf>
    <xf numFmtId="0" fontId="0" fillId="2" borderId="24" xfId="0" applyFill="1" applyBorder="1" applyAlignment="1">
      <alignment horizontal="center"/>
    </xf>
    <xf numFmtId="0" fontId="0" fillId="2" borderId="2" xfId="0" applyFill="1" applyBorder="1" applyAlignment="1">
      <alignment horizontal="center"/>
    </xf>
    <xf numFmtId="2" fontId="11" fillId="10" borderId="24" xfId="0" applyNumberFormat="1" applyFont="1" applyFill="1" applyBorder="1" applyAlignment="1">
      <alignment horizontal="center"/>
    </xf>
    <xf numFmtId="2" fontId="11" fillId="10" borderId="2" xfId="0" applyNumberFormat="1" applyFont="1" applyFill="1" applyBorder="1" applyAlignment="1">
      <alignment horizontal="center"/>
    </xf>
    <xf numFmtId="0" fontId="0" fillId="5" borderId="24" xfId="0" applyFill="1" applyBorder="1" applyAlignment="1">
      <alignment horizontal="left"/>
    </xf>
    <xf numFmtId="0" fontId="0" fillId="5" borderId="2" xfId="0" applyFill="1" applyBorder="1" applyAlignment="1">
      <alignment horizontal="left"/>
    </xf>
    <xf numFmtId="0" fontId="0" fillId="2" borderId="57" xfId="0" applyFill="1" applyBorder="1" applyAlignment="1">
      <alignment horizontal="left" vertical="center" wrapText="1"/>
    </xf>
    <xf numFmtId="0" fontId="0" fillId="2" borderId="58" xfId="0" applyFill="1" applyBorder="1" applyAlignment="1">
      <alignment horizontal="left" vertical="center" wrapText="1"/>
    </xf>
    <xf numFmtId="0" fontId="0" fillId="2" borderId="68" xfId="0" applyFill="1" applyBorder="1" applyAlignment="1">
      <alignment horizontal="left" vertical="center" wrapText="1"/>
    </xf>
    <xf numFmtId="0" fontId="0" fillId="2" borderId="69" xfId="0" applyFill="1" applyBorder="1" applyAlignment="1">
      <alignment horizontal="left" vertical="center" wrapText="1"/>
    </xf>
    <xf numFmtId="0" fontId="11" fillId="5" borderId="16" xfId="0" applyFont="1" applyFill="1" applyBorder="1" applyAlignment="1">
      <alignment horizontal="center"/>
    </xf>
    <xf numFmtId="0" fontId="11" fillId="5" borderId="17" xfId="0" applyFont="1" applyFill="1" applyBorder="1" applyAlignment="1">
      <alignment horizontal="center"/>
    </xf>
    <xf numFmtId="0" fontId="11" fillId="5" borderId="7" xfId="0" applyFont="1" applyFill="1" applyBorder="1" applyAlignment="1">
      <alignment horizontal="center"/>
    </xf>
    <xf numFmtId="0" fontId="11" fillId="5" borderId="24" xfId="0" applyFont="1" applyFill="1" applyBorder="1" applyAlignment="1">
      <alignment horizontal="center"/>
    </xf>
    <xf numFmtId="0" fontId="11" fillId="5" borderId="2" xfId="0" applyFont="1" applyFill="1" applyBorder="1" applyAlignment="1">
      <alignment horizontal="center"/>
    </xf>
    <xf numFmtId="0" fontId="0" fillId="2" borderId="4" xfId="0" applyFill="1" applyBorder="1" applyAlignment="1">
      <alignment horizontal="center" vertical="center" wrapText="1"/>
    </xf>
    <xf numFmtId="0" fontId="0" fillId="2" borderId="6" xfId="0" applyFill="1" applyBorder="1" applyAlignment="1">
      <alignment horizontal="center" vertical="center" wrapText="1"/>
    </xf>
    <xf numFmtId="0" fontId="0" fillId="5" borderId="63" xfId="0" applyFill="1" applyBorder="1" applyAlignment="1">
      <alignment horizontal="center" vertical="center"/>
    </xf>
    <xf numFmtId="0" fontId="0" fillId="5" borderId="26" xfId="0" applyFill="1" applyBorder="1" applyAlignment="1">
      <alignment horizontal="center" vertical="center"/>
    </xf>
    <xf numFmtId="0" fontId="0" fillId="5" borderId="3" xfId="0" applyFill="1" applyBorder="1" applyAlignment="1">
      <alignment horizontal="center" vertical="center"/>
    </xf>
    <xf numFmtId="0" fontId="0" fillId="2" borderId="24" xfId="0" applyFill="1" applyBorder="1" applyAlignment="1">
      <alignment horizontal="center" vertical="center" wrapText="1"/>
    </xf>
    <xf numFmtId="0" fontId="0" fillId="2" borderId="2" xfId="0" applyFill="1" applyBorder="1" applyAlignment="1">
      <alignment horizontal="center" vertical="center" wrapText="1"/>
    </xf>
    <xf numFmtId="171" fontId="11" fillId="16" borderId="24" xfId="0" applyNumberFormat="1" applyFont="1" applyFill="1" applyBorder="1" applyAlignment="1">
      <alignment horizontal="center"/>
    </xf>
    <xf numFmtId="171" fontId="11" fillId="16" borderId="2" xfId="0" applyNumberFormat="1" applyFont="1" applyFill="1" applyBorder="1" applyAlignment="1">
      <alignment horizontal="center"/>
    </xf>
    <xf numFmtId="0" fontId="11" fillId="5" borderId="24" xfId="0" applyFont="1" applyFill="1" applyBorder="1" applyAlignment="1">
      <alignment horizontal="center" vertical="center" wrapText="1"/>
    </xf>
    <xf numFmtId="0" fontId="11" fillId="5" borderId="25" xfId="0" applyFont="1" applyFill="1" applyBorder="1" applyAlignment="1">
      <alignment horizontal="center" vertical="center" wrapText="1"/>
    </xf>
    <xf numFmtId="0" fontId="11" fillId="5" borderId="2" xfId="0" applyFont="1" applyFill="1" applyBorder="1" applyAlignment="1">
      <alignment horizontal="center" vertical="center" wrapText="1"/>
    </xf>
    <xf numFmtId="0" fontId="11" fillId="5" borderId="17" xfId="0" applyFont="1" applyFill="1" applyBorder="1" applyAlignment="1">
      <alignment horizontal="center" vertical="center"/>
    </xf>
    <xf numFmtId="0" fontId="0" fillId="2" borderId="16" xfId="0" applyFill="1" applyBorder="1" applyAlignment="1">
      <alignment horizontal="left" vertical="center" wrapText="1"/>
    </xf>
    <xf numFmtId="0" fontId="0" fillId="2" borderId="17" xfId="0" applyFill="1" applyBorder="1" applyAlignment="1">
      <alignment horizontal="left" vertical="center" wrapText="1"/>
    </xf>
    <xf numFmtId="0" fontId="0" fillId="2" borderId="7" xfId="0" applyFill="1" applyBorder="1" applyAlignment="1">
      <alignment horizontal="left" vertical="center" wrapText="1"/>
    </xf>
    <xf numFmtId="0" fontId="8" fillId="6" borderId="16" xfId="0" applyFont="1" applyFill="1" applyBorder="1" applyAlignment="1">
      <alignment horizontal="center"/>
    </xf>
    <xf numFmtId="0" fontId="8" fillId="6" borderId="17" xfId="0" applyFont="1" applyFill="1" applyBorder="1" applyAlignment="1">
      <alignment horizontal="center"/>
    </xf>
    <xf numFmtId="0" fontId="8" fillId="6" borderId="7" xfId="0" applyFont="1" applyFill="1" applyBorder="1" applyAlignment="1">
      <alignment horizontal="center"/>
    </xf>
    <xf numFmtId="0" fontId="0" fillId="6" borderId="16" xfId="0" applyFill="1" applyBorder="1" applyAlignment="1">
      <alignment horizontal="center"/>
    </xf>
    <xf numFmtId="0" fontId="0" fillId="6" borderId="7" xfId="0" applyFill="1" applyBorder="1" applyAlignment="1">
      <alignment horizontal="center"/>
    </xf>
    <xf numFmtId="0" fontId="0" fillId="2" borderId="4" xfId="0" applyFill="1" applyBorder="1" applyAlignment="1">
      <alignment horizontal="left" vertical="top" wrapText="1"/>
    </xf>
    <xf numFmtId="0" fontId="0" fillId="2" borderId="5" xfId="0" applyFill="1" applyBorder="1" applyAlignment="1">
      <alignment horizontal="left" vertical="top" wrapText="1"/>
    </xf>
    <xf numFmtId="0" fontId="0" fillId="2" borderId="6" xfId="0" applyFill="1" applyBorder="1" applyAlignment="1">
      <alignment horizontal="left" vertical="top" wrapText="1"/>
    </xf>
    <xf numFmtId="0" fontId="11" fillId="18" borderId="13" xfId="0" applyFont="1" applyFill="1" applyBorder="1" applyAlignment="1">
      <alignment horizontal="center"/>
    </xf>
    <xf numFmtId="0" fontId="11" fillId="18" borderId="8" xfId="0" applyFont="1" applyFill="1" applyBorder="1" applyAlignment="1">
      <alignment horizontal="center"/>
    </xf>
    <xf numFmtId="0" fontId="11" fillId="18" borderId="9" xfId="0" applyFont="1" applyFill="1" applyBorder="1" applyAlignment="1">
      <alignment horizontal="center"/>
    </xf>
    <xf numFmtId="0" fontId="11" fillId="18" borderId="15" xfId="0" applyFont="1" applyFill="1" applyBorder="1" applyAlignment="1">
      <alignment horizontal="center"/>
    </xf>
    <xf numFmtId="0" fontId="11" fillId="18" borderId="11" xfId="0" applyFont="1" applyFill="1" applyBorder="1" applyAlignment="1">
      <alignment horizontal="center"/>
    </xf>
    <xf numFmtId="0" fontId="11" fillId="18" borderId="12" xfId="0" applyFont="1" applyFill="1" applyBorder="1" applyAlignment="1">
      <alignment horizontal="center"/>
    </xf>
    <xf numFmtId="0" fontId="7" fillId="17" borderId="79" xfId="1" applyFont="1" applyFill="1" applyBorder="1" applyAlignment="1">
      <alignment horizontal="center" vertical="center"/>
    </xf>
    <xf numFmtId="0" fontId="7" fillId="17" borderId="80" xfId="1" applyFont="1" applyFill="1" applyBorder="1" applyAlignment="1">
      <alignment horizontal="center" vertical="center"/>
    </xf>
    <xf numFmtId="0" fontId="7" fillId="17" borderId="81" xfId="1" applyFont="1" applyFill="1" applyBorder="1" applyAlignment="1">
      <alignment horizontal="center" vertical="center"/>
    </xf>
    <xf numFmtId="0" fontId="0" fillId="0" borderId="0" xfId="0" applyFill="1" applyBorder="1"/>
    <xf numFmtId="0" fontId="0" fillId="0" borderId="0" xfId="0" applyFont="1" applyFill="1" applyBorder="1"/>
    <xf numFmtId="0" fontId="8" fillId="17" borderId="78" xfId="0" applyFont="1" applyFill="1" applyBorder="1" applyAlignment="1">
      <alignment horizontal="center"/>
    </xf>
    <xf numFmtId="0" fontId="0" fillId="17" borderId="0" xfId="0" applyFill="1"/>
    <xf numFmtId="0" fontId="0" fillId="17" borderId="82" xfId="0" applyFill="1" applyBorder="1"/>
    <xf numFmtId="0" fontId="0" fillId="17" borderId="83" xfId="0" applyFill="1" applyBorder="1"/>
    <xf numFmtId="0" fontId="15" fillId="17" borderId="83" xfId="0" applyFont="1" applyFill="1" applyBorder="1" applyAlignment="1">
      <alignment horizontal="center" vertical="center"/>
    </xf>
    <xf numFmtId="0" fontId="16" fillId="17" borderId="83" xfId="0" applyFont="1" applyFill="1" applyBorder="1" applyAlignment="1">
      <alignment horizontal="center" vertical="center"/>
    </xf>
    <xf numFmtId="0" fontId="14" fillId="17" borderId="16" xfId="0" applyFont="1" applyFill="1" applyBorder="1" applyAlignment="1">
      <alignment horizontal="left"/>
    </xf>
    <xf numFmtId="0" fontId="14" fillId="17" borderId="17" xfId="0" applyFont="1" applyFill="1" applyBorder="1" applyAlignment="1">
      <alignment horizontal="left"/>
    </xf>
    <xf numFmtId="0" fontId="14" fillId="17" borderId="7" xfId="0" applyFont="1" applyFill="1" applyBorder="1" applyAlignment="1">
      <alignment horizontal="left"/>
    </xf>
    <xf numFmtId="0" fontId="14" fillId="17" borderId="82" xfId="0" applyFont="1" applyFill="1" applyBorder="1" applyAlignment="1">
      <alignment horizontal="left"/>
    </xf>
    <xf numFmtId="0" fontId="14" fillId="17" borderId="83" xfId="0" applyFont="1" applyFill="1" applyBorder="1" applyAlignment="1">
      <alignment horizontal="left"/>
    </xf>
    <xf numFmtId="0" fontId="14" fillId="17" borderId="84" xfId="0" applyFont="1" applyFill="1" applyBorder="1" applyAlignment="1">
      <alignment horizontal="left"/>
    </xf>
    <xf numFmtId="0" fontId="7" fillId="2" borderId="82" xfId="0" applyFont="1" applyFill="1" applyBorder="1" applyAlignment="1">
      <alignment horizontal="left" vertical="top" wrapText="1"/>
    </xf>
    <xf numFmtId="0" fontId="7" fillId="2" borderId="83" xfId="0" applyFont="1" applyFill="1" applyBorder="1" applyAlignment="1">
      <alignment horizontal="left" vertical="top" wrapText="1"/>
    </xf>
    <xf numFmtId="0" fontId="7" fillId="2" borderId="84" xfId="0" applyFont="1" applyFill="1" applyBorder="1" applyAlignment="1">
      <alignment horizontal="left" vertical="top" wrapText="1"/>
    </xf>
    <xf numFmtId="0" fontId="7" fillId="2" borderId="88" xfId="0" applyFont="1" applyFill="1" applyBorder="1" applyAlignment="1">
      <alignment horizontal="left" vertical="top" wrapText="1"/>
    </xf>
    <xf numFmtId="0" fontId="7" fillId="2" borderId="89" xfId="0" applyFont="1" applyFill="1" applyBorder="1" applyAlignment="1">
      <alignment horizontal="left" vertical="top" wrapText="1"/>
    </xf>
    <xf numFmtId="0" fontId="7" fillId="2" borderId="90" xfId="0" applyFont="1" applyFill="1" applyBorder="1" applyAlignment="1">
      <alignment horizontal="left" vertical="top" wrapText="1"/>
    </xf>
    <xf numFmtId="0" fontId="14" fillId="17" borderId="85" xfId="0" applyFont="1" applyFill="1" applyBorder="1" applyAlignment="1">
      <alignment horizontal="left"/>
    </xf>
    <xf numFmtId="0" fontId="14" fillId="17" borderId="86" xfId="0" applyFont="1" applyFill="1" applyBorder="1" applyAlignment="1">
      <alignment horizontal="left"/>
    </xf>
    <xf numFmtId="0" fontId="14" fillId="17" borderId="87" xfId="0" applyFont="1" applyFill="1" applyBorder="1" applyAlignment="1">
      <alignment horizontal="left"/>
    </xf>
    <xf numFmtId="0" fontId="7" fillId="2" borderId="91" xfId="0" applyFont="1" applyFill="1" applyBorder="1" applyAlignment="1">
      <alignment horizontal="left" vertical="top" wrapText="1"/>
    </xf>
    <xf numFmtId="0" fontId="7" fillId="2" borderId="92" xfId="0" applyFont="1" applyFill="1" applyBorder="1" applyAlignment="1">
      <alignment horizontal="left" vertical="top" wrapText="1"/>
    </xf>
    <xf numFmtId="0" fontId="7" fillId="2" borderId="93" xfId="0" applyFont="1" applyFill="1" applyBorder="1" applyAlignment="1">
      <alignment horizontal="left" vertical="top" wrapText="1"/>
    </xf>
    <xf numFmtId="0" fontId="14" fillId="17" borderId="91" xfId="0" applyFont="1" applyFill="1" applyBorder="1" applyAlignment="1">
      <alignment horizontal="left"/>
    </xf>
    <xf numFmtId="0" fontId="14" fillId="17" borderId="92" xfId="0" applyFont="1" applyFill="1" applyBorder="1" applyAlignment="1">
      <alignment horizontal="left"/>
    </xf>
    <xf numFmtId="0" fontId="14" fillId="17" borderId="93" xfId="0" applyFont="1" applyFill="1" applyBorder="1" applyAlignment="1">
      <alignment horizontal="left"/>
    </xf>
    <xf numFmtId="9" fontId="9" fillId="2" borderId="3" xfId="3" applyFont="1" applyFill="1" applyBorder="1" applyAlignment="1">
      <alignment horizontal="left" vertical="top" wrapText="1"/>
    </xf>
    <xf numFmtId="0" fontId="20" fillId="17" borderId="82" xfId="0" applyFont="1" applyFill="1" applyBorder="1" applyAlignment="1">
      <alignment horizontal="left" vertical="top" wrapText="1"/>
    </xf>
    <xf numFmtId="0" fontId="20" fillId="17" borderId="83" xfId="0" applyFont="1" applyFill="1" applyBorder="1" applyAlignment="1">
      <alignment horizontal="left" vertical="top" wrapText="1"/>
    </xf>
    <xf numFmtId="0" fontId="20" fillId="17" borderId="84" xfId="0" applyFont="1" applyFill="1" applyBorder="1" applyAlignment="1">
      <alignment horizontal="left" vertical="top" wrapText="1"/>
    </xf>
    <xf numFmtId="0" fontId="9" fillId="2" borderId="94" xfId="0" applyFont="1" applyFill="1" applyBorder="1" applyAlignment="1">
      <alignment horizontal="left" vertical="top" wrapText="1"/>
    </xf>
    <xf numFmtId="165" fontId="9" fillId="2" borderId="95" xfId="0" applyNumberFormat="1" applyFont="1" applyFill="1" applyBorder="1" applyAlignment="1">
      <alignment horizontal="left" vertical="top" wrapText="1"/>
    </xf>
    <xf numFmtId="0" fontId="9" fillId="2" borderId="96" xfId="0" applyFont="1" applyFill="1" applyBorder="1" applyAlignment="1">
      <alignment horizontal="left" vertical="top" wrapText="1"/>
    </xf>
    <xf numFmtId="165" fontId="9" fillId="2" borderId="97" xfId="0" applyNumberFormat="1" applyFont="1" applyFill="1" applyBorder="1" applyAlignment="1">
      <alignment horizontal="left" vertical="top" wrapText="1"/>
    </xf>
    <xf numFmtId="0" fontId="9" fillId="2" borderId="98" xfId="0" applyFont="1" applyFill="1" applyBorder="1" applyAlignment="1">
      <alignment horizontal="left" vertical="top" wrapText="1"/>
    </xf>
    <xf numFmtId="9" fontId="9" fillId="2" borderId="99" xfId="3" applyFont="1" applyFill="1" applyBorder="1" applyAlignment="1">
      <alignment horizontal="left" vertical="top" wrapText="1"/>
    </xf>
    <xf numFmtId="165" fontId="9" fillId="2" borderId="100" xfId="0" applyNumberFormat="1" applyFont="1" applyFill="1" applyBorder="1" applyAlignment="1">
      <alignment horizontal="left" vertical="top" wrapText="1"/>
    </xf>
    <xf numFmtId="0" fontId="21" fillId="9" borderId="91" xfId="0" applyFont="1" applyFill="1" applyBorder="1" applyAlignment="1">
      <alignment horizontal="left" vertical="top" wrapText="1"/>
    </xf>
    <xf numFmtId="0" fontId="21" fillId="9" borderId="92" xfId="0" applyFont="1" applyFill="1" applyBorder="1" applyAlignment="1">
      <alignment horizontal="left" vertical="top" wrapText="1"/>
    </xf>
    <xf numFmtId="0" fontId="21" fillId="9" borderId="93" xfId="0" applyFont="1" applyFill="1" applyBorder="1" applyAlignment="1">
      <alignment horizontal="left" vertical="top" wrapText="1"/>
    </xf>
    <xf numFmtId="0" fontId="12" fillId="17" borderId="101" xfId="0" applyFont="1" applyFill="1" applyBorder="1" applyAlignment="1">
      <alignment horizontal="center" vertical="center" wrapText="1"/>
    </xf>
    <xf numFmtId="0" fontId="12" fillId="17" borderId="102" xfId="0" applyFont="1" applyFill="1" applyBorder="1" applyAlignment="1">
      <alignment horizontal="center" vertical="center" wrapText="1"/>
    </xf>
    <xf numFmtId="0" fontId="12" fillId="17" borderId="103" xfId="0" applyFont="1" applyFill="1" applyBorder="1" applyAlignment="1">
      <alignment horizontal="center" vertical="center" wrapText="1"/>
    </xf>
    <xf numFmtId="169" fontId="7" fillId="2" borderId="98" xfId="2" applyNumberFormat="1" applyFont="1" applyFill="1" applyBorder="1" applyAlignment="1">
      <alignment horizontal="left" vertical="top" wrapText="1"/>
    </xf>
    <xf numFmtId="169" fontId="7" fillId="2" borderId="99" xfId="2" applyNumberFormat="1" applyFont="1" applyFill="1" applyBorder="1" applyAlignment="1">
      <alignment horizontal="left" vertical="top" wrapText="1"/>
    </xf>
    <xf numFmtId="165" fontId="21" fillId="17" borderId="100" xfId="6" applyFont="1" applyFill="1" applyBorder="1" applyAlignment="1">
      <alignment horizontal="left" vertical="top" wrapText="1"/>
    </xf>
    <xf numFmtId="0" fontId="19" fillId="9" borderId="107" xfId="0" applyFont="1" applyFill="1" applyBorder="1" applyAlignment="1">
      <alignment horizontal="center" vertical="center" textRotation="90" wrapText="1"/>
    </xf>
    <xf numFmtId="0" fontId="19" fillId="9" borderId="108" xfId="0" applyFont="1" applyFill="1" applyBorder="1" applyAlignment="1">
      <alignment horizontal="center" vertical="center" textRotation="90" wrapText="1"/>
    </xf>
    <xf numFmtId="0" fontId="19" fillId="9" borderId="109" xfId="0" applyFont="1" applyFill="1" applyBorder="1" applyAlignment="1">
      <alignment horizontal="center" vertical="center" textRotation="90" wrapText="1"/>
    </xf>
    <xf numFmtId="0" fontId="14" fillId="17" borderId="105" xfId="0" applyFont="1" applyFill="1" applyBorder="1" applyAlignment="1">
      <alignment horizontal="left"/>
    </xf>
    <xf numFmtId="0" fontId="14" fillId="17" borderId="106" xfId="0" applyFont="1" applyFill="1" applyBorder="1" applyAlignment="1">
      <alignment horizontal="left"/>
    </xf>
    <xf numFmtId="0" fontId="29" fillId="6" borderId="77" xfId="0" applyFont="1" applyFill="1" applyBorder="1" applyAlignment="1">
      <alignment horizontal="center" vertical="center" wrapText="1"/>
    </xf>
    <xf numFmtId="0" fontId="29" fillId="12" borderId="77" xfId="0" applyFont="1" applyFill="1" applyBorder="1" applyAlignment="1">
      <alignment horizontal="center" vertical="center" wrapText="1"/>
    </xf>
    <xf numFmtId="0" fontId="29" fillId="16" borderId="77" xfId="0" applyFont="1" applyFill="1" applyBorder="1" applyAlignment="1">
      <alignment horizontal="center" vertical="center" wrapText="1"/>
    </xf>
    <xf numFmtId="0" fontId="12" fillId="10" borderId="110" xfId="0" applyFont="1" applyFill="1" applyBorder="1" applyAlignment="1">
      <alignment horizontal="center" vertical="center"/>
    </xf>
    <xf numFmtId="0" fontId="12" fillId="10" borderId="104" xfId="0" applyFont="1" applyFill="1" applyBorder="1" applyAlignment="1">
      <alignment horizontal="center" vertical="center"/>
    </xf>
    <xf numFmtId="0" fontId="12" fillId="10" borderId="111" xfId="0" applyFont="1" applyFill="1" applyBorder="1" applyAlignment="1">
      <alignment horizontal="center" vertical="center"/>
    </xf>
    <xf numFmtId="0" fontId="12" fillId="12" borderId="110" xfId="0" applyFont="1" applyFill="1" applyBorder="1" applyAlignment="1">
      <alignment horizontal="center" vertical="center"/>
    </xf>
    <xf numFmtId="0" fontId="12" fillId="12" borderId="104" xfId="0" applyFont="1" applyFill="1" applyBorder="1" applyAlignment="1">
      <alignment horizontal="center" vertical="center"/>
    </xf>
    <xf numFmtId="0" fontId="12" fillId="12" borderId="111" xfId="0" applyFont="1" applyFill="1" applyBorder="1" applyAlignment="1">
      <alignment horizontal="center" vertical="center"/>
    </xf>
    <xf numFmtId="0" fontId="12" fillId="6" borderId="110" xfId="0" applyFont="1" applyFill="1" applyBorder="1" applyAlignment="1">
      <alignment horizontal="center" vertical="center"/>
    </xf>
    <xf numFmtId="0" fontId="12" fillId="6" borderId="104" xfId="0" applyFont="1" applyFill="1" applyBorder="1" applyAlignment="1">
      <alignment horizontal="center" vertical="center"/>
    </xf>
    <xf numFmtId="0" fontId="12" fillId="6" borderId="88" xfId="0" applyFont="1" applyFill="1" applyBorder="1" applyAlignment="1">
      <alignment horizontal="center" vertical="center"/>
    </xf>
    <xf numFmtId="170" fontId="12" fillId="10" borderId="26" xfId="0" applyNumberFormat="1" applyFont="1" applyFill="1" applyBorder="1" applyAlignment="1">
      <alignment horizontal="center" vertical="center"/>
    </xf>
    <xf numFmtId="170" fontId="12" fillId="10" borderId="37" xfId="0" applyNumberFormat="1" applyFont="1" applyFill="1" applyBorder="1" applyAlignment="1">
      <alignment horizontal="center" vertical="center"/>
    </xf>
    <xf numFmtId="170" fontId="12" fillId="12" borderId="66" xfId="0" applyNumberFormat="1" applyFont="1" applyFill="1" applyBorder="1" applyAlignment="1">
      <alignment horizontal="center" vertical="center"/>
    </xf>
    <xf numFmtId="170" fontId="12" fillId="12" borderId="26" xfId="0" applyNumberFormat="1" applyFont="1" applyFill="1" applyBorder="1" applyAlignment="1">
      <alignment horizontal="center" vertical="center"/>
    </xf>
    <xf numFmtId="170" fontId="12" fillId="12" borderId="37" xfId="0" applyNumberFormat="1" applyFont="1" applyFill="1" applyBorder="1" applyAlignment="1">
      <alignment horizontal="center" vertical="center"/>
    </xf>
    <xf numFmtId="170" fontId="12" fillId="6" borderId="66" xfId="0" applyNumberFormat="1" applyFont="1" applyFill="1" applyBorder="1" applyAlignment="1">
      <alignment horizontal="center" vertical="center"/>
    </xf>
    <xf numFmtId="170" fontId="12" fillId="6" borderId="26" xfId="0" applyNumberFormat="1" applyFont="1" applyFill="1" applyBorder="1" applyAlignment="1">
      <alignment horizontal="center" vertical="center"/>
    </xf>
    <xf numFmtId="170" fontId="12" fillId="6" borderId="89" xfId="0" applyNumberFormat="1" applyFont="1" applyFill="1" applyBorder="1" applyAlignment="1">
      <alignment horizontal="center" vertical="center"/>
    </xf>
    <xf numFmtId="3" fontId="0" fillId="0" borderId="0" xfId="0" applyNumberFormat="1" applyFill="1"/>
    <xf numFmtId="0" fontId="14" fillId="17" borderId="82" xfId="0" applyFont="1" applyFill="1" applyBorder="1" applyAlignment="1">
      <alignment horizontal="center"/>
    </xf>
    <xf numFmtId="0" fontId="14" fillId="17" borderId="84" xfId="0" applyFont="1" applyFill="1" applyBorder="1" applyAlignment="1">
      <alignment horizontal="center"/>
    </xf>
    <xf numFmtId="0" fontId="12" fillId="9" borderId="108" xfId="0" applyFont="1" applyFill="1" applyBorder="1" applyAlignment="1">
      <alignment horizontal="center"/>
    </xf>
    <xf numFmtId="0" fontId="12" fillId="9" borderId="78" xfId="0" applyFont="1" applyFill="1" applyBorder="1" applyAlignment="1">
      <alignment horizontal="center"/>
    </xf>
    <xf numFmtId="0" fontId="15" fillId="17" borderId="0" xfId="0" applyFont="1" applyFill="1" applyAlignment="1">
      <alignment vertical="center"/>
    </xf>
    <xf numFmtId="0" fontId="5" fillId="17" borderId="0" xfId="0" applyFont="1" applyFill="1" applyAlignment="1">
      <alignment vertical="center"/>
    </xf>
    <xf numFmtId="0" fontId="11" fillId="17" borderId="33" xfId="0" applyFont="1" applyFill="1" applyBorder="1" applyAlignment="1">
      <alignment horizontal="center"/>
    </xf>
    <xf numFmtId="0" fontId="11" fillId="17" borderId="1" xfId="0" applyFont="1" applyFill="1" applyBorder="1" applyAlignment="1">
      <alignment horizontal="center"/>
    </xf>
    <xf numFmtId="0" fontId="11" fillId="17" borderId="43" xfId="0" applyFont="1" applyFill="1" applyBorder="1" applyAlignment="1">
      <alignment horizontal="center"/>
    </xf>
    <xf numFmtId="166" fontId="22" fillId="9" borderId="22" xfId="2" applyFont="1" applyFill="1" applyBorder="1" applyAlignment="1">
      <alignment horizontal="center" vertical="center"/>
    </xf>
    <xf numFmtId="166" fontId="22" fillId="9" borderId="40" xfId="2" applyFont="1" applyFill="1" applyBorder="1" applyAlignment="1">
      <alignment horizontal="center" vertical="center"/>
    </xf>
    <xf numFmtId="166" fontId="22" fillId="9" borderId="32" xfId="2" applyFont="1" applyFill="1" applyBorder="1" applyAlignment="1">
      <alignment horizontal="center" vertical="center"/>
    </xf>
    <xf numFmtId="166" fontId="22" fillId="9" borderId="24" xfId="2" applyFont="1" applyFill="1" applyBorder="1" applyAlignment="1">
      <alignment horizontal="center" vertical="center"/>
    </xf>
    <xf numFmtId="166" fontId="22" fillId="9" borderId="41" xfId="2" applyFont="1" applyFill="1" applyBorder="1" applyAlignment="1">
      <alignment horizontal="center" vertical="center"/>
    </xf>
    <xf numFmtId="166" fontId="22" fillId="9" borderId="34" xfId="2" applyFont="1" applyFill="1" applyBorder="1" applyAlignment="1">
      <alignment horizontal="center" vertical="center"/>
    </xf>
    <xf numFmtId="166" fontId="22" fillId="9" borderId="29" xfId="2" applyFont="1" applyFill="1" applyBorder="1" applyAlignment="1">
      <alignment horizontal="center" vertical="center"/>
    </xf>
    <xf numFmtId="166" fontId="22" fillId="9" borderId="38" xfId="2" applyFont="1" applyFill="1" applyBorder="1" applyAlignment="1">
      <alignment horizontal="center" vertical="center"/>
    </xf>
    <xf numFmtId="166" fontId="22" fillId="9" borderId="42" xfId="2" applyFont="1" applyFill="1" applyBorder="1" applyAlignment="1">
      <alignment horizontal="center" vertical="center"/>
    </xf>
    <xf numFmtId="166" fontId="9" fillId="10" borderId="65" xfId="2" applyFont="1" applyFill="1" applyBorder="1" applyAlignment="1">
      <alignment horizontal="center" vertical="center"/>
    </xf>
    <xf numFmtId="165" fontId="0" fillId="10" borderId="55" xfId="6" applyFont="1" applyFill="1" applyBorder="1" applyAlignment="1">
      <alignment horizontal="center" vertical="center"/>
    </xf>
    <xf numFmtId="169" fontId="0" fillId="10" borderId="65" xfId="2" applyNumberFormat="1" applyFont="1" applyFill="1" applyBorder="1" applyAlignment="1">
      <alignment horizontal="center" vertical="center"/>
    </xf>
    <xf numFmtId="169" fontId="0" fillId="10" borderId="65" xfId="0" applyNumberFormat="1" applyFill="1" applyBorder="1" applyAlignment="1">
      <alignment horizontal="center" vertical="center"/>
    </xf>
    <xf numFmtId="169" fontId="0" fillId="10" borderId="55" xfId="0" applyNumberFormat="1" applyFill="1" applyBorder="1" applyAlignment="1">
      <alignment horizontal="center" vertical="center"/>
    </xf>
    <xf numFmtId="166" fontId="9" fillId="10" borderId="45" xfId="2" applyFont="1" applyFill="1" applyBorder="1" applyAlignment="1">
      <alignment horizontal="center" vertical="center"/>
    </xf>
    <xf numFmtId="165" fontId="0" fillId="10" borderId="46" xfId="6" applyFont="1" applyFill="1" applyBorder="1" applyAlignment="1">
      <alignment horizontal="center" vertical="center"/>
    </xf>
    <xf numFmtId="169" fontId="0" fillId="10" borderId="45" xfId="2" applyNumberFormat="1" applyFont="1" applyFill="1" applyBorder="1" applyAlignment="1">
      <alignment horizontal="center" vertical="center"/>
    </xf>
    <xf numFmtId="169" fontId="0" fillId="10" borderId="45" xfId="0" applyNumberFormat="1" applyFill="1" applyBorder="1" applyAlignment="1">
      <alignment horizontal="center" vertical="center"/>
    </xf>
    <xf numFmtId="169" fontId="0" fillId="10" borderId="46" xfId="0" applyNumberFormat="1" applyFill="1" applyBorder="1" applyAlignment="1">
      <alignment horizontal="center" vertical="center"/>
    </xf>
    <xf numFmtId="166" fontId="9" fillId="10" borderId="42" xfId="2" applyFont="1" applyFill="1" applyBorder="1" applyAlignment="1">
      <alignment horizontal="center" vertical="center"/>
    </xf>
    <xf numFmtId="165" fontId="0" fillId="10" borderId="38" xfId="6" applyFont="1" applyFill="1" applyBorder="1" applyAlignment="1">
      <alignment horizontal="center" vertical="center"/>
    </xf>
    <xf numFmtId="169" fontId="0" fillId="10" borderId="42" xfId="2" applyNumberFormat="1" applyFont="1" applyFill="1" applyBorder="1" applyAlignment="1">
      <alignment horizontal="center" vertical="center"/>
    </xf>
    <xf numFmtId="169" fontId="0" fillId="10" borderId="42" xfId="0" applyNumberFormat="1" applyFill="1" applyBorder="1" applyAlignment="1">
      <alignment horizontal="center" vertical="center"/>
    </xf>
    <xf numFmtId="169" fontId="0" fillId="10" borderId="38" xfId="0" applyNumberFormat="1" applyFill="1" applyBorder="1" applyAlignment="1">
      <alignment horizontal="center" vertical="center"/>
    </xf>
    <xf numFmtId="166" fontId="9" fillId="12" borderId="65" xfId="2" applyFont="1" applyFill="1" applyBorder="1" applyAlignment="1">
      <alignment horizontal="center" vertical="center"/>
    </xf>
    <xf numFmtId="165" fontId="0" fillId="12" borderId="55" xfId="6" applyFont="1" applyFill="1" applyBorder="1" applyAlignment="1">
      <alignment horizontal="center" vertical="center"/>
    </xf>
    <xf numFmtId="169" fontId="0" fillId="12" borderId="65" xfId="2" applyNumberFormat="1" applyFont="1" applyFill="1" applyBorder="1" applyAlignment="1">
      <alignment horizontal="center" vertical="center"/>
    </xf>
    <xf numFmtId="169" fontId="0" fillId="12" borderId="65" xfId="0" applyNumberFormat="1" applyFill="1" applyBorder="1" applyAlignment="1">
      <alignment horizontal="center" vertical="center"/>
    </xf>
    <xf numFmtId="169" fontId="0" fillId="12" borderId="55" xfId="0" applyNumberFormat="1" applyFill="1" applyBorder="1" applyAlignment="1">
      <alignment horizontal="center" vertical="center"/>
    </xf>
    <xf numFmtId="166" fontId="9" fillId="12" borderId="45" xfId="2" applyFont="1" applyFill="1" applyBorder="1" applyAlignment="1">
      <alignment horizontal="center" vertical="center"/>
    </xf>
    <xf numFmtId="165" fontId="0" fillId="12" borderId="46" xfId="6" applyFont="1" applyFill="1" applyBorder="1" applyAlignment="1">
      <alignment horizontal="center" vertical="center"/>
    </xf>
    <xf numFmtId="169" fontId="0" fillId="12" borderId="45" xfId="2" applyNumberFormat="1" applyFont="1" applyFill="1" applyBorder="1" applyAlignment="1">
      <alignment horizontal="center" vertical="center"/>
    </xf>
    <xf numFmtId="169" fontId="0" fillId="12" borderId="45" xfId="0" applyNumberFormat="1" applyFill="1" applyBorder="1" applyAlignment="1">
      <alignment horizontal="center" vertical="center"/>
    </xf>
    <xf numFmtId="169" fontId="0" fillId="12" borderId="46" xfId="0" applyNumberFormat="1" applyFill="1" applyBorder="1" applyAlignment="1">
      <alignment horizontal="center" vertical="center"/>
    </xf>
    <xf numFmtId="166" fontId="9" fillId="12" borderId="42" xfId="2" applyFont="1" applyFill="1" applyBorder="1" applyAlignment="1">
      <alignment horizontal="center" vertical="center"/>
    </xf>
    <xf numFmtId="165" fontId="0" fillId="12" borderId="38" xfId="6" applyFont="1" applyFill="1" applyBorder="1" applyAlignment="1">
      <alignment horizontal="center" vertical="center"/>
    </xf>
    <xf numFmtId="169" fontId="0" fillId="12" borderId="42" xfId="2" applyNumberFormat="1" applyFont="1" applyFill="1" applyBorder="1" applyAlignment="1">
      <alignment horizontal="center" vertical="center"/>
    </xf>
    <xf numFmtId="169" fontId="0" fillId="12" borderId="42" xfId="0" applyNumberFormat="1" applyFill="1" applyBorder="1" applyAlignment="1">
      <alignment horizontal="center" vertical="center"/>
    </xf>
    <xf numFmtId="169" fontId="0" fillId="12" borderId="38" xfId="0" applyNumberFormat="1" applyFill="1" applyBorder="1" applyAlignment="1">
      <alignment horizontal="center" vertical="center"/>
    </xf>
    <xf numFmtId="166" fontId="9" fillId="6" borderId="65" xfId="2" applyFont="1" applyFill="1" applyBorder="1" applyAlignment="1">
      <alignment horizontal="center" vertical="center"/>
    </xf>
    <xf numFmtId="165" fontId="0" fillId="6" borderId="55" xfId="6" applyFont="1" applyFill="1" applyBorder="1" applyAlignment="1">
      <alignment horizontal="center" vertical="center"/>
    </xf>
    <xf numFmtId="169" fontId="0" fillId="6" borderId="65" xfId="2" applyNumberFormat="1" applyFont="1" applyFill="1" applyBorder="1" applyAlignment="1">
      <alignment horizontal="center" vertical="center"/>
    </xf>
    <xf numFmtId="169" fontId="0" fillId="6" borderId="65" xfId="0" applyNumberFormat="1" applyFill="1" applyBorder="1" applyAlignment="1">
      <alignment horizontal="center" vertical="center"/>
    </xf>
    <xf numFmtId="169" fontId="0" fillId="6" borderId="55" xfId="0" applyNumberFormat="1" applyFill="1" applyBorder="1" applyAlignment="1">
      <alignment horizontal="center" vertical="center"/>
    </xf>
    <xf numFmtId="166" fontId="9" fillId="6" borderId="45" xfId="2" applyFont="1" applyFill="1" applyBorder="1" applyAlignment="1">
      <alignment horizontal="center" vertical="center"/>
    </xf>
    <xf numFmtId="165" fontId="0" fillId="6" borderId="46" xfId="6" applyFont="1" applyFill="1" applyBorder="1" applyAlignment="1">
      <alignment horizontal="center" vertical="center"/>
    </xf>
    <xf numFmtId="169" fontId="0" fillId="6" borderId="45" xfId="2" applyNumberFormat="1" applyFont="1" applyFill="1" applyBorder="1" applyAlignment="1">
      <alignment horizontal="center" vertical="center"/>
    </xf>
    <xf numFmtId="169" fontId="0" fillId="6" borderId="45" xfId="0" applyNumberFormat="1" applyFill="1" applyBorder="1" applyAlignment="1">
      <alignment horizontal="center" vertical="center"/>
    </xf>
    <xf numFmtId="169" fontId="0" fillId="6" borderId="46" xfId="0" applyNumberFormat="1" applyFill="1" applyBorder="1" applyAlignment="1">
      <alignment horizontal="center" vertical="center"/>
    </xf>
    <xf numFmtId="166" fontId="9" fillId="6" borderId="42" xfId="2" applyFont="1" applyFill="1" applyBorder="1" applyAlignment="1">
      <alignment horizontal="center" vertical="center"/>
    </xf>
    <xf numFmtId="165" fontId="0" fillId="6" borderId="38" xfId="6" applyFont="1" applyFill="1" applyBorder="1" applyAlignment="1">
      <alignment horizontal="center" vertical="center"/>
    </xf>
    <xf numFmtId="169" fontId="0" fillId="6" borderId="42" xfId="2" applyNumberFormat="1" applyFont="1" applyFill="1" applyBorder="1" applyAlignment="1">
      <alignment horizontal="center" vertical="center"/>
    </xf>
    <xf numFmtId="169" fontId="0" fillId="6" borderId="61" xfId="0" applyNumberFormat="1" applyFill="1" applyBorder="1" applyAlignment="1">
      <alignment horizontal="center" vertical="center"/>
    </xf>
    <xf numFmtId="165" fontId="0" fillId="6" borderId="62" xfId="6" applyFont="1" applyFill="1" applyBorder="1" applyAlignment="1">
      <alignment horizontal="center" vertical="center"/>
    </xf>
    <xf numFmtId="169" fontId="0" fillId="6" borderId="62" xfId="0" applyNumberFormat="1" applyFill="1" applyBorder="1" applyAlignment="1">
      <alignment horizontal="center" vertical="center"/>
    </xf>
  </cellXfs>
  <cellStyles count="7">
    <cellStyle name="Hipervínculo" xfId="1" builtinId="8"/>
    <cellStyle name="Millares" xfId="2" builtinId="3"/>
    <cellStyle name="Moneda" xfId="6" builtinId="4"/>
    <cellStyle name="Normal" xfId="0" builtinId="0"/>
    <cellStyle name="Normal 2 14" xfId="4" xr:uid="{00000000-0005-0000-0000-000004000000}"/>
    <cellStyle name="Normal 2 15" xfId="5" xr:uid="{00000000-0005-0000-0000-000005000000}"/>
    <cellStyle name="Porcentaje" xfId="3" builtinId="5"/>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
      <tableStyleElement type="headerRow" dxfId="0"/>
    </tableStyle>
  </tableStyles>
  <colors>
    <mruColors>
      <color rgb="FF7AFA7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s-AR"/>
              <a:t>Evolución de la participación en el mercado</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s-ES"/>
        </a:p>
      </c:txPr>
    </c:title>
    <c:autoTitleDeleted val="0"/>
    <c:view3D>
      <c:rotX val="10"/>
      <c:rotY val="0"/>
      <c:depthPercent val="100"/>
      <c:rAngAx val="0"/>
    </c:view3D>
    <c:floor>
      <c:thickness val="0"/>
      <c:spPr>
        <a:solidFill>
          <a:schemeClr val="lt1"/>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Hipótesis!$B$24</c:f>
              <c:strCache>
                <c:ptCount val="1"/>
                <c:pt idx="0">
                  <c:v>2019</c:v>
                </c:pt>
              </c:strCache>
            </c:strRef>
          </c:tx>
          <c:spPr>
            <a:pattFill prst="ltDnDiag">
              <a:fgClr>
                <a:schemeClr val="accent6"/>
              </a:fgClr>
              <a:bgClr>
                <a:schemeClr val="accent6">
                  <a:lumMod val="20000"/>
                  <a:lumOff val="80000"/>
                </a:schemeClr>
              </a:bgClr>
            </a:pattFill>
            <a:ln>
              <a:solidFill>
                <a:schemeClr val="accent6"/>
              </a:solidFill>
            </a:ln>
            <a:effectLst/>
            <a:sp3d>
              <a:contourClr>
                <a:schemeClr val="accent6"/>
              </a:contourClr>
            </a:sp3d>
          </c:spPr>
          <c:invertIfNegative val="0"/>
          <c:cat>
            <c:strRef>
              <c:f>Hipótesis!$D$23</c:f>
              <c:strCache>
                <c:ptCount val="1"/>
                <c:pt idx="0">
                  <c:v>Total</c:v>
                </c:pt>
              </c:strCache>
            </c:strRef>
          </c:cat>
          <c:val>
            <c:numRef>
              <c:f>Hipótesis!$D$24</c:f>
              <c:numCache>
                <c:formatCode>_-"$"\ * #,##0.00_-;\-"$"\ * #,##0.00_-;_-"$"\ * "-"??_-;_-@_-</c:formatCode>
                <c:ptCount val="1"/>
                <c:pt idx="0">
                  <c:v>301216832</c:v>
                </c:pt>
              </c:numCache>
            </c:numRef>
          </c:val>
          <c:extLst>
            <c:ext xmlns:c16="http://schemas.microsoft.com/office/drawing/2014/chart" uri="{C3380CC4-5D6E-409C-BE32-E72D297353CC}">
              <c16:uniqueId val="{00000000-8197-4CDA-AB2D-833E93D514F5}"/>
            </c:ext>
          </c:extLst>
        </c:ser>
        <c:ser>
          <c:idx val="1"/>
          <c:order val="1"/>
          <c:tx>
            <c:strRef>
              <c:f>Hipótesis!$B$25</c:f>
              <c:strCache>
                <c:ptCount val="1"/>
                <c:pt idx="0">
                  <c:v>2020</c:v>
                </c:pt>
              </c:strCache>
            </c:strRef>
          </c:tx>
          <c:spPr>
            <a:pattFill prst="ltDnDiag">
              <a:fgClr>
                <a:schemeClr val="accent5"/>
              </a:fgClr>
              <a:bgClr>
                <a:schemeClr val="accent5">
                  <a:lumMod val="20000"/>
                  <a:lumOff val="80000"/>
                </a:schemeClr>
              </a:bgClr>
            </a:pattFill>
            <a:ln>
              <a:solidFill>
                <a:schemeClr val="accent5"/>
              </a:solidFill>
            </a:ln>
            <a:effectLst/>
            <a:sp3d>
              <a:contourClr>
                <a:schemeClr val="accent5"/>
              </a:contourClr>
            </a:sp3d>
          </c:spPr>
          <c:invertIfNegative val="0"/>
          <c:cat>
            <c:strRef>
              <c:f>Hipótesis!$D$23</c:f>
              <c:strCache>
                <c:ptCount val="1"/>
                <c:pt idx="0">
                  <c:v>Total</c:v>
                </c:pt>
              </c:strCache>
            </c:strRef>
          </c:cat>
          <c:val>
            <c:numRef>
              <c:f>Hipótesis!$D$25</c:f>
              <c:numCache>
                <c:formatCode>_-"$"\ * #,##0.00_-;\-"$"\ * #,##0.00_-;_-"$"\ * "-"??_-;_-@_-</c:formatCode>
                <c:ptCount val="1"/>
                <c:pt idx="0">
                  <c:v>655210161.49321604</c:v>
                </c:pt>
              </c:numCache>
            </c:numRef>
          </c:val>
          <c:extLst>
            <c:ext xmlns:c16="http://schemas.microsoft.com/office/drawing/2014/chart" uri="{C3380CC4-5D6E-409C-BE32-E72D297353CC}">
              <c16:uniqueId val="{00000001-8197-4CDA-AB2D-833E93D514F5}"/>
            </c:ext>
          </c:extLst>
        </c:ser>
        <c:ser>
          <c:idx val="2"/>
          <c:order val="2"/>
          <c:tx>
            <c:strRef>
              <c:f>Hipótesis!$B$26</c:f>
              <c:strCache>
                <c:ptCount val="1"/>
                <c:pt idx="0">
                  <c:v>2021</c:v>
                </c:pt>
              </c:strCache>
            </c:strRef>
          </c:tx>
          <c:spPr>
            <a:pattFill prst="ltDnDiag">
              <a:fgClr>
                <a:schemeClr val="accent4"/>
              </a:fgClr>
              <a:bgClr>
                <a:schemeClr val="accent4">
                  <a:lumMod val="20000"/>
                  <a:lumOff val="80000"/>
                </a:schemeClr>
              </a:bgClr>
            </a:pattFill>
            <a:ln>
              <a:solidFill>
                <a:schemeClr val="accent4"/>
              </a:solidFill>
            </a:ln>
            <a:effectLst/>
            <a:sp3d>
              <a:contourClr>
                <a:schemeClr val="accent4"/>
              </a:contourClr>
            </a:sp3d>
          </c:spPr>
          <c:invertIfNegative val="0"/>
          <c:cat>
            <c:strRef>
              <c:f>Hipótesis!$D$23</c:f>
              <c:strCache>
                <c:ptCount val="1"/>
                <c:pt idx="0">
                  <c:v>Total</c:v>
                </c:pt>
              </c:strCache>
            </c:strRef>
          </c:cat>
          <c:val>
            <c:numRef>
              <c:f>Hipótesis!$D$26</c:f>
              <c:numCache>
                <c:formatCode>_-"$"\ * #,##0.00_-;\-"$"\ * #,##0.00_-;_-"$"\ * "-"??_-;_-@_-</c:formatCode>
                <c:ptCount val="1"/>
                <c:pt idx="0">
                  <c:v>1036454006.9229919</c:v>
                </c:pt>
              </c:numCache>
            </c:numRef>
          </c:val>
          <c:extLst>
            <c:ext xmlns:c16="http://schemas.microsoft.com/office/drawing/2014/chart" uri="{C3380CC4-5D6E-409C-BE32-E72D297353CC}">
              <c16:uniqueId val="{00000002-8197-4CDA-AB2D-833E93D514F5}"/>
            </c:ext>
          </c:extLst>
        </c:ser>
        <c:dLbls>
          <c:showLegendKey val="0"/>
          <c:showVal val="0"/>
          <c:showCatName val="0"/>
          <c:showSerName val="0"/>
          <c:showPercent val="0"/>
          <c:showBubbleSize val="0"/>
        </c:dLbls>
        <c:gapWidth val="160"/>
        <c:gapDepth val="0"/>
        <c:shape val="box"/>
        <c:axId val="25175760"/>
        <c:axId val="91798656"/>
        <c:axId val="0"/>
      </c:bar3DChart>
      <c:catAx>
        <c:axId val="2517576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91798656"/>
        <c:crosses val="autoZero"/>
        <c:auto val="1"/>
        <c:lblAlgn val="ctr"/>
        <c:lblOffset val="100"/>
        <c:noMultiLvlLbl val="0"/>
      </c:catAx>
      <c:valAx>
        <c:axId val="91798656"/>
        <c:scaling>
          <c:orientation val="minMax"/>
        </c:scaling>
        <c:delete val="0"/>
        <c:axPos val="l"/>
        <c:numFmt formatCode="_-&quot;$&quot;\ * #,##0.00_-;\-&quot;$&quot;\ * #,##0.00_-;_-&quot;$&quot;\ *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5175760"/>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2.9709512065913237E-2"/>
          <c:y val="1.9300359437533828E-2"/>
        </c:manualLayout>
      </c:layout>
      <c:overlay val="0"/>
      <c:spPr>
        <a:noFill/>
        <a:ln>
          <a:noFill/>
        </a:ln>
        <a:effectLst/>
      </c:spPr>
      <c:txPr>
        <a:bodyPr rot="0" spcFirstLastPara="1" vertOverflow="ellipsis" vert="horz" wrap="square" anchor="ctr" anchorCtr="1"/>
        <a:lstStyle/>
        <a:p>
          <a:pPr>
            <a:defRPr sz="1800" b="1" i="0" u="none" strike="noStrike" kern="1200" cap="all" baseline="0">
              <a:solidFill>
                <a:schemeClr val="tx1">
                  <a:lumMod val="65000"/>
                  <a:lumOff val="35000"/>
                </a:schemeClr>
              </a:solidFill>
              <a:latin typeface="+mn-lt"/>
              <a:ea typeface="+mn-ea"/>
              <a:cs typeface="+mn-cs"/>
            </a:defRPr>
          </a:pPr>
          <a:endParaRPr lang="es-ES"/>
        </a:p>
      </c:txPr>
    </c:title>
    <c:autoTitleDeleted val="0"/>
    <c:plotArea>
      <c:layout/>
      <c:pieChart>
        <c:varyColors val="1"/>
        <c:ser>
          <c:idx val="0"/>
          <c:order val="0"/>
          <c:tx>
            <c:strRef>
              <c:f>'Mod. ingresos'!$E$16</c:f>
              <c:strCache>
                <c:ptCount val="1"/>
                <c:pt idx="0">
                  <c:v> Ingresos 2021 </c:v>
                </c:pt>
              </c:strCache>
            </c:strRef>
          </c:tx>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9-EA85-40A9-9793-B381DA40BF8B}"/>
              </c:ext>
            </c:extLst>
          </c:dPt>
          <c:dPt>
            <c:idx val="1"/>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8-EA85-40A9-9793-B381DA40BF8B}"/>
              </c:ext>
            </c:extLst>
          </c:dPt>
          <c:dPt>
            <c:idx val="2"/>
            <c:bubble3D val="0"/>
            <c:spPr>
              <a:solidFill>
                <a:schemeClr val="accent3"/>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A-EA85-40A9-9793-B381DA40BF8B}"/>
              </c:ext>
            </c:extLst>
          </c:dPt>
          <c:dPt>
            <c:idx val="3"/>
            <c:bubble3D val="0"/>
            <c:spPr>
              <a:solidFill>
                <a:schemeClr val="accent4"/>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B-EA85-40A9-9793-B381DA40BF8B}"/>
              </c:ext>
            </c:extLst>
          </c:dPt>
          <c:dPt>
            <c:idx val="4"/>
            <c:bubble3D val="0"/>
            <c:spPr>
              <a:solidFill>
                <a:schemeClr val="accent5"/>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C-EA85-40A9-9793-B381DA40BF8B}"/>
              </c:ext>
            </c:extLst>
          </c:dPt>
          <c:dPt>
            <c:idx val="5"/>
            <c:bubble3D val="0"/>
            <c:spPr>
              <a:solidFill>
                <a:schemeClr val="accent6"/>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D-EA85-40A9-9793-B381DA40BF8B}"/>
              </c:ext>
            </c:extLst>
          </c:dPt>
          <c:dPt>
            <c:idx val="6"/>
            <c:bubble3D val="0"/>
            <c:spPr>
              <a:solidFill>
                <a:schemeClr val="accent1">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7-EA85-40A9-9793-B381DA40BF8B}"/>
              </c:ext>
            </c:extLst>
          </c:dPt>
          <c:dPt>
            <c:idx val="7"/>
            <c:bubble3D val="0"/>
            <c:spPr>
              <a:solidFill>
                <a:schemeClr val="accent2">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6-EA85-40A9-9793-B381DA40BF8B}"/>
              </c:ext>
            </c:extLst>
          </c:dPt>
          <c:dPt>
            <c:idx val="8"/>
            <c:bubble3D val="0"/>
            <c:spPr>
              <a:solidFill>
                <a:schemeClr val="accent3">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5-EA85-40A9-9793-B381DA40BF8B}"/>
              </c:ext>
            </c:extLst>
          </c:dPt>
          <c:dPt>
            <c:idx val="9"/>
            <c:bubble3D val="0"/>
            <c:spPr>
              <a:solidFill>
                <a:schemeClr val="accent4">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1-EA85-40A9-9793-B381DA40BF8B}"/>
              </c:ext>
            </c:extLst>
          </c:dPt>
          <c:dPt>
            <c:idx val="10"/>
            <c:bubble3D val="0"/>
            <c:spPr>
              <a:solidFill>
                <a:schemeClr val="accent5">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4-EA85-40A9-9793-B381DA40BF8B}"/>
              </c:ext>
            </c:extLst>
          </c:dPt>
          <c:dPt>
            <c:idx val="11"/>
            <c:bubble3D val="0"/>
            <c:spPr>
              <a:solidFill>
                <a:schemeClr val="accent6">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2-EA85-40A9-9793-B381DA40BF8B}"/>
              </c:ext>
            </c:extLst>
          </c:dPt>
          <c:dPt>
            <c:idx val="12"/>
            <c:bubble3D val="0"/>
            <c:spPr>
              <a:solidFill>
                <a:schemeClr val="accent1">
                  <a:lumMod val="80000"/>
                  <a:lumOff val="2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EA85-40A9-9793-B381DA40BF8B}"/>
              </c:ext>
            </c:extLst>
          </c:dPt>
          <c:dLbls>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1"/>
                      </a:solidFill>
                      <a:latin typeface="+mn-lt"/>
                      <a:ea typeface="+mn-ea"/>
                      <a:cs typeface="+mn-cs"/>
                    </a:defRPr>
                  </a:pPr>
                  <a:endParaRPr lang="es-ES"/>
                </a:p>
              </c:txPr>
              <c:dLblPos val="outEnd"/>
              <c:showLegendKey val="1"/>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EA85-40A9-9793-B381DA40BF8B}"/>
                </c:ext>
              </c:extLst>
            </c:dLbl>
            <c:dLbl>
              <c:idx val="1"/>
              <c:layout>
                <c:manualLayout>
                  <c:x val="-1.2088909831745273E-2"/>
                  <c:y val="-3.7398429827509634E-2"/>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2"/>
                      </a:solidFill>
                      <a:latin typeface="+mn-lt"/>
                      <a:ea typeface="+mn-ea"/>
                      <a:cs typeface="+mn-cs"/>
                    </a:defRPr>
                  </a:pPr>
                  <a:endParaRPr lang="es-ES"/>
                </a:p>
              </c:txPr>
              <c:dLblPos val="bestFit"/>
              <c:showLegendKey val="1"/>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8-EA85-40A9-9793-B381DA40BF8B}"/>
                </c:ext>
              </c:extLst>
            </c:dLbl>
            <c:dLbl>
              <c:idx val="2"/>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3"/>
                      </a:solidFill>
                      <a:latin typeface="+mn-lt"/>
                      <a:ea typeface="+mn-ea"/>
                      <a:cs typeface="+mn-cs"/>
                    </a:defRPr>
                  </a:pPr>
                  <a:endParaRPr lang="es-ES"/>
                </a:p>
              </c:txPr>
              <c:dLblPos val="outEnd"/>
              <c:showLegendKey val="1"/>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A-EA85-40A9-9793-B381DA40BF8B}"/>
                </c:ext>
              </c:extLst>
            </c:dLbl>
            <c:dLbl>
              <c:idx val="3"/>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4"/>
                      </a:solidFill>
                      <a:latin typeface="+mn-lt"/>
                      <a:ea typeface="+mn-ea"/>
                      <a:cs typeface="+mn-cs"/>
                    </a:defRPr>
                  </a:pPr>
                  <a:endParaRPr lang="es-ES"/>
                </a:p>
              </c:txPr>
              <c:dLblPos val="outEnd"/>
              <c:showLegendKey val="1"/>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B-EA85-40A9-9793-B381DA40BF8B}"/>
                </c:ext>
              </c:extLst>
            </c:dLbl>
            <c:dLbl>
              <c:idx val="4"/>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5"/>
                      </a:solidFill>
                      <a:latin typeface="+mn-lt"/>
                      <a:ea typeface="+mn-ea"/>
                      <a:cs typeface="+mn-cs"/>
                    </a:defRPr>
                  </a:pPr>
                  <a:endParaRPr lang="es-ES"/>
                </a:p>
              </c:txPr>
              <c:dLblPos val="outEnd"/>
              <c:showLegendKey val="1"/>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C-EA85-40A9-9793-B381DA40BF8B}"/>
                </c:ext>
              </c:extLst>
            </c:dLbl>
            <c:dLbl>
              <c:idx val="5"/>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6"/>
                      </a:solidFill>
                      <a:latin typeface="+mn-lt"/>
                      <a:ea typeface="+mn-ea"/>
                      <a:cs typeface="+mn-cs"/>
                    </a:defRPr>
                  </a:pPr>
                  <a:endParaRPr lang="es-ES"/>
                </a:p>
              </c:txPr>
              <c:dLblPos val="outEnd"/>
              <c:showLegendKey val="1"/>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D-EA85-40A9-9793-B381DA40BF8B}"/>
                </c:ext>
              </c:extLst>
            </c:dLbl>
            <c:dLbl>
              <c:idx val="6"/>
              <c:layout>
                <c:manualLayout>
                  <c:x val="-1.6244921863008188E-2"/>
                  <c:y val="2.9268288935626538E-2"/>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1">
                          <a:lumMod val="60000"/>
                        </a:schemeClr>
                      </a:solidFill>
                      <a:latin typeface="+mn-lt"/>
                      <a:ea typeface="+mn-ea"/>
                      <a:cs typeface="+mn-cs"/>
                    </a:defRPr>
                  </a:pPr>
                  <a:endParaRPr lang="es-ES"/>
                </a:p>
              </c:txPr>
              <c:dLblPos val="bestFit"/>
              <c:showLegendKey val="1"/>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7-EA85-40A9-9793-B381DA40BF8B}"/>
                </c:ext>
              </c:extLst>
            </c:dLbl>
            <c:dLbl>
              <c:idx val="7"/>
              <c:layout>
                <c:manualLayout>
                  <c:x val="-6.2480468703877724E-3"/>
                  <c:y val="2.4390240779688752E-2"/>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2">
                          <a:lumMod val="60000"/>
                        </a:schemeClr>
                      </a:solidFill>
                      <a:latin typeface="+mn-lt"/>
                      <a:ea typeface="+mn-ea"/>
                      <a:cs typeface="+mn-cs"/>
                    </a:defRPr>
                  </a:pPr>
                  <a:endParaRPr lang="es-ES"/>
                </a:p>
              </c:txPr>
              <c:dLblPos val="bestFit"/>
              <c:showLegendKey val="1"/>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6-EA85-40A9-9793-B381DA40BF8B}"/>
                </c:ext>
              </c:extLst>
            </c:dLbl>
            <c:dLbl>
              <c:idx val="8"/>
              <c:layout>
                <c:manualLayout>
                  <c:x val="-1.1454620270960064E-17"/>
                  <c:y val="-4.878048155937756E-3"/>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3">
                          <a:lumMod val="60000"/>
                        </a:schemeClr>
                      </a:solidFill>
                      <a:latin typeface="+mn-lt"/>
                      <a:ea typeface="+mn-ea"/>
                      <a:cs typeface="+mn-cs"/>
                    </a:defRPr>
                  </a:pPr>
                  <a:endParaRPr lang="es-ES"/>
                </a:p>
              </c:txPr>
              <c:dLblPos val="bestFit"/>
              <c:showLegendKey val="1"/>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5-EA85-40A9-9793-B381DA40BF8B}"/>
                </c:ext>
              </c:extLst>
            </c:dLbl>
            <c:dLbl>
              <c:idx val="9"/>
              <c:layout>
                <c:manualLayout>
                  <c:x val="-6.6229296826110257E-2"/>
                  <c:y val="-4.7154465507398324E-2"/>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4">
                          <a:lumMod val="60000"/>
                        </a:schemeClr>
                      </a:solidFill>
                      <a:latin typeface="+mn-lt"/>
                      <a:ea typeface="+mn-ea"/>
                      <a:cs typeface="+mn-cs"/>
                    </a:defRPr>
                  </a:pPr>
                  <a:endParaRPr lang="es-ES"/>
                </a:p>
              </c:txPr>
              <c:dLblPos val="bestFit"/>
              <c:showLegendKey val="1"/>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1-EA85-40A9-9793-B381DA40BF8B}"/>
                </c:ext>
              </c:extLst>
            </c:dLbl>
            <c:dLbl>
              <c:idx val="10"/>
              <c:layout>
                <c:manualLayout>
                  <c:x val="2.7491406229706146E-2"/>
                  <c:y val="1.6260160519792222E-3"/>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5">
                          <a:lumMod val="60000"/>
                        </a:schemeClr>
                      </a:solidFill>
                      <a:latin typeface="+mn-lt"/>
                      <a:ea typeface="+mn-ea"/>
                      <a:cs typeface="+mn-cs"/>
                    </a:defRPr>
                  </a:pPr>
                  <a:endParaRPr lang="es-ES"/>
                </a:p>
              </c:txPr>
              <c:dLblPos val="bestFit"/>
              <c:showLegendKey val="1"/>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4-EA85-40A9-9793-B381DA40BF8B}"/>
                </c:ext>
              </c:extLst>
            </c:dLbl>
            <c:dLbl>
              <c:idx val="11"/>
              <c:layout>
                <c:manualLayout>
                  <c:x val="1.9993749985240811E-2"/>
                  <c:y val="-2.1138208675730269E-2"/>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6">
                          <a:lumMod val="60000"/>
                        </a:schemeClr>
                      </a:solidFill>
                      <a:latin typeface="+mn-lt"/>
                      <a:ea typeface="+mn-ea"/>
                      <a:cs typeface="+mn-cs"/>
                    </a:defRPr>
                  </a:pPr>
                  <a:endParaRPr lang="es-ES"/>
                </a:p>
              </c:txPr>
              <c:dLblPos val="bestFit"/>
              <c:showLegendKey val="1"/>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2-EA85-40A9-9793-B381DA40BF8B}"/>
                </c:ext>
              </c:extLst>
            </c:dLbl>
            <c:dLbl>
              <c:idx val="12"/>
              <c:layout>
                <c:manualLayout>
                  <c:x val="4.6235546840869474E-2"/>
                  <c:y val="-1.4634144467813271E-2"/>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1">
                          <a:lumMod val="80000"/>
                          <a:lumOff val="20000"/>
                        </a:schemeClr>
                      </a:solidFill>
                      <a:latin typeface="+mn-lt"/>
                      <a:ea typeface="+mn-ea"/>
                      <a:cs typeface="+mn-cs"/>
                    </a:defRPr>
                  </a:pPr>
                  <a:endParaRPr lang="es-ES"/>
                </a:p>
              </c:txPr>
              <c:dLblPos val="bestFit"/>
              <c:showLegendKey val="1"/>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3-EA85-40A9-9793-B381DA40BF8B}"/>
                </c:ext>
              </c:extLst>
            </c:dLbl>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1"/>
                    </a:solidFill>
                    <a:latin typeface="+mn-lt"/>
                    <a:ea typeface="+mn-ea"/>
                    <a:cs typeface="+mn-cs"/>
                  </a:defRPr>
                </a:pPr>
                <a:endParaRPr lang="es-ES"/>
              </a:p>
            </c:txPr>
            <c:dLblPos val="outEnd"/>
            <c:showLegendKey val="1"/>
            <c:showVal val="0"/>
            <c:showCatName val="1"/>
            <c:showSerName val="0"/>
            <c:showPercent val="1"/>
            <c:showBubbleSize val="0"/>
            <c:separator>
</c:separator>
            <c:showLeaderLines val="0"/>
            <c:extLst>
              <c:ext xmlns:c15="http://schemas.microsoft.com/office/drawing/2012/chart" uri="{CE6537A1-D6FC-4f65-9D91-7224C49458BB}"/>
            </c:extLst>
          </c:dLbls>
          <c:cat>
            <c:numRef>
              <c:f>'Mod. ingresos'!$B$17:$B$29</c:f>
              <c:numCache>
                <c:formatCode>_-* #,##0.00\ _€_-;\-* #,##0.00\ _€_-;_-* "-"??\ _€_-;_-@_-</c:formatCode>
                <c:ptCount val="13"/>
              </c:numCache>
            </c:numRef>
          </c:cat>
          <c:val>
            <c:numRef>
              <c:f>'Mod. ingresos'!$E$17:$E$29</c:f>
              <c:numCache>
                <c:formatCode>_-"$"\ * #,##0.00_-;\-"$"\ * #,##0.00_-;_-"$"\ * "-"??_-;_-@_-</c:formatCode>
                <c:ptCount val="13"/>
                <c:pt idx="0">
                  <c:v>2405000</c:v>
                </c:pt>
                <c:pt idx="1">
                  <c:v>0</c:v>
                </c:pt>
                <c:pt idx="2">
                  <c:v>0</c:v>
                </c:pt>
                <c:pt idx="3">
                  <c:v>9482500</c:v>
                </c:pt>
                <c:pt idx="4">
                  <c:v>0</c:v>
                </c:pt>
                <c:pt idx="5">
                  <c:v>0</c:v>
                </c:pt>
                <c:pt idx="6">
                  <c:v>0</c:v>
                </c:pt>
                <c:pt idx="7">
                  <c:v>4000000</c:v>
                </c:pt>
                <c:pt idx="8">
                  <c:v>0</c:v>
                </c:pt>
                <c:pt idx="9">
                  <c:v>0</c:v>
                </c:pt>
                <c:pt idx="10">
                  <c:v>0</c:v>
                </c:pt>
                <c:pt idx="11">
                  <c:v>0</c:v>
                </c:pt>
                <c:pt idx="12">
                  <c:v>0</c:v>
                </c:pt>
              </c:numCache>
            </c:numRef>
          </c:val>
          <c:extLst>
            <c:ext xmlns:c16="http://schemas.microsoft.com/office/drawing/2014/chart" uri="{C3380CC4-5D6E-409C-BE32-E72D297353CC}">
              <c16:uniqueId val="{00000000-EA85-40A9-9793-B381DA40BF8B}"/>
            </c:ext>
          </c:extLst>
        </c:ser>
        <c:dLbls>
          <c:dLblPos val="outEnd"/>
          <c:showLegendKey val="0"/>
          <c:showVal val="0"/>
          <c:showCatName val="1"/>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AR"/>
              <a:t>Modelo de egresos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0"/>
          <c:order val="0"/>
          <c:tx>
            <c:strRef>
              <c:f>'Mod. egresos'!$A$10</c:f>
              <c:strCache>
                <c:ptCount val="1"/>
                <c:pt idx="0">
                  <c:v>Costos Fijos</c:v>
                </c:pt>
              </c:strCache>
            </c:strRef>
          </c:tx>
          <c:spPr>
            <a:solidFill>
              <a:schemeClr val="accent2"/>
            </a:solidFill>
            <a:ln>
              <a:noFill/>
            </a:ln>
            <a:effectLst/>
          </c:spPr>
          <c:invertIfNegative val="0"/>
          <c:cat>
            <c:numRef>
              <c:f>'Mod. egresos'!$B$9:$D$9</c:f>
              <c:numCache>
                <c:formatCode>General</c:formatCode>
                <c:ptCount val="3"/>
                <c:pt idx="0">
                  <c:v>2019</c:v>
                </c:pt>
                <c:pt idx="1">
                  <c:v>2020</c:v>
                </c:pt>
                <c:pt idx="2">
                  <c:v>2021</c:v>
                </c:pt>
              </c:numCache>
            </c:numRef>
          </c:cat>
          <c:val>
            <c:numRef>
              <c:f>'Mod. egresos'!$B$10:$D$10</c:f>
              <c:numCache>
                <c:formatCode>"$"\ #,##0.00</c:formatCode>
                <c:ptCount val="3"/>
                <c:pt idx="0">
                  <c:v>2343935.7000000002</c:v>
                </c:pt>
                <c:pt idx="1">
                  <c:v>2614351.9749999996</c:v>
                </c:pt>
                <c:pt idx="2">
                  <c:v>2971977.4835000001</c:v>
                </c:pt>
              </c:numCache>
            </c:numRef>
          </c:val>
          <c:extLst>
            <c:ext xmlns:c16="http://schemas.microsoft.com/office/drawing/2014/chart" uri="{C3380CC4-5D6E-409C-BE32-E72D297353CC}">
              <c16:uniqueId val="{00000000-252F-41D5-9F1B-5A707FE5FD1F}"/>
            </c:ext>
          </c:extLst>
        </c:ser>
        <c:ser>
          <c:idx val="1"/>
          <c:order val="1"/>
          <c:tx>
            <c:strRef>
              <c:f>'Mod. egresos'!$A$11</c:f>
              <c:strCache>
                <c:ptCount val="1"/>
                <c:pt idx="0">
                  <c:v>Costos variables</c:v>
                </c:pt>
              </c:strCache>
            </c:strRef>
          </c:tx>
          <c:spPr>
            <a:solidFill>
              <a:schemeClr val="accent4"/>
            </a:solidFill>
            <a:ln>
              <a:noFill/>
            </a:ln>
            <a:effectLst/>
          </c:spPr>
          <c:invertIfNegative val="0"/>
          <c:cat>
            <c:numRef>
              <c:f>'Mod. egresos'!$B$9:$D$9</c:f>
              <c:numCache>
                <c:formatCode>General</c:formatCode>
                <c:ptCount val="3"/>
                <c:pt idx="0">
                  <c:v>2019</c:v>
                </c:pt>
                <c:pt idx="1">
                  <c:v>2020</c:v>
                </c:pt>
                <c:pt idx="2">
                  <c:v>2021</c:v>
                </c:pt>
              </c:numCache>
            </c:numRef>
          </c:cat>
          <c:val>
            <c:numRef>
              <c:f>'Mod. egresos'!$B$11:$D$11</c:f>
              <c:numCache>
                <c:formatCode>"$"\ #,##0.00</c:formatCode>
                <c:ptCount val="3"/>
                <c:pt idx="0">
                  <c:v>0</c:v>
                </c:pt>
                <c:pt idx="1">
                  <c:v>17694195.824999999</c:v>
                </c:pt>
                <c:pt idx="2">
                  <c:v>29793383.600000001</c:v>
                </c:pt>
              </c:numCache>
            </c:numRef>
          </c:val>
          <c:extLst>
            <c:ext xmlns:c16="http://schemas.microsoft.com/office/drawing/2014/chart" uri="{C3380CC4-5D6E-409C-BE32-E72D297353CC}">
              <c16:uniqueId val="{00000001-252F-41D5-9F1B-5A707FE5FD1F}"/>
            </c:ext>
          </c:extLst>
        </c:ser>
        <c:ser>
          <c:idx val="2"/>
          <c:order val="2"/>
          <c:tx>
            <c:strRef>
              <c:f>'Mod. egresos'!$A$12</c:f>
              <c:strCache>
                <c:ptCount val="1"/>
                <c:pt idx="0">
                  <c:v>Costos de RRHH</c:v>
                </c:pt>
              </c:strCache>
            </c:strRef>
          </c:tx>
          <c:spPr>
            <a:solidFill>
              <a:schemeClr val="accent6"/>
            </a:solidFill>
            <a:ln>
              <a:noFill/>
            </a:ln>
            <a:effectLst/>
          </c:spPr>
          <c:invertIfNegative val="0"/>
          <c:cat>
            <c:numRef>
              <c:f>'Mod. egresos'!$B$9:$D$9</c:f>
              <c:numCache>
                <c:formatCode>General</c:formatCode>
                <c:ptCount val="3"/>
                <c:pt idx="0">
                  <c:v>2019</c:v>
                </c:pt>
                <c:pt idx="1">
                  <c:v>2020</c:v>
                </c:pt>
                <c:pt idx="2">
                  <c:v>2021</c:v>
                </c:pt>
              </c:numCache>
            </c:numRef>
          </c:cat>
          <c:val>
            <c:numRef>
              <c:f>'Mod. egresos'!$B$12:$D$12</c:f>
              <c:numCache>
                <c:formatCode>"$"\ #,##0.00</c:formatCode>
                <c:ptCount val="3"/>
                <c:pt idx="0">
                  <c:v>7341662.4450000012</c:v>
                </c:pt>
                <c:pt idx="1">
                  <c:v>8446303.9266666677</c:v>
                </c:pt>
                <c:pt idx="2">
                  <c:v>10262133.115833335</c:v>
                </c:pt>
              </c:numCache>
            </c:numRef>
          </c:val>
          <c:extLst>
            <c:ext xmlns:c16="http://schemas.microsoft.com/office/drawing/2014/chart" uri="{C3380CC4-5D6E-409C-BE32-E72D297353CC}">
              <c16:uniqueId val="{00000002-252F-41D5-9F1B-5A707FE5FD1F}"/>
            </c:ext>
          </c:extLst>
        </c:ser>
        <c:dLbls>
          <c:showLegendKey val="0"/>
          <c:showVal val="0"/>
          <c:showCatName val="0"/>
          <c:showSerName val="0"/>
          <c:showPercent val="0"/>
          <c:showBubbleSize val="0"/>
        </c:dLbls>
        <c:gapWidth val="219"/>
        <c:overlap val="-27"/>
        <c:axId val="1022353200"/>
        <c:axId val="1177979744"/>
      </c:barChart>
      <c:lineChart>
        <c:grouping val="standard"/>
        <c:varyColors val="0"/>
        <c:ser>
          <c:idx val="3"/>
          <c:order val="3"/>
          <c:tx>
            <c:strRef>
              <c:f>'Mod. egresos'!$A$13</c:f>
              <c:strCache>
                <c:ptCount val="1"/>
                <c:pt idx="0">
                  <c:v>Costos totales</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cat>
            <c:numRef>
              <c:f>'Mod. egresos'!$B$9:$D$9</c:f>
              <c:numCache>
                <c:formatCode>General</c:formatCode>
                <c:ptCount val="3"/>
                <c:pt idx="0">
                  <c:v>2019</c:v>
                </c:pt>
                <c:pt idx="1">
                  <c:v>2020</c:v>
                </c:pt>
                <c:pt idx="2">
                  <c:v>2021</c:v>
                </c:pt>
              </c:numCache>
            </c:numRef>
          </c:cat>
          <c:val>
            <c:numRef>
              <c:f>'Mod. egresos'!$B$13:$D$13</c:f>
              <c:numCache>
                <c:formatCode>"$"\ #,##0.00</c:formatCode>
                <c:ptCount val="3"/>
                <c:pt idx="0">
                  <c:v>0</c:v>
                </c:pt>
                <c:pt idx="1">
                  <c:v>28756871.726666667</c:v>
                </c:pt>
                <c:pt idx="2">
                  <c:v>43029515.19933334</c:v>
                </c:pt>
              </c:numCache>
            </c:numRef>
          </c:val>
          <c:smooth val="0"/>
          <c:extLst>
            <c:ext xmlns:c16="http://schemas.microsoft.com/office/drawing/2014/chart" uri="{C3380CC4-5D6E-409C-BE32-E72D297353CC}">
              <c16:uniqueId val="{00000003-252F-41D5-9F1B-5A707FE5FD1F}"/>
            </c:ext>
          </c:extLst>
        </c:ser>
        <c:dLbls>
          <c:showLegendKey val="0"/>
          <c:showVal val="0"/>
          <c:showCatName val="0"/>
          <c:showSerName val="0"/>
          <c:showPercent val="0"/>
          <c:showBubbleSize val="0"/>
        </c:dLbls>
        <c:marker val="1"/>
        <c:smooth val="0"/>
        <c:axId val="1022353200"/>
        <c:axId val="1177979744"/>
      </c:lineChart>
      <c:catAx>
        <c:axId val="1022353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177979744"/>
        <c:crosses val="autoZero"/>
        <c:auto val="1"/>
        <c:lblAlgn val="ctr"/>
        <c:lblOffset val="100"/>
        <c:noMultiLvlLbl val="0"/>
      </c:catAx>
      <c:valAx>
        <c:axId val="1177979744"/>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02235320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s-AR"/>
              <a:t>Ingresos vs Egresos</a:t>
            </a:r>
          </a:p>
        </c:rich>
      </c:tx>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s-ES"/>
        </a:p>
      </c:txPr>
    </c:title>
    <c:autoTitleDeleted val="0"/>
    <c:plotArea>
      <c:layout/>
      <c:lineChart>
        <c:grouping val="standard"/>
        <c:varyColors val="0"/>
        <c:ser>
          <c:idx val="0"/>
          <c:order val="0"/>
          <c:tx>
            <c:strRef>
              <c:f>'Mod. egresos'!$A$13</c:f>
              <c:strCache>
                <c:ptCount val="1"/>
                <c:pt idx="0">
                  <c:v>Costos totales</c:v>
                </c:pt>
              </c:strCache>
            </c:strRef>
          </c:tx>
          <c:spPr>
            <a:ln w="38100" cap="rnd">
              <a:solidFill>
                <a:schemeClr val="accent1"/>
              </a:solidFill>
              <a:round/>
            </a:ln>
            <a:effectLst/>
          </c:spPr>
          <c:marker>
            <c:symbol val="none"/>
          </c:marker>
          <c:cat>
            <c:numRef>
              <c:f>'Mod. egresos'!$B$9:$D$9</c:f>
              <c:numCache>
                <c:formatCode>General</c:formatCode>
                <c:ptCount val="3"/>
                <c:pt idx="0">
                  <c:v>2019</c:v>
                </c:pt>
                <c:pt idx="1">
                  <c:v>2020</c:v>
                </c:pt>
                <c:pt idx="2">
                  <c:v>2021</c:v>
                </c:pt>
              </c:numCache>
            </c:numRef>
          </c:cat>
          <c:val>
            <c:numRef>
              <c:f>'Mod. egresos'!$B$13:$D$13</c:f>
              <c:numCache>
                <c:formatCode>"$"\ #,##0.00</c:formatCode>
                <c:ptCount val="3"/>
                <c:pt idx="0">
                  <c:v>0</c:v>
                </c:pt>
                <c:pt idx="1">
                  <c:v>28756871.726666667</c:v>
                </c:pt>
                <c:pt idx="2">
                  <c:v>43029515.19933334</c:v>
                </c:pt>
              </c:numCache>
            </c:numRef>
          </c:val>
          <c:smooth val="0"/>
          <c:extLst>
            <c:ext xmlns:c16="http://schemas.microsoft.com/office/drawing/2014/chart" uri="{C3380CC4-5D6E-409C-BE32-E72D297353CC}">
              <c16:uniqueId val="{00000000-F8DF-4E16-9F13-7AC41150A311}"/>
            </c:ext>
          </c:extLst>
        </c:ser>
        <c:ser>
          <c:idx val="1"/>
          <c:order val="1"/>
          <c:tx>
            <c:strRef>
              <c:f>'Mod. egresos'!$A$14</c:f>
              <c:strCache>
                <c:ptCount val="1"/>
                <c:pt idx="0">
                  <c:v>Objetivo ingresos</c:v>
                </c:pt>
              </c:strCache>
            </c:strRef>
          </c:tx>
          <c:spPr>
            <a:ln w="38100" cap="rnd">
              <a:solidFill>
                <a:schemeClr val="accent2"/>
              </a:solidFill>
              <a:round/>
            </a:ln>
            <a:effectLst/>
          </c:spPr>
          <c:marker>
            <c:symbol val="none"/>
          </c:marker>
          <c:cat>
            <c:numRef>
              <c:f>'Mod. egresos'!$B$9:$D$9</c:f>
              <c:numCache>
                <c:formatCode>General</c:formatCode>
                <c:ptCount val="3"/>
                <c:pt idx="0">
                  <c:v>2019</c:v>
                </c:pt>
                <c:pt idx="1">
                  <c:v>2020</c:v>
                </c:pt>
                <c:pt idx="2">
                  <c:v>2021</c:v>
                </c:pt>
              </c:numCache>
            </c:numRef>
          </c:cat>
          <c:val>
            <c:numRef>
              <c:f>'Mod. egresos'!$B$14:$D$14</c:f>
              <c:numCache>
                <c:formatCode>"$"\ #,##0.00</c:formatCode>
                <c:ptCount val="3"/>
                <c:pt idx="0">
                  <c:v>301216832</c:v>
                </c:pt>
                <c:pt idx="1">
                  <c:v>655210161.49321604</c:v>
                </c:pt>
                <c:pt idx="2">
                  <c:v>1036454006.9229919</c:v>
                </c:pt>
              </c:numCache>
            </c:numRef>
          </c:val>
          <c:smooth val="0"/>
          <c:extLst>
            <c:ext xmlns:c16="http://schemas.microsoft.com/office/drawing/2014/chart" uri="{C3380CC4-5D6E-409C-BE32-E72D297353CC}">
              <c16:uniqueId val="{00000001-F8DF-4E16-9F13-7AC41150A311}"/>
            </c:ext>
          </c:extLst>
        </c:ser>
        <c:dLbls>
          <c:showLegendKey val="0"/>
          <c:showVal val="0"/>
          <c:showCatName val="0"/>
          <c:showSerName val="0"/>
          <c:showPercent val="0"/>
          <c:showBubbleSize val="0"/>
        </c:dLbls>
        <c:smooth val="0"/>
        <c:axId val="1025409232"/>
        <c:axId val="1173350528"/>
      </c:lineChart>
      <c:catAx>
        <c:axId val="10254092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s-ES"/>
          </a:p>
        </c:txPr>
        <c:crossAx val="1173350528"/>
        <c:crosses val="autoZero"/>
        <c:auto val="1"/>
        <c:lblAlgn val="ctr"/>
        <c:lblOffset val="100"/>
        <c:noMultiLvlLbl val="0"/>
      </c:catAx>
      <c:valAx>
        <c:axId val="1173350528"/>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025409232"/>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s-AR" sz="1600" b="1"/>
              <a:t>Proyección mensual de ventas 2019</a:t>
            </a:r>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manualLayout>
          <c:layoutTarget val="inner"/>
          <c:xMode val="edge"/>
          <c:yMode val="edge"/>
          <c:x val="0.10072347391190987"/>
          <c:y val="8.3947929945699024E-2"/>
          <c:w val="0.88416923240132761"/>
          <c:h val="0.78659194141361466"/>
        </c:manualLayout>
      </c:layout>
      <c:barChart>
        <c:barDir val="col"/>
        <c:grouping val="clustered"/>
        <c:varyColors val="0"/>
        <c:ser>
          <c:idx val="0"/>
          <c:order val="0"/>
          <c:tx>
            <c:strRef>
              <c:f>'Proy. ventas'!$E$16:$F$16</c:f>
              <c:strCache>
                <c:ptCount val="1"/>
                <c:pt idx="0">
                  <c:v>Enero</c:v>
                </c:pt>
              </c:strCache>
            </c:strRef>
          </c:tx>
          <c:spPr>
            <a:solidFill>
              <a:schemeClr val="accent1"/>
            </a:solidFill>
            <a:ln>
              <a:noFill/>
            </a:ln>
            <a:effectLst/>
          </c:spPr>
          <c:invertIfNegative val="0"/>
          <c:val>
            <c:numRef>
              <c:f>'Proy. ventas'!$F$28</c:f>
              <c:numCache>
                <c:formatCode>_-"$"\ * #,##0.00_-;\-"$"\ * #,##0.00_-;_-"$"\ * "-"??_-;_-@_-</c:formatCode>
                <c:ptCount val="1"/>
                <c:pt idx="0">
                  <c:v>450000</c:v>
                </c:pt>
              </c:numCache>
            </c:numRef>
          </c:val>
          <c:extLst>
            <c:ext xmlns:c16="http://schemas.microsoft.com/office/drawing/2014/chart" uri="{C3380CC4-5D6E-409C-BE32-E72D297353CC}">
              <c16:uniqueId val="{00000000-4DA9-477F-8514-E5E1C16EC836}"/>
            </c:ext>
          </c:extLst>
        </c:ser>
        <c:ser>
          <c:idx val="1"/>
          <c:order val="1"/>
          <c:tx>
            <c:strRef>
              <c:f>'Proy. ventas'!$G$16:$H$16</c:f>
              <c:strCache>
                <c:ptCount val="1"/>
                <c:pt idx="0">
                  <c:v>Febrero</c:v>
                </c:pt>
              </c:strCache>
            </c:strRef>
          </c:tx>
          <c:spPr>
            <a:solidFill>
              <a:schemeClr val="accent2"/>
            </a:solidFill>
            <a:ln>
              <a:noFill/>
            </a:ln>
            <a:effectLst/>
          </c:spPr>
          <c:invertIfNegative val="0"/>
          <c:val>
            <c:numRef>
              <c:f>'Proy. ventas'!$H$28</c:f>
              <c:numCache>
                <c:formatCode>_-"$"\ * #,##0.00_-;\-"$"\ * #,##0.00_-;_-"$"\ * "-"??_-;_-@_-</c:formatCode>
                <c:ptCount val="1"/>
                <c:pt idx="0">
                  <c:v>562500</c:v>
                </c:pt>
              </c:numCache>
            </c:numRef>
          </c:val>
          <c:extLst>
            <c:ext xmlns:c16="http://schemas.microsoft.com/office/drawing/2014/chart" uri="{C3380CC4-5D6E-409C-BE32-E72D297353CC}">
              <c16:uniqueId val="{00000001-4DA9-477F-8514-E5E1C16EC836}"/>
            </c:ext>
          </c:extLst>
        </c:ser>
        <c:ser>
          <c:idx val="2"/>
          <c:order val="2"/>
          <c:tx>
            <c:strRef>
              <c:f>'Proy. ventas'!$I$16:$J$16</c:f>
              <c:strCache>
                <c:ptCount val="1"/>
                <c:pt idx="0">
                  <c:v>Marzo</c:v>
                </c:pt>
              </c:strCache>
            </c:strRef>
          </c:tx>
          <c:spPr>
            <a:solidFill>
              <a:schemeClr val="accent3"/>
            </a:solidFill>
            <a:ln>
              <a:noFill/>
            </a:ln>
            <a:effectLst/>
          </c:spPr>
          <c:invertIfNegative val="0"/>
          <c:val>
            <c:numRef>
              <c:f>'Proy. ventas'!$J$28</c:f>
              <c:numCache>
                <c:formatCode>_-"$"\ * #,##0.00_-;\-"$"\ * #,##0.00_-;_-"$"\ * "-"??_-;_-@_-</c:formatCode>
                <c:ptCount val="1"/>
                <c:pt idx="0">
                  <c:v>450000</c:v>
                </c:pt>
              </c:numCache>
            </c:numRef>
          </c:val>
          <c:extLst>
            <c:ext xmlns:c16="http://schemas.microsoft.com/office/drawing/2014/chart" uri="{C3380CC4-5D6E-409C-BE32-E72D297353CC}">
              <c16:uniqueId val="{00000002-4DA9-477F-8514-E5E1C16EC836}"/>
            </c:ext>
          </c:extLst>
        </c:ser>
        <c:ser>
          <c:idx val="3"/>
          <c:order val="3"/>
          <c:tx>
            <c:strRef>
              <c:f>'Proy. ventas'!$K$16:$L$16</c:f>
              <c:strCache>
                <c:ptCount val="1"/>
                <c:pt idx="0">
                  <c:v>Abril</c:v>
                </c:pt>
              </c:strCache>
            </c:strRef>
          </c:tx>
          <c:spPr>
            <a:solidFill>
              <a:schemeClr val="accent4"/>
            </a:solidFill>
            <a:ln>
              <a:noFill/>
            </a:ln>
            <a:effectLst/>
          </c:spPr>
          <c:invertIfNegative val="0"/>
          <c:val>
            <c:numRef>
              <c:f>'Proy. ventas'!$L$28</c:f>
              <c:numCache>
                <c:formatCode>_-"$"\ * #,##0.00_-;\-"$"\ * #,##0.00_-;_-"$"\ * "-"??_-;_-@_-</c:formatCode>
                <c:ptCount val="1"/>
                <c:pt idx="0">
                  <c:v>393750.00000000006</c:v>
                </c:pt>
              </c:numCache>
            </c:numRef>
          </c:val>
          <c:extLst>
            <c:ext xmlns:c16="http://schemas.microsoft.com/office/drawing/2014/chart" uri="{C3380CC4-5D6E-409C-BE32-E72D297353CC}">
              <c16:uniqueId val="{00000003-4DA9-477F-8514-E5E1C16EC836}"/>
            </c:ext>
          </c:extLst>
        </c:ser>
        <c:ser>
          <c:idx val="4"/>
          <c:order val="4"/>
          <c:tx>
            <c:strRef>
              <c:f>'Proy. ventas'!$M$16:$N$16</c:f>
              <c:strCache>
                <c:ptCount val="1"/>
                <c:pt idx="0">
                  <c:v>Mayo</c:v>
                </c:pt>
              </c:strCache>
            </c:strRef>
          </c:tx>
          <c:spPr>
            <a:solidFill>
              <a:schemeClr val="accent5"/>
            </a:solidFill>
            <a:ln>
              <a:noFill/>
            </a:ln>
            <a:effectLst/>
          </c:spPr>
          <c:invertIfNegative val="0"/>
          <c:val>
            <c:numRef>
              <c:f>'Proy. ventas'!$N$28</c:f>
              <c:numCache>
                <c:formatCode>_-"$"\ * #,##0.00_-;\-"$"\ * #,##0.00_-;_-"$"\ * "-"??_-;_-@_-</c:formatCode>
                <c:ptCount val="1"/>
                <c:pt idx="0">
                  <c:v>337500</c:v>
                </c:pt>
              </c:numCache>
            </c:numRef>
          </c:val>
          <c:extLst>
            <c:ext xmlns:c16="http://schemas.microsoft.com/office/drawing/2014/chart" uri="{C3380CC4-5D6E-409C-BE32-E72D297353CC}">
              <c16:uniqueId val="{00000004-4DA9-477F-8514-E5E1C16EC836}"/>
            </c:ext>
          </c:extLst>
        </c:ser>
        <c:ser>
          <c:idx val="5"/>
          <c:order val="5"/>
          <c:tx>
            <c:strRef>
              <c:f>'Proy. ventas'!$O$16:$P$16</c:f>
              <c:strCache>
                <c:ptCount val="1"/>
                <c:pt idx="0">
                  <c:v>Junio</c:v>
                </c:pt>
              </c:strCache>
            </c:strRef>
          </c:tx>
          <c:spPr>
            <a:solidFill>
              <a:schemeClr val="accent6"/>
            </a:solidFill>
            <a:ln>
              <a:noFill/>
            </a:ln>
            <a:effectLst/>
          </c:spPr>
          <c:invertIfNegative val="0"/>
          <c:val>
            <c:numRef>
              <c:f>'Proy. ventas'!$P$28</c:f>
              <c:numCache>
                <c:formatCode>_-"$"\ * #,##0.00_-;\-"$"\ * #,##0.00_-;_-"$"\ * "-"??_-;_-@_-</c:formatCode>
                <c:ptCount val="1"/>
                <c:pt idx="0">
                  <c:v>225000</c:v>
                </c:pt>
              </c:numCache>
            </c:numRef>
          </c:val>
          <c:extLst>
            <c:ext xmlns:c16="http://schemas.microsoft.com/office/drawing/2014/chart" uri="{C3380CC4-5D6E-409C-BE32-E72D297353CC}">
              <c16:uniqueId val="{00000005-4DA9-477F-8514-E5E1C16EC836}"/>
            </c:ext>
          </c:extLst>
        </c:ser>
        <c:ser>
          <c:idx val="6"/>
          <c:order val="6"/>
          <c:tx>
            <c:strRef>
              <c:f>'Proy. ventas'!$Q$16:$R$16</c:f>
              <c:strCache>
                <c:ptCount val="1"/>
                <c:pt idx="0">
                  <c:v>Julio</c:v>
                </c:pt>
              </c:strCache>
            </c:strRef>
          </c:tx>
          <c:spPr>
            <a:solidFill>
              <a:schemeClr val="accent1">
                <a:lumMod val="60000"/>
              </a:schemeClr>
            </a:solidFill>
            <a:ln>
              <a:noFill/>
            </a:ln>
            <a:effectLst/>
          </c:spPr>
          <c:invertIfNegative val="0"/>
          <c:val>
            <c:numRef>
              <c:f>'Proy. ventas'!$R$28</c:f>
              <c:numCache>
                <c:formatCode>_-"$"\ * #,##0.00_-;\-"$"\ * #,##0.00_-;_-"$"\ * "-"??_-;_-@_-</c:formatCode>
                <c:ptCount val="1"/>
                <c:pt idx="0">
                  <c:v>506250</c:v>
                </c:pt>
              </c:numCache>
            </c:numRef>
          </c:val>
          <c:extLst>
            <c:ext xmlns:c16="http://schemas.microsoft.com/office/drawing/2014/chart" uri="{C3380CC4-5D6E-409C-BE32-E72D297353CC}">
              <c16:uniqueId val="{00000006-4DA9-477F-8514-E5E1C16EC836}"/>
            </c:ext>
          </c:extLst>
        </c:ser>
        <c:ser>
          <c:idx val="7"/>
          <c:order val="7"/>
          <c:tx>
            <c:strRef>
              <c:f>'Proy. ventas'!$S$16:$T$16</c:f>
              <c:strCache>
                <c:ptCount val="1"/>
                <c:pt idx="0">
                  <c:v>Agosto</c:v>
                </c:pt>
              </c:strCache>
            </c:strRef>
          </c:tx>
          <c:spPr>
            <a:solidFill>
              <a:schemeClr val="accent2">
                <a:lumMod val="60000"/>
              </a:schemeClr>
            </a:solidFill>
            <a:ln>
              <a:noFill/>
            </a:ln>
            <a:effectLst/>
          </c:spPr>
          <c:invertIfNegative val="0"/>
          <c:val>
            <c:numRef>
              <c:f>'Proy. ventas'!$T$28</c:f>
              <c:numCache>
                <c:formatCode>_-"$"\ * #,##0.00_-;\-"$"\ * #,##0.00_-;_-"$"\ * "-"??_-;_-@_-</c:formatCode>
                <c:ptCount val="1"/>
                <c:pt idx="0">
                  <c:v>281250</c:v>
                </c:pt>
              </c:numCache>
            </c:numRef>
          </c:val>
          <c:extLst>
            <c:ext xmlns:c16="http://schemas.microsoft.com/office/drawing/2014/chart" uri="{C3380CC4-5D6E-409C-BE32-E72D297353CC}">
              <c16:uniqueId val="{00000007-4DA9-477F-8514-E5E1C16EC836}"/>
            </c:ext>
          </c:extLst>
        </c:ser>
        <c:ser>
          <c:idx val="8"/>
          <c:order val="8"/>
          <c:tx>
            <c:strRef>
              <c:f>'Proy. ventas'!$U$16:$V$16</c:f>
              <c:strCache>
                <c:ptCount val="1"/>
                <c:pt idx="0">
                  <c:v>Septiembre</c:v>
                </c:pt>
              </c:strCache>
            </c:strRef>
          </c:tx>
          <c:spPr>
            <a:solidFill>
              <a:schemeClr val="accent3">
                <a:lumMod val="60000"/>
              </a:schemeClr>
            </a:solidFill>
            <a:ln>
              <a:noFill/>
            </a:ln>
            <a:effectLst/>
          </c:spPr>
          <c:invertIfNegative val="0"/>
          <c:val>
            <c:numRef>
              <c:f>'Proy. ventas'!$V$28</c:f>
              <c:numCache>
                <c:formatCode>_-"$"\ * #,##0.00_-;\-"$"\ * #,##0.00_-;_-"$"\ * "-"??_-;_-@_-</c:formatCode>
                <c:ptCount val="1"/>
                <c:pt idx="0">
                  <c:v>506250</c:v>
                </c:pt>
              </c:numCache>
            </c:numRef>
          </c:val>
          <c:extLst>
            <c:ext xmlns:c16="http://schemas.microsoft.com/office/drawing/2014/chart" uri="{C3380CC4-5D6E-409C-BE32-E72D297353CC}">
              <c16:uniqueId val="{00000008-4DA9-477F-8514-E5E1C16EC836}"/>
            </c:ext>
          </c:extLst>
        </c:ser>
        <c:ser>
          <c:idx val="9"/>
          <c:order val="9"/>
          <c:tx>
            <c:strRef>
              <c:f>'Proy. ventas'!$W$16:$X$16</c:f>
              <c:strCache>
                <c:ptCount val="1"/>
                <c:pt idx="0">
                  <c:v>Octubre</c:v>
                </c:pt>
              </c:strCache>
            </c:strRef>
          </c:tx>
          <c:spPr>
            <a:solidFill>
              <a:schemeClr val="accent4">
                <a:lumMod val="60000"/>
              </a:schemeClr>
            </a:solidFill>
            <a:ln>
              <a:noFill/>
            </a:ln>
            <a:effectLst/>
          </c:spPr>
          <c:invertIfNegative val="0"/>
          <c:val>
            <c:numRef>
              <c:f>'Proy. ventas'!$X$28</c:f>
              <c:numCache>
                <c:formatCode>_-"$"\ * #,##0.00_-;\-"$"\ * #,##0.00_-;_-"$"\ * "-"??_-;_-@_-</c:formatCode>
                <c:ptCount val="1"/>
                <c:pt idx="0">
                  <c:v>562500</c:v>
                </c:pt>
              </c:numCache>
            </c:numRef>
          </c:val>
          <c:extLst>
            <c:ext xmlns:c16="http://schemas.microsoft.com/office/drawing/2014/chart" uri="{C3380CC4-5D6E-409C-BE32-E72D297353CC}">
              <c16:uniqueId val="{00000009-4DA9-477F-8514-E5E1C16EC836}"/>
            </c:ext>
          </c:extLst>
        </c:ser>
        <c:ser>
          <c:idx val="10"/>
          <c:order val="10"/>
          <c:tx>
            <c:strRef>
              <c:f>'Proy. ventas'!$Y$16:$Z$16</c:f>
              <c:strCache>
                <c:ptCount val="1"/>
                <c:pt idx="0">
                  <c:v>Noviembre</c:v>
                </c:pt>
              </c:strCache>
            </c:strRef>
          </c:tx>
          <c:spPr>
            <a:solidFill>
              <a:schemeClr val="accent5">
                <a:lumMod val="60000"/>
              </a:schemeClr>
            </a:solidFill>
            <a:ln>
              <a:noFill/>
            </a:ln>
            <a:effectLst/>
          </c:spPr>
          <c:invertIfNegative val="0"/>
          <c:val>
            <c:numRef>
              <c:f>'Proy. ventas'!$Z$28</c:f>
              <c:numCache>
                <c:formatCode>_-"$"\ * #,##0.00_-;\-"$"\ * #,##0.00_-;_-"$"\ * "-"??_-;_-@_-</c:formatCode>
                <c:ptCount val="1"/>
                <c:pt idx="0">
                  <c:v>618750</c:v>
                </c:pt>
              </c:numCache>
            </c:numRef>
          </c:val>
          <c:extLst>
            <c:ext xmlns:c16="http://schemas.microsoft.com/office/drawing/2014/chart" uri="{C3380CC4-5D6E-409C-BE32-E72D297353CC}">
              <c16:uniqueId val="{0000000A-4DA9-477F-8514-E5E1C16EC836}"/>
            </c:ext>
          </c:extLst>
        </c:ser>
        <c:ser>
          <c:idx val="11"/>
          <c:order val="11"/>
          <c:tx>
            <c:strRef>
              <c:f>'Proy. ventas'!$AA$16:$AB$16</c:f>
              <c:strCache>
                <c:ptCount val="1"/>
                <c:pt idx="0">
                  <c:v>Diciembre</c:v>
                </c:pt>
              </c:strCache>
            </c:strRef>
          </c:tx>
          <c:spPr>
            <a:solidFill>
              <a:schemeClr val="accent6">
                <a:lumMod val="60000"/>
              </a:schemeClr>
            </a:solidFill>
            <a:ln>
              <a:noFill/>
            </a:ln>
            <a:effectLst/>
          </c:spPr>
          <c:invertIfNegative val="0"/>
          <c:val>
            <c:numRef>
              <c:f>'Proy. ventas'!$AB$28</c:f>
              <c:numCache>
                <c:formatCode>_-"$"\ * #,##0.00_-;\-"$"\ * #,##0.00_-;_-"$"\ * "-"??_-;_-@_-</c:formatCode>
                <c:ptCount val="1"/>
                <c:pt idx="0">
                  <c:v>731250</c:v>
                </c:pt>
              </c:numCache>
            </c:numRef>
          </c:val>
          <c:extLst>
            <c:ext xmlns:c16="http://schemas.microsoft.com/office/drawing/2014/chart" uri="{C3380CC4-5D6E-409C-BE32-E72D297353CC}">
              <c16:uniqueId val="{0000000B-4DA9-477F-8514-E5E1C16EC836}"/>
            </c:ext>
          </c:extLst>
        </c:ser>
        <c:dLbls>
          <c:showLegendKey val="0"/>
          <c:showVal val="0"/>
          <c:showCatName val="0"/>
          <c:showSerName val="0"/>
          <c:showPercent val="0"/>
          <c:showBubbleSize val="0"/>
        </c:dLbls>
        <c:gapWidth val="219"/>
        <c:overlap val="-27"/>
        <c:axId val="281132207"/>
        <c:axId val="283847231"/>
      </c:barChart>
      <c:catAx>
        <c:axId val="2811322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83847231"/>
        <c:crosses val="autoZero"/>
        <c:auto val="1"/>
        <c:lblAlgn val="ctr"/>
        <c:lblOffset val="100"/>
        <c:noMultiLvlLbl val="0"/>
      </c:catAx>
      <c:valAx>
        <c:axId val="283847231"/>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 #,##0.00_-;\-&quot;$&quot;\ * #,##0.00_-;_-&quot;$&quot;\ * &quot;-&quot;??_-;_-@_-"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s-ES"/>
          </a:p>
        </c:txPr>
        <c:crossAx val="281132207"/>
        <c:crosses val="autoZero"/>
        <c:crossBetween val="between"/>
      </c:valAx>
      <c:spPr>
        <a:noFill/>
        <a:ln>
          <a:noFill/>
        </a:ln>
        <a:effectLst/>
      </c:spPr>
    </c:plotArea>
    <c:legend>
      <c:legendPos val="b"/>
      <c:overlay val="1"/>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s-AR" sz="1600" b="1"/>
              <a:t>Proyección mensual</a:t>
            </a:r>
            <a:r>
              <a:rPr lang="es-AR" sz="1600" b="1" baseline="0"/>
              <a:t> de ventas 2020</a:t>
            </a:r>
            <a:endParaRPr lang="es-AR" sz="1600" b="1"/>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0"/>
          <c:order val="0"/>
          <c:tx>
            <c:strRef>
              <c:f>'Proy. ventas'!$E$69:$F$69</c:f>
              <c:strCache>
                <c:ptCount val="1"/>
                <c:pt idx="0">
                  <c:v>Enero</c:v>
                </c:pt>
              </c:strCache>
            </c:strRef>
          </c:tx>
          <c:spPr>
            <a:solidFill>
              <a:schemeClr val="accent1"/>
            </a:solidFill>
            <a:ln>
              <a:noFill/>
            </a:ln>
            <a:effectLst/>
          </c:spPr>
          <c:invertIfNegative val="0"/>
          <c:val>
            <c:numRef>
              <c:f>'Proy. ventas'!$F$85</c:f>
              <c:numCache>
                <c:formatCode>_-"$"\ * #,##0.00_-;\-"$"\ * #,##0.00_-;_-"$"\ * "-"??_-;_-@_-</c:formatCode>
                <c:ptCount val="1"/>
                <c:pt idx="0">
                  <c:v>0</c:v>
                </c:pt>
              </c:numCache>
            </c:numRef>
          </c:val>
          <c:extLst>
            <c:ext xmlns:c16="http://schemas.microsoft.com/office/drawing/2014/chart" uri="{C3380CC4-5D6E-409C-BE32-E72D297353CC}">
              <c16:uniqueId val="{00000000-916A-4904-8F5A-19D256CB58D9}"/>
            </c:ext>
          </c:extLst>
        </c:ser>
        <c:ser>
          <c:idx val="1"/>
          <c:order val="1"/>
          <c:tx>
            <c:strRef>
              <c:f>'Proy. ventas'!$G$69:$H$69</c:f>
              <c:strCache>
                <c:ptCount val="1"/>
                <c:pt idx="0">
                  <c:v>Febrero</c:v>
                </c:pt>
              </c:strCache>
            </c:strRef>
          </c:tx>
          <c:spPr>
            <a:solidFill>
              <a:schemeClr val="accent2"/>
            </a:solidFill>
            <a:ln>
              <a:noFill/>
            </a:ln>
            <a:effectLst/>
          </c:spPr>
          <c:invertIfNegative val="0"/>
          <c:val>
            <c:numRef>
              <c:f>'Proy. ventas'!$H$85</c:f>
              <c:numCache>
                <c:formatCode>_-"$"\ * #,##0.00_-;\-"$"\ * #,##0.00_-;_-"$"\ * "-"??_-;_-@_-</c:formatCode>
                <c:ptCount val="1"/>
                <c:pt idx="0">
                  <c:v>0</c:v>
                </c:pt>
              </c:numCache>
            </c:numRef>
          </c:val>
          <c:extLst>
            <c:ext xmlns:c16="http://schemas.microsoft.com/office/drawing/2014/chart" uri="{C3380CC4-5D6E-409C-BE32-E72D297353CC}">
              <c16:uniqueId val="{00000001-916A-4904-8F5A-19D256CB58D9}"/>
            </c:ext>
          </c:extLst>
        </c:ser>
        <c:ser>
          <c:idx val="2"/>
          <c:order val="2"/>
          <c:tx>
            <c:strRef>
              <c:f>'Proy. ventas'!$I$69:$J$69</c:f>
              <c:strCache>
                <c:ptCount val="1"/>
                <c:pt idx="0">
                  <c:v>Marzo</c:v>
                </c:pt>
              </c:strCache>
            </c:strRef>
          </c:tx>
          <c:spPr>
            <a:solidFill>
              <a:schemeClr val="accent3"/>
            </a:solidFill>
            <a:ln>
              <a:noFill/>
            </a:ln>
            <a:effectLst/>
          </c:spPr>
          <c:invertIfNegative val="0"/>
          <c:val>
            <c:numRef>
              <c:f>'Proy. ventas'!$J$85</c:f>
              <c:numCache>
                <c:formatCode>_-"$"\ * #,##0.00_-;\-"$"\ * #,##0.00_-;_-"$"\ * "-"??_-;_-@_-</c:formatCode>
                <c:ptCount val="1"/>
                <c:pt idx="0">
                  <c:v>0</c:v>
                </c:pt>
              </c:numCache>
            </c:numRef>
          </c:val>
          <c:extLst>
            <c:ext xmlns:c16="http://schemas.microsoft.com/office/drawing/2014/chart" uri="{C3380CC4-5D6E-409C-BE32-E72D297353CC}">
              <c16:uniqueId val="{00000002-916A-4904-8F5A-19D256CB58D9}"/>
            </c:ext>
          </c:extLst>
        </c:ser>
        <c:ser>
          <c:idx val="3"/>
          <c:order val="3"/>
          <c:tx>
            <c:strRef>
              <c:f>'Proy. ventas'!$K$69:$L$69</c:f>
              <c:strCache>
                <c:ptCount val="1"/>
                <c:pt idx="0">
                  <c:v>Abril</c:v>
                </c:pt>
              </c:strCache>
            </c:strRef>
          </c:tx>
          <c:spPr>
            <a:solidFill>
              <a:schemeClr val="accent4"/>
            </a:solidFill>
            <a:ln>
              <a:noFill/>
            </a:ln>
            <a:effectLst/>
          </c:spPr>
          <c:invertIfNegative val="0"/>
          <c:val>
            <c:numRef>
              <c:f>'Proy. ventas'!$L$85</c:f>
              <c:numCache>
                <c:formatCode>_-"$"\ * #,##0.00_-;\-"$"\ * #,##0.00_-;_-"$"\ * "-"??_-;_-@_-</c:formatCode>
                <c:ptCount val="1"/>
                <c:pt idx="0">
                  <c:v>0</c:v>
                </c:pt>
              </c:numCache>
            </c:numRef>
          </c:val>
          <c:extLst>
            <c:ext xmlns:c16="http://schemas.microsoft.com/office/drawing/2014/chart" uri="{C3380CC4-5D6E-409C-BE32-E72D297353CC}">
              <c16:uniqueId val="{00000003-916A-4904-8F5A-19D256CB58D9}"/>
            </c:ext>
          </c:extLst>
        </c:ser>
        <c:ser>
          <c:idx val="4"/>
          <c:order val="4"/>
          <c:tx>
            <c:strRef>
              <c:f>'Proy. ventas'!$M$69:$N$69</c:f>
              <c:strCache>
                <c:ptCount val="1"/>
                <c:pt idx="0">
                  <c:v>Mayo</c:v>
                </c:pt>
              </c:strCache>
            </c:strRef>
          </c:tx>
          <c:spPr>
            <a:solidFill>
              <a:schemeClr val="accent5"/>
            </a:solidFill>
            <a:ln>
              <a:noFill/>
            </a:ln>
            <a:effectLst/>
          </c:spPr>
          <c:invertIfNegative val="0"/>
          <c:val>
            <c:numRef>
              <c:f>'Proy. ventas'!$N$85</c:f>
              <c:numCache>
                <c:formatCode>_-"$"\ * #,##0.00_-;\-"$"\ * #,##0.00_-;_-"$"\ * "-"??_-;_-@_-</c:formatCode>
                <c:ptCount val="1"/>
                <c:pt idx="0">
                  <c:v>0</c:v>
                </c:pt>
              </c:numCache>
            </c:numRef>
          </c:val>
          <c:extLst>
            <c:ext xmlns:c16="http://schemas.microsoft.com/office/drawing/2014/chart" uri="{C3380CC4-5D6E-409C-BE32-E72D297353CC}">
              <c16:uniqueId val="{00000004-916A-4904-8F5A-19D256CB58D9}"/>
            </c:ext>
          </c:extLst>
        </c:ser>
        <c:ser>
          <c:idx val="5"/>
          <c:order val="5"/>
          <c:tx>
            <c:strRef>
              <c:f>'Proy. ventas'!$O$69:$P$69</c:f>
              <c:strCache>
                <c:ptCount val="1"/>
                <c:pt idx="0">
                  <c:v>Junio</c:v>
                </c:pt>
              </c:strCache>
            </c:strRef>
          </c:tx>
          <c:spPr>
            <a:solidFill>
              <a:schemeClr val="accent6"/>
            </a:solidFill>
            <a:ln>
              <a:noFill/>
            </a:ln>
            <a:effectLst/>
          </c:spPr>
          <c:invertIfNegative val="0"/>
          <c:val>
            <c:numRef>
              <c:f>'Proy. ventas'!$P$85</c:f>
              <c:numCache>
                <c:formatCode>_-"$"\ * #,##0.00_-;\-"$"\ * #,##0.00_-;_-"$"\ * "-"??_-;_-@_-</c:formatCode>
                <c:ptCount val="1"/>
                <c:pt idx="0">
                  <c:v>0</c:v>
                </c:pt>
              </c:numCache>
            </c:numRef>
          </c:val>
          <c:extLst>
            <c:ext xmlns:c16="http://schemas.microsoft.com/office/drawing/2014/chart" uri="{C3380CC4-5D6E-409C-BE32-E72D297353CC}">
              <c16:uniqueId val="{00000005-916A-4904-8F5A-19D256CB58D9}"/>
            </c:ext>
          </c:extLst>
        </c:ser>
        <c:ser>
          <c:idx val="6"/>
          <c:order val="6"/>
          <c:tx>
            <c:strRef>
              <c:f>'Proy. ventas'!$Q$69:$R$69</c:f>
              <c:strCache>
                <c:ptCount val="1"/>
                <c:pt idx="0">
                  <c:v>Julio</c:v>
                </c:pt>
              </c:strCache>
            </c:strRef>
          </c:tx>
          <c:spPr>
            <a:solidFill>
              <a:schemeClr val="accent1">
                <a:lumMod val="60000"/>
              </a:schemeClr>
            </a:solidFill>
            <a:ln>
              <a:noFill/>
            </a:ln>
            <a:effectLst/>
          </c:spPr>
          <c:invertIfNegative val="0"/>
          <c:val>
            <c:numRef>
              <c:f>'Proy. ventas'!$R$85</c:f>
              <c:numCache>
                <c:formatCode>_-"$"\ * #,##0.00_-;\-"$"\ * #,##0.00_-;_-"$"\ * "-"??_-;_-@_-</c:formatCode>
                <c:ptCount val="1"/>
                <c:pt idx="0">
                  <c:v>0</c:v>
                </c:pt>
              </c:numCache>
            </c:numRef>
          </c:val>
          <c:extLst>
            <c:ext xmlns:c16="http://schemas.microsoft.com/office/drawing/2014/chart" uri="{C3380CC4-5D6E-409C-BE32-E72D297353CC}">
              <c16:uniqueId val="{00000006-916A-4904-8F5A-19D256CB58D9}"/>
            </c:ext>
          </c:extLst>
        </c:ser>
        <c:ser>
          <c:idx val="7"/>
          <c:order val="7"/>
          <c:tx>
            <c:strRef>
              <c:f>'Proy. ventas'!$S$69:$T$69</c:f>
              <c:strCache>
                <c:ptCount val="1"/>
                <c:pt idx="0">
                  <c:v>Agosto</c:v>
                </c:pt>
              </c:strCache>
            </c:strRef>
          </c:tx>
          <c:spPr>
            <a:solidFill>
              <a:schemeClr val="accent2">
                <a:lumMod val="60000"/>
              </a:schemeClr>
            </a:solidFill>
            <a:ln>
              <a:noFill/>
            </a:ln>
            <a:effectLst/>
          </c:spPr>
          <c:invertIfNegative val="0"/>
          <c:val>
            <c:numRef>
              <c:f>'Proy. ventas'!$T$85</c:f>
              <c:numCache>
                <c:formatCode>_-"$"\ * #,##0.00_-;\-"$"\ * #,##0.00_-;_-"$"\ * "-"??_-;_-@_-</c:formatCode>
                <c:ptCount val="1"/>
                <c:pt idx="0">
                  <c:v>0</c:v>
                </c:pt>
              </c:numCache>
            </c:numRef>
          </c:val>
          <c:extLst>
            <c:ext xmlns:c16="http://schemas.microsoft.com/office/drawing/2014/chart" uri="{C3380CC4-5D6E-409C-BE32-E72D297353CC}">
              <c16:uniqueId val="{00000007-916A-4904-8F5A-19D256CB58D9}"/>
            </c:ext>
          </c:extLst>
        </c:ser>
        <c:ser>
          <c:idx val="8"/>
          <c:order val="8"/>
          <c:tx>
            <c:strRef>
              <c:f>'Proy. ventas'!$U$69:$V$69</c:f>
              <c:strCache>
                <c:ptCount val="1"/>
                <c:pt idx="0">
                  <c:v>Septiembre</c:v>
                </c:pt>
              </c:strCache>
            </c:strRef>
          </c:tx>
          <c:spPr>
            <a:solidFill>
              <a:schemeClr val="accent3">
                <a:lumMod val="60000"/>
              </a:schemeClr>
            </a:solidFill>
            <a:ln>
              <a:noFill/>
            </a:ln>
            <a:effectLst/>
          </c:spPr>
          <c:invertIfNegative val="0"/>
          <c:val>
            <c:numRef>
              <c:f>'Proy. ventas'!$V$85</c:f>
              <c:numCache>
                <c:formatCode>_-"$"\ * #,##0.00_-;\-"$"\ * #,##0.00_-;_-"$"\ * "-"??_-;_-@_-</c:formatCode>
                <c:ptCount val="1"/>
                <c:pt idx="0">
                  <c:v>0</c:v>
                </c:pt>
              </c:numCache>
            </c:numRef>
          </c:val>
          <c:extLst>
            <c:ext xmlns:c16="http://schemas.microsoft.com/office/drawing/2014/chart" uri="{C3380CC4-5D6E-409C-BE32-E72D297353CC}">
              <c16:uniqueId val="{00000008-916A-4904-8F5A-19D256CB58D9}"/>
            </c:ext>
          </c:extLst>
        </c:ser>
        <c:ser>
          <c:idx val="9"/>
          <c:order val="9"/>
          <c:tx>
            <c:strRef>
              <c:f>'Proy. ventas'!$W$69:$X$69</c:f>
              <c:strCache>
                <c:ptCount val="1"/>
                <c:pt idx="0">
                  <c:v>Octubre</c:v>
                </c:pt>
              </c:strCache>
            </c:strRef>
          </c:tx>
          <c:spPr>
            <a:solidFill>
              <a:schemeClr val="accent4">
                <a:lumMod val="60000"/>
              </a:schemeClr>
            </a:solidFill>
            <a:ln>
              <a:noFill/>
            </a:ln>
            <a:effectLst/>
          </c:spPr>
          <c:invertIfNegative val="0"/>
          <c:val>
            <c:numRef>
              <c:f>'Proy. ventas'!$X$85</c:f>
              <c:numCache>
                <c:formatCode>_-"$"\ * #,##0.00_-;\-"$"\ * #,##0.00_-;_-"$"\ * "-"??_-;_-@_-</c:formatCode>
                <c:ptCount val="1"/>
                <c:pt idx="0">
                  <c:v>0</c:v>
                </c:pt>
              </c:numCache>
            </c:numRef>
          </c:val>
          <c:extLst>
            <c:ext xmlns:c16="http://schemas.microsoft.com/office/drawing/2014/chart" uri="{C3380CC4-5D6E-409C-BE32-E72D297353CC}">
              <c16:uniqueId val="{00000009-916A-4904-8F5A-19D256CB58D9}"/>
            </c:ext>
          </c:extLst>
        </c:ser>
        <c:ser>
          <c:idx val="10"/>
          <c:order val="10"/>
          <c:tx>
            <c:strRef>
              <c:f>'Proy. ventas'!$Y$69:$Z$69</c:f>
              <c:strCache>
                <c:ptCount val="1"/>
                <c:pt idx="0">
                  <c:v>Noviembre</c:v>
                </c:pt>
              </c:strCache>
            </c:strRef>
          </c:tx>
          <c:spPr>
            <a:solidFill>
              <a:schemeClr val="accent5">
                <a:lumMod val="60000"/>
              </a:schemeClr>
            </a:solidFill>
            <a:ln>
              <a:noFill/>
            </a:ln>
            <a:effectLst/>
          </c:spPr>
          <c:invertIfNegative val="0"/>
          <c:val>
            <c:numRef>
              <c:f>'Proy. ventas'!$Z$85</c:f>
              <c:numCache>
                <c:formatCode>_-"$"\ * #,##0.00_-;\-"$"\ * #,##0.00_-;_-"$"\ * "-"??_-;_-@_-</c:formatCode>
                <c:ptCount val="1"/>
                <c:pt idx="0">
                  <c:v>0</c:v>
                </c:pt>
              </c:numCache>
            </c:numRef>
          </c:val>
          <c:extLst>
            <c:ext xmlns:c16="http://schemas.microsoft.com/office/drawing/2014/chart" uri="{C3380CC4-5D6E-409C-BE32-E72D297353CC}">
              <c16:uniqueId val="{0000000A-916A-4904-8F5A-19D256CB58D9}"/>
            </c:ext>
          </c:extLst>
        </c:ser>
        <c:ser>
          <c:idx val="11"/>
          <c:order val="11"/>
          <c:tx>
            <c:strRef>
              <c:f>'Proy. ventas'!$AA$69:$AB$69</c:f>
              <c:strCache>
                <c:ptCount val="1"/>
                <c:pt idx="0">
                  <c:v>Diciembre</c:v>
                </c:pt>
              </c:strCache>
            </c:strRef>
          </c:tx>
          <c:spPr>
            <a:solidFill>
              <a:schemeClr val="accent6">
                <a:lumMod val="60000"/>
              </a:schemeClr>
            </a:solidFill>
            <a:ln>
              <a:noFill/>
            </a:ln>
            <a:effectLst/>
          </c:spPr>
          <c:invertIfNegative val="0"/>
          <c:val>
            <c:numRef>
              <c:f>'Proy. ventas'!$AB$85</c:f>
              <c:numCache>
                <c:formatCode>_-"$"\ * #,##0.00_-;\-"$"\ * #,##0.00_-;_-"$"\ * "-"??_-;_-@_-</c:formatCode>
                <c:ptCount val="1"/>
                <c:pt idx="0">
                  <c:v>0</c:v>
                </c:pt>
              </c:numCache>
            </c:numRef>
          </c:val>
          <c:extLst>
            <c:ext xmlns:c16="http://schemas.microsoft.com/office/drawing/2014/chart" uri="{C3380CC4-5D6E-409C-BE32-E72D297353CC}">
              <c16:uniqueId val="{0000000B-916A-4904-8F5A-19D256CB58D9}"/>
            </c:ext>
          </c:extLst>
        </c:ser>
        <c:dLbls>
          <c:showLegendKey val="0"/>
          <c:showVal val="0"/>
          <c:showCatName val="0"/>
          <c:showSerName val="0"/>
          <c:showPercent val="0"/>
          <c:showBubbleSize val="0"/>
        </c:dLbls>
        <c:gapWidth val="219"/>
        <c:overlap val="-27"/>
        <c:axId val="281125407"/>
        <c:axId val="271408143"/>
      </c:barChart>
      <c:catAx>
        <c:axId val="2811254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71408143"/>
        <c:crosses val="autoZero"/>
        <c:auto val="1"/>
        <c:lblAlgn val="ctr"/>
        <c:lblOffset val="100"/>
        <c:noMultiLvlLbl val="0"/>
      </c:catAx>
      <c:valAx>
        <c:axId val="271408143"/>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 #,##0.00_-;\-&quot;$&quot;\ * #,##0.00_-;_-&quot;$&quot;\ * &quot;-&quot;??_-;_-@_-"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s-ES"/>
          </a:p>
        </c:txPr>
        <c:crossAx val="28112540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r>
              <a:rPr lang="es-AR" sz="1800" b="1"/>
              <a:t>Proyección mensual</a:t>
            </a:r>
            <a:r>
              <a:rPr lang="es-AR" sz="1800" b="1" baseline="0"/>
              <a:t> de ventas 2021</a:t>
            </a:r>
            <a:endParaRPr lang="es-AR" sz="1800" b="1"/>
          </a:p>
        </c:rich>
      </c:tx>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0"/>
          <c:order val="0"/>
          <c:tx>
            <c:strRef>
              <c:f>'Proy. ventas'!$E$131:$F$131</c:f>
              <c:strCache>
                <c:ptCount val="1"/>
                <c:pt idx="0">
                  <c:v>Enero</c:v>
                </c:pt>
              </c:strCache>
            </c:strRef>
          </c:tx>
          <c:spPr>
            <a:solidFill>
              <a:schemeClr val="accent1"/>
            </a:solidFill>
            <a:ln>
              <a:noFill/>
            </a:ln>
            <a:effectLst/>
          </c:spPr>
          <c:invertIfNegative val="0"/>
          <c:val>
            <c:numRef>
              <c:f>'Proy. ventas'!$F$147</c:f>
              <c:numCache>
                <c:formatCode>_-"$"\ * #,##0.00_-;\-"$"\ * #,##0.00_-;_-"$"\ * "-"??_-;_-@_-</c:formatCode>
                <c:ptCount val="1"/>
                <c:pt idx="0">
                  <c:v>0</c:v>
                </c:pt>
              </c:numCache>
            </c:numRef>
          </c:val>
          <c:extLst>
            <c:ext xmlns:c16="http://schemas.microsoft.com/office/drawing/2014/chart" uri="{C3380CC4-5D6E-409C-BE32-E72D297353CC}">
              <c16:uniqueId val="{00000000-9191-4473-B9A1-489F425F65C4}"/>
            </c:ext>
          </c:extLst>
        </c:ser>
        <c:ser>
          <c:idx val="1"/>
          <c:order val="1"/>
          <c:tx>
            <c:strRef>
              <c:f>'Proy. ventas'!$G$131:$H$131</c:f>
              <c:strCache>
                <c:ptCount val="1"/>
                <c:pt idx="0">
                  <c:v>Febrero</c:v>
                </c:pt>
              </c:strCache>
            </c:strRef>
          </c:tx>
          <c:spPr>
            <a:solidFill>
              <a:schemeClr val="accent2"/>
            </a:solidFill>
            <a:ln>
              <a:noFill/>
            </a:ln>
            <a:effectLst/>
          </c:spPr>
          <c:invertIfNegative val="0"/>
          <c:val>
            <c:numRef>
              <c:f>'Proy. ventas'!$H$147</c:f>
              <c:numCache>
                <c:formatCode>_-"$"\ * #,##0.00_-;\-"$"\ * #,##0.00_-;_-"$"\ * "-"??_-;_-@_-</c:formatCode>
                <c:ptCount val="1"/>
                <c:pt idx="0">
                  <c:v>0</c:v>
                </c:pt>
              </c:numCache>
            </c:numRef>
          </c:val>
          <c:extLst>
            <c:ext xmlns:c16="http://schemas.microsoft.com/office/drawing/2014/chart" uri="{C3380CC4-5D6E-409C-BE32-E72D297353CC}">
              <c16:uniqueId val="{00000001-9191-4473-B9A1-489F425F65C4}"/>
            </c:ext>
          </c:extLst>
        </c:ser>
        <c:ser>
          <c:idx val="2"/>
          <c:order val="2"/>
          <c:tx>
            <c:strRef>
              <c:f>'Proy. ventas'!$I$131:$J$131</c:f>
              <c:strCache>
                <c:ptCount val="1"/>
                <c:pt idx="0">
                  <c:v>Marzo</c:v>
                </c:pt>
              </c:strCache>
            </c:strRef>
          </c:tx>
          <c:spPr>
            <a:solidFill>
              <a:schemeClr val="accent3"/>
            </a:solidFill>
            <a:ln>
              <a:noFill/>
            </a:ln>
            <a:effectLst/>
          </c:spPr>
          <c:invertIfNegative val="0"/>
          <c:val>
            <c:numRef>
              <c:f>'Proy. ventas'!$J$147</c:f>
              <c:numCache>
                <c:formatCode>_-"$"\ * #,##0.00_-;\-"$"\ * #,##0.00_-;_-"$"\ * "-"??_-;_-@_-</c:formatCode>
                <c:ptCount val="1"/>
                <c:pt idx="0">
                  <c:v>0</c:v>
                </c:pt>
              </c:numCache>
            </c:numRef>
          </c:val>
          <c:extLst>
            <c:ext xmlns:c16="http://schemas.microsoft.com/office/drawing/2014/chart" uri="{C3380CC4-5D6E-409C-BE32-E72D297353CC}">
              <c16:uniqueId val="{00000002-9191-4473-B9A1-489F425F65C4}"/>
            </c:ext>
          </c:extLst>
        </c:ser>
        <c:ser>
          <c:idx val="3"/>
          <c:order val="3"/>
          <c:tx>
            <c:strRef>
              <c:f>'Proy. ventas'!$K$131:$L$131</c:f>
              <c:strCache>
                <c:ptCount val="1"/>
                <c:pt idx="0">
                  <c:v>Abril</c:v>
                </c:pt>
              </c:strCache>
            </c:strRef>
          </c:tx>
          <c:spPr>
            <a:solidFill>
              <a:schemeClr val="accent4"/>
            </a:solidFill>
            <a:ln>
              <a:noFill/>
            </a:ln>
            <a:effectLst/>
          </c:spPr>
          <c:invertIfNegative val="0"/>
          <c:val>
            <c:numRef>
              <c:f>'Proy. ventas'!$L$147</c:f>
              <c:numCache>
                <c:formatCode>_-"$"\ * #,##0.00_-;\-"$"\ * #,##0.00_-;_-"$"\ * "-"??_-;_-@_-</c:formatCode>
                <c:ptCount val="1"/>
                <c:pt idx="0">
                  <c:v>0</c:v>
                </c:pt>
              </c:numCache>
            </c:numRef>
          </c:val>
          <c:extLst>
            <c:ext xmlns:c16="http://schemas.microsoft.com/office/drawing/2014/chart" uri="{C3380CC4-5D6E-409C-BE32-E72D297353CC}">
              <c16:uniqueId val="{00000003-9191-4473-B9A1-489F425F65C4}"/>
            </c:ext>
          </c:extLst>
        </c:ser>
        <c:ser>
          <c:idx val="4"/>
          <c:order val="4"/>
          <c:tx>
            <c:strRef>
              <c:f>'Proy. ventas'!$M$131:$N$131</c:f>
              <c:strCache>
                <c:ptCount val="1"/>
                <c:pt idx="0">
                  <c:v>Mayo</c:v>
                </c:pt>
              </c:strCache>
            </c:strRef>
          </c:tx>
          <c:spPr>
            <a:solidFill>
              <a:schemeClr val="accent5"/>
            </a:solidFill>
            <a:ln>
              <a:noFill/>
            </a:ln>
            <a:effectLst/>
          </c:spPr>
          <c:invertIfNegative val="0"/>
          <c:val>
            <c:numRef>
              <c:f>'Proy. ventas'!$N$147</c:f>
              <c:numCache>
                <c:formatCode>_-"$"\ * #,##0.00_-;\-"$"\ * #,##0.00_-;_-"$"\ * "-"??_-;_-@_-</c:formatCode>
                <c:ptCount val="1"/>
                <c:pt idx="0">
                  <c:v>0</c:v>
                </c:pt>
              </c:numCache>
            </c:numRef>
          </c:val>
          <c:extLst>
            <c:ext xmlns:c16="http://schemas.microsoft.com/office/drawing/2014/chart" uri="{C3380CC4-5D6E-409C-BE32-E72D297353CC}">
              <c16:uniqueId val="{00000004-9191-4473-B9A1-489F425F65C4}"/>
            </c:ext>
          </c:extLst>
        </c:ser>
        <c:ser>
          <c:idx val="5"/>
          <c:order val="5"/>
          <c:tx>
            <c:strRef>
              <c:f>'Proy. ventas'!$O$131:$P$131</c:f>
              <c:strCache>
                <c:ptCount val="1"/>
                <c:pt idx="0">
                  <c:v>Junio</c:v>
                </c:pt>
              </c:strCache>
            </c:strRef>
          </c:tx>
          <c:spPr>
            <a:solidFill>
              <a:schemeClr val="accent6"/>
            </a:solidFill>
            <a:ln>
              <a:noFill/>
            </a:ln>
            <a:effectLst/>
          </c:spPr>
          <c:invertIfNegative val="0"/>
          <c:val>
            <c:numRef>
              <c:f>'Proy. ventas'!$P$147</c:f>
              <c:numCache>
                <c:formatCode>_-"$"\ * #,##0.00_-;\-"$"\ * #,##0.00_-;_-"$"\ * "-"??_-;_-@_-</c:formatCode>
                <c:ptCount val="1"/>
                <c:pt idx="0">
                  <c:v>0</c:v>
                </c:pt>
              </c:numCache>
            </c:numRef>
          </c:val>
          <c:extLst>
            <c:ext xmlns:c16="http://schemas.microsoft.com/office/drawing/2014/chart" uri="{C3380CC4-5D6E-409C-BE32-E72D297353CC}">
              <c16:uniqueId val="{00000005-9191-4473-B9A1-489F425F65C4}"/>
            </c:ext>
          </c:extLst>
        </c:ser>
        <c:ser>
          <c:idx val="6"/>
          <c:order val="6"/>
          <c:tx>
            <c:strRef>
              <c:f>'Proy. ventas'!$Q$131:$R$131</c:f>
              <c:strCache>
                <c:ptCount val="1"/>
                <c:pt idx="0">
                  <c:v>Julio</c:v>
                </c:pt>
              </c:strCache>
            </c:strRef>
          </c:tx>
          <c:spPr>
            <a:solidFill>
              <a:schemeClr val="accent1">
                <a:lumMod val="60000"/>
              </a:schemeClr>
            </a:solidFill>
            <a:ln>
              <a:noFill/>
            </a:ln>
            <a:effectLst/>
          </c:spPr>
          <c:invertIfNegative val="0"/>
          <c:val>
            <c:numRef>
              <c:f>'Proy. ventas'!$R$147</c:f>
              <c:numCache>
                <c:formatCode>_-"$"\ * #,##0.00_-;\-"$"\ * #,##0.00_-;_-"$"\ * "-"??_-;_-@_-</c:formatCode>
                <c:ptCount val="1"/>
                <c:pt idx="0">
                  <c:v>0</c:v>
                </c:pt>
              </c:numCache>
            </c:numRef>
          </c:val>
          <c:extLst>
            <c:ext xmlns:c16="http://schemas.microsoft.com/office/drawing/2014/chart" uri="{C3380CC4-5D6E-409C-BE32-E72D297353CC}">
              <c16:uniqueId val="{00000006-9191-4473-B9A1-489F425F65C4}"/>
            </c:ext>
          </c:extLst>
        </c:ser>
        <c:ser>
          <c:idx val="7"/>
          <c:order val="7"/>
          <c:tx>
            <c:strRef>
              <c:f>'Proy. ventas'!$S$131:$T$131</c:f>
              <c:strCache>
                <c:ptCount val="1"/>
                <c:pt idx="0">
                  <c:v>Agosto</c:v>
                </c:pt>
              </c:strCache>
            </c:strRef>
          </c:tx>
          <c:spPr>
            <a:solidFill>
              <a:schemeClr val="accent2">
                <a:lumMod val="60000"/>
              </a:schemeClr>
            </a:solidFill>
            <a:ln>
              <a:noFill/>
            </a:ln>
            <a:effectLst/>
          </c:spPr>
          <c:invertIfNegative val="0"/>
          <c:val>
            <c:numRef>
              <c:f>'Proy. ventas'!$T$147</c:f>
              <c:numCache>
                <c:formatCode>_-"$"\ * #,##0.00_-;\-"$"\ * #,##0.00_-;_-"$"\ * "-"??_-;_-@_-</c:formatCode>
                <c:ptCount val="1"/>
                <c:pt idx="0">
                  <c:v>0</c:v>
                </c:pt>
              </c:numCache>
            </c:numRef>
          </c:val>
          <c:extLst>
            <c:ext xmlns:c16="http://schemas.microsoft.com/office/drawing/2014/chart" uri="{C3380CC4-5D6E-409C-BE32-E72D297353CC}">
              <c16:uniqueId val="{00000007-9191-4473-B9A1-489F425F65C4}"/>
            </c:ext>
          </c:extLst>
        </c:ser>
        <c:ser>
          <c:idx val="8"/>
          <c:order val="8"/>
          <c:tx>
            <c:strRef>
              <c:f>'Proy. ventas'!$U$131:$V$131</c:f>
              <c:strCache>
                <c:ptCount val="1"/>
                <c:pt idx="0">
                  <c:v>Septiembre</c:v>
                </c:pt>
              </c:strCache>
            </c:strRef>
          </c:tx>
          <c:spPr>
            <a:solidFill>
              <a:schemeClr val="accent3">
                <a:lumMod val="60000"/>
              </a:schemeClr>
            </a:solidFill>
            <a:ln>
              <a:noFill/>
            </a:ln>
            <a:effectLst/>
          </c:spPr>
          <c:invertIfNegative val="0"/>
          <c:val>
            <c:numRef>
              <c:f>'Proy. ventas'!$V$147</c:f>
              <c:numCache>
                <c:formatCode>_-"$"\ * #,##0.00_-;\-"$"\ * #,##0.00_-;_-"$"\ * "-"??_-;_-@_-</c:formatCode>
                <c:ptCount val="1"/>
                <c:pt idx="0">
                  <c:v>0</c:v>
                </c:pt>
              </c:numCache>
            </c:numRef>
          </c:val>
          <c:extLst>
            <c:ext xmlns:c16="http://schemas.microsoft.com/office/drawing/2014/chart" uri="{C3380CC4-5D6E-409C-BE32-E72D297353CC}">
              <c16:uniqueId val="{00000008-9191-4473-B9A1-489F425F65C4}"/>
            </c:ext>
          </c:extLst>
        </c:ser>
        <c:ser>
          <c:idx val="9"/>
          <c:order val="9"/>
          <c:tx>
            <c:strRef>
              <c:f>'Proy. ventas'!$W$131:$X$131</c:f>
              <c:strCache>
                <c:ptCount val="1"/>
                <c:pt idx="0">
                  <c:v>Octubre</c:v>
                </c:pt>
              </c:strCache>
            </c:strRef>
          </c:tx>
          <c:spPr>
            <a:solidFill>
              <a:schemeClr val="accent4">
                <a:lumMod val="60000"/>
              </a:schemeClr>
            </a:solidFill>
            <a:ln>
              <a:noFill/>
            </a:ln>
            <a:effectLst/>
          </c:spPr>
          <c:invertIfNegative val="0"/>
          <c:val>
            <c:numRef>
              <c:f>'Proy. ventas'!$X$147</c:f>
              <c:numCache>
                <c:formatCode>_-"$"\ * #,##0.00_-;\-"$"\ * #,##0.00_-;_-"$"\ * "-"??_-;_-@_-</c:formatCode>
                <c:ptCount val="1"/>
                <c:pt idx="0">
                  <c:v>0</c:v>
                </c:pt>
              </c:numCache>
            </c:numRef>
          </c:val>
          <c:extLst>
            <c:ext xmlns:c16="http://schemas.microsoft.com/office/drawing/2014/chart" uri="{C3380CC4-5D6E-409C-BE32-E72D297353CC}">
              <c16:uniqueId val="{00000009-9191-4473-B9A1-489F425F65C4}"/>
            </c:ext>
          </c:extLst>
        </c:ser>
        <c:ser>
          <c:idx val="10"/>
          <c:order val="10"/>
          <c:tx>
            <c:strRef>
              <c:f>'Proy. ventas'!$Y$131:$Z$131</c:f>
              <c:strCache>
                <c:ptCount val="1"/>
                <c:pt idx="0">
                  <c:v>Noviembre</c:v>
                </c:pt>
              </c:strCache>
            </c:strRef>
          </c:tx>
          <c:spPr>
            <a:solidFill>
              <a:schemeClr val="accent5">
                <a:lumMod val="60000"/>
              </a:schemeClr>
            </a:solidFill>
            <a:ln>
              <a:noFill/>
            </a:ln>
            <a:effectLst/>
          </c:spPr>
          <c:invertIfNegative val="0"/>
          <c:val>
            <c:numRef>
              <c:f>'Proy. ventas'!$Z$147</c:f>
              <c:numCache>
                <c:formatCode>_-"$"\ * #,##0.00_-;\-"$"\ * #,##0.00_-;_-"$"\ * "-"??_-;_-@_-</c:formatCode>
                <c:ptCount val="1"/>
                <c:pt idx="0">
                  <c:v>0</c:v>
                </c:pt>
              </c:numCache>
            </c:numRef>
          </c:val>
          <c:extLst>
            <c:ext xmlns:c16="http://schemas.microsoft.com/office/drawing/2014/chart" uri="{C3380CC4-5D6E-409C-BE32-E72D297353CC}">
              <c16:uniqueId val="{0000000A-9191-4473-B9A1-489F425F65C4}"/>
            </c:ext>
          </c:extLst>
        </c:ser>
        <c:ser>
          <c:idx val="11"/>
          <c:order val="11"/>
          <c:tx>
            <c:strRef>
              <c:f>'Proy. ventas'!$AA$131:$AB$131</c:f>
              <c:strCache>
                <c:ptCount val="1"/>
                <c:pt idx="0">
                  <c:v>Diciembre</c:v>
                </c:pt>
              </c:strCache>
            </c:strRef>
          </c:tx>
          <c:spPr>
            <a:solidFill>
              <a:schemeClr val="accent6">
                <a:lumMod val="60000"/>
              </a:schemeClr>
            </a:solidFill>
            <a:ln>
              <a:noFill/>
            </a:ln>
            <a:effectLst/>
          </c:spPr>
          <c:invertIfNegative val="0"/>
          <c:val>
            <c:numRef>
              <c:f>'Proy. ventas'!$AB$147</c:f>
              <c:numCache>
                <c:formatCode>_-"$"\ * #,##0.00_-;\-"$"\ * #,##0.00_-;_-"$"\ * "-"??_-;_-@_-</c:formatCode>
                <c:ptCount val="1"/>
                <c:pt idx="0">
                  <c:v>0</c:v>
                </c:pt>
              </c:numCache>
            </c:numRef>
          </c:val>
          <c:extLst>
            <c:ext xmlns:c16="http://schemas.microsoft.com/office/drawing/2014/chart" uri="{C3380CC4-5D6E-409C-BE32-E72D297353CC}">
              <c16:uniqueId val="{0000000B-9191-4473-B9A1-489F425F65C4}"/>
            </c:ext>
          </c:extLst>
        </c:ser>
        <c:dLbls>
          <c:showLegendKey val="0"/>
          <c:showVal val="0"/>
          <c:showCatName val="0"/>
          <c:showSerName val="0"/>
          <c:showPercent val="0"/>
          <c:showBubbleSize val="0"/>
        </c:dLbls>
        <c:gapWidth val="219"/>
        <c:overlap val="-27"/>
        <c:axId val="282684127"/>
        <c:axId val="271410223"/>
      </c:barChart>
      <c:catAx>
        <c:axId val="2826841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71410223"/>
        <c:crosses val="autoZero"/>
        <c:auto val="1"/>
        <c:lblAlgn val="ctr"/>
        <c:lblOffset val="100"/>
        <c:noMultiLvlLbl val="0"/>
      </c:catAx>
      <c:valAx>
        <c:axId val="271410223"/>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 #,##0.00_-;\-&quot;$&quot;\ * #,##0.00_-;_-&quot;$&quot;\ * &quot;-&quot;??_-;_-@_-"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s-ES"/>
          </a:p>
        </c:txPr>
        <c:crossAx val="28268412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Cantidad de ventas en 2019 de productos</a:t>
            </a:r>
            <a:r>
              <a:rPr lang="en-US" baseline="0"/>
              <a:t> fabricados en nuestra empresa</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s-ES"/>
        </a:p>
      </c:txPr>
    </c:title>
    <c:autoTitleDeleted val="0"/>
    <c:plotArea>
      <c:layout/>
      <c:lineChart>
        <c:grouping val="standard"/>
        <c:varyColors val="0"/>
        <c:ser>
          <c:idx val="0"/>
          <c:order val="0"/>
          <c:tx>
            <c:strRef>
              <c:f>'Proy. ventas'!$A$19</c:f>
              <c:strCache>
                <c:ptCount val="1"/>
                <c:pt idx="0">
                  <c:v> InitialCare </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('Proy. ventas'!$E$19,'Proy. ventas'!$G$19,'Proy. ventas'!$I$19,'Proy. ventas'!$K$19,'Proy. ventas'!$M$19,'Proy. ventas'!$O$19,'Proy. ventas'!$Q$19,'Proy. ventas'!$S$19,'Proy. ventas'!$U$19,'Proy. ventas'!$W$19,'Proy. ventas'!$Y$19,'Proy. ventas'!$AA$19)</c:f>
              <c:numCache>
                <c:formatCode>_-* #,##0\ _€_-;\-* #,##0\ _€_-;_-* "-"??\ _€_-;_-@_-</c:formatCode>
                <c:ptCount val="12"/>
                <c:pt idx="0">
                  <c:v>72</c:v>
                </c:pt>
                <c:pt idx="1">
                  <c:v>90</c:v>
                </c:pt>
                <c:pt idx="2">
                  <c:v>72</c:v>
                </c:pt>
                <c:pt idx="3">
                  <c:v>63.000000000000007</c:v>
                </c:pt>
                <c:pt idx="4">
                  <c:v>54</c:v>
                </c:pt>
                <c:pt idx="5">
                  <c:v>36</c:v>
                </c:pt>
                <c:pt idx="6">
                  <c:v>81</c:v>
                </c:pt>
                <c:pt idx="7">
                  <c:v>45</c:v>
                </c:pt>
                <c:pt idx="8">
                  <c:v>81</c:v>
                </c:pt>
                <c:pt idx="9">
                  <c:v>90</c:v>
                </c:pt>
                <c:pt idx="10">
                  <c:v>99</c:v>
                </c:pt>
                <c:pt idx="11">
                  <c:v>117</c:v>
                </c:pt>
              </c:numCache>
            </c:numRef>
          </c:val>
          <c:smooth val="0"/>
          <c:extLst>
            <c:ext xmlns:c16="http://schemas.microsoft.com/office/drawing/2014/chart" uri="{C3380CC4-5D6E-409C-BE32-E72D297353CC}">
              <c16:uniqueId val="{00000000-396A-4246-A5F4-AB115A34A6FA}"/>
            </c:ext>
          </c:extLst>
        </c:ser>
        <c:ser>
          <c:idx val="1"/>
          <c:order val="1"/>
          <c:tx>
            <c:strRef>
              <c:f>'Proy. ventas'!$A$20</c:f>
              <c:strCache>
                <c:ptCount val="1"/>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('Proy. ventas'!$E$20,'Proy. ventas'!$G$20,'Proy. ventas'!$I$20,'Proy. ventas'!$K$20,'Proy. ventas'!$M$20,'Proy. ventas'!$O$20,'Proy. ventas'!$Q$20,'Proy. ventas'!$S$20,'Proy. ventas'!$U$20,'Proy. ventas'!$W$20,'Proy. ventas'!$Y$20,'Proy. ventas'!$AA$20)</c:f>
              <c:numCache>
                <c:formatCode>_-* #,##0\ _€_-;\-* #,##0\ _€_-;_-* "-"??\ _€_-;_-@_-</c:formatCode>
                <c:ptCount val="12"/>
              </c:numCache>
            </c:numRef>
          </c:val>
          <c:smooth val="0"/>
          <c:extLst>
            <c:ext xmlns:c16="http://schemas.microsoft.com/office/drawing/2014/chart" uri="{C3380CC4-5D6E-409C-BE32-E72D297353CC}">
              <c16:uniqueId val="{00000001-396A-4246-A5F4-AB115A34A6FA}"/>
            </c:ext>
          </c:extLst>
        </c:ser>
        <c:ser>
          <c:idx val="2"/>
          <c:order val="2"/>
          <c:tx>
            <c:strRef>
              <c:f>'Proy. ventas'!$A$21</c:f>
              <c:strCache>
                <c:ptCount val="1"/>
              </c:strCache>
            </c:strRef>
          </c:tx>
          <c:spPr>
            <a:ln w="31750" cap="rnd">
              <a:solidFill>
                <a:schemeClr val="accent3"/>
              </a:solidFill>
              <a:round/>
            </a:ln>
            <a:effectLst/>
          </c:spPr>
          <c:marker>
            <c:symbol val="circle"/>
            <c:size val="17"/>
            <c:spPr>
              <a:solidFill>
                <a:schemeClr val="accent3"/>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('Proy. ventas'!$E$21,'Proy. ventas'!$G$21,'Proy. ventas'!$I$21,'Proy. ventas'!$K$21,'Proy. ventas'!$M$21,'Proy. ventas'!$O$21,'Proy. ventas'!$Q$21,'Proy. ventas'!$S$21,'Proy. ventas'!$U$21,'Proy. ventas'!$W$21,'Proy. ventas'!$Y$21,'Proy. ventas'!$AA$21)</c:f>
              <c:numCache>
                <c:formatCode>_-* #,##0\ _€_-;\-* #,##0\ _€_-;_-* "-"??\ _€_-;_-@_-</c:formatCode>
                <c:ptCount val="12"/>
              </c:numCache>
            </c:numRef>
          </c:val>
          <c:smooth val="0"/>
          <c:extLst>
            <c:ext xmlns:c16="http://schemas.microsoft.com/office/drawing/2014/chart" uri="{C3380CC4-5D6E-409C-BE32-E72D297353CC}">
              <c16:uniqueId val="{00000002-396A-4246-A5F4-AB115A34A6FA}"/>
            </c:ext>
          </c:extLst>
        </c:ser>
        <c:dLbls>
          <c:dLblPos val="ctr"/>
          <c:showLegendKey val="0"/>
          <c:showVal val="1"/>
          <c:showCatName val="0"/>
          <c:showSerName val="0"/>
          <c:showPercent val="0"/>
          <c:showBubbleSize val="0"/>
        </c:dLbls>
        <c:marker val="1"/>
        <c:smooth val="0"/>
        <c:axId val="262473679"/>
        <c:axId val="258788111"/>
      </c:lineChart>
      <c:catAx>
        <c:axId val="262473679"/>
        <c:scaling>
          <c:orientation val="minMax"/>
        </c:scaling>
        <c:delete val="0"/>
        <c:axPos val="b"/>
        <c:majorTickMark val="out"/>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2400" b="0" i="0" u="none" strike="noStrike" kern="1200" cap="all" baseline="0">
                <a:solidFill>
                  <a:schemeClr val="dk1">
                    <a:lumMod val="75000"/>
                    <a:lumOff val="25000"/>
                  </a:schemeClr>
                </a:solidFill>
                <a:latin typeface="+mn-lt"/>
                <a:ea typeface="+mn-ea"/>
                <a:cs typeface="+mn-cs"/>
              </a:defRPr>
            </a:pPr>
            <a:endParaRPr lang="es-ES"/>
          </a:p>
        </c:txPr>
        <c:crossAx val="258788111"/>
        <c:crosses val="autoZero"/>
        <c:auto val="1"/>
        <c:lblAlgn val="ctr"/>
        <c:lblOffset val="100"/>
        <c:noMultiLvlLbl val="0"/>
      </c:catAx>
      <c:valAx>
        <c:axId val="258788111"/>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_-* #,##0\ _€_-;\-* #,##0\ _€_-;_-* &quot;-&quot;??\ _€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s-ES"/>
          </a:p>
        </c:txPr>
        <c:crossAx val="262473679"/>
        <c:crosses val="autoZero"/>
        <c:crossBetween val="between"/>
      </c:valAx>
      <c:spPr>
        <a:noFill/>
        <a:ln>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2000" b="0" i="0" u="none" strike="noStrike" kern="1200" baseline="0">
              <a:solidFill>
                <a:schemeClr val="dk1">
                  <a:lumMod val="75000"/>
                  <a:lumOff val="2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s-E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s-ES"/>
        </a:p>
      </c:txPr>
    </c:title>
    <c:autoTitleDeleted val="0"/>
    <c:plotArea>
      <c:layout/>
      <c:lineChart>
        <c:grouping val="standard"/>
        <c:varyColors val="0"/>
        <c:ser>
          <c:idx val="0"/>
          <c:order val="0"/>
          <c:tx>
            <c:strRef>
              <c:f>'Proy. ventas'!$A$72</c:f>
              <c:strCache>
                <c:ptCount val="1"/>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('Proy. ventas'!$E$72,'Proy. ventas'!$G$72,'Proy. ventas'!$I$72,'Proy. ventas'!$K$72,'Proy. ventas'!$M$72,'Proy. ventas'!$O$72,'Proy. ventas'!$Q$72,'Proy. ventas'!$S$72,'Proy. ventas'!$U$72,'Proy. ventas'!$W$72,'Proy. ventas'!$Y$72,'Proy. ventas'!$AA$72)</c:f>
              <c:numCache>
                <c:formatCode>_-* #,##0\ _€_-;\-* #,##0\ _€_-;_-* "-"??\ _€_-;_-@_-</c:formatCode>
                <c:ptCount val="12"/>
                <c:pt idx="0">
                  <c:v>132</c:v>
                </c:pt>
                <c:pt idx="1">
                  <c:v>120</c:v>
                </c:pt>
                <c:pt idx="2">
                  <c:v>84.000000000000014</c:v>
                </c:pt>
                <c:pt idx="3">
                  <c:v>72</c:v>
                </c:pt>
                <c:pt idx="4">
                  <c:v>72</c:v>
                </c:pt>
                <c:pt idx="5">
                  <c:v>48</c:v>
                </c:pt>
                <c:pt idx="6">
                  <c:v>108</c:v>
                </c:pt>
                <c:pt idx="7">
                  <c:v>60</c:v>
                </c:pt>
                <c:pt idx="8">
                  <c:v>108</c:v>
                </c:pt>
                <c:pt idx="9">
                  <c:v>120</c:v>
                </c:pt>
                <c:pt idx="10">
                  <c:v>132</c:v>
                </c:pt>
                <c:pt idx="11">
                  <c:v>144</c:v>
                </c:pt>
              </c:numCache>
            </c:numRef>
          </c:val>
          <c:smooth val="0"/>
          <c:extLst>
            <c:ext xmlns:c16="http://schemas.microsoft.com/office/drawing/2014/chart" uri="{C3380CC4-5D6E-409C-BE32-E72D297353CC}">
              <c16:uniqueId val="{00000000-4FB4-4DAA-AE13-4A7CBDA485EA}"/>
            </c:ext>
          </c:extLst>
        </c:ser>
        <c:ser>
          <c:idx val="1"/>
          <c:order val="1"/>
          <c:tx>
            <c:strRef>
              <c:f>'Proy. ventas'!$A$73</c:f>
              <c:strCache>
                <c:ptCount val="1"/>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('Proy. ventas'!$E$73,'Proy. ventas'!$G$73,'Proy. ventas'!$I$73,'Proy. ventas'!$K$73,'Proy. ventas'!$M$73,'Proy. ventas'!$O$73,'Proy. ventas'!$Q$73,'Proy. ventas'!$S$73,'Proy. ventas'!$U$73,'Proy. ventas'!$W$73,'Proy. ventas'!$Y$73,'Proy. ventas'!$AA$73)</c:f>
              <c:numCache>
                <c:formatCode>_-* #,##0\ _€_-;\-* #,##0\ _€_-;_-* "-"??\ _€_-;_-@_-</c:formatCode>
                <c:ptCount val="12"/>
                <c:pt idx="0">
                  <c:v>92.95</c:v>
                </c:pt>
                <c:pt idx="1">
                  <c:v>84.5</c:v>
                </c:pt>
                <c:pt idx="2">
                  <c:v>59.150000000000006</c:v>
                </c:pt>
                <c:pt idx="3">
                  <c:v>50.699999999999996</c:v>
                </c:pt>
                <c:pt idx="4">
                  <c:v>50.699999999999996</c:v>
                </c:pt>
                <c:pt idx="5">
                  <c:v>33.799999999999997</c:v>
                </c:pt>
                <c:pt idx="6">
                  <c:v>76.05</c:v>
                </c:pt>
                <c:pt idx="7">
                  <c:v>42.25</c:v>
                </c:pt>
                <c:pt idx="8">
                  <c:v>76.05</c:v>
                </c:pt>
                <c:pt idx="9">
                  <c:v>84.5</c:v>
                </c:pt>
                <c:pt idx="10">
                  <c:v>92.95</c:v>
                </c:pt>
                <c:pt idx="11">
                  <c:v>101.39999999999999</c:v>
                </c:pt>
              </c:numCache>
            </c:numRef>
          </c:val>
          <c:smooth val="0"/>
          <c:extLst>
            <c:ext xmlns:c16="http://schemas.microsoft.com/office/drawing/2014/chart" uri="{C3380CC4-5D6E-409C-BE32-E72D297353CC}">
              <c16:uniqueId val="{00000001-4FB4-4DAA-AE13-4A7CBDA485EA}"/>
            </c:ext>
          </c:extLst>
        </c:ser>
        <c:ser>
          <c:idx val="2"/>
          <c:order val="2"/>
          <c:tx>
            <c:strRef>
              <c:f>'Proy. ventas'!$A$74</c:f>
              <c:strCache>
                <c:ptCount val="1"/>
              </c:strCache>
            </c:strRef>
          </c:tx>
          <c:spPr>
            <a:ln w="31750" cap="rnd">
              <a:solidFill>
                <a:schemeClr val="accent3"/>
              </a:solidFill>
              <a:round/>
            </a:ln>
            <a:effectLst/>
          </c:spPr>
          <c:marker>
            <c:symbol val="circle"/>
            <c:size val="17"/>
            <c:spPr>
              <a:solidFill>
                <a:schemeClr val="accent3"/>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('Proy. ventas'!$E$74,'Proy. ventas'!$G$74,'Proy. ventas'!$I$74,'Proy. ventas'!$K$74,'Proy. ventas'!$M$74,'Proy. ventas'!$O$74,'Proy. ventas'!$Q$74,'Proy. ventas'!$S$74,'Proy. ventas'!$U$74,'Proy. ventas'!$W$74,'Proy. ventas'!$Y$74,'Proy. ventas'!$AA$74)</c:f>
              <c:numCache>
                <c:formatCode>_-* #,##0\ _€_-;\-* #,##0\ _€_-;_-* "-"??\ _€_-;_-@_-</c:formatCode>
                <c:ptCount val="12"/>
                <c:pt idx="0">
                  <c:v>26.95</c:v>
                </c:pt>
                <c:pt idx="1">
                  <c:v>24.5</c:v>
                </c:pt>
                <c:pt idx="2">
                  <c:v>17.150000000000002</c:v>
                </c:pt>
                <c:pt idx="3">
                  <c:v>14.7</c:v>
                </c:pt>
                <c:pt idx="4">
                  <c:v>14.7</c:v>
                </c:pt>
                <c:pt idx="5">
                  <c:v>9.8000000000000007</c:v>
                </c:pt>
                <c:pt idx="6">
                  <c:v>22.05</c:v>
                </c:pt>
                <c:pt idx="7">
                  <c:v>12.25</c:v>
                </c:pt>
                <c:pt idx="8">
                  <c:v>22.05</c:v>
                </c:pt>
                <c:pt idx="9">
                  <c:v>24.5</c:v>
                </c:pt>
                <c:pt idx="10">
                  <c:v>26.95</c:v>
                </c:pt>
                <c:pt idx="11">
                  <c:v>29.4</c:v>
                </c:pt>
              </c:numCache>
            </c:numRef>
          </c:val>
          <c:smooth val="0"/>
          <c:extLst>
            <c:ext xmlns:c16="http://schemas.microsoft.com/office/drawing/2014/chart" uri="{C3380CC4-5D6E-409C-BE32-E72D297353CC}">
              <c16:uniqueId val="{00000002-4FB4-4DAA-AE13-4A7CBDA485EA}"/>
            </c:ext>
          </c:extLst>
        </c:ser>
        <c:dLbls>
          <c:dLblPos val="ctr"/>
          <c:showLegendKey val="0"/>
          <c:showVal val="1"/>
          <c:showCatName val="0"/>
          <c:showSerName val="0"/>
          <c:showPercent val="0"/>
          <c:showBubbleSize val="0"/>
        </c:dLbls>
        <c:marker val="1"/>
        <c:smooth val="0"/>
        <c:axId val="387721455"/>
        <c:axId val="253992239"/>
      </c:lineChart>
      <c:catAx>
        <c:axId val="387721455"/>
        <c:scaling>
          <c:orientation val="minMax"/>
        </c:scaling>
        <c:delete val="0"/>
        <c:axPos val="b"/>
        <c:majorTickMark val="out"/>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s-ES"/>
          </a:p>
        </c:txPr>
        <c:crossAx val="253992239"/>
        <c:crosses val="autoZero"/>
        <c:auto val="1"/>
        <c:lblAlgn val="ctr"/>
        <c:lblOffset val="100"/>
        <c:noMultiLvlLbl val="0"/>
      </c:catAx>
      <c:valAx>
        <c:axId val="253992239"/>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_-* #,##0\ _€_-;\-* #,##0\ _€_-;_-* &quot;-&quot;??\ _€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s-ES"/>
          </a:p>
        </c:txPr>
        <c:crossAx val="387721455"/>
        <c:crosses val="autoZero"/>
        <c:crossBetween val="between"/>
      </c:valAx>
      <c:spPr>
        <a:noFill/>
        <a:ln>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1800" b="0" i="0" u="none" strike="noStrike" kern="1200" baseline="0">
              <a:solidFill>
                <a:schemeClr val="dk1">
                  <a:lumMod val="75000"/>
                  <a:lumOff val="2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s-E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s-ES"/>
        </a:p>
      </c:txPr>
    </c:title>
    <c:autoTitleDeleted val="0"/>
    <c:plotArea>
      <c:layout/>
      <c:lineChart>
        <c:grouping val="standard"/>
        <c:varyColors val="0"/>
        <c:ser>
          <c:idx val="0"/>
          <c:order val="0"/>
          <c:tx>
            <c:strRef>
              <c:f>'Proy. ventas'!$A$134</c:f>
              <c:strCache>
                <c:ptCount val="1"/>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('Proy. ventas'!$E$134,'Proy. ventas'!$G$134,'Proy. ventas'!$I$134,'Proy. ventas'!$K$134,'Proy. ventas'!$M$134,'Proy. ventas'!$O$134,'Proy. ventas'!$Q$134,'Proy. ventas'!$S$134,'Proy. ventas'!$U$134,'Proy. ventas'!$W$134,'Proy. ventas'!$Y$134,'Proy. ventas'!$AA$134)</c:f>
              <c:numCache>
                <c:formatCode>_-* #,##0\ _€_-;\-* #,##0\ _€_-;_-* "-"??\ _€_-;_-@_-</c:formatCode>
                <c:ptCount val="12"/>
                <c:pt idx="0">
                  <c:v>203.5</c:v>
                </c:pt>
                <c:pt idx="1">
                  <c:v>166.5</c:v>
                </c:pt>
                <c:pt idx="2">
                  <c:v>148</c:v>
                </c:pt>
                <c:pt idx="3">
                  <c:v>111</c:v>
                </c:pt>
                <c:pt idx="4">
                  <c:v>111</c:v>
                </c:pt>
                <c:pt idx="5">
                  <c:v>92.5</c:v>
                </c:pt>
                <c:pt idx="6">
                  <c:v>185</c:v>
                </c:pt>
                <c:pt idx="7">
                  <c:v>92.5</c:v>
                </c:pt>
                <c:pt idx="8">
                  <c:v>148</c:v>
                </c:pt>
                <c:pt idx="9">
                  <c:v>185</c:v>
                </c:pt>
                <c:pt idx="10">
                  <c:v>185</c:v>
                </c:pt>
                <c:pt idx="11">
                  <c:v>222</c:v>
                </c:pt>
              </c:numCache>
            </c:numRef>
          </c:val>
          <c:smooth val="0"/>
          <c:extLst>
            <c:ext xmlns:c16="http://schemas.microsoft.com/office/drawing/2014/chart" uri="{C3380CC4-5D6E-409C-BE32-E72D297353CC}">
              <c16:uniqueId val="{00000000-8413-472A-B852-1050BCF984DB}"/>
            </c:ext>
          </c:extLst>
        </c:ser>
        <c:ser>
          <c:idx val="1"/>
          <c:order val="1"/>
          <c:tx>
            <c:strRef>
              <c:f>'Proy. ventas'!$A$135</c:f>
              <c:strCache>
                <c:ptCount val="1"/>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('Proy. ventas'!$E$135,'Proy. ventas'!$G$135,'Proy. ventas'!$I$135,'Proy. ventas'!$K$135,'Proy. ventas'!$M$135,'Proy. ventas'!$O$135,'Proy. ventas'!$Q$135,'Proy. ventas'!$S$135,'Proy. ventas'!$U$135,'Proy. ventas'!$W$135,'Proy. ventas'!$Y$135,'Proy. ventas'!$AA$135)</c:f>
              <c:numCache>
                <c:formatCode>_-* #,##0\ _€_-;\-* #,##0\ _€_-;_-* "-"??\ _€_-;_-@_-</c:formatCode>
                <c:ptCount val="12"/>
                <c:pt idx="0">
                  <c:v>159.5</c:v>
                </c:pt>
                <c:pt idx="1">
                  <c:v>130.5</c:v>
                </c:pt>
                <c:pt idx="2">
                  <c:v>116</c:v>
                </c:pt>
                <c:pt idx="3">
                  <c:v>87</c:v>
                </c:pt>
                <c:pt idx="4">
                  <c:v>87</c:v>
                </c:pt>
                <c:pt idx="5">
                  <c:v>72.5</c:v>
                </c:pt>
                <c:pt idx="6">
                  <c:v>145</c:v>
                </c:pt>
                <c:pt idx="7">
                  <c:v>72.5</c:v>
                </c:pt>
                <c:pt idx="8">
                  <c:v>116</c:v>
                </c:pt>
                <c:pt idx="9">
                  <c:v>145</c:v>
                </c:pt>
                <c:pt idx="10">
                  <c:v>145</c:v>
                </c:pt>
                <c:pt idx="11">
                  <c:v>174</c:v>
                </c:pt>
              </c:numCache>
            </c:numRef>
          </c:val>
          <c:smooth val="0"/>
          <c:extLst>
            <c:ext xmlns:c16="http://schemas.microsoft.com/office/drawing/2014/chart" uri="{C3380CC4-5D6E-409C-BE32-E72D297353CC}">
              <c16:uniqueId val="{00000001-8413-472A-B852-1050BCF984DB}"/>
            </c:ext>
          </c:extLst>
        </c:ser>
        <c:ser>
          <c:idx val="2"/>
          <c:order val="2"/>
          <c:tx>
            <c:strRef>
              <c:f>'Proy. ventas'!$A$136</c:f>
              <c:strCache>
                <c:ptCount val="1"/>
              </c:strCache>
            </c:strRef>
          </c:tx>
          <c:spPr>
            <a:ln w="31750" cap="rnd">
              <a:solidFill>
                <a:schemeClr val="accent3"/>
              </a:solidFill>
              <a:round/>
            </a:ln>
            <a:effectLst/>
          </c:spPr>
          <c:marker>
            <c:symbol val="circle"/>
            <c:size val="17"/>
            <c:spPr>
              <a:solidFill>
                <a:schemeClr val="accent3"/>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('Proy. ventas'!$E$136,'Proy. ventas'!$G$136,'Proy. ventas'!$I$136,'Proy. ventas'!$K$136,'Proy. ventas'!$M$136,'Proy. ventas'!$O$136,'Proy. ventas'!$Q$136,'Proy. ventas'!$S$136,'Proy. ventas'!$U$136,'Proy. ventas'!$W$136,'Proy. ventas'!$Y$136,'Proy. ventas'!$AA$136)</c:f>
              <c:numCache>
                <c:formatCode>_-* #,##0\ _€_-;\-* #,##0\ _€_-;_-* "-"??\ _€_-;_-@_-</c:formatCode>
                <c:ptCount val="12"/>
                <c:pt idx="0">
                  <c:v>69.3</c:v>
                </c:pt>
                <c:pt idx="1">
                  <c:v>56.699999999999996</c:v>
                </c:pt>
                <c:pt idx="2">
                  <c:v>50.4</c:v>
                </c:pt>
                <c:pt idx="3">
                  <c:v>37.799999999999997</c:v>
                </c:pt>
                <c:pt idx="4">
                  <c:v>37.799999999999997</c:v>
                </c:pt>
                <c:pt idx="5">
                  <c:v>31.5</c:v>
                </c:pt>
                <c:pt idx="6">
                  <c:v>63</c:v>
                </c:pt>
                <c:pt idx="7">
                  <c:v>31.5</c:v>
                </c:pt>
                <c:pt idx="8">
                  <c:v>50.4</c:v>
                </c:pt>
                <c:pt idx="9">
                  <c:v>63</c:v>
                </c:pt>
                <c:pt idx="10">
                  <c:v>63</c:v>
                </c:pt>
                <c:pt idx="11">
                  <c:v>75.599999999999994</c:v>
                </c:pt>
              </c:numCache>
            </c:numRef>
          </c:val>
          <c:smooth val="0"/>
          <c:extLst>
            <c:ext xmlns:c16="http://schemas.microsoft.com/office/drawing/2014/chart" uri="{C3380CC4-5D6E-409C-BE32-E72D297353CC}">
              <c16:uniqueId val="{00000002-8413-472A-B852-1050BCF984DB}"/>
            </c:ext>
          </c:extLst>
        </c:ser>
        <c:dLbls>
          <c:dLblPos val="ctr"/>
          <c:showLegendKey val="0"/>
          <c:showVal val="1"/>
          <c:showCatName val="0"/>
          <c:showSerName val="0"/>
          <c:showPercent val="0"/>
          <c:showBubbleSize val="0"/>
        </c:dLbls>
        <c:marker val="1"/>
        <c:smooth val="0"/>
        <c:axId val="387710655"/>
        <c:axId val="253998479"/>
      </c:lineChart>
      <c:catAx>
        <c:axId val="387710655"/>
        <c:scaling>
          <c:orientation val="minMax"/>
        </c:scaling>
        <c:delete val="0"/>
        <c:axPos val="b"/>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s-ES"/>
          </a:p>
        </c:txPr>
        <c:crossAx val="253998479"/>
        <c:crosses val="autoZero"/>
        <c:auto val="1"/>
        <c:lblAlgn val="ctr"/>
        <c:lblOffset val="100"/>
        <c:noMultiLvlLbl val="0"/>
      </c:catAx>
      <c:valAx>
        <c:axId val="253998479"/>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_-* #,##0\ _€_-;\-* #,##0\ _€_-;_-* &quot;-&quot;??\ _€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s-ES"/>
          </a:p>
        </c:txPr>
        <c:crossAx val="387710655"/>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s-E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2.5349948100218969E-2"/>
          <c:y val="2.1921979957061258E-2"/>
        </c:manualLayout>
      </c:layout>
      <c:overlay val="0"/>
      <c:spPr>
        <a:noFill/>
        <a:ln>
          <a:noFill/>
        </a:ln>
        <a:effectLst/>
      </c:spPr>
      <c:txPr>
        <a:bodyPr rot="0" spcFirstLastPara="1" vertOverflow="ellipsis" vert="horz" wrap="square" anchor="ctr" anchorCtr="1"/>
        <a:lstStyle/>
        <a:p>
          <a:pPr>
            <a:defRPr sz="1800" b="1" i="0" u="none" strike="noStrike" kern="1200" cap="all" baseline="0">
              <a:solidFill>
                <a:schemeClr val="tx1">
                  <a:lumMod val="65000"/>
                  <a:lumOff val="35000"/>
                </a:schemeClr>
              </a:solidFill>
              <a:latin typeface="+mn-lt"/>
              <a:ea typeface="+mn-ea"/>
              <a:cs typeface="+mn-cs"/>
            </a:defRPr>
          </a:pPr>
          <a:endParaRPr lang="es-ES"/>
        </a:p>
      </c:txPr>
    </c:title>
    <c:autoTitleDeleted val="0"/>
    <c:plotArea>
      <c:layout/>
      <c:pieChart>
        <c:varyColors val="1"/>
        <c:ser>
          <c:idx val="0"/>
          <c:order val="0"/>
          <c:tx>
            <c:strRef>
              <c:f>'Mod. ingresos'!$C$16</c:f>
              <c:strCache>
                <c:ptCount val="1"/>
                <c:pt idx="0">
                  <c:v> Ingresos 2019 </c:v>
                </c:pt>
              </c:strCache>
            </c:strRef>
          </c:tx>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1-61DD-4CD8-B158-0B704BE81697}"/>
              </c:ext>
            </c:extLst>
          </c:dPt>
          <c:dPt>
            <c:idx val="1"/>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2-61DD-4CD8-B158-0B704BE81697}"/>
              </c:ext>
            </c:extLst>
          </c:dPt>
          <c:dPt>
            <c:idx val="2"/>
            <c:bubble3D val="0"/>
            <c:spPr>
              <a:solidFill>
                <a:schemeClr val="accent3"/>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61DD-4CD8-B158-0B704BE81697}"/>
              </c:ext>
            </c:extLst>
          </c:dPt>
          <c:dPt>
            <c:idx val="3"/>
            <c:bubble3D val="0"/>
            <c:spPr>
              <a:solidFill>
                <a:schemeClr val="accent4"/>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4-61DD-4CD8-B158-0B704BE81697}"/>
              </c:ext>
            </c:extLst>
          </c:dPt>
          <c:dPt>
            <c:idx val="4"/>
            <c:bubble3D val="0"/>
            <c:spPr>
              <a:solidFill>
                <a:schemeClr val="accent5"/>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5-61DD-4CD8-B158-0B704BE81697}"/>
              </c:ext>
            </c:extLst>
          </c:dPt>
          <c:dPt>
            <c:idx val="5"/>
            <c:bubble3D val="0"/>
            <c:spPr>
              <a:solidFill>
                <a:schemeClr val="accent6"/>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6-61DD-4CD8-B158-0B704BE81697}"/>
              </c:ext>
            </c:extLst>
          </c:dPt>
          <c:dPt>
            <c:idx val="6"/>
            <c:bubble3D val="0"/>
            <c:spPr>
              <a:solidFill>
                <a:schemeClr val="accent1">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7-61DD-4CD8-B158-0B704BE81697}"/>
              </c:ext>
            </c:extLst>
          </c:dPt>
          <c:dPt>
            <c:idx val="7"/>
            <c:bubble3D val="0"/>
            <c:spPr>
              <a:solidFill>
                <a:schemeClr val="accent2">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8-61DD-4CD8-B158-0B704BE81697}"/>
              </c:ext>
            </c:extLst>
          </c:dPt>
          <c:dPt>
            <c:idx val="8"/>
            <c:bubble3D val="0"/>
            <c:spPr>
              <a:solidFill>
                <a:schemeClr val="accent3">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9-61DD-4CD8-B158-0B704BE81697}"/>
              </c:ext>
            </c:extLst>
          </c:dPt>
          <c:dPt>
            <c:idx val="9"/>
            <c:bubble3D val="0"/>
            <c:spPr>
              <a:solidFill>
                <a:schemeClr val="accent4">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A-61DD-4CD8-B158-0B704BE81697}"/>
              </c:ext>
            </c:extLst>
          </c:dPt>
          <c:dPt>
            <c:idx val="10"/>
            <c:bubble3D val="0"/>
            <c:spPr>
              <a:solidFill>
                <a:schemeClr val="accent5">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B-61DD-4CD8-B158-0B704BE81697}"/>
              </c:ext>
            </c:extLst>
          </c:dPt>
          <c:dPt>
            <c:idx val="11"/>
            <c:bubble3D val="0"/>
            <c:spPr>
              <a:solidFill>
                <a:schemeClr val="accent6">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C-61DD-4CD8-B158-0B704BE81697}"/>
              </c:ext>
            </c:extLst>
          </c:dPt>
          <c:dPt>
            <c:idx val="12"/>
            <c:bubble3D val="0"/>
            <c:spPr>
              <a:solidFill>
                <a:schemeClr val="accent1">
                  <a:lumMod val="80000"/>
                  <a:lumOff val="2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D-61DD-4CD8-B158-0B704BE81697}"/>
              </c:ext>
            </c:extLst>
          </c:dPt>
          <c:dLbls>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1"/>
                      </a:solidFill>
                      <a:latin typeface="+mn-lt"/>
                      <a:ea typeface="+mn-ea"/>
                      <a:cs typeface="+mn-cs"/>
                    </a:defRPr>
                  </a:pPr>
                  <a:endParaRPr lang="es-ES"/>
                </a:p>
              </c:txPr>
              <c:dLblPos val="outEnd"/>
              <c:showLegendKey val="1"/>
              <c:showVal val="0"/>
              <c:showCatName val="1"/>
              <c:showSerName val="0"/>
              <c:showPercent val="1"/>
              <c:showBubbleSize val="0"/>
              <c:extLst>
                <c:ext xmlns:c16="http://schemas.microsoft.com/office/drawing/2014/chart" uri="{C3380CC4-5D6E-409C-BE32-E72D297353CC}">
                  <c16:uniqueId val="{00000001-61DD-4CD8-B158-0B704BE81697}"/>
                </c:ext>
              </c:extLst>
            </c:dLbl>
            <c:dLbl>
              <c:idx val="1"/>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2"/>
                      </a:solidFill>
                      <a:latin typeface="+mn-lt"/>
                      <a:ea typeface="+mn-ea"/>
                      <a:cs typeface="+mn-cs"/>
                    </a:defRPr>
                  </a:pPr>
                  <a:endParaRPr lang="es-ES"/>
                </a:p>
              </c:txPr>
              <c:dLblPos val="outEnd"/>
              <c:showLegendKey val="1"/>
              <c:showVal val="0"/>
              <c:showCatName val="1"/>
              <c:showSerName val="0"/>
              <c:showPercent val="1"/>
              <c:showBubbleSize val="0"/>
              <c:extLst>
                <c:ext xmlns:c16="http://schemas.microsoft.com/office/drawing/2014/chart" uri="{C3380CC4-5D6E-409C-BE32-E72D297353CC}">
                  <c16:uniqueId val="{00000002-61DD-4CD8-B158-0B704BE81697}"/>
                </c:ext>
              </c:extLst>
            </c:dLbl>
            <c:dLbl>
              <c:idx val="2"/>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3"/>
                      </a:solidFill>
                      <a:latin typeface="+mn-lt"/>
                      <a:ea typeface="+mn-ea"/>
                      <a:cs typeface="+mn-cs"/>
                    </a:defRPr>
                  </a:pPr>
                  <a:endParaRPr lang="es-ES"/>
                </a:p>
              </c:txPr>
              <c:dLblPos val="outEnd"/>
              <c:showLegendKey val="1"/>
              <c:showVal val="0"/>
              <c:showCatName val="1"/>
              <c:showSerName val="0"/>
              <c:showPercent val="1"/>
              <c:showBubbleSize val="0"/>
              <c:extLst>
                <c:ext xmlns:c16="http://schemas.microsoft.com/office/drawing/2014/chart" uri="{C3380CC4-5D6E-409C-BE32-E72D297353CC}">
                  <c16:uniqueId val="{00000003-61DD-4CD8-B158-0B704BE81697}"/>
                </c:ext>
              </c:extLst>
            </c:dLbl>
            <c:dLbl>
              <c:idx val="3"/>
              <c:layout>
                <c:manualLayout>
                  <c:x val="0"/>
                  <c:y val="3.2434116604479993E-2"/>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4"/>
                      </a:solidFill>
                      <a:latin typeface="+mn-lt"/>
                      <a:ea typeface="+mn-ea"/>
                      <a:cs typeface="+mn-cs"/>
                    </a:defRPr>
                  </a:pPr>
                  <a:endParaRPr lang="es-ES"/>
                </a:p>
              </c:txPr>
              <c:dLblPos val="bestFit"/>
              <c:showLegendKey val="1"/>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61DD-4CD8-B158-0B704BE81697}"/>
                </c:ext>
              </c:extLst>
            </c:dLbl>
            <c:dLbl>
              <c:idx val="4"/>
              <c:layout>
                <c:manualLayout>
                  <c:x val="0"/>
                  <c:y val="3.2434116604479995E-3"/>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5"/>
                      </a:solidFill>
                      <a:latin typeface="+mn-lt"/>
                      <a:ea typeface="+mn-ea"/>
                      <a:cs typeface="+mn-cs"/>
                    </a:defRPr>
                  </a:pPr>
                  <a:endParaRPr lang="es-ES"/>
                </a:p>
              </c:txPr>
              <c:dLblPos val="bestFit"/>
              <c:showLegendKey val="1"/>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61DD-4CD8-B158-0B704BE81697}"/>
                </c:ext>
              </c:extLst>
            </c:dLbl>
            <c:dLbl>
              <c:idx val="5"/>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6"/>
                      </a:solidFill>
                      <a:latin typeface="+mn-lt"/>
                      <a:ea typeface="+mn-ea"/>
                      <a:cs typeface="+mn-cs"/>
                    </a:defRPr>
                  </a:pPr>
                  <a:endParaRPr lang="es-ES"/>
                </a:p>
              </c:txPr>
              <c:dLblPos val="outEnd"/>
              <c:showLegendKey val="1"/>
              <c:showVal val="0"/>
              <c:showCatName val="1"/>
              <c:showSerName val="0"/>
              <c:showPercent val="1"/>
              <c:showBubbleSize val="0"/>
              <c:extLst>
                <c:ext xmlns:c16="http://schemas.microsoft.com/office/drawing/2014/chart" uri="{C3380CC4-5D6E-409C-BE32-E72D297353CC}">
                  <c16:uniqueId val="{00000006-61DD-4CD8-B158-0B704BE81697}"/>
                </c:ext>
              </c:extLst>
            </c:dLbl>
            <c:dLbl>
              <c:idx val="6"/>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1">
                          <a:lumMod val="60000"/>
                        </a:schemeClr>
                      </a:solidFill>
                      <a:latin typeface="+mn-lt"/>
                      <a:ea typeface="+mn-ea"/>
                      <a:cs typeface="+mn-cs"/>
                    </a:defRPr>
                  </a:pPr>
                  <a:endParaRPr lang="es-ES"/>
                </a:p>
              </c:txPr>
              <c:dLblPos val="outEnd"/>
              <c:showLegendKey val="1"/>
              <c:showVal val="0"/>
              <c:showCatName val="1"/>
              <c:showSerName val="0"/>
              <c:showPercent val="1"/>
              <c:showBubbleSize val="0"/>
              <c:extLst>
                <c:ext xmlns:c16="http://schemas.microsoft.com/office/drawing/2014/chart" uri="{C3380CC4-5D6E-409C-BE32-E72D297353CC}">
                  <c16:uniqueId val="{00000007-61DD-4CD8-B158-0B704BE81697}"/>
                </c:ext>
              </c:extLst>
            </c:dLbl>
            <c:dLbl>
              <c:idx val="7"/>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2">
                          <a:lumMod val="60000"/>
                        </a:schemeClr>
                      </a:solidFill>
                      <a:latin typeface="+mn-lt"/>
                      <a:ea typeface="+mn-ea"/>
                      <a:cs typeface="+mn-cs"/>
                    </a:defRPr>
                  </a:pPr>
                  <a:endParaRPr lang="es-ES"/>
                </a:p>
              </c:txPr>
              <c:dLblPos val="outEnd"/>
              <c:showLegendKey val="1"/>
              <c:showVal val="0"/>
              <c:showCatName val="1"/>
              <c:showSerName val="0"/>
              <c:showPercent val="1"/>
              <c:showBubbleSize val="0"/>
              <c:extLst>
                <c:ext xmlns:c16="http://schemas.microsoft.com/office/drawing/2014/chart" uri="{C3380CC4-5D6E-409C-BE32-E72D297353CC}">
                  <c16:uniqueId val="{00000008-61DD-4CD8-B158-0B704BE81697}"/>
                </c:ext>
              </c:extLst>
            </c:dLbl>
            <c:dLbl>
              <c:idx val="8"/>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3">
                          <a:lumMod val="60000"/>
                        </a:schemeClr>
                      </a:solidFill>
                      <a:latin typeface="+mn-lt"/>
                      <a:ea typeface="+mn-ea"/>
                      <a:cs typeface="+mn-cs"/>
                    </a:defRPr>
                  </a:pPr>
                  <a:endParaRPr lang="es-ES"/>
                </a:p>
              </c:txPr>
              <c:dLblPos val="outEnd"/>
              <c:showLegendKey val="1"/>
              <c:showVal val="0"/>
              <c:showCatName val="1"/>
              <c:showSerName val="0"/>
              <c:showPercent val="1"/>
              <c:showBubbleSize val="0"/>
              <c:extLst>
                <c:ext xmlns:c16="http://schemas.microsoft.com/office/drawing/2014/chart" uri="{C3380CC4-5D6E-409C-BE32-E72D297353CC}">
                  <c16:uniqueId val="{00000009-61DD-4CD8-B158-0B704BE81697}"/>
                </c:ext>
              </c:extLst>
            </c:dLbl>
            <c:dLbl>
              <c:idx val="9"/>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4">
                          <a:lumMod val="60000"/>
                        </a:schemeClr>
                      </a:solidFill>
                      <a:latin typeface="+mn-lt"/>
                      <a:ea typeface="+mn-ea"/>
                      <a:cs typeface="+mn-cs"/>
                    </a:defRPr>
                  </a:pPr>
                  <a:endParaRPr lang="es-ES"/>
                </a:p>
              </c:txPr>
              <c:dLblPos val="outEnd"/>
              <c:showLegendKey val="1"/>
              <c:showVal val="0"/>
              <c:showCatName val="1"/>
              <c:showSerName val="0"/>
              <c:showPercent val="1"/>
              <c:showBubbleSize val="0"/>
              <c:extLst>
                <c:ext xmlns:c16="http://schemas.microsoft.com/office/drawing/2014/chart" uri="{C3380CC4-5D6E-409C-BE32-E72D297353CC}">
                  <c16:uniqueId val="{0000000A-61DD-4CD8-B158-0B704BE81697}"/>
                </c:ext>
              </c:extLst>
            </c:dLbl>
            <c:dLbl>
              <c:idx val="10"/>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5">
                          <a:lumMod val="60000"/>
                        </a:schemeClr>
                      </a:solidFill>
                      <a:latin typeface="+mn-lt"/>
                      <a:ea typeface="+mn-ea"/>
                      <a:cs typeface="+mn-cs"/>
                    </a:defRPr>
                  </a:pPr>
                  <a:endParaRPr lang="es-ES"/>
                </a:p>
              </c:txPr>
              <c:dLblPos val="outEnd"/>
              <c:showLegendKey val="1"/>
              <c:showVal val="0"/>
              <c:showCatName val="1"/>
              <c:showSerName val="0"/>
              <c:showPercent val="1"/>
              <c:showBubbleSize val="0"/>
              <c:extLst>
                <c:ext xmlns:c16="http://schemas.microsoft.com/office/drawing/2014/chart" uri="{C3380CC4-5D6E-409C-BE32-E72D297353CC}">
                  <c16:uniqueId val="{0000000B-61DD-4CD8-B158-0B704BE81697}"/>
                </c:ext>
              </c:extLst>
            </c:dLbl>
            <c:dLbl>
              <c:idx val="11"/>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6">
                          <a:lumMod val="60000"/>
                        </a:schemeClr>
                      </a:solidFill>
                      <a:latin typeface="+mn-lt"/>
                      <a:ea typeface="+mn-ea"/>
                      <a:cs typeface="+mn-cs"/>
                    </a:defRPr>
                  </a:pPr>
                  <a:endParaRPr lang="es-ES"/>
                </a:p>
              </c:txPr>
              <c:dLblPos val="outEnd"/>
              <c:showLegendKey val="1"/>
              <c:showVal val="0"/>
              <c:showCatName val="1"/>
              <c:showSerName val="0"/>
              <c:showPercent val="1"/>
              <c:showBubbleSize val="0"/>
              <c:extLst>
                <c:ext xmlns:c16="http://schemas.microsoft.com/office/drawing/2014/chart" uri="{C3380CC4-5D6E-409C-BE32-E72D297353CC}">
                  <c16:uniqueId val="{0000000C-61DD-4CD8-B158-0B704BE81697}"/>
                </c:ext>
              </c:extLst>
            </c:dLbl>
            <c:dLbl>
              <c:idx val="12"/>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1">
                          <a:lumMod val="80000"/>
                          <a:lumOff val="20000"/>
                        </a:schemeClr>
                      </a:solidFill>
                      <a:latin typeface="+mn-lt"/>
                      <a:ea typeface="+mn-ea"/>
                      <a:cs typeface="+mn-cs"/>
                    </a:defRPr>
                  </a:pPr>
                  <a:endParaRPr lang="es-ES"/>
                </a:p>
              </c:txPr>
              <c:dLblPos val="outEnd"/>
              <c:showLegendKey val="1"/>
              <c:showVal val="0"/>
              <c:showCatName val="1"/>
              <c:showSerName val="0"/>
              <c:showPercent val="1"/>
              <c:showBubbleSize val="0"/>
              <c:extLst>
                <c:ext xmlns:c16="http://schemas.microsoft.com/office/drawing/2014/chart" uri="{C3380CC4-5D6E-409C-BE32-E72D297353CC}">
                  <c16:uniqueId val="{0000000D-61DD-4CD8-B158-0B704BE81697}"/>
                </c:ext>
              </c:extLst>
            </c:dLbl>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1"/>
                    </a:solidFill>
                    <a:latin typeface="+mn-lt"/>
                    <a:ea typeface="+mn-ea"/>
                    <a:cs typeface="+mn-cs"/>
                  </a:defRPr>
                </a:pPr>
                <a:endParaRPr lang="es-ES"/>
              </a:p>
            </c:txPr>
            <c:dLblPos val="outEnd"/>
            <c:showLegendKey val="1"/>
            <c:showVal val="0"/>
            <c:showCatName val="1"/>
            <c:showSerName val="0"/>
            <c:showPercent val="1"/>
            <c:showBubbleSize val="0"/>
            <c:showLeaderLines val="0"/>
            <c:extLst>
              <c:ext xmlns:c15="http://schemas.microsoft.com/office/drawing/2012/chart" uri="{CE6537A1-D6FC-4f65-9D91-7224C49458BB}"/>
            </c:extLst>
          </c:dLbls>
          <c:cat>
            <c:numRef>
              <c:f>'Mod. ingresos'!$B$17:$B$29</c:f>
              <c:numCache>
                <c:formatCode>_-* #,##0.00\ _€_-;\-* #,##0.00\ _€_-;_-* "-"??\ _€_-;_-@_-</c:formatCode>
                <c:ptCount val="13"/>
              </c:numCache>
            </c:numRef>
          </c:cat>
          <c:val>
            <c:numRef>
              <c:f>'Mod. ingresos'!$C$17:$C$29</c:f>
              <c:numCache>
                <c:formatCode>_-"$"\ * #,##0.00_-;\-"$"\ * #,##0.00_-;_-"$"\ * "-"??_-;_-@_-</c:formatCode>
                <c:ptCount val="13"/>
                <c:pt idx="0">
                  <c:v>1170000</c:v>
                </c:pt>
                <c:pt idx="1">
                  <c:v>0</c:v>
                </c:pt>
                <c:pt idx="2">
                  <c:v>0</c:v>
                </c:pt>
                <c:pt idx="3">
                  <c:v>1375000</c:v>
                </c:pt>
                <c:pt idx="4">
                  <c:v>0</c:v>
                </c:pt>
                <c:pt idx="5">
                  <c:v>0</c:v>
                </c:pt>
                <c:pt idx="6">
                  <c:v>0</c:v>
                </c:pt>
                <c:pt idx="7">
                  <c:v>3080000</c:v>
                </c:pt>
                <c:pt idx="8">
                  <c:v>0</c:v>
                </c:pt>
                <c:pt idx="9">
                  <c:v>0</c:v>
                </c:pt>
                <c:pt idx="10">
                  <c:v>0</c:v>
                </c:pt>
                <c:pt idx="11">
                  <c:v>0</c:v>
                </c:pt>
                <c:pt idx="12">
                  <c:v>0</c:v>
                </c:pt>
              </c:numCache>
            </c:numRef>
          </c:val>
          <c:extLst>
            <c:ext xmlns:c16="http://schemas.microsoft.com/office/drawing/2014/chart" uri="{C3380CC4-5D6E-409C-BE32-E72D297353CC}">
              <c16:uniqueId val="{00000000-61DD-4CD8-B158-0B704BE81697}"/>
            </c:ext>
          </c:extLst>
        </c:ser>
        <c:dLbls>
          <c:dLblPos val="outEnd"/>
          <c:showLegendKey val="0"/>
          <c:showVal val="0"/>
          <c:showCatName val="0"/>
          <c:showSerName val="0"/>
          <c:showPercent val="1"/>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rot="0"/>
    <a:lstStyle/>
    <a:p>
      <a:pPr>
        <a:defRPr/>
      </a:pPr>
      <a:endParaRPr lang="es-E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1.9229267110841854E-2"/>
          <c:y val="1.9206864918584209E-2"/>
        </c:manualLayout>
      </c:layout>
      <c:overlay val="0"/>
      <c:spPr>
        <a:noFill/>
        <a:ln>
          <a:noFill/>
        </a:ln>
        <a:effectLst/>
      </c:spPr>
      <c:txPr>
        <a:bodyPr rot="0" spcFirstLastPara="1" vertOverflow="ellipsis" vert="horz" wrap="square" anchor="ctr" anchorCtr="1"/>
        <a:lstStyle/>
        <a:p>
          <a:pPr>
            <a:defRPr sz="1800" b="1" i="0" u="none" strike="noStrike" kern="1200" cap="all" baseline="0">
              <a:solidFill>
                <a:schemeClr val="tx1">
                  <a:lumMod val="65000"/>
                  <a:lumOff val="35000"/>
                </a:schemeClr>
              </a:solidFill>
              <a:latin typeface="+mn-lt"/>
              <a:ea typeface="+mn-ea"/>
              <a:cs typeface="+mn-cs"/>
            </a:defRPr>
          </a:pPr>
          <a:endParaRPr lang="es-ES"/>
        </a:p>
      </c:txPr>
    </c:title>
    <c:autoTitleDeleted val="0"/>
    <c:plotArea>
      <c:layout/>
      <c:pieChart>
        <c:varyColors val="1"/>
        <c:ser>
          <c:idx val="0"/>
          <c:order val="0"/>
          <c:tx>
            <c:strRef>
              <c:f>'Mod. ingresos'!$D$16</c:f>
              <c:strCache>
                <c:ptCount val="1"/>
                <c:pt idx="0">
                  <c:v> Ingresos 2020 </c:v>
                </c:pt>
              </c:strCache>
            </c:strRef>
          </c:tx>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2-8374-4368-97F6-BBDA83FD1D3E}"/>
              </c:ext>
            </c:extLst>
          </c:dPt>
          <c:dPt>
            <c:idx val="1"/>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8374-4368-97F6-BBDA83FD1D3E}"/>
              </c:ext>
            </c:extLst>
          </c:dPt>
          <c:dPt>
            <c:idx val="2"/>
            <c:bubble3D val="0"/>
            <c:spPr>
              <a:solidFill>
                <a:schemeClr val="accent3"/>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4-8374-4368-97F6-BBDA83FD1D3E}"/>
              </c:ext>
            </c:extLst>
          </c:dPt>
          <c:dPt>
            <c:idx val="3"/>
            <c:bubble3D val="0"/>
            <c:spPr>
              <a:solidFill>
                <a:schemeClr val="accent4"/>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5-8374-4368-97F6-BBDA83FD1D3E}"/>
              </c:ext>
            </c:extLst>
          </c:dPt>
          <c:dPt>
            <c:idx val="4"/>
            <c:bubble3D val="0"/>
            <c:spPr>
              <a:solidFill>
                <a:schemeClr val="accent5"/>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6-8374-4368-97F6-BBDA83FD1D3E}"/>
              </c:ext>
            </c:extLst>
          </c:dPt>
          <c:dPt>
            <c:idx val="5"/>
            <c:bubble3D val="0"/>
            <c:spPr>
              <a:solidFill>
                <a:schemeClr val="accent6"/>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7-8374-4368-97F6-BBDA83FD1D3E}"/>
              </c:ext>
            </c:extLst>
          </c:dPt>
          <c:dPt>
            <c:idx val="6"/>
            <c:bubble3D val="0"/>
            <c:spPr>
              <a:solidFill>
                <a:schemeClr val="accent1">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8-8374-4368-97F6-BBDA83FD1D3E}"/>
              </c:ext>
            </c:extLst>
          </c:dPt>
          <c:dPt>
            <c:idx val="7"/>
            <c:bubble3D val="0"/>
            <c:spPr>
              <a:solidFill>
                <a:schemeClr val="accent2">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9-8374-4368-97F6-BBDA83FD1D3E}"/>
              </c:ext>
            </c:extLst>
          </c:dPt>
          <c:dPt>
            <c:idx val="8"/>
            <c:bubble3D val="0"/>
            <c:spPr>
              <a:solidFill>
                <a:schemeClr val="accent3">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A-8374-4368-97F6-BBDA83FD1D3E}"/>
              </c:ext>
            </c:extLst>
          </c:dPt>
          <c:dPt>
            <c:idx val="9"/>
            <c:bubble3D val="0"/>
            <c:spPr>
              <a:solidFill>
                <a:schemeClr val="accent4">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B-8374-4368-97F6-BBDA83FD1D3E}"/>
              </c:ext>
            </c:extLst>
          </c:dPt>
          <c:dPt>
            <c:idx val="10"/>
            <c:bubble3D val="0"/>
            <c:spPr>
              <a:solidFill>
                <a:schemeClr val="accent5">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C-8374-4368-97F6-BBDA83FD1D3E}"/>
              </c:ext>
            </c:extLst>
          </c:dPt>
          <c:dPt>
            <c:idx val="11"/>
            <c:bubble3D val="0"/>
            <c:spPr>
              <a:solidFill>
                <a:schemeClr val="accent6">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D-8374-4368-97F6-BBDA83FD1D3E}"/>
              </c:ext>
            </c:extLst>
          </c:dPt>
          <c:dPt>
            <c:idx val="12"/>
            <c:bubble3D val="0"/>
            <c:spPr>
              <a:solidFill>
                <a:schemeClr val="accent1">
                  <a:lumMod val="80000"/>
                  <a:lumOff val="2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E-8374-4368-97F6-BBDA83FD1D3E}"/>
              </c:ext>
            </c:extLst>
          </c:dPt>
          <c:dLbls>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1"/>
                      </a:solidFill>
                      <a:latin typeface="+mn-lt"/>
                      <a:ea typeface="+mn-ea"/>
                      <a:cs typeface="+mn-cs"/>
                    </a:defRPr>
                  </a:pPr>
                  <a:endParaRPr lang="es-ES"/>
                </a:p>
              </c:txPr>
              <c:dLblPos val="outEnd"/>
              <c:showLegendKey val="1"/>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8374-4368-97F6-BBDA83FD1D3E}"/>
                </c:ext>
              </c:extLst>
            </c:dLbl>
            <c:dLbl>
              <c:idx val="1"/>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2"/>
                      </a:solidFill>
                      <a:latin typeface="+mn-lt"/>
                      <a:ea typeface="+mn-ea"/>
                      <a:cs typeface="+mn-cs"/>
                    </a:defRPr>
                  </a:pPr>
                  <a:endParaRPr lang="es-ES"/>
                </a:p>
              </c:txPr>
              <c:dLblPos val="outEnd"/>
              <c:showLegendKey val="1"/>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8374-4368-97F6-BBDA83FD1D3E}"/>
                </c:ext>
              </c:extLst>
            </c:dLbl>
            <c:dLbl>
              <c:idx val="2"/>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3"/>
                      </a:solidFill>
                      <a:latin typeface="+mn-lt"/>
                      <a:ea typeface="+mn-ea"/>
                      <a:cs typeface="+mn-cs"/>
                    </a:defRPr>
                  </a:pPr>
                  <a:endParaRPr lang="es-ES"/>
                </a:p>
              </c:txPr>
              <c:dLblPos val="outEnd"/>
              <c:showLegendKey val="1"/>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8374-4368-97F6-BBDA83FD1D3E}"/>
                </c:ext>
              </c:extLst>
            </c:dLbl>
            <c:dLbl>
              <c:idx val="3"/>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4"/>
                      </a:solidFill>
                      <a:latin typeface="+mn-lt"/>
                      <a:ea typeface="+mn-ea"/>
                      <a:cs typeface="+mn-cs"/>
                    </a:defRPr>
                  </a:pPr>
                  <a:endParaRPr lang="es-ES"/>
                </a:p>
              </c:txPr>
              <c:dLblPos val="outEnd"/>
              <c:showLegendKey val="1"/>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8374-4368-97F6-BBDA83FD1D3E}"/>
                </c:ext>
              </c:extLst>
            </c:dLbl>
            <c:dLbl>
              <c:idx val="4"/>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5"/>
                      </a:solidFill>
                      <a:latin typeface="+mn-lt"/>
                      <a:ea typeface="+mn-ea"/>
                      <a:cs typeface="+mn-cs"/>
                    </a:defRPr>
                  </a:pPr>
                  <a:endParaRPr lang="es-ES"/>
                </a:p>
              </c:txPr>
              <c:dLblPos val="outEnd"/>
              <c:showLegendKey val="1"/>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6-8374-4368-97F6-BBDA83FD1D3E}"/>
                </c:ext>
              </c:extLst>
            </c:dLbl>
            <c:dLbl>
              <c:idx val="5"/>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6"/>
                      </a:solidFill>
                      <a:latin typeface="+mn-lt"/>
                      <a:ea typeface="+mn-ea"/>
                      <a:cs typeface="+mn-cs"/>
                    </a:defRPr>
                  </a:pPr>
                  <a:endParaRPr lang="es-ES"/>
                </a:p>
              </c:txPr>
              <c:dLblPos val="outEnd"/>
              <c:showLegendKey val="1"/>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8374-4368-97F6-BBDA83FD1D3E}"/>
                </c:ext>
              </c:extLst>
            </c:dLbl>
            <c:dLbl>
              <c:idx val="6"/>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1">
                          <a:lumMod val="60000"/>
                        </a:schemeClr>
                      </a:solidFill>
                      <a:latin typeface="+mn-lt"/>
                      <a:ea typeface="+mn-ea"/>
                      <a:cs typeface="+mn-cs"/>
                    </a:defRPr>
                  </a:pPr>
                  <a:endParaRPr lang="es-ES"/>
                </a:p>
              </c:txPr>
              <c:dLblPos val="outEnd"/>
              <c:showLegendKey val="1"/>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8-8374-4368-97F6-BBDA83FD1D3E}"/>
                </c:ext>
              </c:extLst>
            </c:dLbl>
            <c:dLbl>
              <c:idx val="7"/>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2">
                          <a:lumMod val="60000"/>
                        </a:schemeClr>
                      </a:solidFill>
                      <a:latin typeface="+mn-lt"/>
                      <a:ea typeface="+mn-ea"/>
                      <a:cs typeface="+mn-cs"/>
                    </a:defRPr>
                  </a:pPr>
                  <a:endParaRPr lang="es-ES"/>
                </a:p>
              </c:txPr>
              <c:dLblPos val="outEnd"/>
              <c:showLegendKey val="1"/>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8374-4368-97F6-BBDA83FD1D3E}"/>
                </c:ext>
              </c:extLst>
            </c:dLbl>
            <c:dLbl>
              <c:idx val="8"/>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3">
                          <a:lumMod val="60000"/>
                        </a:schemeClr>
                      </a:solidFill>
                      <a:latin typeface="+mn-lt"/>
                      <a:ea typeface="+mn-ea"/>
                      <a:cs typeface="+mn-cs"/>
                    </a:defRPr>
                  </a:pPr>
                  <a:endParaRPr lang="es-ES"/>
                </a:p>
              </c:txPr>
              <c:dLblPos val="outEnd"/>
              <c:showLegendKey val="1"/>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A-8374-4368-97F6-BBDA83FD1D3E}"/>
                </c:ext>
              </c:extLst>
            </c:dLbl>
            <c:dLbl>
              <c:idx val="9"/>
              <c:layout>
                <c:manualLayout>
                  <c:x val="-6.2769230769230772E-2"/>
                  <c:y val="-3.0744336569579259E-2"/>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4">
                          <a:lumMod val="60000"/>
                        </a:schemeClr>
                      </a:solidFill>
                      <a:latin typeface="+mn-lt"/>
                      <a:ea typeface="+mn-ea"/>
                      <a:cs typeface="+mn-cs"/>
                    </a:defRPr>
                  </a:pPr>
                  <a:endParaRPr lang="es-ES"/>
                </a:p>
              </c:txPr>
              <c:dLblPos val="bestFit"/>
              <c:showLegendKey val="1"/>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B-8374-4368-97F6-BBDA83FD1D3E}"/>
                </c:ext>
              </c:extLst>
            </c:dLbl>
            <c:dLbl>
              <c:idx val="10"/>
              <c:layout>
                <c:manualLayout>
                  <c:x val="1.6E-2"/>
                  <c:y val="4.8543689320388345E-3"/>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5">
                          <a:lumMod val="60000"/>
                        </a:schemeClr>
                      </a:solidFill>
                      <a:latin typeface="+mn-lt"/>
                      <a:ea typeface="+mn-ea"/>
                      <a:cs typeface="+mn-cs"/>
                    </a:defRPr>
                  </a:pPr>
                  <a:endParaRPr lang="es-ES"/>
                </a:p>
              </c:txPr>
              <c:dLblPos val="bestFit"/>
              <c:showLegendKey val="1"/>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C-8374-4368-97F6-BBDA83FD1D3E}"/>
                </c:ext>
              </c:extLst>
            </c:dLbl>
            <c:dLbl>
              <c:idx val="11"/>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6">
                          <a:lumMod val="60000"/>
                        </a:schemeClr>
                      </a:solidFill>
                      <a:latin typeface="+mn-lt"/>
                      <a:ea typeface="+mn-ea"/>
                      <a:cs typeface="+mn-cs"/>
                    </a:defRPr>
                  </a:pPr>
                  <a:endParaRPr lang="es-ES"/>
                </a:p>
              </c:txPr>
              <c:dLblPos val="outEnd"/>
              <c:showLegendKey val="1"/>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D-8374-4368-97F6-BBDA83FD1D3E}"/>
                </c:ext>
              </c:extLst>
            </c:dLbl>
            <c:dLbl>
              <c:idx val="12"/>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1">
                          <a:lumMod val="80000"/>
                          <a:lumOff val="20000"/>
                        </a:schemeClr>
                      </a:solidFill>
                      <a:latin typeface="+mn-lt"/>
                      <a:ea typeface="+mn-ea"/>
                      <a:cs typeface="+mn-cs"/>
                    </a:defRPr>
                  </a:pPr>
                  <a:endParaRPr lang="es-ES"/>
                </a:p>
              </c:txPr>
              <c:dLblPos val="outEnd"/>
              <c:showLegendKey val="1"/>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E-8374-4368-97F6-BBDA83FD1D3E}"/>
                </c:ext>
              </c:extLst>
            </c:dLbl>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1"/>
                    </a:solidFill>
                    <a:latin typeface="+mn-lt"/>
                    <a:ea typeface="+mn-ea"/>
                    <a:cs typeface="+mn-cs"/>
                  </a:defRPr>
                </a:pPr>
                <a:endParaRPr lang="es-ES"/>
              </a:p>
            </c:txPr>
            <c:dLblPos val="outEnd"/>
            <c:showLegendKey val="1"/>
            <c:showVal val="0"/>
            <c:showCatName val="1"/>
            <c:showSerName val="0"/>
            <c:showPercent val="1"/>
            <c:showBubbleSize val="0"/>
            <c:separator>
</c:separator>
            <c:showLeaderLines val="0"/>
            <c:extLst>
              <c:ext xmlns:c15="http://schemas.microsoft.com/office/drawing/2012/chart" uri="{CE6537A1-D6FC-4f65-9D91-7224C49458BB}"/>
            </c:extLst>
          </c:dLbls>
          <c:cat>
            <c:numRef>
              <c:f>'Mod. ingresos'!$B$17:$B$29</c:f>
              <c:numCache>
                <c:formatCode>_-* #,##0.00\ _€_-;\-* #,##0.00\ _€_-;_-* "-"??\ _€_-;_-@_-</c:formatCode>
                <c:ptCount val="13"/>
              </c:numCache>
            </c:numRef>
          </c:cat>
          <c:val>
            <c:numRef>
              <c:f>'Mod. ingresos'!$D$17:$D$29</c:f>
              <c:numCache>
                <c:formatCode>_-"$"\ * #,##0.00_-;\-"$"\ * #,##0.00_-;_-"$"\ * "-"??_-;_-@_-</c:formatCode>
                <c:ptCount val="13"/>
                <c:pt idx="0">
                  <c:v>1560000</c:v>
                </c:pt>
                <c:pt idx="1">
                  <c:v>0</c:v>
                </c:pt>
                <c:pt idx="2">
                  <c:v>0</c:v>
                </c:pt>
                <c:pt idx="3">
                  <c:v>4500000</c:v>
                </c:pt>
                <c:pt idx="4">
                  <c:v>0</c:v>
                </c:pt>
                <c:pt idx="5">
                  <c:v>0</c:v>
                </c:pt>
                <c:pt idx="6">
                  <c:v>0</c:v>
                </c:pt>
                <c:pt idx="7">
                  <c:v>3600000</c:v>
                </c:pt>
                <c:pt idx="8">
                  <c:v>0</c:v>
                </c:pt>
                <c:pt idx="9">
                  <c:v>0</c:v>
                </c:pt>
                <c:pt idx="10">
                  <c:v>0</c:v>
                </c:pt>
                <c:pt idx="11">
                  <c:v>0</c:v>
                </c:pt>
                <c:pt idx="12">
                  <c:v>0</c:v>
                </c:pt>
              </c:numCache>
            </c:numRef>
          </c:val>
          <c:extLst>
            <c:ext xmlns:c16="http://schemas.microsoft.com/office/drawing/2014/chart" uri="{C3380CC4-5D6E-409C-BE32-E72D297353CC}">
              <c16:uniqueId val="{00000000-8374-4368-97F6-BBDA83FD1D3E}"/>
            </c:ext>
          </c:extLst>
        </c:ser>
        <c:dLbls>
          <c:dLblPos val="outEnd"/>
          <c:showLegendKey val="0"/>
          <c:showVal val="0"/>
          <c:showCatName val="1"/>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7">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styleClr val="auto"/>
    </cs:lnRef>
    <cs:fillRef idx="0">
      <cs:styleClr val="auto"/>
    </cs:fillRef>
    <cs:effectRef idx="0"/>
    <cs:fontRef idx="minor">
      <a:schemeClr val="tx1"/>
    </cs:fontRef>
    <cs:spPr>
      <a:pattFill prst="ltDnDiag">
        <a:fgClr>
          <a:schemeClr val="phClr"/>
        </a:fgClr>
        <a:bgClr>
          <a:schemeClr val="phClr">
            <a:lumMod val="20000"/>
            <a:lumOff val="80000"/>
          </a:schemeClr>
        </a:bgClr>
      </a:pattFill>
      <a:ln>
        <a:solidFill>
          <a:schemeClr val="phClr"/>
        </a:solidFill>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spPr>
      <a:solidFill>
        <a:schemeClr val="lt1"/>
      </a:solidFill>
      <a:sp3d/>
    </cs:spPr>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3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3" Type="http://schemas.openxmlformats.org/officeDocument/2006/relationships/chart" Target="../charts/chart12.xml"/><Relationship Id="rId2" Type="http://schemas.openxmlformats.org/officeDocument/2006/relationships/chart" Target="../charts/chart11.xml"/><Relationship Id="rId1" Type="http://schemas.openxmlformats.org/officeDocument/2006/relationships/hyperlink" Target="#Indice!A1"/></Relationships>
</file>

<file path=xl/drawings/_rels/drawing11.xml.rels><?xml version="1.0" encoding="UTF-8" standalone="yes"?>
<Relationships xmlns="http://schemas.openxmlformats.org/package/2006/relationships"><Relationship Id="rId1" Type="http://schemas.openxmlformats.org/officeDocument/2006/relationships/hyperlink" Target="#Indice!A1"/></Relationships>
</file>

<file path=xl/drawings/_rels/drawing12.xml.rels><?xml version="1.0" encoding="UTF-8" standalone="yes"?>
<Relationships xmlns="http://schemas.openxmlformats.org/package/2006/relationships"><Relationship Id="rId1" Type="http://schemas.openxmlformats.org/officeDocument/2006/relationships/hyperlink" Target="#Indice!A1"/></Relationships>
</file>

<file path=xl/drawings/_rels/drawing13.xml.rels><?xml version="1.0" encoding="UTF-8" standalone="yes"?>
<Relationships xmlns="http://schemas.openxmlformats.org/package/2006/relationships"><Relationship Id="rId1" Type="http://schemas.openxmlformats.org/officeDocument/2006/relationships/hyperlink" Target="#Indice!A1"/></Relationships>
</file>

<file path=xl/drawings/_rels/drawing14.xml.rels><?xml version="1.0" encoding="UTF-8" standalone="yes"?>
<Relationships xmlns="http://schemas.openxmlformats.org/package/2006/relationships"><Relationship Id="rId1" Type="http://schemas.openxmlformats.org/officeDocument/2006/relationships/hyperlink" Target="#Indice!A1"/></Relationships>
</file>

<file path=xl/drawings/_rels/drawing15.xml.rels><?xml version="1.0" encoding="UTF-8" standalone="yes"?>
<Relationships xmlns="http://schemas.openxmlformats.org/package/2006/relationships"><Relationship Id="rId1" Type="http://schemas.openxmlformats.org/officeDocument/2006/relationships/hyperlink" Target="#Indice!A1"/></Relationships>
</file>

<file path=xl/drawings/_rels/drawing16.xml.rels><?xml version="1.0" encoding="UTF-8" standalone="yes"?>
<Relationships xmlns="http://schemas.openxmlformats.org/package/2006/relationships"><Relationship Id="rId1" Type="http://schemas.openxmlformats.org/officeDocument/2006/relationships/hyperlink" Target="#Indice!A1"/></Relationships>
</file>

<file path=xl/drawings/_rels/drawing17.xml.rels><?xml version="1.0" encoding="UTF-8" standalone="yes"?>
<Relationships xmlns="http://schemas.openxmlformats.org/package/2006/relationships"><Relationship Id="rId1" Type="http://schemas.openxmlformats.org/officeDocument/2006/relationships/hyperlink" Target="#Indice!A1"/></Relationships>
</file>

<file path=xl/drawings/_rels/drawing18.xml.rels><?xml version="1.0" encoding="UTF-8" standalone="yes"?>
<Relationships xmlns="http://schemas.openxmlformats.org/package/2006/relationships"><Relationship Id="rId1" Type="http://schemas.openxmlformats.org/officeDocument/2006/relationships/hyperlink" Target="#Indice!A1"/></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chart" Target="../charts/chart1.xml"/><Relationship Id="rId1" Type="http://schemas.openxmlformats.org/officeDocument/2006/relationships/hyperlink" Target="#Indice!A1"/></Relationships>
</file>

<file path=xl/drawings/_rels/drawing4.xml.rels><?xml version="1.0" encoding="UTF-8" standalone="yes"?>
<Relationships xmlns="http://schemas.openxmlformats.org/package/2006/relationships"><Relationship Id="rId8" Type="http://schemas.openxmlformats.org/officeDocument/2006/relationships/hyperlink" Target="#'Anexo capacidad operativa'!A1"/><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hyperlink" Target="#Indice!A1"/><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5.xml.rels><?xml version="1.0" encoding="UTF-8" standalone="yes"?>
<Relationships xmlns="http://schemas.openxmlformats.org/package/2006/relationships"><Relationship Id="rId2" Type="http://schemas.openxmlformats.org/officeDocument/2006/relationships/hyperlink" Target="#Indice!A1"/><Relationship Id="rId1" Type="http://schemas.openxmlformats.org/officeDocument/2006/relationships/hyperlink" Target="#'Proy. ventas'!A1"/></Relationships>
</file>

<file path=xl/drawings/_rels/drawing6.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hyperlink" Target="#Indice!A1"/><Relationship Id="rId4" Type="http://schemas.openxmlformats.org/officeDocument/2006/relationships/chart" Target="../charts/chart10.xml"/></Relationships>
</file>

<file path=xl/drawings/_rels/drawing7.xml.rels><?xml version="1.0" encoding="UTF-8" standalone="yes"?>
<Relationships xmlns="http://schemas.openxmlformats.org/package/2006/relationships"><Relationship Id="rId1" Type="http://schemas.openxmlformats.org/officeDocument/2006/relationships/hyperlink" Target="#Indice!A1"/></Relationships>
</file>

<file path=xl/drawings/_rels/drawing8.xml.rels><?xml version="1.0" encoding="UTF-8" standalone="yes"?>
<Relationships xmlns="http://schemas.openxmlformats.org/package/2006/relationships"><Relationship Id="rId1" Type="http://schemas.openxmlformats.org/officeDocument/2006/relationships/hyperlink" Target="#Indice!A1"/></Relationships>
</file>

<file path=xl/drawings/_rels/drawing9.xml.rels><?xml version="1.0" encoding="UTF-8" standalone="yes"?>
<Relationships xmlns="http://schemas.openxmlformats.org/package/2006/relationships"><Relationship Id="rId1" Type="http://schemas.openxmlformats.org/officeDocument/2006/relationships/hyperlink" Target="#Indice!A1"/></Relationships>
</file>

<file path=xl/drawings/drawing1.xml><?xml version="1.0" encoding="utf-8"?>
<xdr:wsDr xmlns:xdr="http://schemas.openxmlformats.org/drawingml/2006/spreadsheetDrawing" xmlns:a="http://schemas.openxmlformats.org/drawingml/2006/main">
  <xdr:twoCellAnchor editAs="oneCell">
    <xdr:from>
      <xdr:col>0</xdr:col>
      <xdr:colOff>628650</xdr:colOff>
      <xdr:row>2</xdr:row>
      <xdr:rowOff>9525</xdr:rowOff>
    </xdr:from>
    <xdr:to>
      <xdr:col>8</xdr:col>
      <xdr:colOff>68580</xdr:colOff>
      <xdr:row>7</xdr:row>
      <xdr:rowOff>3810</xdr:rowOff>
    </xdr:to>
    <xdr:pic>
      <xdr:nvPicPr>
        <xdr:cNvPr id="3" name="Imagen 2" descr="Resultado de imagen para uai">
          <a:extLst>
            <a:ext uri="{FF2B5EF4-FFF2-40B4-BE49-F238E27FC236}">
              <a16:creationId xmlns:a16="http://schemas.microsoft.com/office/drawing/2014/main" id="{00000000-0008-0000-00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28650" y="390525"/>
          <a:ext cx="5612130" cy="946785"/>
        </a:xfrm>
        <a:prstGeom prst="rect">
          <a:avLst/>
        </a:prstGeom>
        <a:noFill/>
        <a:ln>
          <a:noFill/>
        </a:ln>
      </xdr:spPr>
    </xdr:pic>
    <xdr:clientData/>
  </xdr:twoCellAnchor>
  <xdr:twoCellAnchor editAs="oneCell">
    <xdr:from>
      <xdr:col>2</xdr:col>
      <xdr:colOff>352425</xdr:colOff>
      <xdr:row>11</xdr:row>
      <xdr:rowOff>35717</xdr:rowOff>
    </xdr:from>
    <xdr:to>
      <xdr:col>6</xdr:col>
      <xdr:colOff>654842</xdr:colOff>
      <xdr:row>27</xdr:row>
      <xdr:rowOff>19050</xdr:rowOff>
    </xdr:to>
    <xdr:pic>
      <xdr:nvPicPr>
        <xdr:cNvPr id="4" name="Imagen 3">
          <a:extLst>
            <a:ext uri="{FF2B5EF4-FFF2-40B4-BE49-F238E27FC236}">
              <a16:creationId xmlns:a16="http://schemas.microsoft.com/office/drawing/2014/main" id="{D7DBF70D-9E6C-40BB-9A3E-DA50605E7613}"/>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947863" y="2297905"/>
          <a:ext cx="3350417" cy="3031333"/>
        </a:xfrm>
        <a:prstGeom prst="rect">
          <a:avLst/>
        </a:prstGeom>
        <a:noFill/>
        <a:ln>
          <a:noFill/>
        </a:ln>
      </xdr:spPr>
    </xdr:pic>
    <xdr:clientData/>
  </xdr:twoCellAnchor>
</xdr:wsDr>
</file>

<file path=xl/drawings/drawing10.xml><?xml version="1.0" encoding="utf-8"?>
<xdr:wsDr xmlns:xdr="http://schemas.openxmlformats.org/drawingml/2006/spreadsheetDrawing" xmlns:a="http://schemas.openxmlformats.org/drawingml/2006/main">
  <xdr:twoCellAnchor>
    <xdr:from>
      <xdr:col>0</xdr:col>
      <xdr:colOff>752475</xdr:colOff>
      <xdr:row>0</xdr:row>
      <xdr:rowOff>238125</xdr:rowOff>
    </xdr:from>
    <xdr:to>
      <xdr:col>2</xdr:col>
      <xdr:colOff>409575</xdr:colOff>
      <xdr:row>0</xdr:row>
      <xdr:rowOff>523875</xdr:rowOff>
    </xdr:to>
    <xdr:sp macro="" textlink="">
      <xdr:nvSpPr>
        <xdr:cNvPr id="3" name="Rectángulo: esquinas redondeadas 2">
          <a:hlinkClick xmlns:r="http://schemas.openxmlformats.org/officeDocument/2006/relationships" r:id="rId1"/>
          <a:extLst>
            <a:ext uri="{FF2B5EF4-FFF2-40B4-BE49-F238E27FC236}">
              <a16:creationId xmlns:a16="http://schemas.microsoft.com/office/drawing/2014/main" id="{FF84262D-55FB-4CBD-A74D-D0410A50B277}"/>
            </a:ext>
          </a:extLst>
        </xdr:cNvPr>
        <xdr:cNvSpPr/>
      </xdr:nvSpPr>
      <xdr:spPr>
        <a:xfrm>
          <a:off x="752475" y="238125"/>
          <a:ext cx="1181100" cy="28575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twoCellAnchor>
    <xdr:from>
      <xdr:col>0</xdr:col>
      <xdr:colOff>240847</xdr:colOff>
      <xdr:row>15</xdr:row>
      <xdr:rowOff>21091</xdr:rowOff>
    </xdr:from>
    <xdr:to>
      <xdr:col>4</xdr:col>
      <xdr:colOff>522515</xdr:colOff>
      <xdr:row>29</xdr:row>
      <xdr:rowOff>100012</xdr:rowOff>
    </xdr:to>
    <xdr:graphicFrame macro="">
      <xdr:nvGraphicFramePr>
        <xdr:cNvPr id="6" name="Gráfico 5">
          <a:extLst>
            <a:ext uri="{FF2B5EF4-FFF2-40B4-BE49-F238E27FC236}">
              <a16:creationId xmlns:a16="http://schemas.microsoft.com/office/drawing/2014/main" id="{4C10C708-52C2-4FAB-81F4-B8C2B1A7B6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119063</xdr:colOff>
      <xdr:row>15</xdr:row>
      <xdr:rowOff>15647</xdr:rowOff>
    </xdr:from>
    <xdr:to>
      <xdr:col>10</xdr:col>
      <xdr:colOff>604838</xdr:colOff>
      <xdr:row>29</xdr:row>
      <xdr:rowOff>91847</xdr:rowOff>
    </xdr:to>
    <xdr:graphicFrame macro="">
      <xdr:nvGraphicFramePr>
        <xdr:cNvPr id="8" name="Gráfico 7">
          <a:extLst>
            <a:ext uri="{FF2B5EF4-FFF2-40B4-BE49-F238E27FC236}">
              <a16:creationId xmlns:a16="http://schemas.microsoft.com/office/drawing/2014/main" id="{55872761-E8D1-425E-9C87-A7EDDAFFA4E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1</xdr:col>
      <xdr:colOff>203387</xdr:colOff>
      <xdr:row>0</xdr:row>
      <xdr:rowOff>215713</xdr:rowOff>
    </xdr:from>
    <xdr:to>
      <xdr:col>2</xdr:col>
      <xdr:colOff>622487</xdr:colOff>
      <xdr:row>0</xdr:row>
      <xdr:rowOff>501463</xdr:rowOff>
    </xdr:to>
    <xdr:sp macro="" textlink="">
      <xdr:nvSpPr>
        <xdr:cNvPr id="3" name="Rectángulo: esquinas redondeadas 2">
          <a:hlinkClick xmlns:r="http://schemas.openxmlformats.org/officeDocument/2006/relationships" r:id="rId1"/>
          <a:extLst>
            <a:ext uri="{FF2B5EF4-FFF2-40B4-BE49-F238E27FC236}">
              <a16:creationId xmlns:a16="http://schemas.microsoft.com/office/drawing/2014/main" id="{AD96748B-B460-4E8C-9A94-8C9A666ECF20}"/>
            </a:ext>
          </a:extLst>
        </xdr:cNvPr>
        <xdr:cNvSpPr/>
      </xdr:nvSpPr>
      <xdr:spPr>
        <a:xfrm>
          <a:off x="965387" y="215713"/>
          <a:ext cx="2682688" cy="28575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0</xdr:col>
      <xdr:colOff>752475</xdr:colOff>
      <xdr:row>0</xdr:row>
      <xdr:rowOff>238125</xdr:rowOff>
    </xdr:from>
    <xdr:to>
      <xdr:col>2</xdr:col>
      <xdr:colOff>409575</xdr:colOff>
      <xdr:row>0</xdr:row>
      <xdr:rowOff>523875</xdr:rowOff>
    </xdr:to>
    <xdr:sp macro="" textlink="">
      <xdr:nvSpPr>
        <xdr:cNvPr id="3" name="Rectángulo: esquinas redondeadas 2">
          <a:hlinkClick xmlns:r="http://schemas.openxmlformats.org/officeDocument/2006/relationships" r:id="rId1"/>
          <a:extLst>
            <a:ext uri="{FF2B5EF4-FFF2-40B4-BE49-F238E27FC236}">
              <a16:creationId xmlns:a16="http://schemas.microsoft.com/office/drawing/2014/main" id="{ED2F9AF6-E8B9-48D3-919B-A2F3EECD8194}"/>
            </a:ext>
          </a:extLst>
        </xdr:cNvPr>
        <xdr:cNvSpPr/>
      </xdr:nvSpPr>
      <xdr:spPr>
        <a:xfrm>
          <a:off x="752475" y="238125"/>
          <a:ext cx="1181100" cy="28575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0</xdr:colOff>
      <xdr:row>0</xdr:row>
      <xdr:rowOff>238125</xdr:rowOff>
    </xdr:from>
    <xdr:to>
      <xdr:col>1</xdr:col>
      <xdr:colOff>409575</xdr:colOff>
      <xdr:row>0</xdr:row>
      <xdr:rowOff>523875</xdr:rowOff>
    </xdr:to>
    <xdr:sp macro="" textlink="">
      <xdr:nvSpPr>
        <xdr:cNvPr id="3" name="Rectángulo: esquinas redondeadas 2">
          <a:hlinkClick xmlns:r="http://schemas.openxmlformats.org/officeDocument/2006/relationships" r:id="rId1"/>
          <a:extLst>
            <a:ext uri="{FF2B5EF4-FFF2-40B4-BE49-F238E27FC236}">
              <a16:creationId xmlns:a16="http://schemas.microsoft.com/office/drawing/2014/main" id="{CE31AC0B-3E3D-41C1-AF72-BF1096BD1383}"/>
            </a:ext>
          </a:extLst>
        </xdr:cNvPr>
        <xdr:cNvSpPr/>
      </xdr:nvSpPr>
      <xdr:spPr>
        <a:xfrm>
          <a:off x="752475" y="238125"/>
          <a:ext cx="1181100" cy="28575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0</xdr:col>
      <xdr:colOff>752475</xdr:colOff>
      <xdr:row>0</xdr:row>
      <xdr:rowOff>238125</xdr:rowOff>
    </xdr:from>
    <xdr:to>
      <xdr:col>2</xdr:col>
      <xdr:colOff>409575</xdr:colOff>
      <xdr:row>0</xdr:row>
      <xdr:rowOff>523875</xdr:rowOff>
    </xdr:to>
    <xdr:sp macro="" textlink="">
      <xdr:nvSpPr>
        <xdr:cNvPr id="3" name="Rectángulo: esquinas redondeadas 2">
          <a:hlinkClick xmlns:r="http://schemas.openxmlformats.org/officeDocument/2006/relationships" r:id="rId1"/>
          <a:extLst>
            <a:ext uri="{FF2B5EF4-FFF2-40B4-BE49-F238E27FC236}">
              <a16:creationId xmlns:a16="http://schemas.microsoft.com/office/drawing/2014/main" id="{86ABE255-E756-487C-A001-4B94AE59DBDF}"/>
            </a:ext>
          </a:extLst>
        </xdr:cNvPr>
        <xdr:cNvSpPr/>
      </xdr:nvSpPr>
      <xdr:spPr>
        <a:xfrm>
          <a:off x="752475" y="238125"/>
          <a:ext cx="1181100" cy="28575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1</xdr:col>
      <xdr:colOff>752475</xdr:colOff>
      <xdr:row>0</xdr:row>
      <xdr:rowOff>238125</xdr:rowOff>
    </xdr:from>
    <xdr:to>
      <xdr:col>3</xdr:col>
      <xdr:colOff>409575</xdr:colOff>
      <xdr:row>0</xdr:row>
      <xdr:rowOff>523875</xdr:rowOff>
    </xdr:to>
    <xdr:sp macro="" textlink="">
      <xdr:nvSpPr>
        <xdr:cNvPr id="3" name="Rectángulo: esquinas redondeadas 2">
          <a:hlinkClick xmlns:r="http://schemas.openxmlformats.org/officeDocument/2006/relationships" r:id="rId1"/>
          <a:extLst>
            <a:ext uri="{FF2B5EF4-FFF2-40B4-BE49-F238E27FC236}">
              <a16:creationId xmlns:a16="http://schemas.microsoft.com/office/drawing/2014/main" id="{55D7E974-B1DE-497B-98BD-4CF4F6AF760D}"/>
            </a:ext>
          </a:extLst>
        </xdr:cNvPr>
        <xdr:cNvSpPr/>
      </xdr:nvSpPr>
      <xdr:spPr>
        <a:xfrm>
          <a:off x="752475" y="238125"/>
          <a:ext cx="1181100" cy="28575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0</xdr:col>
      <xdr:colOff>295275</xdr:colOff>
      <xdr:row>0</xdr:row>
      <xdr:rowOff>238125</xdr:rowOff>
    </xdr:from>
    <xdr:to>
      <xdr:col>3</xdr:col>
      <xdr:colOff>47625</xdr:colOff>
      <xdr:row>0</xdr:row>
      <xdr:rowOff>523875</xdr:rowOff>
    </xdr:to>
    <xdr:sp macro="" textlink="">
      <xdr:nvSpPr>
        <xdr:cNvPr id="3" name="Rectángulo: esquinas redondeadas 2">
          <a:hlinkClick xmlns:r="http://schemas.openxmlformats.org/officeDocument/2006/relationships" r:id="rId1"/>
          <a:extLst>
            <a:ext uri="{FF2B5EF4-FFF2-40B4-BE49-F238E27FC236}">
              <a16:creationId xmlns:a16="http://schemas.microsoft.com/office/drawing/2014/main" id="{F0A6F96F-E37C-4A5B-B216-6A4ACBD551EF}"/>
            </a:ext>
          </a:extLst>
        </xdr:cNvPr>
        <xdr:cNvSpPr/>
      </xdr:nvSpPr>
      <xdr:spPr>
        <a:xfrm>
          <a:off x="295275" y="238125"/>
          <a:ext cx="1288256" cy="28575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0</xdr:col>
      <xdr:colOff>314325</xdr:colOff>
      <xdr:row>0</xdr:row>
      <xdr:rowOff>238125</xdr:rowOff>
    </xdr:from>
    <xdr:to>
      <xdr:col>3</xdr:col>
      <xdr:colOff>116417</xdr:colOff>
      <xdr:row>0</xdr:row>
      <xdr:rowOff>523875</xdr:rowOff>
    </xdr:to>
    <xdr:sp macro="" textlink="">
      <xdr:nvSpPr>
        <xdr:cNvPr id="3" name="Rectángulo: esquinas redondeadas 2">
          <a:hlinkClick xmlns:r="http://schemas.openxmlformats.org/officeDocument/2006/relationships" r:id="rId1"/>
          <a:extLst>
            <a:ext uri="{FF2B5EF4-FFF2-40B4-BE49-F238E27FC236}">
              <a16:creationId xmlns:a16="http://schemas.microsoft.com/office/drawing/2014/main" id="{D4AF1FEC-F722-4E86-8D8D-28EB6AECD6EF}"/>
            </a:ext>
          </a:extLst>
        </xdr:cNvPr>
        <xdr:cNvSpPr/>
      </xdr:nvSpPr>
      <xdr:spPr>
        <a:xfrm>
          <a:off x="314325" y="238125"/>
          <a:ext cx="1453092" cy="28575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0</xdr:col>
      <xdr:colOff>752475</xdr:colOff>
      <xdr:row>0</xdr:row>
      <xdr:rowOff>238125</xdr:rowOff>
    </xdr:from>
    <xdr:to>
      <xdr:col>2</xdr:col>
      <xdr:colOff>409575</xdr:colOff>
      <xdr:row>0</xdr:row>
      <xdr:rowOff>523875</xdr:rowOff>
    </xdr:to>
    <xdr:sp macro="" textlink="">
      <xdr:nvSpPr>
        <xdr:cNvPr id="3" name="Rectángulo: esquinas redondeadas 2">
          <a:hlinkClick xmlns:r="http://schemas.openxmlformats.org/officeDocument/2006/relationships" r:id="rId1"/>
          <a:extLst>
            <a:ext uri="{FF2B5EF4-FFF2-40B4-BE49-F238E27FC236}">
              <a16:creationId xmlns:a16="http://schemas.microsoft.com/office/drawing/2014/main" id="{DC57868B-13A8-4524-8201-2E020DE23037}"/>
            </a:ext>
          </a:extLst>
        </xdr:cNvPr>
        <xdr:cNvSpPr/>
      </xdr:nvSpPr>
      <xdr:spPr>
        <a:xfrm>
          <a:off x="752475" y="238125"/>
          <a:ext cx="1181100" cy="28575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600075</xdr:colOff>
      <xdr:row>2</xdr:row>
      <xdr:rowOff>19050</xdr:rowOff>
    </xdr:from>
    <xdr:to>
      <xdr:col>9</xdr:col>
      <xdr:colOff>333375</xdr:colOff>
      <xdr:row>17</xdr:row>
      <xdr:rowOff>28575</xdr:rowOff>
    </xdr:to>
    <xdr:pic>
      <xdr:nvPicPr>
        <xdr:cNvPr id="2" name="Imagen 1">
          <a:extLst>
            <a:ext uri="{FF2B5EF4-FFF2-40B4-BE49-F238E27FC236}">
              <a16:creationId xmlns:a16="http://schemas.microsoft.com/office/drawing/2014/main" id="{F4051673-8F37-4FE2-88A6-22A863100D7A}"/>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362575" y="495300"/>
          <a:ext cx="3543300" cy="3543300"/>
        </a:xfrm>
        <a:prstGeom prst="rect">
          <a:avLst/>
        </a:prstGeom>
        <a:noFill/>
        <a:ln>
          <a:noFill/>
        </a:ln>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710144</xdr:colOff>
      <xdr:row>0</xdr:row>
      <xdr:rowOff>238125</xdr:rowOff>
    </xdr:from>
    <xdr:to>
      <xdr:col>1</xdr:col>
      <xdr:colOff>1534584</xdr:colOff>
      <xdr:row>0</xdr:row>
      <xdr:rowOff>523875</xdr:rowOff>
    </xdr:to>
    <xdr:sp macro="" textlink="">
      <xdr:nvSpPr>
        <xdr:cNvPr id="2" name="Rectángulo: esquinas redondeadas 1">
          <a:hlinkClick xmlns:r="http://schemas.openxmlformats.org/officeDocument/2006/relationships" r:id="rId1"/>
          <a:extLst>
            <a:ext uri="{FF2B5EF4-FFF2-40B4-BE49-F238E27FC236}">
              <a16:creationId xmlns:a16="http://schemas.microsoft.com/office/drawing/2014/main" id="{5FC0E6FE-4B7F-4155-977B-6C7CF6EFE75B}"/>
            </a:ext>
          </a:extLst>
        </xdr:cNvPr>
        <xdr:cNvSpPr/>
      </xdr:nvSpPr>
      <xdr:spPr>
        <a:xfrm>
          <a:off x="710144" y="238125"/>
          <a:ext cx="1586440" cy="285750"/>
        </a:xfrm>
        <a:prstGeom prst="roundRect">
          <a:avLst/>
        </a:prstGeom>
        <a:solidFill>
          <a:schemeClr val="accent1">
            <a:lumMod val="20000"/>
            <a:lumOff val="80000"/>
          </a:schemeClr>
        </a:solidFill>
        <a:ln>
          <a:solidFill>
            <a:schemeClr val="accent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twoCellAnchor>
    <xdr:from>
      <xdr:col>4</xdr:col>
      <xdr:colOff>319765</xdr:colOff>
      <xdr:row>17</xdr:row>
      <xdr:rowOff>54430</xdr:rowOff>
    </xdr:from>
    <xdr:to>
      <xdr:col>9</xdr:col>
      <xdr:colOff>625927</xdr:colOff>
      <xdr:row>30</xdr:row>
      <xdr:rowOff>40820</xdr:rowOff>
    </xdr:to>
    <xdr:graphicFrame macro="">
      <xdr:nvGraphicFramePr>
        <xdr:cNvPr id="3" name="Gráfico 2">
          <a:extLst>
            <a:ext uri="{FF2B5EF4-FFF2-40B4-BE49-F238E27FC236}">
              <a16:creationId xmlns:a16="http://schemas.microsoft.com/office/drawing/2014/main" id="{7C652CA2-4199-4A96-977C-3B0D83C7D2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11</xdr:col>
      <xdr:colOff>273844</xdr:colOff>
      <xdr:row>2</xdr:row>
      <xdr:rowOff>11906</xdr:rowOff>
    </xdr:from>
    <xdr:to>
      <xdr:col>14</xdr:col>
      <xdr:colOff>1697832</xdr:colOff>
      <xdr:row>7</xdr:row>
      <xdr:rowOff>411956</xdr:rowOff>
    </xdr:to>
    <xdr:pic>
      <xdr:nvPicPr>
        <xdr:cNvPr id="4" name="Imagen 3">
          <a:extLst>
            <a:ext uri="{FF2B5EF4-FFF2-40B4-BE49-F238E27FC236}">
              <a16:creationId xmlns:a16="http://schemas.microsoft.com/office/drawing/2014/main" id="{EF4A721D-EC93-4D42-8BF5-48F4B6DFD3D8}"/>
            </a:ext>
          </a:extLst>
        </xdr:cNvPr>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5120938" y="952500"/>
          <a:ext cx="3543300" cy="3543300"/>
        </a:xfrm>
        <a:prstGeom prst="rect">
          <a:avLst/>
        </a:prstGeom>
        <a:noFill/>
        <a:ln>
          <a:noFill/>
        </a:ln>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575582</xdr:colOff>
      <xdr:row>0</xdr:row>
      <xdr:rowOff>176893</xdr:rowOff>
    </xdr:from>
    <xdr:to>
      <xdr:col>0</xdr:col>
      <xdr:colOff>2204357</xdr:colOff>
      <xdr:row>0</xdr:row>
      <xdr:rowOff>523875</xdr:rowOff>
    </xdr:to>
    <xdr:sp macro="" textlink="">
      <xdr:nvSpPr>
        <xdr:cNvPr id="3" name="Rectángulo: esquinas redondeadas 2">
          <a:hlinkClick xmlns:r="http://schemas.openxmlformats.org/officeDocument/2006/relationships" r:id="rId1"/>
          <a:extLst>
            <a:ext uri="{FF2B5EF4-FFF2-40B4-BE49-F238E27FC236}">
              <a16:creationId xmlns:a16="http://schemas.microsoft.com/office/drawing/2014/main" id="{F572E3C2-A315-4012-A914-E6B6C8EB05F7}"/>
            </a:ext>
          </a:extLst>
        </xdr:cNvPr>
        <xdr:cNvSpPr/>
      </xdr:nvSpPr>
      <xdr:spPr>
        <a:xfrm>
          <a:off x="575582" y="176893"/>
          <a:ext cx="1628775" cy="346982"/>
        </a:xfrm>
        <a:prstGeom prst="roundRect">
          <a:avLst/>
        </a:prstGeom>
        <a:solidFill>
          <a:schemeClr val="accent1">
            <a:lumMod val="20000"/>
            <a:lumOff val="80000"/>
          </a:schemeClr>
        </a:solidFill>
        <a:ln>
          <a:solidFill>
            <a:schemeClr val="accent1">
              <a:lumMod val="60000"/>
              <a:lumOff val="40000"/>
            </a:schemeClr>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twoCellAnchor>
    <xdr:from>
      <xdr:col>30</xdr:col>
      <xdr:colOff>442910</xdr:colOff>
      <xdr:row>17</xdr:row>
      <xdr:rowOff>8616</xdr:rowOff>
    </xdr:from>
    <xdr:to>
      <xdr:col>42</xdr:col>
      <xdr:colOff>546099</xdr:colOff>
      <xdr:row>30</xdr:row>
      <xdr:rowOff>1733549</xdr:rowOff>
    </xdr:to>
    <xdr:graphicFrame macro="">
      <xdr:nvGraphicFramePr>
        <xdr:cNvPr id="4" name="Gráfico 3">
          <a:extLst>
            <a:ext uri="{FF2B5EF4-FFF2-40B4-BE49-F238E27FC236}">
              <a16:creationId xmlns:a16="http://schemas.microsoft.com/office/drawing/2014/main" id="{2F9DA8A6-869C-4C71-B6CB-D16B1D07B4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29</xdr:col>
      <xdr:colOff>495300</xdr:colOff>
      <xdr:row>73</xdr:row>
      <xdr:rowOff>171450</xdr:rowOff>
    </xdr:from>
    <xdr:to>
      <xdr:col>43</xdr:col>
      <xdr:colOff>38100</xdr:colOff>
      <xdr:row>98</xdr:row>
      <xdr:rowOff>152400</xdr:rowOff>
    </xdr:to>
    <xdr:graphicFrame macro="">
      <xdr:nvGraphicFramePr>
        <xdr:cNvPr id="5" name="Gráfico 4">
          <a:extLst>
            <a:ext uri="{FF2B5EF4-FFF2-40B4-BE49-F238E27FC236}">
              <a16:creationId xmlns:a16="http://schemas.microsoft.com/office/drawing/2014/main" id="{47521083-FD90-4620-9714-6BEB9B3FA8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29</xdr:col>
      <xdr:colOff>371474</xdr:colOff>
      <xdr:row>132</xdr:row>
      <xdr:rowOff>47624</xdr:rowOff>
    </xdr:from>
    <xdr:to>
      <xdr:col>42</xdr:col>
      <xdr:colOff>571500</xdr:colOff>
      <xdr:row>158</xdr:row>
      <xdr:rowOff>133350</xdr:rowOff>
    </xdr:to>
    <xdr:graphicFrame macro="">
      <xdr:nvGraphicFramePr>
        <xdr:cNvPr id="6" name="Gráfico 5">
          <a:extLst>
            <a:ext uri="{FF2B5EF4-FFF2-40B4-BE49-F238E27FC236}">
              <a16:creationId xmlns:a16="http://schemas.microsoft.com/office/drawing/2014/main" id="{929DAE4F-1B98-46E7-933D-02F24E98A6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30</xdr:col>
      <xdr:colOff>329044</xdr:colOff>
      <xdr:row>32</xdr:row>
      <xdr:rowOff>117762</xdr:rowOff>
    </xdr:from>
    <xdr:to>
      <xdr:col>43</xdr:col>
      <xdr:colOff>571500</xdr:colOff>
      <xdr:row>62</xdr:row>
      <xdr:rowOff>69273</xdr:rowOff>
    </xdr:to>
    <xdr:graphicFrame macro="">
      <xdr:nvGraphicFramePr>
        <xdr:cNvPr id="9" name="Gráfico 8">
          <a:extLst>
            <a:ext uri="{FF2B5EF4-FFF2-40B4-BE49-F238E27FC236}">
              <a16:creationId xmlns:a16="http://schemas.microsoft.com/office/drawing/2014/main" id="{0F6C5F57-6458-4CE0-B9BC-92417A89F2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29</xdr:col>
      <xdr:colOff>519546</xdr:colOff>
      <xdr:row>100</xdr:row>
      <xdr:rowOff>51955</xdr:rowOff>
    </xdr:from>
    <xdr:to>
      <xdr:col>42</xdr:col>
      <xdr:colOff>571500</xdr:colOff>
      <xdr:row>125</xdr:row>
      <xdr:rowOff>69273</xdr:rowOff>
    </xdr:to>
    <xdr:graphicFrame macro="">
      <xdr:nvGraphicFramePr>
        <xdr:cNvPr id="10" name="Gráfico 9">
          <a:extLst>
            <a:ext uri="{FF2B5EF4-FFF2-40B4-BE49-F238E27FC236}">
              <a16:creationId xmlns:a16="http://schemas.microsoft.com/office/drawing/2014/main" id="{E42BB335-A567-4C02-8D36-6BEE078D2B0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29</xdr:col>
      <xdr:colOff>346364</xdr:colOff>
      <xdr:row>160</xdr:row>
      <xdr:rowOff>86591</xdr:rowOff>
    </xdr:from>
    <xdr:to>
      <xdr:col>43</xdr:col>
      <xdr:colOff>155864</xdr:colOff>
      <xdr:row>192</xdr:row>
      <xdr:rowOff>-1</xdr:rowOff>
    </xdr:to>
    <xdr:graphicFrame macro="">
      <xdr:nvGraphicFramePr>
        <xdr:cNvPr id="11" name="Gráfico 10">
          <a:extLst>
            <a:ext uri="{FF2B5EF4-FFF2-40B4-BE49-F238E27FC236}">
              <a16:creationId xmlns:a16="http://schemas.microsoft.com/office/drawing/2014/main" id="{4F7F650F-5085-48F5-A311-89C1D62175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1396999</xdr:colOff>
      <xdr:row>97</xdr:row>
      <xdr:rowOff>63500</xdr:rowOff>
    </xdr:from>
    <xdr:to>
      <xdr:col>1</xdr:col>
      <xdr:colOff>1016000</xdr:colOff>
      <xdr:row>100</xdr:row>
      <xdr:rowOff>132772</xdr:rowOff>
    </xdr:to>
    <xdr:sp macro="" textlink="">
      <xdr:nvSpPr>
        <xdr:cNvPr id="15" name="Rectángulo: esquinas redondeadas 14">
          <a:hlinkClick xmlns:r="http://schemas.openxmlformats.org/officeDocument/2006/relationships" r:id="rId8"/>
          <a:extLst>
            <a:ext uri="{FF2B5EF4-FFF2-40B4-BE49-F238E27FC236}">
              <a16:creationId xmlns:a16="http://schemas.microsoft.com/office/drawing/2014/main" id="{8B83D8D3-3715-43A7-8EC2-52FFD9690EA5}"/>
            </a:ext>
          </a:extLst>
        </xdr:cNvPr>
        <xdr:cNvSpPr/>
      </xdr:nvSpPr>
      <xdr:spPr>
        <a:xfrm>
          <a:off x="1396999" y="28527375"/>
          <a:ext cx="2587626" cy="640772"/>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400"/>
            <a:t>Ver</a:t>
          </a:r>
          <a:r>
            <a:rPr lang="es-AR" sz="1400" baseline="0"/>
            <a:t> Anexo Capacidad Operativa</a:t>
          </a:r>
          <a:endParaRPr lang="es-AR" sz="1400"/>
        </a:p>
      </xdr:txBody>
    </xdr:sp>
    <xdr:clientData/>
  </xdr:twoCellAnchor>
  <xdr:twoCellAnchor>
    <xdr:from>
      <xdr:col>0</xdr:col>
      <xdr:colOff>1317625</xdr:colOff>
      <xdr:row>36</xdr:row>
      <xdr:rowOff>111125</xdr:rowOff>
    </xdr:from>
    <xdr:to>
      <xdr:col>1</xdr:col>
      <xdr:colOff>936626</xdr:colOff>
      <xdr:row>39</xdr:row>
      <xdr:rowOff>180397</xdr:rowOff>
    </xdr:to>
    <xdr:sp macro="" textlink="">
      <xdr:nvSpPr>
        <xdr:cNvPr id="16" name="Rectángulo: esquinas redondeadas 15">
          <a:hlinkClick xmlns:r="http://schemas.openxmlformats.org/officeDocument/2006/relationships" r:id="rId8"/>
          <a:extLst>
            <a:ext uri="{FF2B5EF4-FFF2-40B4-BE49-F238E27FC236}">
              <a16:creationId xmlns:a16="http://schemas.microsoft.com/office/drawing/2014/main" id="{BCD8EB8A-1A07-422B-9A36-46626E7D50F6}"/>
            </a:ext>
          </a:extLst>
        </xdr:cNvPr>
        <xdr:cNvSpPr/>
      </xdr:nvSpPr>
      <xdr:spPr>
        <a:xfrm>
          <a:off x="1317625" y="13731875"/>
          <a:ext cx="2587626" cy="640772"/>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400"/>
            <a:t>Ver</a:t>
          </a:r>
          <a:r>
            <a:rPr lang="es-AR" sz="1400" baseline="0"/>
            <a:t> Anexo Capacidad Operativa</a:t>
          </a:r>
          <a:endParaRPr lang="es-AR" sz="1400"/>
        </a:p>
      </xdr:txBody>
    </xdr:sp>
    <xdr:clientData/>
  </xdr:twoCellAnchor>
  <xdr:twoCellAnchor>
    <xdr:from>
      <xdr:col>0</xdr:col>
      <xdr:colOff>1285875</xdr:colOff>
      <xdr:row>159</xdr:row>
      <xdr:rowOff>158750</xdr:rowOff>
    </xdr:from>
    <xdr:to>
      <xdr:col>1</xdr:col>
      <xdr:colOff>904876</xdr:colOff>
      <xdr:row>163</xdr:row>
      <xdr:rowOff>37522</xdr:rowOff>
    </xdr:to>
    <xdr:sp macro="" textlink="">
      <xdr:nvSpPr>
        <xdr:cNvPr id="17" name="Rectángulo: esquinas redondeadas 16">
          <a:hlinkClick xmlns:r="http://schemas.openxmlformats.org/officeDocument/2006/relationships" r:id="rId8"/>
          <a:extLst>
            <a:ext uri="{FF2B5EF4-FFF2-40B4-BE49-F238E27FC236}">
              <a16:creationId xmlns:a16="http://schemas.microsoft.com/office/drawing/2014/main" id="{5736D737-38BE-481F-9632-9A0585D8973D}"/>
            </a:ext>
          </a:extLst>
        </xdr:cNvPr>
        <xdr:cNvSpPr/>
      </xdr:nvSpPr>
      <xdr:spPr>
        <a:xfrm>
          <a:off x="1285875" y="42179875"/>
          <a:ext cx="2587626" cy="640772"/>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400"/>
            <a:t>Ver</a:t>
          </a:r>
          <a:r>
            <a:rPr lang="es-AR" sz="1400" baseline="0"/>
            <a:t> Anexo Capacidad Operativa</a:t>
          </a:r>
          <a:endParaRPr lang="es-AR" sz="14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95250</xdr:colOff>
      <xdr:row>0</xdr:row>
      <xdr:rowOff>238125</xdr:rowOff>
    </xdr:from>
    <xdr:to>
      <xdr:col>1</xdr:col>
      <xdr:colOff>1581150</xdr:colOff>
      <xdr:row>0</xdr:row>
      <xdr:rowOff>523875</xdr:rowOff>
    </xdr:to>
    <xdr:sp macro="" textlink="">
      <xdr:nvSpPr>
        <xdr:cNvPr id="4" name="Rectángulo: esquinas redondeadas 3">
          <a:hlinkClick xmlns:r="http://schemas.openxmlformats.org/officeDocument/2006/relationships" r:id="rId1"/>
          <a:extLst>
            <a:ext uri="{FF2B5EF4-FFF2-40B4-BE49-F238E27FC236}">
              <a16:creationId xmlns:a16="http://schemas.microsoft.com/office/drawing/2014/main" id="{0BD6CB56-49D1-41F8-A6A2-EEAEAE6F64D8}"/>
            </a:ext>
          </a:extLst>
        </xdr:cNvPr>
        <xdr:cNvSpPr/>
      </xdr:nvSpPr>
      <xdr:spPr>
        <a:xfrm>
          <a:off x="1409700" y="238125"/>
          <a:ext cx="1485900" cy="28575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100"/>
            <a:t>Volver a Proy. ventas</a:t>
          </a:r>
        </a:p>
      </xdr:txBody>
    </xdr:sp>
    <xdr:clientData/>
  </xdr:twoCellAnchor>
  <xdr:twoCellAnchor>
    <xdr:from>
      <xdr:col>0</xdr:col>
      <xdr:colOff>114300</xdr:colOff>
      <xdr:row>0</xdr:row>
      <xdr:rowOff>238125</xdr:rowOff>
    </xdr:from>
    <xdr:to>
      <xdr:col>0</xdr:col>
      <xdr:colOff>1228725</xdr:colOff>
      <xdr:row>0</xdr:row>
      <xdr:rowOff>523875</xdr:rowOff>
    </xdr:to>
    <xdr:sp macro="" textlink="">
      <xdr:nvSpPr>
        <xdr:cNvPr id="7" name="Rectángulo: esquinas redondeadas 6">
          <a:hlinkClick xmlns:r="http://schemas.openxmlformats.org/officeDocument/2006/relationships" r:id="rId2"/>
          <a:extLst>
            <a:ext uri="{FF2B5EF4-FFF2-40B4-BE49-F238E27FC236}">
              <a16:creationId xmlns:a16="http://schemas.microsoft.com/office/drawing/2014/main" id="{EE9074D6-8650-40CA-BBBF-8B6127FE5EE8}"/>
            </a:ext>
          </a:extLst>
        </xdr:cNvPr>
        <xdr:cNvSpPr/>
      </xdr:nvSpPr>
      <xdr:spPr>
        <a:xfrm>
          <a:off x="114300" y="238125"/>
          <a:ext cx="1114425" cy="28575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752475</xdr:colOff>
      <xdr:row>0</xdr:row>
      <xdr:rowOff>238125</xdr:rowOff>
    </xdr:from>
    <xdr:to>
      <xdr:col>2</xdr:col>
      <xdr:colOff>409575</xdr:colOff>
      <xdr:row>0</xdr:row>
      <xdr:rowOff>523875</xdr:rowOff>
    </xdr:to>
    <xdr:sp macro="" textlink="">
      <xdr:nvSpPr>
        <xdr:cNvPr id="3" name="Rectángulo: esquinas redondeadas 2">
          <a:hlinkClick xmlns:r="http://schemas.openxmlformats.org/officeDocument/2006/relationships" r:id="rId1"/>
          <a:extLst>
            <a:ext uri="{FF2B5EF4-FFF2-40B4-BE49-F238E27FC236}">
              <a16:creationId xmlns:a16="http://schemas.microsoft.com/office/drawing/2014/main" id="{D17ECC99-AC21-4EF9-AAA0-096DD587B40D}"/>
            </a:ext>
          </a:extLst>
        </xdr:cNvPr>
        <xdr:cNvSpPr/>
      </xdr:nvSpPr>
      <xdr:spPr>
        <a:xfrm>
          <a:off x="752475" y="238125"/>
          <a:ext cx="1181100" cy="28575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twoCellAnchor>
    <xdr:from>
      <xdr:col>9</xdr:col>
      <xdr:colOff>59573</xdr:colOff>
      <xdr:row>3</xdr:row>
      <xdr:rowOff>9520</xdr:rowOff>
    </xdr:from>
    <xdr:to>
      <xdr:col>21</xdr:col>
      <xdr:colOff>471490</xdr:colOff>
      <xdr:row>39</xdr:row>
      <xdr:rowOff>81134</xdr:rowOff>
    </xdr:to>
    <xdr:graphicFrame macro="">
      <xdr:nvGraphicFramePr>
        <xdr:cNvPr id="4" name="Gráfico 3">
          <a:extLst>
            <a:ext uri="{FF2B5EF4-FFF2-40B4-BE49-F238E27FC236}">
              <a16:creationId xmlns:a16="http://schemas.microsoft.com/office/drawing/2014/main" id="{69832ACF-0F35-4E72-9ED4-3750225CB5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102892</xdr:colOff>
      <xdr:row>41</xdr:row>
      <xdr:rowOff>16143</xdr:rowOff>
    </xdr:from>
    <xdr:to>
      <xdr:col>7</xdr:col>
      <xdr:colOff>807204</xdr:colOff>
      <xdr:row>79</xdr:row>
      <xdr:rowOff>129151</xdr:rowOff>
    </xdr:to>
    <xdr:graphicFrame macro="">
      <xdr:nvGraphicFramePr>
        <xdr:cNvPr id="5" name="Gráfico 4">
          <a:extLst>
            <a:ext uri="{FF2B5EF4-FFF2-40B4-BE49-F238E27FC236}">
              <a16:creationId xmlns:a16="http://schemas.microsoft.com/office/drawing/2014/main" id="{D789AC21-0B30-4AF6-A357-9CB0E79AF6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32125</xdr:colOff>
      <xdr:row>41</xdr:row>
      <xdr:rowOff>16144</xdr:rowOff>
    </xdr:from>
    <xdr:to>
      <xdr:col>21</xdr:col>
      <xdr:colOff>468178</xdr:colOff>
      <xdr:row>79</xdr:row>
      <xdr:rowOff>129152</xdr:rowOff>
    </xdr:to>
    <xdr:graphicFrame macro="">
      <xdr:nvGraphicFramePr>
        <xdr:cNvPr id="6" name="Gráfico 5">
          <a:extLst>
            <a:ext uri="{FF2B5EF4-FFF2-40B4-BE49-F238E27FC236}">
              <a16:creationId xmlns:a16="http://schemas.microsoft.com/office/drawing/2014/main" id="{37AD291C-126F-49A7-89F7-F114102F5C9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752475</xdr:colOff>
      <xdr:row>0</xdr:row>
      <xdr:rowOff>238125</xdr:rowOff>
    </xdr:from>
    <xdr:to>
      <xdr:col>2</xdr:col>
      <xdr:colOff>409575</xdr:colOff>
      <xdr:row>0</xdr:row>
      <xdr:rowOff>523875</xdr:rowOff>
    </xdr:to>
    <xdr:sp macro="" textlink="">
      <xdr:nvSpPr>
        <xdr:cNvPr id="3" name="Rectángulo: esquinas redondeadas 2">
          <a:hlinkClick xmlns:r="http://schemas.openxmlformats.org/officeDocument/2006/relationships" r:id="rId1"/>
          <a:extLst>
            <a:ext uri="{FF2B5EF4-FFF2-40B4-BE49-F238E27FC236}">
              <a16:creationId xmlns:a16="http://schemas.microsoft.com/office/drawing/2014/main" id="{0682C863-661A-452B-9063-A603E1ADF416}"/>
            </a:ext>
          </a:extLst>
        </xdr:cNvPr>
        <xdr:cNvSpPr/>
      </xdr:nvSpPr>
      <xdr:spPr>
        <a:xfrm>
          <a:off x="752475" y="238125"/>
          <a:ext cx="1181100" cy="28575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752475</xdr:colOff>
      <xdr:row>0</xdr:row>
      <xdr:rowOff>238125</xdr:rowOff>
    </xdr:from>
    <xdr:to>
      <xdr:col>2</xdr:col>
      <xdr:colOff>0</xdr:colOff>
      <xdr:row>0</xdr:row>
      <xdr:rowOff>523875</xdr:rowOff>
    </xdr:to>
    <xdr:sp macro="" textlink="">
      <xdr:nvSpPr>
        <xdr:cNvPr id="3" name="Rectángulo: esquinas redondeadas 2">
          <a:hlinkClick xmlns:r="http://schemas.openxmlformats.org/officeDocument/2006/relationships" r:id="rId1"/>
          <a:extLst>
            <a:ext uri="{FF2B5EF4-FFF2-40B4-BE49-F238E27FC236}">
              <a16:creationId xmlns:a16="http://schemas.microsoft.com/office/drawing/2014/main" id="{D7580633-A34A-4A44-A585-87E0792E7792}"/>
            </a:ext>
          </a:extLst>
        </xdr:cNvPr>
        <xdr:cNvSpPr/>
      </xdr:nvSpPr>
      <xdr:spPr>
        <a:xfrm>
          <a:off x="752475" y="238125"/>
          <a:ext cx="1181100" cy="28575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752475</xdr:colOff>
      <xdr:row>0</xdr:row>
      <xdr:rowOff>238125</xdr:rowOff>
    </xdr:from>
    <xdr:to>
      <xdr:col>2</xdr:col>
      <xdr:colOff>409575</xdr:colOff>
      <xdr:row>0</xdr:row>
      <xdr:rowOff>523875</xdr:rowOff>
    </xdr:to>
    <xdr:sp macro="" textlink="">
      <xdr:nvSpPr>
        <xdr:cNvPr id="3" name="Rectángulo: esquinas redondeadas 2">
          <a:hlinkClick xmlns:r="http://schemas.openxmlformats.org/officeDocument/2006/relationships" r:id="rId1"/>
          <a:extLst>
            <a:ext uri="{FF2B5EF4-FFF2-40B4-BE49-F238E27FC236}">
              <a16:creationId xmlns:a16="http://schemas.microsoft.com/office/drawing/2014/main" id="{33C79AE7-9846-4F41-8A4D-A53479BEFC57}"/>
            </a:ext>
          </a:extLst>
        </xdr:cNvPr>
        <xdr:cNvSpPr/>
      </xdr:nvSpPr>
      <xdr:spPr>
        <a:xfrm>
          <a:off x="752475" y="238125"/>
          <a:ext cx="1181100" cy="28575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cristiangentile1@gmail.com" TargetMode="Externa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2" Type="http://schemas.openxmlformats.org/officeDocument/2006/relationships/hyperlink" Target="https://www.indec.gob.ar/indec/web/Nivel4-Tema-2-24-85" TargetMode="External"/><Relationship Id="rId1" Type="http://schemas.openxmlformats.org/officeDocument/2006/relationships/hyperlink" Target="https://propamba.wordpress.com/amba/que-es-el-amba/"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dimension ref="C9:C36"/>
  <sheetViews>
    <sheetView zoomScale="80" zoomScaleNormal="80" workbookViewId="0">
      <selection activeCell="I22" sqref="I22"/>
    </sheetView>
  </sheetViews>
  <sheetFormatPr baseColWidth="10" defaultColWidth="11.42578125" defaultRowHeight="15" x14ac:dyDescent="0.25"/>
  <cols>
    <col min="1" max="1" width="11.42578125" style="1"/>
    <col min="2" max="2" width="12.5703125" style="1" customWidth="1"/>
    <col min="3" max="16384" width="11.42578125" style="1"/>
  </cols>
  <sheetData>
    <row r="9" spans="3:3" ht="28.5" x14ac:dyDescent="0.45">
      <c r="C9" s="2" t="s">
        <v>0</v>
      </c>
    </row>
    <row r="31" spans="3:3" ht="18" x14ac:dyDescent="0.25">
      <c r="C31" s="3" t="s">
        <v>370</v>
      </c>
    </row>
    <row r="32" spans="3:3" ht="18" x14ac:dyDescent="0.25">
      <c r="C32" s="3" t="s">
        <v>371</v>
      </c>
    </row>
    <row r="33" spans="3:3" ht="18" x14ac:dyDescent="0.25">
      <c r="C33" s="3" t="s">
        <v>372</v>
      </c>
    </row>
    <row r="34" spans="3:3" ht="18" x14ac:dyDescent="0.25">
      <c r="C34" s="3" t="s">
        <v>373</v>
      </c>
    </row>
    <row r="35" spans="3:3" ht="18" x14ac:dyDescent="0.25">
      <c r="C35" s="3" t="s">
        <v>374</v>
      </c>
    </row>
    <row r="36" spans="3:3" ht="18" x14ac:dyDescent="0.25">
      <c r="C36" s="3" t="s">
        <v>375</v>
      </c>
    </row>
  </sheetData>
  <hyperlinks>
    <hyperlink ref="C36" r:id="rId1" display="mailto:cristiangentile1@gmail.com" xr:uid="{00000000-0004-0000-0000-000000000000}"/>
  </hyperlinks>
  <pageMargins left="0.7" right="0.7" top="0.75" bottom="0.75" header="0.3" footer="0.3"/>
  <pageSetup paperSize="9" orientation="portrait" horizontalDpi="300" verticalDpi="300"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O14"/>
  <sheetViews>
    <sheetView topLeftCell="E1" zoomScale="90" zoomScaleNormal="90" workbookViewId="0">
      <pane ySplit="1" topLeftCell="A2" activePane="bottomLeft" state="frozen"/>
      <selection pane="bottomLeft" sqref="A1:O1"/>
    </sheetView>
  </sheetViews>
  <sheetFormatPr baseColWidth="10" defaultColWidth="11.42578125" defaultRowHeight="15" x14ac:dyDescent="0.25"/>
  <cols>
    <col min="1" max="1" width="17.7109375" style="1" customWidth="1"/>
    <col min="2" max="3" width="15.28515625" style="1" bestFit="1" customWidth="1"/>
    <col min="4" max="4" width="18.42578125" style="1" customWidth="1"/>
    <col min="5" max="7" width="11.42578125" style="1"/>
    <col min="8" max="8" width="15.5703125" style="1" customWidth="1"/>
    <col min="9" max="16384" width="11.42578125" style="1"/>
  </cols>
  <sheetData>
    <row r="1" spans="1:15" s="654" customFormat="1" ht="58.5" customHeight="1" x14ac:dyDescent="0.25">
      <c r="A1" s="656"/>
      <c r="B1" s="656"/>
      <c r="C1" s="656"/>
      <c r="D1" s="656"/>
      <c r="E1" s="656"/>
      <c r="F1" s="659" t="s">
        <v>7</v>
      </c>
      <c r="G1" s="660"/>
      <c r="H1" s="660"/>
      <c r="I1" s="656"/>
      <c r="J1" s="656"/>
      <c r="K1" s="656"/>
      <c r="L1" s="656"/>
      <c r="M1" s="656"/>
      <c r="N1" s="656"/>
      <c r="O1" s="656"/>
    </row>
    <row r="2" spans="1:15" ht="15.75" thickBot="1" x14ac:dyDescent="0.3"/>
    <row r="3" spans="1:15" ht="27" thickBot="1" x14ac:dyDescent="0.45">
      <c r="B3" s="663" t="s">
        <v>35</v>
      </c>
      <c r="C3" s="664"/>
      <c r="D3" s="665"/>
    </row>
    <row r="4" spans="1:15" x14ac:dyDescent="0.25">
      <c r="B4" s="34">
        <v>2019</v>
      </c>
      <c r="C4" s="34">
        <v>2020</v>
      </c>
      <c r="D4" s="34">
        <v>2021</v>
      </c>
    </row>
    <row r="5" spans="1:15" x14ac:dyDescent="0.25">
      <c r="B5" s="40">
        <f>Hipótesis!C24</f>
        <v>4.9599999999999998E-2</v>
      </c>
      <c r="C5" s="40">
        <f>Hipótesis!C25</f>
        <v>0.1078904648</v>
      </c>
      <c r="D5" s="40">
        <f>Hipótesis!C26</f>
        <v>0.17066814759999999</v>
      </c>
    </row>
    <row r="6" spans="1:15" x14ac:dyDescent="0.25">
      <c r="B6" s="33">
        <f>Hipótesis!D24</f>
        <v>301216832</v>
      </c>
      <c r="C6" s="33">
        <f>Hipótesis!D25</f>
        <v>655210161.49321604</v>
      </c>
      <c r="D6" s="33">
        <f>Hipótesis!D26</f>
        <v>1036454006.9229919</v>
      </c>
    </row>
    <row r="7" spans="1:15" ht="15.75" thickBot="1" x14ac:dyDescent="0.3">
      <c r="B7" s="340"/>
      <c r="C7" s="340"/>
      <c r="D7" s="340"/>
    </row>
    <row r="8" spans="1:15" ht="27" thickBot="1" x14ac:dyDescent="0.45">
      <c r="B8" s="663" t="s">
        <v>225</v>
      </c>
      <c r="C8" s="664"/>
      <c r="D8" s="665"/>
    </row>
    <row r="9" spans="1:15" x14ac:dyDescent="0.25">
      <c r="B9" s="34">
        <v>2019</v>
      </c>
      <c r="C9" s="34">
        <v>2020</v>
      </c>
      <c r="D9" s="34">
        <v>2021</v>
      </c>
    </row>
    <row r="10" spans="1:15" x14ac:dyDescent="0.25">
      <c r="A10" s="447" t="s">
        <v>222</v>
      </c>
      <c r="B10" s="446">
        <f>'Costos fijos'!$G$5</f>
        <v>2343935.7000000002</v>
      </c>
      <c r="C10" s="446">
        <f>'Costos fijos'!$H$5</f>
        <v>2614351.9749999996</v>
      </c>
      <c r="D10" s="446">
        <f>'Costos fijos'!$I$5</f>
        <v>2971977.4835000001</v>
      </c>
    </row>
    <row r="11" spans="1:15" x14ac:dyDescent="0.25">
      <c r="A11" s="447" t="s">
        <v>223</v>
      </c>
      <c r="B11" s="446" t="e">
        <f>'Costos variables'!$H$6</f>
        <v>#REF!</v>
      </c>
      <c r="C11" s="446">
        <f>'Costos variables'!$I$6</f>
        <v>17694195.824999999</v>
      </c>
      <c r="D11" s="446">
        <f>'Costos variables'!$J$6</f>
        <v>29793383.600000001</v>
      </c>
    </row>
    <row r="12" spans="1:15" x14ac:dyDescent="0.25">
      <c r="A12" s="447" t="s">
        <v>224</v>
      </c>
      <c r="B12" s="446">
        <f>'Costos RRHH'!$H$6</f>
        <v>7341662.4450000012</v>
      </c>
      <c r="C12" s="446">
        <f>'Costos RRHH'!$I$6</f>
        <v>8446303.9266666677</v>
      </c>
      <c r="D12" s="446">
        <f>'Costos RRHH'!$J$6</f>
        <v>10262133.115833335</v>
      </c>
    </row>
    <row r="13" spans="1:15" x14ac:dyDescent="0.25">
      <c r="A13" s="447" t="s">
        <v>225</v>
      </c>
      <c r="B13" s="448" t="e">
        <f t="shared" ref="B13:D13" si="0">SUM(B9:B12)</f>
        <v>#REF!</v>
      </c>
      <c r="C13" s="448">
        <f t="shared" si="0"/>
        <v>28756871.726666667</v>
      </c>
      <c r="D13" s="448">
        <f t="shared" si="0"/>
        <v>43029515.19933334</v>
      </c>
    </row>
    <row r="14" spans="1:15" x14ac:dyDescent="0.25">
      <c r="A14" s="447" t="s">
        <v>226</v>
      </c>
      <c r="B14" s="446">
        <f>$B$6</f>
        <v>301216832</v>
      </c>
      <c r="C14" s="446">
        <f>$C$6</f>
        <v>655210161.49321604</v>
      </c>
      <c r="D14" s="446">
        <f>$D$6</f>
        <v>1036454006.9229919</v>
      </c>
    </row>
  </sheetData>
  <mergeCells count="2">
    <mergeCell ref="B3:D3"/>
    <mergeCell ref="B8:D8"/>
  </mergeCells>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L81"/>
  <sheetViews>
    <sheetView topLeftCell="G1" zoomScale="85" zoomScaleNormal="85" workbookViewId="0">
      <pane ySplit="1" topLeftCell="A2" activePane="bottomLeft" state="frozen"/>
      <selection pane="bottomLeft" sqref="A1:L1"/>
    </sheetView>
  </sheetViews>
  <sheetFormatPr baseColWidth="10" defaultColWidth="11.42578125" defaultRowHeight="15" x14ac:dyDescent="0.25"/>
  <cols>
    <col min="1" max="1" width="11.42578125" style="1"/>
    <col min="2" max="2" width="48" style="1" customWidth="1"/>
    <col min="3" max="3" width="14.140625" style="1" bestFit="1" customWidth="1"/>
    <col min="4" max="4" width="19.140625" style="1" customWidth="1"/>
    <col min="5" max="5" width="14.5703125" style="1" customWidth="1"/>
    <col min="6" max="6" width="19.85546875" style="1" customWidth="1"/>
    <col min="7" max="7" width="15" style="1" bestFit="1" customWidth="1"/>
    <col min="8" max="8" width="15.5703125" style="1" customWidth="1"/>
    <col min="9" max="9" width="12.42578125" style="1" customWidth="1"/>
    <col min="10" max="10" width="16.7109375" style="1" customWidth="1"/>
    <col min="11" max="16384" width="11.42578125" style="1"/>
  </cols>
  <sheetData>
    <row r="1" spans="1:12" s="654" customFormat="1" ht="58.5" customHeight="1" x14ac:dyDescent="0.25">
      <c r="A1" s="656"/>
      <c r="B1" s="656"/>
      <c r="C1" s="656"/>
      <c r="D1" s="656"/>
      <c r="E1" s="656"/>
      <c r="F1" s="659" t="s">
        <v>8</v>
      </c>
      <c r="G1" s="660"/>
      <c r="H1" s="660"/>
      <c r="I1" s="656"/>
      <c r="J1" s="656"/>
      <c r="K1" s="656"/>
      <c r="L1" s="656"/>
    </row>
    <row r="2" spans="1:12" ht="15.75" thickBot="1" x14ac:dyDescent="0.3"/>
    <row r="3" spans="1:12" ht="27" thickBot="1" x14ac:dyDescent="0.45">
      <c r="B3" s="663" t="s">
        <v>35</v>
      </c>
      <c r="C3" s="664"/>
      <c r="D3" s="665"/>
      <c r="G3" s="672" t="s">
        <v>227</v>
      </c>
      <c r="H3" s="673"/>
      <c r="I3" s="673"/>
      <c r="J3" s="674"/>
    </row>
    <row r="4" spans="1:12" x14ac:dyDescent="0.25">
      <c r="B4" s="116">
        <v>2019</v>
      </c>
      <c r="C4" s="34">
        <v>2020</v>
      </c>
      <c r="D4" s="117">
        <v>2021</v>
      </c>
      <c r="G4" s="453" t="s">
        <v>228</v>
      </c>
      <c r="H4" s="454">
        <v>2019</v>
      </c>
      <c r="I4" s="454">
        <v>2020</v>
      </c>
      <c r="J4" s="455">
        <v>2021</v>
      </c>
    </row>
    <row r="5" spans="1:12" ht="15.75" thickBot="1" x14ac:dyDescent="0.3">
      <c r="B5" s="118">
        <f>Hipótesis!$C$24</f>
        <v>4.9599999999999998E-2</v>
      </c>
      <c r="C5" s="40">
        <f>Hipótesis!$C$25</f>
        <v>0.1078904648</v>
      </c>
      <c r="D5" s="119">
        <f>Hipótesis!$C$26</f>
        <v>0.17066814759999999</v>
      </c>
      <c r="G5" s="450">
        <f>$E$28</f>
        <v>2297572</v>
      </c>
      <c r="H5" s="451">
        <f>$E$45</f>
        <v>22999</v>
      </c>
      <c r="I5" s="451">
        <f>$E$63</f>
        <v>70262</v>
      </c>
      <c r="J5" s="452">
        <f>$E$81</f>
        <v>1306257</v>
      </c>
    </row>
    <row r="6" spans="1:12" ht="15.75" thickBot="1" x14ac:dyDescent="0.3">
      <c r="B6" s="120">
        <f>Hipótesis!$D$24</f>
        <v>301216832</v>
      </c>
      <c r="C6" s="121">
        <f>Hipótesis!$D$25</f>
        <v>655210161.49321604</v>
      </c>
      <c r="D6" s="122">
        <f>Hipótesis!$D$26</f>
        <v>1036454006.9229919</v>
      </c>
    </row>
    <row r="8" spans="1:12" ht="15.75" thickBot="1" x14ac:dyDescent="0.3"/>
    <row r="9" spans="1:12" ht="27" thickBot="1" x14ac:dyDescent="0.45">
      <c r="B9" s="669" t="s">
        <v>229</v>
      </c>
      <c r="C9" s="670"/>
      <c r="D9" s="670"/>
      <c r="E9" s="670"/>
      <c r="F9" s="671"/>
    </row>
    <row r="10" spans="1:12" ht="15.75" x14ac:dyDescent="0.25">
      <c r="B10" s="476" t="s">
        <v>64</v>
      </c>
      <c r="C10" s="477" t="s">
        <v>60</v>
      </c>
      <c r="D10" s="477" t="s">
        <v>234</v>
      </c>
      <c r="E10" s="477" t="s">
        <v>170</v>
      </c>
      <c r="F10" s="478" t="s">
        <v>238</v>
      </c>
    </row>
    <row r="11" spans="1:12" x14ac:dyDescent="0.25">
      <c r="B11" s="457" t="s">
        <v>304</v>
      </c>
      <c r="C11" s="556">
        <v>20</v>
      </c>
      <c r="D11" s="449">
        <f>'Costos variables'!$E$20</f>
        <v>1360</v>
      </c>
      <c r="E11" s="449">
        <f>C11*D11</f>
        <v>27200</v>
      </c>
      <c r="F11" s="640"/>
    </row>
    <row r="12" spans="1:12" x14ac:dyDescent="0.25">
      <c r="B12" s="457" t="s">
        <v>305</v>
      </c>
      <c r="C12" s="556">
        <v>15</v>
      </c>
      <c r="D12" s="449">
        <f>'Costos variables'!$E$33</f>
        <v>5705</v>
      </c>
      <c r="E12" s="449">
        <f>C12*D12</f>
        <v>85575</v>
      </c>
      <c r="F12" s="640"/>
    </row>
    <row r="13" spans="1:12" x14ac:dyDescent="0.25">
      <c r="B13" s="457" t="s">
        <v>306</v>
      </c>
      <c r="C13" s="556">
        <v>10</v>
      </c>
      <c r="D13" s="449">
        <f>'Costos variables'!$E$46</f>
        <v>8105</v>
      </c>
      <c r="E13" s="449">
        <f>C13*D13</f>
        <v>81050</v>
      </c>
      <c r="F13" s="640"/>
    </row>
    <row r="14" spans="1:12" ht="15.75" x14ac:dyDescent="0.25">
      <c r="B14" s="457" t="s">
        <v>307</v>
      </c>
      <c r="C14" s="555" t="s">
        <v>269</v>
      </c>
      <c r="D14" s="555" t="s">
        <v>269</v>
      </c>
      <c r="E14" s="449">
        <f>10*D13+10*D12+10*D11</f>
        <v>151700</v>
      </c>
      <c r="F14" s="640"/>
    </row>
    <row r="15" spans="1:12" x14ac:dyDescent="0.25">
      <c r="B15" s="457" t="s">
        <v>230</v>
      </c>
      <c r="C15" s="341">
        <v>1</v>
      </c>
      <c r="D15" s="449">
        <v>20000</v>
      </c>
      <c r="E15" s="449">
        <f>C15*D15</f>
        <v>20000</v>
      </c>
      <c r="F15" s="469"/>
    </row>
    <row r="16" spans="1:12" x14ac:dyDescent="0.25">
      <c r="B16" s="457" t="s">
        <v>231</v>
      </c>
      <c r="C16" s="341">
        <v>1</v>
      </c>
      <c r="D16" s="449">
        <v>2850</v>
      </c>
      <c r="E16" s="449">
        <f t="shared" ref="E16:E27" si="0">C16*D16</f>
        <v>2850</v>
      </c>
      <c r="F16" s="470"/>
    </row>
    <row r="17" spans="2:6" x14ac:dyDescent="0.25">
      <c r="B17" s="457" t="s">
        <v>256</v>
      </c>
      <c r="C17" s="341">
        <v>1</v>
      </c>
      <c r="D17" s="449">
        <v>5000</v>
      </c>
      <c r="E17" s="449">
        <f t="shared" si="0"/>
        <v>5000</v>
      </c>
      <c r="F17" s="470"/>
    </row>
    <row r="18" spans="2:6" x14ac:dyDescent="0.25">
      <c r="B18" s="457" t="s">
        <v>233</v>
      </c>
      <c r="C18" s="341">
        <v>2</v>
      </c>
      <c r="D18" s="449">
        <v>2840</v>
      </c>
      <c r="E18" s="449">
        <f t="shared" si="0"/>
        <v>5680</v>
      </c>
      <c r="F18" s="470"/>
    </row>
    <row r="19" spans="2:6" x14ac:dyDescent="0.25">
      <c r="B19" s="457" t="s">
        <v>245</v>
      </c>
      <c r="C19" s="341">
        <v>5</v>
      </c>
      <c r="D19" s="449">
        <v>2600</v>
      </c>
      <c r="E19" s="449">
        <f t="shared" si="0"/>
        <v>13000</v>
      </c>
      <c r="F19" s="6"/>
    </row>
    <row r="20" spans="2:6" x14ac:dyDescent="0.25">
      <c r="B20" s="457" t="s">
        <v>286</v>
      </c>
      <c r="C20" s="341">
        <v>2</v>
      </c>
      <c r="D20" s="449">
        <v>736011</v>
      </c>
      <c r="E20" s="449">
        <f t="shared" si="0"/>
        <v>1472022</v>
      </c>
      <c r="F20" s="6"/>
    </row>
    <row r="21" spans="2:6" x14ac:dyDescent="0.25">
      <c r="B21" s="457" t="s">
        <v>244</v>
      </c>
      <c r="C21" s="341">
        <v>8</v>
      </c>
      <c r="D21" s="449">
        <v>17500</v>
      </c>
      <c r="E21" s="449">
        <f t="shared" si="0"/>
        <v>140000</v>
      </c>
      <c r="F21" s="470"/>
    </row>
    <row r="22" spans="2:6" x14ac:dyDescent="0.25">
      <c r="B22" s="457" t="s">
        <v>250</v>
      </c>
      <c r="C22" s="341">
        <v>2</v>
      </c>
      <c r="D22" s="449">
        <v>20170</v>
      </c>
      <c r="E22" s="449">
        <f t="shared" si="0"/>
        <v>40340</v>
      </c>
      <c r="F22" s="470"/>
    </row>
    <row r="23" spans="2:6" x14ac:dyDescent="0.25">
      <c r="B23" s="457" t="s">
        <v>242</v>
      </c>
      <c r="C23" s="341">
        <v>1</v>
      </c>
      <c r="D23" s="449">
        <v>4299</v>
      </c>
      <c r="E23" s="449">
        <f t="shared" si="0"/>
        <v>4299</v>
      </c>
      <c r="F23" s="469"/>
    </row>
    <row r="24" spans="2:6" x14ac:dyDescent="0.25">
      <c r="B24" s="457" t="s">
        <v>243</v>
      </c>
      <c r="C24" s="341">
        <v>6</v>
      </c>
      <c r="D24" s="449">
        <v>7480</v>
      </c>
      <c r="E24" s="449">
        <f t="shared" si="0"/>
        <v>44880</v>
      </c>
      <c r="F24" s="470"/>
    </row>
    <row r="25" spans="2:6" x14ac:dyDescent="0.25">
      <c r="B25" s="457" t="s">
        <v>241</v>
      </c>
      <c r="C25" s="341">
        <v>9</v>
      </c>
      <c r="D25" s="449">
        <v>3200</v>
      </c>
      <c r="E25" s="449">
        <f t="shared" si="0"/>
        <v>28800</v>
      </c>
      <c r="F25" s="470"/>
    </row>
    <row r="26" spans="2:6" x14ac:dyDescent="0.25">
      <c r="B26" s="457" t="s">
        <v>249</v>
      </c>
      <c r="C26" s="341">
        <v>24</v>
      </c>
      <c r="D26" s="449">
        <v>2299</v>
      </c>
      <c r="E26" s="449">
        <f t="shared" si="0"/>
        <v>55176</v>
      </c>
      <c r="F26" s="470"/>
    </row>
    <row r="27" spans="2:6" ht="15.75" thickBot="1" x14ac:dyDescent="0.3">
      <c r="B27" s="471" t="s">
        <v>239</v>
      </c>
      <c r="C27" s="472">
        <v>1</v>
      </c>
      <c r="D27" s="451">
        <v>120000</v>
      </c>
      <c r="E27" s="449">
        <f t="shared" si="0"/>
        <v>120000</v>
      </c>
      <c r="F27" s="473"/>
    </row>
    <row r="28" spans="2:6" ht="15.75" thickBot="1" x14ac:dyDescent="0.3">
      <c r="B28" s="856" t="s">
        <v>19</v>
      </c>
      <c r="C28" s="857"/>
      <c r="D28" s="858"/>
      <c r="E28" s="479">
        <f>SUM(E11:E27)</f>
        <v>2297572</v>
      </c>
    </row>
    <row r="29" spans="2:6" ht="15.75" thickBot="1" x14ac:dyDescent="0.3"/>
    <row r="30" spans="2:6" ht="27" thickBot="1" x14ac:dyDescent="0.45">
      <c r="B30" s="663" t="s">
        <v>235</v>
      </c>
      <c r="C30" s="664"/>
      <c r="D30" s="664"/>
      <c r="E30" s="665"/>
      <c r="F30" s="480"/>
    </row>
    <row r="31" spans="2:6" ht="15.75" x14ac:dyDescent="0.25">
      <c r="B31" s="476" t="s">
        <v>64</v>
      </c>
      <c r="C31" s="477" t="s">
        <v>60</v>
      </c>
      <c r="D31" s="477" t="s">
        <v>234</v>
      </c>
      <c r="E31" s="478" t="s">
        <v>170</v>
      </c>
    </row>
    <row r="32" spans="2:6" x14ac:dyDescent="0.25">
      <c r="B32" s="457" t="s">
        <v>230</v>
      </c>
      <c r="C32" s="341">
        <v>0</v>
      </c>
      <c r="D32" s="449">
        <v>20000</v>
      </c>
      <c r="E32" s="481">
        <f>C32*D32</f>
        <v>0</v>
      </c>
    </row>
    <row r="33" spans="2:8" x14ac:dyDescent="0.25">
      <c r="B33" s="457" t="s">
        <v>231</v>
      </c>
      <c r="C33" s="341">
        <v>0</v>
      </c>
      <c r="D33" s="449">
        <v>2850</v>
      </c>
      <c r="E33" s="481">
        <f t="shared" ref="E33:E44" si="1">C33*D33</f>
        <v>0</v>
      </c>
      <c r="G33" s="124"/>
      <c r="H33" s="124"/>
    </row>
    <row r="34" spans="2:8" x14ac:dyDescent="0.25">
      <c r="B34" s="457" t="s">
        <v>232</v>
      </c>
      <c r="C34" s="341">
        <v>0</v>
      </c>
      <c r="D34" s="449">
        <v>5000</v>
      </c>
      <c r="E34" s="481">
        <f t="shared" si="1"/>
        <v>0</v>
      </c>
      <c r="G34" s="124"/>
      <c r="H34" s="124"/>
    </row>
    <row r="35" spans="2:8" x14ac:dyDescent="0.25">
      <c r="B35" s="457" t="s">
        <v>233</v>
      </c>
      <c r="C35" s="341">
        <v>0</v>
      </c>
      <c r="D35" s="449">
        <v>2840</v>
      </c>
      <c r="E35" s="481">
        <f t="shared" si="1"/>
        <v>0</v>
      </c>
      <c r="G35" s="859"/>
      <c r="H35" s="859"/>
    </row>
    <row r="36" spans="2:8" x14ac:dyDescent="0.25">
      <c r="B36" s="457" t="s">
        <v>245</v>
      </c>
      <c r="C36" s="341">
        <v>0</v>
      </c>
      <c r="D36" s="449">
        <v>2600</v>
      </c>
      <c r="E36" s="481">
        <f t="shared" si="1"/>
        <v>0</v>
      </c>
      <c r="G36" s="860"/>
      <c r="H36" s="860"/>
    </row>
    <row r="37" spans="2:8" x14ac:dyDescent="0.25">
      <c r="B37" s="457" t="s">
        <v>286</v>
      </c>
      <c r="C37" s="341">
        <v>0</v>
      </c>
      <c r="D37" s="449">
        <v>736011</v>
      </c>
      <c r="E37" s="481">
        <f t="shared" si="1"/>
        <v>0</v>
      </c>
      <c r="G37" s="859"/>
      <c r="H37" s="859"/>
    </row>
    <row r="38" spans="2:8" x14ac:dyDescent="0.25">
      <c r="B38" s="457" t="s">
        <v>244</v>
      </c>
      <c r="C38" s="445">
        <v>1</v>
      </c>
      <c r="D38" s="449">
        <v>17500</v>
      </c>
      <c r="E38" s="481">
        <f t="shared" si="1"/>
        <v>17500</v>
      </c>
      <c r="G38" s="860"/>
      <c r="H38" s="860"/>
    </row>
    <row r="39" spans="2:8" x14ac:dyDescent="0.25">
      <c r="B39" s="457" t="s">
        <v>236</v>
      </c>
      <c r="C39" s="341">
        <v>0</v>
      </c>
      <c r="D39" s="449">
        <v>20170</v>
      </c>
      <c r="E39" s="481">
        <f t="shared" si="1"/>
        <v>0</v>
      </c>
      <c r="G39" s="860"/>
      <c r="H39" s="860"/>
    </row>
    <row r="40" spans="2:8" x14ac:dyDescent="0.25">
      <c r="B40" s="457" t="s">
        <v>242</v>
      </c>
      <c r="C40" s="341">
        <v>0</v>
      </c>
      <c r="D40" s="449">
        <v>4299</v>
      </c>
      <c r="E40" s="481">
        <f t="shared" si="1"/>
        <v>0</v>
      </c>
      <c r="G40" s="860"/>
      <c r="H40" s="860"/>
    </row>
    <row r="41" spans="2:8" x14ac:dyDescent="0.25">
      <c r="B41" s="457" t="s">
        <v>243</v>
      </c>
      <c r="C41" s="341">
        <v>0</v>
      </c>
      <c r="D41" s="449">
        <v>7480</v>
      </c>
      <c r="E41" s="481">
        <f t="shared" si="1"/>
        <v>0</v>
      </c>
      <c r="G41" s="859"/>
      <c r="H41" s="859"/>
    </row>
    <row r="42" spans="2:8" x14ac:dyDescent="0.25">
      <c r="B42" s="457" t="s">
        <v>241</v>
      </c>
      <c r="C42" s="445">
        <v>1</v>
      </c>
      <c r="D42" s="449">
        <v>3200</v>
      </c>
      <c r="E42" s="481">
        <f t="shared" si="1"/>
        <v>3200</v>
      </c>
      <c r="G42" s="859"/>
      <c r="H42" s="859"/>
    </row>
    <row r="43" spans="2:8" x14ac:dyDescent="0.25">
      <c r="B43" s="457" t="s">
        <v>237</v>
      </c>
      <c r="C43" s="445">
        <v>1</v>
      </c>
      <c r="D43" s="449">
        <v>2299</v>
      </c>
      <c r="E43" s="481">
        <f t="shared" si="1"/>
        <v>2299</v>
      </c>
      <c r="G43" s="124"/>
      <c r="H43" s="124"/>
    </row>
    <row r="44" spans="2:8" ht="15.75" thickBot="1" x14ac:dyDescent="0.3">
      <c r="B44" s="471" t="s">
        <v>239</v>
      </c>
      <c r="C44" s="472">
        <v>0</v>
      </c>
      <c r="D44" s="451">
        <v>120000</v>
      </c>
      <c r="E44" s="482">
        <f t="shared" si="1"/>
        <v>0</v>
      </c>
      <c r="G44" s="124"/>
      <c r="H44" s="124"/>
    </row>
    <row r="45" spans="2:8" ht="15.75" thickBot="1" x14ac:dyDescent="0.3">
      <c r="B45" s="856" t="s">
        <v>19</v>
      </c>
      <c r="C45" s="857"/>
      <c r="D45" s="858"/>
      <c r="E45" s="474">
        <f>SUM(E32:E44)</f>
        <v>22999</v>
      </c>
    </row>
    <row r="47" spans="2:8" ht="15.75" thickBot="1" x14ac:dyDescent="0.3"/>
    <row r="48" spans="2:8" ht="27" thickBot="1" x14ac:dyDescent="0.45">
      <c r="B48" s="663" t="s">
        <v>246</v>
      </c>
      <c r="C48" s="664"/>
      <c r="D48" s="664"/>
      <c r="E48" s="665"/>
    </row>
    <row r="49" spans="2:5" ht="15.75" x14ac:dyDescent="0.25">
      <c r="B49" s="476" t="s">
        <v>64</v>
      </c>
      <c r="C49" s="477" t="s">
        <v>60</v>
      </c>
      <c r="D49" s="477" t="s">
        <v>234</v>
      </c>
      <c r="E49" s="478" t="s">
        <v>170</v>
      </c>
    </row>
    <row r="50" spans="2:5" x14ac:dyDescent="0.25">
      <c r="B50" s="457" t="s">
        <v>230</v>
      </c>
      <c r="C50" s="341">
        <v>0</v>
      </c>
      <c r="D50" s="449">
        <v>20000</v>
      </c>
      <c r="E50" s="481">
        <f>C50*D50</f>
        <v>0</v>
      </c>
    </row>
    <row r="51" spans="2:5" x14ac:dyDescent="0.25">
      <c r="B51" s="457" t="s">
        <v>231</v>
      </c>
      <c r="C51" s="445">
        <v>1</v>
      </c>
      <c r="D51" s="449">
        <v>2850</v>
      </c>
      <c r="E51" s="481">
        <f t="shared" ref="E51:E62" si="2">C51*D51</f>
        <v>2850</v>
      </c>
    </row>
    <row r="52" spans="2:5" x14ac:dyDescent="0.25">
      <c r="B52" s="457" t="s">
        <v>232</v>
      </c>
      <c r="C52" s="445">
        <v>1</v>
      </c>
      <c r="D52" s="449">
        <v>5000</v>
      </c>
      <c r="E52" s="481">
        <f t="shared" si="2"/>
        <v>5000</v>
      </c>
    </row>
    <row r="53" spans="2:5" x14ac:dyDescent="0.25">
      <c r="B53" s="457" t="s">
        <v>233</v>
      </c>
      <c r="C53" s="445">
        <v>1</v>
      </c>
      <c r="D53" s="449">
        <v>2840</v>
      </c>
      <c r="E53" s="481">
        <f t="shared" si="2"/>
        <v>2840</v>
      </c>
    </row>
    <row r="54" spans="2:5" x14ac:dyDescent="0.25">
      <c r="B54" s="457" t="s">
        <v>245</v>
      </c>
      <c r="C54" s="445">
        <v>5</v>
      </c>
      <c r="D54" s="449">
        <v>2600</v>
      </c>
      <c r="E54" s="481">
        <f t="shared" si="2"/>
        <v>13000</v>
      </c>
    </row>
    <row r="55" spans="2:5" x14ac:dyDescent="0.25">
      <c r="B55" s="457" t="s">
        <v>286</v>
      </c>
      <c r="C55" s="341">
        <v>0</v>
      </c>
      <c r="D55" s="449">
        <v>736011</v>
      </c>
      <c r="E55" s="481">
        <f t="shared" si="2"/>
        <v>0</v>
      </c>
    </row>
    <row r="56" spans="2:5" x14ac:dyDescent="0.25">
      <c r="B56" s="457" t="s">
        <v>244</v>
      </c>
      <c r="C56" s="445">
        <v>1</v>
      </c>
      <c r="D56" s="449">
        <v>17500</v>
      </c>
      <c r="E56" s="481">
        <f t="shared" si="2"/>
        <v>17500</v>
      </c>
    </row>
    <row r="57" spans="2:5" x14ac:dyDescent="0.25">
      <c r="B57" s="457" t="s">
        <v>236</v>
      </c>
      <c r="C57" s="341">
        <v>0</v>
      </c>
      <c r="D57" s="449">
        <v>20170</v>
      </c>
      <c r="E57" s="481">
        <f t="shared" si="2"/>
        <v>0</v>
      </c>
    </row>
    <row r="58" spans="2:5" x14ac:dyDescent="0.25">
      <c r="B58" s="457" t="s">
        <v>242</v>
      </c>
      <c r="C58" s="341">
        <v>0</v>
      </c>
      <c r="D58" s="449">
        <v>4299</v>
      </c>
      <c r="E58" s="481">
        <f t="shared" si="2"/>
        <v>0</v>
      </c>
    </row>
    <row r="59" spans="2:5" x14ac:dyDescent="0.25">
      <c r="B59" s="457" t="s">
        <v>243</v>
      </c>
      <c r="C59" s="445">
        <v>1</v>
      </c>
      <c r="D59" s="449">
        <v>7480</v>
      </c>
      <c r="E59" s="481">
        <f t="shared" si="2"/>
        <v>7480</v>
      </c>
    </row>
    <row r="60" spans="2:5" x14ac:dyDescent="0.25">
      <c r="B60" s="457" t="s">
        <v>241</v>
      </c>
      <c r="C60" s="445">
        <v>1</v>
      </c>
      <c r="D60" s="449">
        <v>3200</v>
      </c>
      <c r="E60" s="481">
        <f t="shared" si="2"/>
        <v>3200</v>
      </c>
    </row>
    <row r="61" spans="2:5" x14ac:dyDescent="0.25">
      <c r="B61" s="457" t="s">
        <v>237</v>
      </c>
      <c r="C61" s="445">
        <v>8</v>
      </c>
      <c r="D61" s="449">
        <v>2299</v>
      </c>
      <c r="E61" s="481">
        <f t="shared" si="2"/>
        <v>18392</v>
      </c>
    </row>
    <row r="62" spans="2:5" ht="15.75" thickBot="1" x14ac:dyDescent="0.3">
      <c r="B62" s="471" t="s">
        <v>239</v>
      </c>
      <c r="C62" s="472">
        <v>0</v>
      </c>
      <c r="D62" s="451">
        <v>120000</v>
      </c>
      <c r="E62" s="482">
        <f t="shared" si="2"/>
        <v>0</v>
      </c>
    </row>
    <row r="63" spans="2:5" ht="15.75" thickBot="1" x14ac:dyDescent="0.3">
      <c r="B63" s="856" t="s">
        <v>19</v>
      </c>
      <c r="C63" s="857"/>
      <c r="D63" s="858"/>
      <c r="E63" s="474">
        <f>SUM(E50:E62)</f>
        <v>70262</v>
      </c>
    </row>
    <row r="65" spans="2:5" ht="15.75" thickBot="1" x14ac:dyDescent="0.3"/>
    <row r="66" spans="2:5" ht="27" thickBot="1" x14ac:dyDescent="0.45">
      <c r="B66" s="663" t="s">
        <v>247</v>
      </c>
      <c r="C66" s="664"/>
      <c r="D66" s="664"/>
      <c r="E66" s="665"/>
    </row>
    <row r="67" spans="2:5" ht="15.75" x14ac:dyDescent="0.25">
      <c r="B67" s="476" t="s">
        <v>64</v>
      </c>
      <c r="C67" s="477" t="s">
        <v>60</v>
      </c>
      <c r="D67" s="477" t="s">
        <v>234</v>
      </c>
      <c r="E67" s="478" t="s">
        <v>170</v>
      </c>
    </row>
    <row r="68" spans="2:5" x14ac:dyDescent="0.25">
      <c r="B68" s="457" t="s">
        <v>230</v>
      </c>
      <c r="C68" s="341">
        <v>0</v>
      </c>
      <c r="D68" s="449">
        <v>20000</v>
      </c>
      <c r="E68" s="481">
        <f>C68*D68</f>
        <v>0</v>
      </c>
    </row>
    <row r="69" spans="2:5" x14ac:dyDescent="0.25">
      <c r="B69" s="457" t="s">
        <v>231</v>
      </c>
      <c r="C69" s="341">
        <v>0</v>
      </c>
      <c r="D69" s="449">
        <v>2850</v>
      </c>
      <c r="E69" s="481">
        <f t="shared" ref="E69:E80" si="3">C69*D69</f>
        <v>0</v>
      </c>
    </row>
    <row r="70" spans="2:5" x14ac:dyDescent="0.25">
      <c r="B70" s="457" t="s">
        <v>232</v>
      </c>
      <c r="C70" s="341">
        <v>0</v>
      </c>
      <c r="D70" s="449">
        <v>5000</v>
      </c>
      <c r="E70" s="481">
        <f t="shared" si="3"/>
        <v>0</v>
      </c>
    </row>
    <row r="71" spans="2:5" x14ac:dyDescent="0.25">
      <c r="B71" s="457" t="s">
        <v>233</v>
      </c>
      <c r="C71" s="341">
        <v>0</v>
      </c>
      <c r="D71" s="449">
        <v>2840</v>
      </c>
      <c r="E71" s="481">
        <f t="shared" si="3"/>
        <v>0</v>
      </c>
    </row>
    <row r="72" spans="2:5" x14ac:dyDescent="0.25">
      <c r="B72" s="457" t="s">
        <v>245</v>
      </c>
      <c r="C72" s="341">
        <v>0</v>
      </c>
      <c r="D72" s="449">
        <v>2600</v>
      </c>
      <c r="E72" s="481">
        <f t="shared" si="3"/>
        <v>0</v>
      </c>
    </row>
    <row r="73" spans="2:5" x14ac:dyDescent="0.25">
      <c r="B73" s="457" t="s">
        <v>240</v>
      </c>
      <c r="C73" s="445">
        <v>1</v>
      </c>
      <c r="D73" s="449">
        <v>1234590</v>
      </c>
      <c r="E73" s="481">
        <f t="shared" si="3"/>
        <v>1234590</v>
      </c>
    </row>
    <row r="74" spans="2:5" x14ac:dyDescent="0.25">
      <c r="B74" s="457" t="s">
        <v>244</v>
      </c>
      <c r="C74" s="445">
        <v>2</v>
      </c>
      <c r="D74" s="449">
        <v>17500</v>
      </c>
      <c r="E74" s="481">
        <f t="shared" si="3"/>
        <v>35000</v>
      </c>
    </row>
    <row r="75" spans="2:5" x14ac:dyDescent="0.25">
      <c r="B75" s="457" t="s">
        <v>236</v>
      </c>
      <c r="C75" s="445">
        <v>1</v>
      </c>
      <c r="D75" s="449">
        <v>20170</v>
      </c>
      <c r="E75" s="481">
        <f t="shared" si="3"/>
        <v>20170</v>
      </c>
    </row>
    <row r="76" spans="2:5" x14ac:dyDescent="0.25">
      <c r="B76" s="457" t="s">
        <v>242</v>
      </c>
      <c r="C76" s="341">
        <v>0</v>
      </c>
      <c r="D76" s="449">
        <v>4299</v>
      </c>
      <c r="E76" s="481">
        <f t="shared" si="3"/>
        <v>0</v>
      </c>
    </row>
    <row r="77" spans="2:5" x14ac:dyDescent="0.25">
      <c r="B77" s="457" t="s">
        <v>243</v>
      </c>
      <c r="C77" s="341">
        <v>0</v>
      </c>
      <c r="D77" s="449">
        <v>7480</v>
      </c>
      <c r="E77" s="481">
        <f t="shared" si="3"/>
        <v>0</v>
      </c>
    </row>
    <row r="78" spans="2:5" x14ac:dyDescent="0.25">
      <c r="B78" s="457" t="s">
        <v>241</v>
      </c>
      <c r="C78" s="445">
        <v>3</v>
      </c>
      <c r="D78" s="449">
        <v>3200</v>
      </c>
      <c r="E78" s="481">
        <f t="shared" si="3"/>
        <v>9600</v>
      </c>
    </row>
    <row r="79" spans="2:5" x14ac:dyDescent="0.25">
      <c r="B79" s="457" t="s">
        <v>237</v>
      </c>
      <c r="C79" s="445">
        <v>3</v>
      </c>
      <c r="D79" s="449">
        <v>2299</v>
      </c>
      <c r="E79" s="481">
        <f t="shared" si="3"/>
        <v>6897</v>
      </c>
    </row>
    <row r="80" spans="2:5" ht="15.75" thickBot="1" x14ac:dyDescent="0.3">
      <c r="B80" s="471" t="s">
        <v>239</v>
      </c>
      <c r="C80" s="472">
        <v>0</v>
      </c>
      <c r="D80" s="451">
        <v>120000</v>
      </c>
      <c r="E80" s="452">
        <f t="shared" si="3"/>
        <v>0</v>
      </c>
    </row>
    <row r="81" spans="2:5" ht="15.75" thickBot="1" x14ac:dyDescent="0.3">
      <c r="B81" s="856" t="s">
        <v>19</v>
      </c>
      <c r="C81" s="857"/>
      <c r="D81" s="858"/>
      <c r="E81" s="474">
        <f>SUM(E68:E80)</f>
        <v>1306257</v>
      </c>
    </row>
  </sheetData>
  <mergeCells count="18">
    <mergeCell ref="B30:E30"/>
    <mergeCell ref="B48:E48"/>
    <mergeCell ref="B63:D63"/>
    <mergeCell ref="B3:D3"/>
    <mergeCell ref="G3:J3"/>
    <mergeCell ref="B28:D28"/>
    <mergeCell ref="B9:F9"/>
    <mergeCell ref="B66:E66"/>
    <mergeCell ref="B81:D81"/>
    <mergeCell ref="G35:H35"/>
    <mergeCell ref="G36:H36"/>
    <mergeCell ref="G37:H37"/>
    <mergeCell ref="G38:H38"/>
    <mergeCell ref="G39:H39"/>
    <mergeCell ref="G40:H40"/>
    <mergeCell ref="G41:H41"/>
    <mergeCell ref="G42:H42"/>
    <mergeCell ref="B45:D45"/>
  </mergeCells>
  <pageMargins left="0.7" right="0.7" top="0.75" bottom="0.75" header="0.3" footer="0.3"/>
  <pageSetup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O39"/>
  <sheetViews>
    <sheetView topLeftCell="L1" zoomScale="80" zoomScaleNormal="80" workbookViewId="0">
      <pane ySplit="1" topLeftCell="A2" activePane="bottomLeft" state="frozen"/>
      <selection pane="bottomLeft" sqref="A1:O1"/>
    </sheetView>
  </sheetViews>
  <sheetFormatPr baseColWidth="10" defaultColWidth="11.42578125" defaultRowHeight="15" x14ac:dyDescent="0.25"/>
  <cols>
    <col min="1" max="1" width="11.42578125" style="1"/>
    <col min="2" max="2" width="19.28515625" style="1" customWidth="1"/>
    <col min="3" max="3" width="43.7109375" style="1" customWidth="1"/>
    <col min="4" max="4" width="15.28515625" style="1" bestFit="1" customWidth="1"/>
    <col min="5" max="5" width="22.140625" style="1" customWidth="1"/>
    <col min="6" max="6" width="17.5703125" style="1" customWidth="1"/>
    <col min="7" max="7" width="14.42578125" style="1" customWidth="1"/>
    <col min="8" max="8" width="11.42578125" style="1"/>
    <col min="9" max="9" width="15.28515625" style="1" customWidth="1"/>
    <col min="10" max="10" width="14.140625" style="1" bestFit="1" customWidth="1"/>
    <col min="11" max="11" width="15.28515625" style="1" customWidth="1"/>
    <col min="12" max="13" width="16.28515625" style="1" bestFit="1" customWidth="1"/>
    <col min="14" max="16384" width="11.42578125" style="1"/>
  </cols>
  <sheetData>
    <row r="1" spans="1:15" s="654" customFormat="1" ht="58.5" customHeight="1" x14ac:dyDescent="0.25">
      <c r="A1" s="656"/>
      <c r="B1" s="656"/>
      <c r="C1" s="656"/>
      <c r="D1" s="656"/>
      <c r="E1" s="656"/>
      <c r="F1" s="656"/>
      <c r="G1" s="659" t="s">
        <v>9</v>
      </c>
      <c r="H1" s="660"/>
      <c r="I1" s="656"/>
      <c r="J1" s="656"/>
      <c r="K1" s="656"/>
      <c r="L1" s="656"/>
      <c r="M1" s="656"/>
      <c r="N1" s="656"/>
      <c r="O1" s="656"/>
    </row>
    <row r="2" spans="1:15" ht="15.75" thickBot="1" x14ac:dyDescent="0.3"/>
    <row r="3" spans="1:15" ht="27" thickBot="1" x14ac:dyDescent="0.45">
      <c r="B3" s="663" t="s">
        <v>35</v>
      </c>
      <c r="C3" s="664"/>
      <c r="D3" s="665"/>
      <c r="E3" s="39"/>
      <c r="I3" s="663" t="s">
        <v>9</v>
      </c>
      <c r="J3" s="664"/>
      <c r="K3" s="665"/>
    </row>
    <row r="4" spans="1:15" x14ac:dyDescent="0.25">
      <c r="B4" s="34">
        <v>2019</v>
      </c>
      <c r="C4" s="34">
        <v>2020</v>
      </c>
      <c r="D4" s="34">
        <v>2021</v>
      </c>
      <c r="E4" s="245"/>
      <c r="I4" s="453">
        <v>2019</v>
      </c>
      <c r="J4" s="454">
        <v>2020</v>
      </c>
      <c r="K4" s="455">
        <v>2021</v>
      </c>
    </row>
    <row r="5" spans="1:15" ht="15.75" thickBot="1" x14ac:dyDescent="0.3">
      <c r="B5" s="40">
        <f>Hipótesis!$C$24</f>
        <v>4.9599999999999998E-2</v>
      </c>
      <c r="C5" s="40">
        <f>Hipótesis!$C$25</f>
        <v>0.1078904648</v>
      </c>
      <c r="D5" s="40">
        <f>Hipótesis!$C$26</f>
        <v>0.17066814759999999</v>
      </c>
      <c r="E5" s="343"/>
      <c r="I5" s="450">
        <f>$K$39</f>
        <v>141277.33333333334</v>
      </c>
      <c r="J5" s="451">
        <f>$L$39</f>
        <v>147660.56666666665</v>
      </c>
      <c r="K5" s="452">
        <f>$M$39</f>
        <v>162884.43333333335</v>
      </c>
    </row>
    <row r="6" spans="1:15" x14ac:dyDescent="0.25">
      <c r="B6" s="33">
        <f>Hipótesis!$D$24</f>
        <v>301216832</v>
      </c>
      <c r="C6" s="33">
        <f>Hipótesis!D25</f>
        <v>655210161.49321604</v>
      </c>
      <c r="D6" s="33">
        <f>Hipótesis!D26</f>
        <v>1036454006.9229919</v>
      </c>
      <c r="E6" s="340"/>
    </row>
    <row r="7" spans="1:15" ht="15.75" thickBot="1" x14ac:dyDescent="0.3"/>
    <row r="8" spans="1:15" ht="27" thickBot="1" x14ac:dyDescent="0.45">
      <c r="B8" s="877" t="s">
        <v>9</v>
      </c>
      <c r="C8" s="878"/>
      <c r="D8" s="878"/>
      <c r="E8" s="878"/>
      <c r="F8" s="878"/>
      <c r="G8" s="878"/>
      <c r="H8" s="878"/>
      <c r="I8" s="878"/>
      <c r="J8" s="878"/>
      <c r="K8" s="878"/>
      <c r="L8" s="878"/>
      <c r="M8" s="879"/>
    </row>
    <row r="9" spans="1:15" x14ac:dyDescent="0.25">
      <c r="B9" s="874" t="s">
        <v>254</v>
      </c>
      <c r="C9" s="875" t="s">
        <v>64</v>
      </c>
      <c r="D9" s="875" t="s">
        <v>60</v>
      </c>
      <c r="E9" s="869" t="s">
        <v>234</v>
      </c>
      <c r="F9" s="867" t="s">
        <v>257</v>
      </c>
      <c r="G9" s="874" t="s">
        <v>258</v>
      </c>
      <c r="H9" s="875"/>
      <c r="I9" s="875"/>
      <c r="J9" s="876"/>
      <c r="K9" s="874" t="s">
        <v>253</v>
      </c>
      <c r="L9" s="875"/>
      <c r="M9" s="876"/>
    </row>
    <row r="10" spans="1:15" ht="15.75" thickBot="1" x14ac:dyDescent="0.3">
      <c r="B10" s="880"/>
      <c r="C10" s="881"/>
      <c r="D10" s="881"/>
      <c r="E10" s="870"/>
      <c r="F10" s="868"/>
      <c r="G10" s="524" t="s">
        <v>255</v>
      </c>
      <c r="H10" s="525" t="s">
        <v>66</v>
      </c>
      <c r="I10" s="525" t="s">
        <v>266</v>
      </c>
      <c r="J10" s="526" t="s">
        <v>267</v>
      </c>
      <c r="K10" s="524" t="s">
        <v>66</v>
      </c>
      <c r="L10" s="525" t="s">
        <v>266</v>
      </c>
      <c r="M10" s="526" t="s">
        <v>267</v>
      </c>
    </row>
    <row r="11" spans="1:15" x14ac:dyDescent="0.25">
      <c r="B11" s="871" t="s">
        <v>262</v>
      </c>
      <c r="C11" s="508" t="s">
        <v>230</v>
      </c>
      <c r="D11" s="509">
        <v>1</v>
      </c>
      <c r="E11" s="510">
        <v>20000</v>
      </c>
      <c r="F11" s="511">
        <v>10</v>
      </c>
      <c r="G11" s="512">
        <f>D11*E11</f>
        <v>20000</v>
      </c>
      <c r="H11" s="513">
        <v>0</v>
      </c>
      <c r="I11" s="513">
        <v>0</v>
      </c>
      <c r="J11" s="514">
        <v>0</v>
      </c>
      <c r="K11" s="515">
        <f>$G$11/$F$11</f>
        <v>2000</v>
      </c>
      <c r="L11" s="519">
        <f t="shared" ref="L11:M11" si="0">$G$11/$F$11</f>
        <v>2000</v>
      </c>
      <c r="M11" s="516">
        <f t="shared" si="0"/>
        <v>2000</v>
      </c>
    </row>
    <row r="12" spans="1:15" x14ac:dyDescent="0.25">
      <c r="B12" s="872"/>
      <c r="C12" s="485" t="s">
        <v>231</v>
      </c>
      <c r="D12" s="341">
        <v>1</v>
      </c>
      <c r="E12" s="449">
        <v>2850</v>
      </c>
      <c r="F12" s="490">
        <v>5</v>
      </c>
      <c r="G12" s="492">
        <f t="shared" ref="G12:G31" si="1">D12*E12</f>
        <v>2850</v>
      </c>
      <c r="H12" s="486">
        <v>0</v>
      </c>
      <c r="I12" s="486">
        <v>0</v>
      </c>
      <c r="J12" s="493">
        <v>0</v>
      </c>
      <c r="K12" s="499">
        <f>$G$12/$F$12</f>
        <v>570</v>
      </c>
      <c r="L12" s="488">
        <f t="shared" ref="L12:M12" si="2">$G$12/$F$12</f>
        <v>570</v>
      </c>
      <c r="M12" s="500">
        <f t="shared" si="2"/>
        <v>570</v>
      </c>
    </row>
    <row r="13" spans="1:15" x14ac:dyDescent="0.25">
      <c r="B13" s="872"/>
      <c r="C13" s="485" t="s">
        <v>231</v>
      </c>
      <c r="D13" s="341">
        <v>1</v>
      </c>
      <c r="E13" s="449">
        <f>E12</f>
        <v>2850</v>
      </c>
      <c r="F13" s="490">
        <v>5</v>
      </c>
      <c r="G13" s="494">
        <v>0</v>
      </c>
      <c r="H13" s="486">
        <v>0</v>
      </c>
      <c r="I13" s="487">
        <f>D13*E13</f>
        <v>2850</v>
      </c>
      <c r="J13" s="493">
        <v>0</v>
      </c>
      <c r="K13" s="501">
        <v>0</v>
      </c>
      <c r="L13" s="489">
        <v>0</v>
      </c>
      <c r="M13" s="500">
        <f>I13/F13</f>
        <v>570</v>
      </c>
    </row>
    <row r="14" spans="1:15" x14ac:dyDescent="0.25">
      <c r="B14" s="872"/>
      <c r="C14" s="485" t="s">
        <v>256</v>
      </c>
      <c r="D14" s="341">
        <v>1</v>
      </c>
      <c r="E14" s="449">
        <v>5000</v>
      </c>
      <c r="F14" s="490">
        <v>5</v>
      </c>
      <c r="G14" s="492">
        <f t="shared" si="1"/>
        <v>5000</v>
      </c>
      <c r="H14" s="486">
        <v>0</v>
      </c>
      <c r="I14" s="486">
        <v>0</v>
      </c>
      <c r="J14" s="493">
        <v>0</v>
      </c>
      <c r="K14" s="499">
        <f>$G$14/$F$14</f>
        <v>1000</v>
      </c>
      <c r="L14" s="488">
        <f t="shared" ref="L14:M14" si="3">$G$14/$F$14</f>
        <v>1000</v>
      </c>
      <c r="M14" s="500">
        <f t="shared" si="3"/>
        <v>1000</v>
      </c>
    </row>
    <row r="15" spans="1:15" x14ac:dyDescent="0.25">
      <c r="B15" s="872"/>
      <c r="C15" s="485" t="s">
        <v>256</v>
      </c>
      <c r="D15" s="341">
        <v>1</v>
      </c>
      <c r="E15" s="449">
        <f>E14</f>
        <v>5000</v>
      </c>
      <c r="F15" s="490">
        <v>5</v>
      </c>
      <c r="G15" s="494">
        <v>0</v>
      </c>
      <c r="H15" s="486">
        <v>0</v>
      </c>
      <c r="I15" s="487">
        <f>D15*E15</f>
        <v>5000</v>
      </c>
      <c r="J15" s="493">
        <v>0</v>
      </c>
      <c r="K15" s="501">
        <v>0</v>
      </c>
      <c r="L15" s="489">
        <v>0</v>
      </c>
      <c r="M15" s="500">
        <f>I15/F15</f>
        <v>1000</v>
      </c>
    </row>
    <row r="16" spans="1:15" x14ac:dyDescent="0.25">
      <c r="B16" s="872"/>
      <c r="C16" s="485" t="s">
        <v>233</v>
      </c>
      <c r="D16" s="341">
        <v>2</v>
      </c>
      <c r="E16" s="449">
        <v>2840</v>
      </c>
      <c r="F16" s="490">
        <v>5</v>
      </c>
      <c r="G16" s="492">
        <f t="shared" si="1"/>
        <v>5680</v>
      </c>
      <c r="H16" s="486">
        <v>0</v>
      </c>
      <c r="I16" s="486">
        <v>0</v>
      </c>
      <c r="J16" s="493">
        <v>0</v>
      </c>
      <c r="K16" s="499">
        <f>$G$16/$F$16</f>
        <v>1136</v>
      </c>
      <c r="L16" s="488">
        <f t="shared" ref="L16:M16" si="4">$G$16/$F$16</f>
        <v>1136</v>
      </c>
      <c r="M16" s="500">
        <f t="shared" si="4"/>
        <v>1136</v>
      </c>
    </row>
    <row r="17" spans="2:13" x14ac:dyDescent="0.25">
      <c r="B17" s="872"/>
      <c r="C17" s="485" t="s">
        <v>233</v>
      </c>
      <c r="D17" s="341">
        <v>1</v>
      </c>
      <c r="E17" s="449">
        <f>E16</f>
        <v>2840</v>
      </c>
      <c r="F17" s="491">
        <v>5</v>
      </c>
      <c r="G17" s="494">
        <v>0</v>
      </c>
      <c r="H17" s="486">
        <v>0</v>
      </c>
      <c r="I17" s="487">
        <f>D17*E17</f>
        <v>2840</v>
      </c>
      <c r="J17" s="493">
        <v>0</v>
      </c>
      <c r="K17" s="501">
        <v>0</v>
      </c>
      <c r="L17" s="489">
        <v>0</v>
      </c>
      <c r="M17" s="500">
        <f>I17/F17</f>
        <v>568</v>
      </c>
    </row>
    <row r="18" spans="2:13" x14ac:dyDescent="0.25">
      <c r="B18" s="872"/>
      <c r="C18" s="485" t="s">
        <v>259</v>
      </c>
      <c r="D18" s="341">
        <v>5</v>
      </c>
      <c r="E18" s="449">
        <v>2600</v>
      </c>
      <c r="F18" s="491">
        <v>5</v>
      </c>
      <c r="G18" s="492">
        <f t="shared" si="1"/>
        <v>13000</v>
      </c>
      <c r="H18" s="486">
        <v>0</v>
      </c>
      <c r="I18" s="486">
        <v>0</v>
      </c>
      <c r="J18" s="493">
        <v>0</v>
      </c>
      <c r="K18" s="499">
        <f>$G$18/$F$18</f>
        <v>2600</v>
      </c>
      <c r="L18" s="488">
        <f t="shared" ref="L18:M18" si="5">$G$18/$F$18</f>
        <v>2600</v>
      </c>
      <c r="M18" s="500">
        <f t="shared" si="5"/>
        <v>2600</v>
      </c>
    </row>
    <row r="19" spans="2:13" ht="15.75" thickBot="1" x14ac:dyDescent="0.3">
      <c r="B19" s="873"/>
      <c r="C19" s="517" t="s">
        <v>259</v>
      </c>
      <c r="D19" s="472">
        <v>5</v>
      </c>
      <c r="E19" s="451">
        <f>E18</f>
        <v>2600</v>
      </c>
      <c r="F19" s="523">
        <v>5</v>
      </c>
      <c r="G19" s="496">
        <v>0</v>
      </c>
      <c r="H19" s="497">
        <v>0</v>
      </c>
      <c r="I19" s="520">
        <f>E19*D19</f>
        <v>13000</v>
      </c>
      <c r="J19" s="521">
        <v>0</v>
      </c>
      <c r="K19" s="503">
        <v>0</v>
      </c>
      <c r="L19" s="504">
        <v>0</v>
      </c>
      <c r="M19" s="522">
        <f>I19/F19</f>
        <v>2600</v>
      </c>
    </row>
    <row r="20" spans="2:13" x14ac:dyDescent="0.25">
      <c r="B20" s="861" t="s">
        <v>263</v>
      </c>
      <c r="C20" s="457" t="s">
        <v>286</v>
      </c>
      <c r="D20" s="509">
        <v>2</v>
      </c>
      <c r="E20" s="449">
        <v>736011</v>
      </c>
      <c r="F20" s="511">
        <v>30</v>
      </c>
      <c r="G20" s="512">
        <f t="shared" si="1"/>
        <v>1472022</v>
      </c>
      <c r="H20" s="513">
        <v>0</v>
      </c>
      <c r="I20" s="513">
        <v>0</v>
      </c>
      <c r="J20" s="514">
        <v>0</v>
      </c>
      <c r="K20" s="515">
        <f>$G$20/$F$20</f>
        <v>49067.4</v>
      </c>
      <c r="L20" s="519">
        <f t="shared" ref="L20:M20" si="6">$G$20/$F$20</f>
        <v>49067.4</v>
      </c>
      <c r="M20" s="516">
        <f t="shared" si="6"/>
        <v>49067.4</v>
      </c>
    </row>
    <row r="21" spans="2:13" ht="15.75" thickBot="1" x14ac:dyDescent="0.3">
      <c r="B21" s="863"/>
      <c r="C21" s="457" t="s">
        <v>286</v>
      </c>
      <c r="D21" s="472">
        <v>1</v>
      </c>
      <c r="E21" s="451">
        <f>E20</f>
        <v>736011</v>
      </c>
      <c r="F21" s="518">
        <v>30</v>
      </c>
      <c r="G21" s="496">
        <v>0</v>
      </c>
      <c r="H21" s="497">
        <v>0</v>
      </c>
      <c r="I21" s="497">
        <v>0</v>
      </c>
      <c r="J21" s="498">
        <f>D21*E21</f>
        <v>736011</v>
      </c>
      <c r="K21" s="503">
        <v>0</v>
      </c>
      <c r="L21" s="504">
        <v>0</v>
      </c>
      <c r="M21" s="505">
        <v>0</v>
      </c>
    </row>
    <row r="22" spans="2:13" x14ac:dyDescent="0.25">
      <c r="B22" s="871" t="s">
        <v>264</v>
      </c>
      <c r="C22" s="508" t="s">
        <v>244</v>
      </c>
      <c r="D22" s="509">
        <v>8</v>
      </c>
      <c r="E22" s="510">
        <v>17500</v>
      </c>
      <c r="F22" s="511">
        <v>3</v>
      </c>
      <c r="G22" s="512">
        <f t="shared" si="1"/>
        <v>140000</v>
      </c>
      <c r="H22" s="513">
        <v>0</v>
      </c>
      <c r="I22" s="513">
        <v>0</v>
      </c>
      <c r="J22" s="514">
        <v>0</v>
      </c>
      <c r="K22" s="515">
        <f>$G$22/$F$22</f>
        <v>46666.666666666664</v>
      </c>
      <c r="L22" s="519">
        <f t="shared" ref="L22:M22" si="7">$G$22/$F$22</f>
        <v>46666.666666666664</v>
      </c>
      <c r="M22" s="516">
        <f t="shared" si="7"/>
        <v>46666.666666666664</v>
      </c>
    </row>
    <row r="23" spans="2:13" x14ac:dyDescent="0.25">
      <c r="B23" s="872"/>
      <c r="C23" s="485" t="s">
        <v>244</v>
      </c>
      <c r="D23" s="341">
        <v>1</v>
      </c>
      <c r="E23" s="449">
        <v>17500</v>
      </c>
      <c r="F23" s="490">
        <v>3</v>
      </c>
      <c r="G23" s="494">
        <v>0</v>
      </c>
      <c r="H23" s="487">
        <f>D23*E23</f>
        <v>17500</v>
      </c>
      <c r="I23" s="486">
        <v>0</v>
      </c>
      <c r="J23" s="493">
        <v>0</v>
      </c>
      <c r="K23" s="501">
        <v>0</v>
      </c>
      <c r="L23" s="488">
        <f>$H$23/$F$23</f>
        <v>5833.333333333333</v>
      </c>
      <c r="M23" s="500">
        <f>$H$23/$F$23</f>
        <v>5833.333333333333</v>
      </c>
    </row>
    <row r="24" spans="2:13" x14ac:dyDescent="0.25">
      <c r="B24" s="872"/>
      <c r="C24" s="485" t="s">
        <v>244</v>
      </c>
      <c r="D24" s="341">
        <v>1</v>
      </c>
      <c r="E24" s="449">
        <v>17500</v>
      </c>
      <c r="F24" s="490">
        <v>3</v>
      </c>
      <c r="G24" s="494">
        <v>0</v>
      </c>
      <c r="H24" s="486">
        <v>0</v>
      </c>
      <c r="I24" s="487">
        <f>D24*E24</f>
        <v>17500</v>
      </c>
      <c r="J24" s="493">
        <v>0</v>
      </c>
      <c r="K24" s="501">
        <v>0</v>
      </c>
      <c r="L24" s="489">
        <v>0</v>
      </c>
      <c r="M24" s="500">
        <f>I24/F24</f>
        <v>5833.333333333333</v>
      </c>
    </row>
    <row r="25" spans="2:13" x14ac:dyDescent="0.25">
      <c r="B25" s="872"/>
      <c r="C25" s="485" t="s">
        <v>244</v>
      </c>
      <c r="D25" s="341">
        <v>2</v>
      </c>
      <c r="E25" s="449">
        <v>17500</v>
      </c>
      <c r="F25" s="490">
        <v>3</v>
      </c>
      <c r="G25" s="494">
        <v>0</v>
      </c>
      <c r="H25" s="486">
        <v>0</v>
      </c>
      <c r="I25" s="486">
        <v>0</v>
      </c>
      <c r="J25" s="495">
        <f>D25*E25</f>
        <v>35000</v>
      </c>
      <c r="K25" s="501">
        <v>0</v>
      </c>
      <c r="L25" s="489">
        <v>0</v>
      </c>
      <c r="M25" s="502">
        <v>0</v>
      </c>
    </row>
    <row r="26" spans="2:13" x14ac:dyDescent="0.25">
      <c r="B26" s="872"/>
      <c r="C26" s="485" t="s">
        <v>250</v>
      </c>
      <c r="D26" s="341">
        <v>2</v>
      </c>
      <c r="E26" s="449">
        <v>20170</v>
      </c>
      <c r="F26" s="490">
        <v>3</v>
      </c>
      <c r="G26" s="492">
        <f t="shared" si="1"/>
        <v>40340</v>
      </c>
      <c r="H26" s="486">
        <v>0</v>
      </c>
      <c r="I26" s="486">
        <v>0</v>
      </c>
      <c r="J26" s="493">
        <v>0</v>
      </c>
      <c r="K26" s="499">
        <f>$G$26/$F$26</f>
        <v>13446.666666666666</v>
      </c>
      <c r="L26" s="488">
        <f t="shared" ref="L26:M26" si="8">$G$26/$F$26</f>
        <v>13446.666666666666</v>
      </c>
      <c r="M26" s="500">
        <f t="shared" si="8"/>
        <v>13446.666666666666</v>
      </c>
    </row>
    <row r="27" spans="2:13" x14ac:dyDescent="0.25">
      <c r="B27" s="872"/>
      <c r="C27" s="485" t="s">
        <v>250</v>
      </c>
      <c r="D27" s="341">
        <v>1</v>
      </c>
      <c r="E27" s="449">
        <v>20170</v>
      </c>
      <c r="F27" s="490">
        <v>3</v>
      </c>
      <c r="G27" s="494">
        <v>0</v>
      </c>
      <c r="H27" s="486">
        <v>0</v>
      </c>
      <c r="I27" s="486">
        <v>0</v>
      </c>
      <c r="J27" s="495">
        <f>D27*E27</f>
        <v>20170</v>
      </c>
      <c r="K27" s="501">
        <v>0</v>
      </c>
      <c r="L27" s="489">
        <v>0</v>
      </c>
      <c r="M27" s="502">
        <v>0</v>
      </c>
    </row>
    <row r="28" spans="2:13" x14ac:dyDescent="0.25">
      <c r="B28" s="872"/>
      <c r="C28" s="485" t="s">
        <v>242</v>
      </c>
      <c r="D28" s="341">
        <v>1</v>
      </c>
      <c r="E28" s="449">
        <v>4299</v>
      </c>
      <c r="F28" s="490">
        <v>3</v>
      </c>
      <c r="G28" s="492">
        <f t="shared" si="1"/>
        <v>4299</v>
      </c>
      <c r="H28" s="486">
        <v>0</v>
      </c>
      <c r="I28" s="486">
        <v>0</v>
      </c>
      <c r="J28" s="493">
        <v>0</v>
      </c>
      <c r="K28" s="499">
        <f>$G$28/$F$28</f>
        <v>1433</v>
      </c>
      <c r="L28" s="488">
        <f t="shared" ref="L28:M28" si="9">$G$28/$F$28</f>
        <v>1433</v>
      </c>
      <c r="M28" s="500">
        <f t="shared" si="9"/>
        <v>1433</v>
      </c>
    </row>
    <row r="29" spans="2:13" x14ac:dyDescent="0.25">
      <c r="B29" s="872"/>
      <c r="C29" s="485" t="s">
        <v>243</v>
      </c>
      <c r="D29" s="341">
        <v>6</v>
      </c>
      <c r="E29" s="449">
        <v>7480</v>
      </c>
      <c r="F29" s="490">
        <v>3</v>
      </c>
      <c r="G29" s="492">
        <f t="shared" si="1"/>
        <v>44880</v>
      </c>
      <c r="H29" s="486">
        <v>0</v>
      </c>
      <c r="I29" s="486">
        <v>0</v>
      </c>
      <c r="J29" s="493">
        <v>0</v>
      </c>
      <c r="K29" s="499">
        <f>$G$29/$F$29</f>
        <v>14960</v>
      </c>
      <c r="L29" s="488">
        <f t="shared" ref="L29:M29" si="10">$G$29/$F$29</f>
        <v>14960</v>
      </c>
      <c r="M29" s="500">
        <f t="shared" si="10"/>
        <v>14960</v>
      </c>
    </row>
    <row r="30" spans="2:13" ht="15.75" thickBot="1" x14ac:dyDescent="0.3">
      <c r="B30" s="873"/>
      <c r="C30" s="517" t="s">
        <v>243</v>
      </c>
      <c r="D30" s="472">
        <v>1</v>
      </c>
      <c r="E30" s="451">
        <v>7480</v>
      </c>
      <c r="F30" s="518">
        <v>3</v>
      </c>
      <c r="G30" s="496">
        <v>0</v>
      </c>
      <c r="H30" s="497">
        <v>0</v>
      </c>
      <c r="I30" s="520">
        <f>D30*E30</f>
        <v>7480</v>
      </c>
      <c r="J30" s="521">
        <v>0</v>
      </c>
      <c r="K30" s="503">
        <v>0</v>
      </c>
      <c r="L30" s="504">
        <v>0</v>
      </c>
      <c r="M30" s="522">
        <f>I30/F30</f>
        <v>2493.3333333333335</v>
      </c>
    </row>
    <row r="31" spans="2:13" x14ac:dyDescent="0.25">
      <c r="B31" s="861" t="s">
        <v>265</v>
      </c>
      <c r="C31" s="508" t="s">
        <v>241</v>
      </c>
      <c r="D31" s="509">
        <v>9</v>
      </c>
      <c r="E31" s="510">
        <v>3200</v>
      </c>
      <c r="F31" s="511">
        <v>10</v>
      </c>
      <c r="G31" s="512">
        <f t="shared" si="1"/>
        <v>28800</v>
      </c>
      <c r="H31" s="513">
        <v>0</v>
      </c>
      <c r="I31" s="513">
        <v>0</v>
      </c>
      <c r="J31" s="514">
        <v>0</v>
      </c>
      <c r="K31" s="515">
        <f>$G$31/$F$31</f>
        <v>2880</v>
      </c>
      <c r="L31" s="519">
        <f t="shared" ref="L31:M31" si="11">$G$31/$F$31</f>
        <v>2880</v>
      </c>
      <c r="M31" s="516">
        <f t="shared" si="11"/>
        <v>2880</v>
      </c>
    </row>
    <row r="32" spans="2:13" x14ac:dyDescent="0.25">
      <c r="B32" s="862"/>
      <c r="C32" s="485" t="s">
        <v>241</v>
      </c>
      <c r="D32" s="341">
        <v>1</v>
      </c>
      <c r="E32" s="449">
        <v>3200</v>
      </c>
      <c r="F32" s="490">
        <v>10</v>
      </c>
      <c r="G32" s="494">
        <v>0</v>
      </c>
      <c r="H32" s="487">
        <f>D32*E32</f>
        <v>3200</v>
      </c>
      <c r="I32" s="486">
        <v>0</v>
      </c>
      <c r="J32" s="493">
        <v>0</v>
      </c>
      <c r="K32" s="501">
        <v>0</v>
      </c>
      <c r="L32" s="488">
        <f>$H$32/$F$32</f>
        <v>320</v>
      </c>
      <c r="M32" s="500">
        <f>$H$32/$F$32</f>
        <v>320</v>
      </c>
    </row>
    <row r="33" spans="2:13" x14ac:dyDescent="0.25">
      <c r="B33" s="862"/>
      <c r="C33" s="485" t="s">
        <v>241</v>
      </c>
      <c r="D33" s="341">
        <v>1</v>
      </c>
      <c r="E33" s="449">
        <v>3200</v>
      </c>
      <c r="F33" s="490">
        <v>10</v>
      </c>
      <c r="G33" s="494">
        <v>0</v>
      </c>
      <c r="H33" s="486">
        <v>0</v>
      </c>
      <c r="I33" s="487">
        <f>D33*E33</f>
        <v>3200</v>
      </c>
      <c r="J33" s="493">
        <v>0</v>
      </c>
      <c r="K33" s="501">
        <v>0</v>
      </c>
      <c r="L33" s="489">
        <v>0</v>
      </c>
      <c r="M33" s="500">
        <f>I33/F33</f>
        <v>320</v>
      </c>
    </row>
    <row r="34" spans="2:13" x14ac:dyDescent="0.25">
      <c r="B34" s="862"/>
      <c r="C34" s="485" t="s">
        <v>241</v>
      </c>
      <c r="D34" s="341">
        <v>3</v>
      </c>
      <c r="E34" s="449">
        <v>3200</v>
      </c>
      <c r="F34" s="490">
        <v>10</v>
      </c>
      <c r="G34" s="494">
        <v>0</v>
      </c>
      <c r="H34" s="486">
        <v>0</v>
      </c>
      <c r="I34" s="486">
        <v>0</v>
      </c>
      <c r="J34" s="495">
        <f>D34*E34</f>
        <v>9600</v>
      </c>
      <c r="K34" s="501">
        <v>0</v>
      </c>
      <c r="L34" s="489">
        <v>0</v>
      </c>
      <c r="M34" s="502">
        <v>0</v>
      </c>
    </row>
    <row r="35" spans="2:13" x14ac:dyDescent="0.25">
      <c r="B35" s="862"/>
      <c r="C35" s="485" t="s">
        <v>249</v>
      </c>
      <c r="D35" s="341">
        <v>24</v>
      </c>
      <c r="E35" s="449">
        <v>2299</v>
      </c>
      <c r="F35" s="490">
        <v>10</v>
      </c>
      <c r="G35" s="492">
        <f>D35*E35</f>
        <v>55176</v>
      </c>
      <c r="H35" s="486">
        <v>0</v>
      </c>
      <c r="I35" s="486">
        <v>0</v>
      </c>
      <c r="J35" s="493">
        <v>0</v>
      </c>
      <c r="K35" s="499">
        <f>$G$35/$F$35</f>
        <v>5517.6</v>
      </c>
      <c r="L35" s="488">
        <f t="shared" ref="L35:M35" si="12">$G$35/$F$35</f>
        <v>5517.6</v>
      </c>
      <c r="M35" s="500">
        <f t="shared" si="12"/>
        <v>5517.6</v>
      </c>
    </row>
    <row r="36" spans="2:13" x14ac:dyDescent="0.25">
      <c r="B36" s="862"/>
      <c r="C36" s="485" t="s">
        <v>249</v>
      </c>
      <c r="D36" s="483">
        <v>1</v>
      </c>
      <c r="E36" s="449">
        <v>2299</v>
      </c>
      <c r="F36" s="490">
        <v>10</v>
      </c>
      <c r="G36" s="494">
        <v>0</v>
      </c>
      <c r="H36" s="487">
        <f>D36*E36</f>
        <v>2299</v>
      </c>
      <c r="I36" s="486">
        <v>0</v>
      </c>
      <c r="J36" s="493">
        <v>0</v>
      </c>
      <c r="K36" s="501">
        <v>0</v>
      </c>
      <c r="L36" s="488">
        <f>$H$36/$F$36</f>
        <v>229.9</v>
      </c>
      <c r="M36" s="500">
        <f>$H$36/$F$36</f>
        <v>229.9</v>
      </c>
    </row>
    <row r="37" spans="2:13" x14ac:dyDescent="0.25">
      <c r="B37" s="862"/>
      <c r="C37" s="485" t="s">
        <v>249</v>
      </c>
      <c r="D37" s="483">
        <v>8</v>
      </c>
      <c r="E37" s="449">
        <v>2299</v>
      </c>
      <c r="F37" s="490">
        <v>10</v>
      </c>
      <c r="G37" s="494">
        <v>0</v>
      </c>
      <c r="H37" s="486">
        <v>0</v>
      </c>
      <c r="I37" s="487">
        <f>D37*E37</f>
        <v>18392</v>
      </c>
      <c r="J37" s="493">
        <v>0</v>
      </c>
      <c r="K37" s="501">
        <v>0</v>
      </c>
      <c r="L37" s="489">
        <v>0</v>
      </c>
      <c r="M37" s="500">
        <f>I37/F37</f>
        <v>1839.2</v>
      </c>
    </row>
    <row r="38" spans="2:13" ht="15.75" thickBot="1" x14ac:dyDescent="0.3">
      <c r="B38" s="863"/>
      <c r="C38" s="517" t="s">
        <v>249</v>
      </c>
      <c r="D38" s="472">
        <v>3</v>
      </c>
      <c r="E38" s="451">
        <v>2299</v>
      </c>
      <c r="F38" s="518">
        <v>10</v>
      </c>
      <c r="G38" s="496">
        <v>0</v>
      </c>
      <c r="H38" s="497">
        <v>0</v>
      </c>
      <c r="I38" s="497">
        <v>0</v>
      </c>
      <c r="J38" s="498">
        <f>D38*E38</f>
        <v>6897</v>
      </c>
      <c r="K38" s="503">
        <v>0</v>
      </c>
      <c r="L38" s="504">
        <v>0</v>
      </c>
      <c r="M38" s="505">
        <v>0</v>
      </c>
    </row>
    <row r="39" spans="2:13" ht="16.5" thickBot="1" x14ac:dyDescent="0.3">
      <c r="B39" s="864" t="s">
        <v>219</v>
      </c>
      <c r="C39" s="865"/>
      <c r="D39" s="865"/>
      <c r="E39" s="865"/>
      <c r="F39" s="865"/>
      <c r="G39" s="865"/>
      <c r="H39" s="865"/>
      <c r="I39" s="865"/>
      <c r="J39" s="866"/>
      <c r="K39" s="527">
        <f t="shared" ref="K39:M39" si="13">SUM(K11:K38)</f>
        <v>141277.33333333334</v>
      </c>
      <c r="L39" s="506">
        <f t="shared" si="13"/>
        <v>147660.56666666665</v>
      </c>
      <c r="M39" s="507">
        <f t="shared" si="13"/>
        <v>162884.43333333335</v>
      </c>
    </row>
  </sheetData>
  <mergeCells count="15">
    <mergeCell ref="B3:D3"/>
    <mergeCell ref="I3:K3"/>
    <mergeCell ref="G9:J9"/>
    <mergeCell ref="K9:M9"/>
    <mergeCell ref="B8:M8"/>
    <mergeCell ref="B9:B10"/>
    <mergeCell ref="C9:C10"/>
    <mergeCell ref="D9:D10"/>
    <mergeCell ref="B31:B38"/>
    <mergeCell ref="B39:J39"/>
    <mergeCell ref="F9:F10"/>
    <mergeCell ref="E9:E10"/>
    <mergeCell ref="B11:B19"/>
    <mergeCell ref="B20:B21"/>
    <mergeCell ref="B22:B30"/>
  </mergeCells>
  <pageMargins left="0.7" right="0.7" top="0.75" bottom="0.75" header="0.3" footer="0.3"/>
  <pageSetup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O38"/>
  <sheetViews>
    <sheetView topLeftCell="J1" zoomScale="80" zoomScaleNormal="80" workbookViewId="0">
      <pane ySplit="1" topLeftCell="A2" activePane="bottomLeft" state="frozen"/>
      <selection pane="bottomLeft" sqref="A1:O1"/>
    </sheetView>
  </sheetViews>
  <sheetFormatPr baseColWidth="10" defaultColWidth="11.42578125" defaultRowHeight="15" x14ac:dyDescent="0.25"/>
  <cols>
    <col min="1" max="1" width="6" style="1" customWidth="1"/>
    <col min="2" max="2" width="15" style="1" bestFit="1" customWidth="1"/>
    <col min="3" max="3" width="29.5703125" style="1" customWidth="1"/>
    <col min="4" max="4" width="19.7109375" style="1" customWidth="1"/>
    <col min="5" max="5" width="19" style="1" customWidth="1"/>
    <col min="6" max="6" width="15.140625" style="1" bestFit="1" customWidth="1"/>
    <col min="7" max="7" width="23.140625" style="1" customWidth="1"/>
    <col min="8" max="8" width="14.140625" style="1" bestFit="1" customWidth="1"/>
    <col min="9" max="9" width="14.5703125" style="1" bestFit="1" customWidth="1"/>
    <col min="10" max="10" width="15.140625" style="1" customWidth="1"/>
    <col min="11" max="13" width="14" style="1" bestFit="1" customWidth="1"/>
    <col min="14" max="16384" width="11.42578125" style="1"/>
  </cols>
  <sheetData>
    <row r="1" spans="1:15" s="654" customFormat="1" ht="58.5" customHeight="1" x14ac:dyDescent="0.25">
      <c r="A1" s="656"/>
      <c r="B1" s="656"/>
      <c r="C1" s="656"/>
      <c r="D1" s="656"/>
      <c r="E1" s="659" t="s">
        <v>13</v>
      </c>
      <c r="F1" s="660"/>
      <c r="G1" s="660"/>
      <c r="H1" s="656"/>
      <c r="I1" s="656"/>
      <c r="J1" s="656"/>
      <c r="K1" s="656"/>
      <c r="L1" s="656"/>
      <c r="M1" s="656"/>
      <c r="N1" s="656"/>
      <c r="O1" s="656"/>
    </row>
    <row r="2" spans="1:15" ht="15.75" thickBot="1" x14ac:dyDescent="0.3"/>
    <row r="3" spans="1:15" ht="27" thickBot="1" x14ac:dyDescent="0.45">
      <c r="H3" s="256"/>
      <c r="K3" s="663" t="s">
        <v>35</v>
      </c>
      <c r="L3" s="664"/>
      <c r="M3" s="665"/>
    </row>
    <row r="4" spans="1:15" x14ac:dyDescent="0.25">
      <c r="H4" s="245"/>
      <c r="K4" s="34">
        <v>2019</v>
      </c>
      <c r="L4" s="34">
        <v>2020</v>
      </c>
      <c r="M4" s="34">
        <v>2021</v>
      </c>
    </row>
    <row r="5" spans="1:15" x14ac:dyDescent="0.25">
      <c r="H5" s="340"/>
      <c r="K5" s="40">
        <f>Hipótesis!$C$24</f>
        <v>4.9599999999999998E-2</v>
      </c>
      <c r="L5" s="40">
        <f>Hipótesis!$C$25</f>
        <v>0.1078904648</v>
      </c>
      <c r="M5" s="40">
        <f>Hipótesis!$C$26</f>
        <v>0.17066814759999999</v>
      </c>
    </row>
    <row r="6" spans="1:15" x14ac:dyDescent="0.25">
      <c r="H6" s="124"/>
      <c r="K6" s="33">
        <f>Hipótesis!$D$24</f>
        <v>301216832</v>
      </c>
      <c r="L6" s="33">
        <f>Hipótesis!$D$25</f>
        <v>655210161.49321604</v>
      </c>
      <c r="M6" s="33">
        <f>Hipótesis!$D$26</f>
        <v>1036454006.9229919</v>
      </c>
    </row>
    <row r="7" spans="1:15" ht="15.75" thickBot="1" x14ac:dyDescent="0.3">
      <c r="H7" s="124"/>
    </row>
    <row r="8" spans="1:15" ht="27" thickBot="1" x14ac:dyDescent="0.45">
      <c r="H8" s="256"/>
      <c r="K8" s="663" t="s">
        <v>303</v>
      </c>
      <c r="L8" s="664"/>
      <c r="M8" s="665"/>
    </row>
    <row r="9" spans="1:15" ht="15.75" thickBot="1" x14ac:dyDescent="0.3">
      <c r="H9" s="245"/>
      <c r="K9" s="116">
        <v>2019</v>
      </c>
      <c r="L9" s="34">
        <v>2020</v>
      </c>
      <c r="M9" s="117">
        <v>2021</v>
      </c>
    </row>
    <row r="10" spans="1:15" ht="27" thickBot="1" x14ac:dyDescent="0.45">
      <c r="B10" s="669" t="s">
        <v>13</v>
      </c>
      <c r="C10" s="670"/>
      <c r="D10" s="670"/>
      <c r="E10" s="670"/>
      <c r="F10" s="670"/>
      <c r="G10" s="671"/>
      <c r="H10" s="340"/>
      <c r="J10" s="580" t="s">
        <v>268</v>
      </c>
      <c r="K10" s="585">
        <f>'Costos fijos'!$G$5</f>
        <v>2343935.7000000002</v>
      </c>
      <c r="L10" s="33">
        <f>'Costos fijos'!$H$5</f>
        <v>2614351.9749999996</v>
      </c>
      <c r="M10" s="586">
        <f>'Costos fijos'!$I$5</f>
        <v>2971977.4835000001</v>
      </c>
    </row>
    <row r="11" spans="1:15" ht="15.75" thickBot="1" x14ac:dyDescent="0.3">
      <c r="B11" s="892" t="s">
        <v>281</v>
      </c>
      <c r="C11" s="893"/>
      <c r="D11" s="531" t="s">
        <v>282</v>
      </c>
      <c r="E11" s="532">
        <v>2019</v>
      </c>
      <c r="F11" s="532">
        <v>2020</v>
      </c>
      <c r="G11" s="533">
        <v>2021</v>
      </c>
      <c r="H11" s="124"/>
      <c r="J11" s="580" t="s">
        <v>223</v>
      </c>
      <c r="K11" s="585" t="e">
        <f>'Costos variables'!$H$6</f>
        <v>#REF!</v>
      </c>
      <c r="L11" s="33">
        <f>'Costos variables'!$I$6</f>
        <v>17694195.824999999</v>
      </c>
      <c r="M11" s="586">
        <f>'Costos variables'!$J$6</f>
        <v>29793383.600000001</v>
      </c>
    </row>
    <row r="12" spans="1:15" ht="15.75" thickBot="1" x14ac:dyDescent="0.3">
      <c r="B12" s="886" t="s">
        <v>39</v>
      </c>
      <c r="C12" s="887"/>
      <c r="D12" s="484" t="s">
        <v>269</v>
      </c>
      <c r="E12" s="456">
        <f>K6</f>
        <v>301216832</v>
      </c>
      <c r="F12" s="456">
        <f>L6</f>
        <v>655210161.49321604</v>
      </c>
      <c r="G12" s="530">
        <f>M6</f>
        <v>1036454006.9229919</v>
      </c>
      <c r="J12" s="580" t="s">
        <v>224</v>
      </c>
      <c r="K12" s="120">
        <f>'Costos RRHH'!$H$6</f>
        <v>7341662.4450000012</v>
      </c>
      <c r="L12" s="121">
        <f>'Costos RRHH'!$I$6</f>
        <v>8446303.9266666677</v>
      </c>
      <c r="M12" s="122">
        <f>'Costos RRHH'!$J$6</f>
        <v>10262133.115833335</v>
      </c>
    </row>
    <row r="13" spans="1:15" ht="15.75" thickBot="1" x14ac:dyDescent="0.3">
      <c r="B13" s="888" t="s">
        <v>270</v>
      </c>
      <c r="C13" s="529" t="s">
        <v>268</v>
      </c>
      <c r="D13" s="528" t="s">
        <v>269</v>
      </c>
      <c r="E13" s="449">
        <f t="shared" ref="E13:G15" si="0">K10</f>
        <v>2343935.7000000002</v>
      </c>
      <c r="F13" s="449">
        <f t="shared" si="0"/>
        <v>2614351.9749999996</v>
      </c>
      <c r="G13" s="481">
        <f t="shared" si="0"/>
        <v>2971977.4835000001</v>
      </c>
    </row>
    <row r="14" spans="1:15" ht="27" thickBot="1" x14ac:dyDescent="0.45">
      <c r="B14" s="888"/>
      <c r="C14" s="529" t="s">
        <v>223</v>
      </c>
      <c r="D14" s="528" t="s">
        <v>269</v>
      </c>
      <c r="E14" s="449" t="e">
        <f t="shared" si="0"/>
        <v>#REF!</v>
      </c>
      <c r="F14" s="449">
        <f t="shared" si="0"/>
        <v>17694195.824999999</v>
      </c>
      <c r="G14" s="449">
        <f t="shared" si="0"/>
        <v>29793383.600000001</v>
      </c>
      <c r="K14" s="663" t="s">
        <v>9</v>
      </c>
      <c r="L14" s="664"/>
      <c r="M14" s="665"/>
    </row>
    <row r="15" spans="1:15" ht="15.75" thickBot="1" x14ac:dyDescent="0.3">
      <c r="B15" s="889"/>
      <c r="C15" s="534" t="s">
        <v>224</v>
      </c>
      <c r="D15" s="535" t="s">
        <v>269</v>
      </c>
      <c r="E15" s="475">
        <f t="shared" si="0"/>
        <v>7341662.4450000012</v>
      </c>
      <c r="F15" s="475">
        <f t="shared" si="0"/>
        <v>8446303.9266666677</v>
      </c>
      <c r="G15" s="475">
        <f t="shared" si="0"/>
        <v>10262133.115833335</v>
      </c>
      <c r="K15" s="453">
        <v>2019</v>
      </c>
      <c r="L15" s="454">
        <v>2020</v>
      </c>
      <c r="M15" s="455">
        <v>2021</v>
      </c>
    </row>
    <row r="16" spans="1:15" ht="15.75" thickBot="1" x14ac:dyDescent="0.3">
      <c r="B16" s="882" t="s">
        <v>271</v>
      </c>
      <c r="C16" s="883"/>
      <c r="D16" s="536" t="s">
        <v>269</v>
      </c>
      <c r="E16" s="537" t="e">
        <f>E12-E13-E14-E15</f>
        <v>#REF!</v>
      </c>
      <c r="F16" s="537">
        <f t="shared" ref="F16:G16" si="1">F12-F13-F14-F15</f>
        <v>626455309.76654935</v>
      </c>
      <c r="G16" s="538">
        <f t="shared" si="1"/>
        <v>993426512.72365856</v>
      </c>
      <c r="K16" s="450">
        <f>Amortizaciones!$I$5</f>
        <v>141277.33333333334</v>
      </c>
      <c r="L16" s="451">
        <f>Amortizaciones!$J$5</f>
        <v>147660.56666666665</v>
      </c>
      <c r="M16" s="452">
        <f>Amortizaciones!$K$5</f>
        <v>162884.43333333335</v>
      </c>
    </row>
    <row r="17" spans="2:13" ht="15.75" thickBot="1" x14ac:dyDescent="0.3">
      <c r="B17" s="896" t="s">
        <v>272</v>
      </c>
      <c r="C17" s="897"/>
      <c r="D17" s="484" t="s">
        <v>269</v>
      </c>
      <c r="E17" s="456">
        <f>E12*0.03</f>
        <v>9036504.959999999</v>
      </c>
      <c r="F17" s="456">
        <f t="shared" ref="F17:G17" si="2">F12*0.03</f>
        <v>19656304.844796479</v>
      </c>
      <c r="G17" s="530">
        <f t="shared" si="2"/>
        <v>31093620.207689755</v>
      </c>
    </row>
    <row r="18" spans="2:13" ht="27" thickBot="1" x14ac:dyDescent="0.45">
      <c r="B18" s="890" t="s">
        <v>273</v>
      </c>
      <c r="C18" s="891"/>
      <c r="D18" s="528"/>
      <c r="E18" s="449" t="e">
        <f>E16-E17-K16</f>
        <v>#REF!</v>
      </c>
      <c r="F18" s="449">
        <f>F16-F17-L16</f>
        <v>606651344.35508621</v>
      </c>
      <c r="G18" s="481">
        <f>G16-G17-M16</f>
        <v>962170008.08263552</v>
      </c>
      <c r="J18" s="663" t="s">
        <v>227</v>
      </c>
      <c r="K18" s="664"/>
      <c r="L18" s="664"/>
      <c r="M18" s="665"/>
    </row>
    <row r="19" spans="2:13" ht="15.75" thickBot="1" x14ac:dyDescent="0.3">
      <c r="B19" s="898" t="s">
        <v>274</v>
      </c>
      <c r="C19" s="899"/>
      <c r="D19" s="535" t="s">
        <v>269</v>
      </c>
      <c r="E19" s="475">
        <v>0</v>
      </c>
      <c r="F19" s="475">
        <v>0</v>
      </c>
      <c r="G19" s="482">
        <f>F18*0.35</f>
        <v>212327970.52428016</v>
      </c>
      <c r="J19" s="453" t="s">
        <v>228</v>
      </c>
      <c r="K19" s="454">
        <v>2019</v>
      </c>
      <c r="L19" s="454">
        <v>2020</v>
      </c>
      <c r="M19" s="455">
        <v>2021</v>
      </c>
    </row>
    <row r="20" spans="2:13" ht="15.75" thickBot="1" x14ac:dyDescent="0.3">
      <c r="B20" s="882" t="s">
        <v>275</v>
      </c>
      <c r="C20" s="883"/>
      <c r="D20" s="536" t="s">
        <v>269</v>
      </c>
      <c r="E20" s="537" t="e">
        <f>E16-E17-E19</f>
        <v>#REF!</v>
      </c>
      <c r="F20" s="537">
        <f>F16-F17-F19</f>
        <v>606799004.92175293</v>
      </c>
      <c r="G20" s="538">
        <f>G16-G17-G19</f>
        <v>750004921.99168861</v>
      </c>
      <c r="J20" s="450">
        <f>'Mod. inversión'!$G$5</f>
        <v>2297572</v>
      </c>
      <c r="K20" s="451">
        <f>'Mod. inversión'!$H$5</f>
        <v>22999</v>
      </c>
      <c r="L20" s="451">
        <f>'Mod. inversión'!$I$5</f>
        <v>70262</v>
      </c>
      <c r="M20" s="452">
        <f>'Mod. inversión'!$J$5</f>
        <v>1306257</v>
      </c>
    </row>
    <row r="21" spans="2:13" ht="15.75" thickBot="1" x14ac:dyDescent="0.3">
      <c r="B21" s="894" t="s">
        <v>276</v>
      </c>
      <c r="C21" s="895"/>
      <c r="D21" s="539">
        <f>-J20</f>
        <v>-2297572</v>
      </c>
      <c r="E21" s="540">
        <f>-K20</f>
        <v>-22999</v>
      </c>
      <c r="F21" s="540">
        <f>-L20</f>
        <v>-70262</v>
      </c>
      <c r="G21" s="541">
        <f>-M20</f>
        <v>-1306257</v>
      </c>
    </row>
    <row r="22" spans="2:13" ht="15.75" thickBot="1" x14ac:dyDescent="0.3">
      <c r="B22" s="884" t="s">
        <v>277</v>
      </c>
      <c r="C22" s="885"/>
      <c r="D22" s="550">
        <f>D21</f>
        <v>-2297572</v>
      </c>
      <c r="E22" s="537" t="e">
        <f>E20+E21</f>
        <v>#REF!</v>
      </c>
      <c r="F22" s="537">
        <f t="shared" ref="F22:G22" si="3">F20+F21</f>
        <v>606728742.92175293</v>
      </c>
      <c r="G22" s="538">
        <f t="shared" si="3"/>
        <v>748698664.99168861</v>
      </c>
    </row>
    <row r="25" spans="2:13" ht="15.75" thickBot="1" x14ac:dyDescent="0.3"/>
    <row r="26" spans="2:13" x14ac:dyDescent="0.25">
      <c r="F26" s="544" t="s">
        <v>278</v>
      </c>
      <c r="G26" s="545">
        <v>0.5</v>
      </c>
    </row>
    <row r="27" spans="2:13" x14ac:dyDescent="0.25">
      <c r="F27" s="546" t="s">
        <v>279</v>
      </c>
      <c r="G27" s="547"/>
    </row>
    <row r="28" spans="2:13" ht="15.75" thickBot="1" x14ac:dyDescent="0.3">
      <c r="F28" s="548" t="s">
        <v>280</v>
      </c>
      <c r="G28" s="549"/>
    </row>
    <row r="31" spans="2:13" ht="0.6" customHeight="1" x14ac:dyDescent="0.25">
      <c r="I31" s="551"/>
    </row>
    <row r="32" spans="2:13" x14ac:dyDescent="0.25">
      <c r="I32" s="551"/>
    </row>
    <row r="36" spans="4:9" x14ac:dyDescent="0.25">
      <c r="D36" s="42"/>
      <c r="E36" s="42"/>
      <c r="F36" s="42"/>
      <c r="G36" s="42"/>
      <c r="I36" s="43"/>
    </row>
    <row r="37" spans="4:9" x14ac:dyDescent="0.25">
      <c r="I37" s="43"/>
    </row>
    <row r="38" spans="4:9" x14ac:dyDescent="0.25">
      <c r="H38" s="543"/>
    </row>
  </sheetData>
  <mergeCells count="15">
    <mergeCell ref="B16:C16"/>
    <mergeCell ref="K3:M3"/>
    <mergeCell ref="K8:M8"/>
    <mergeCell ref="B22:C22"/>
    <mergeCell ref="J18:M18"/>
    <mergeCell ref="K14:M14"/>
    <mergeCell ref="B12:C12"/>
    <mergeCell ref="B13:B15"/>
    <mergeCell ref="B18:C18"/>
    <mergeCell ref="B10:G10"/>
    <mergeCell ref="B11:C11"/>
    <mergeCell ref="B21:C21"/>
    <mergeCell ref="B20:C20"/>
    <mergeCell ref="B17:C17"/>
    <mergeCell ref="B19:C19"/>
  </mergeCells>
  <pageMargins left="0.7" right="0.7" top="0.75" bottom="0.75" header="0.3" footer="0.3"/>
  <pageSetup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N22"/>
  <sheetViews>
    <sheetView zoomScale="80" zoomScaleNormal="80" workbookViewId="0">
      <pane xSplit="2" ySplit="5" topLeftCell="M6" activePane="bottomRight" state="frozen"/>
      <selection pane="topRight" activeCell="C1" sqref="C1"/>
      <selection pane="bottomLeft" activeCell="A6" sqref="A6"/>
      <selection pane="bottomRight" sqref="A1:N1"/>
    </sheetView>
  </sheetViews>
  <sheetFormatPr baseColWidth="10" defaultColWidth="11.42578125" defaultRowHeight="15" x14ac:dyDescent="0.25"/>
  <cols>
    <col min="1" max="1" width="11.42578125" style="1"/>
    <col min="2" max="2" width="13.5703125" style="1" customWidth="1"/>
    <col min="3" max="3" width="59.7109375" style="1" customWidth="1"/>
    <col min="4" max="4" width="49.85546875" style="1" customWidth="1"/>
    <col min="5" max="5" width="53.7109375" style="1" customWidth="1"/>
    <col min="6" max="7" width="11.42578125" style="1"/>
    <col min="8" max="8" width="15.5703125" style="1" customWidth="1"/>
    <col min="9" max="16384" width="11.42578125" style="1"/>
  </cols>
  <sheetData>
    <row r="1" spans="1:14" s="654" customFormat="1" ht="58.5" customHeight="1" x14ac:dyDescent="0.25">
      <c r="A1" s="656"/>
      <c r="B1" s="656"/>
      <c r="C1" s="656"/>
      <c r="D1" s="659" t="s">
        <v>11</v>
      </c>
      <c r="E1" s="656"/>
      <c r="F1" s="656"/>
      <c r="G1" s="660"/>
      <c r="H1" s="660"/>
      <c r="I1" s="656"/>
      <c r="J1" s="656"/>
      <c r="K1" s="656"/>
      <c r="L1" s="656"/>
      <c r="M1" s="656"/>
      <c r="N1" s="656"/>
    </row>
    <row r="3" spans="1:14" ht="15.75" thickBot="1" x14ac:dyDescent="0.3"/>
    <row r="4" spans="1:14" ht="27" thickBot="1" x14ac:dyDescent="0.45">
      <c r="B4" s="672" t="s">
        <v>11</v>
      </c>
      <c r="C4" s="673"/>
      <c r="D4" s="673"/>
      <c r="E4" s="673"/>
      <c r="F4" s="673"/>
      <c r="G4" s="674"/>
    </row>
    <row r="5" spans="1:14" ht="15.75" thickBot="1" x14ac:dyDescent="0.3">
      <c r="B5" s="613" t="s">
        <v>301</v>
      </c>
      <c r="C5" s="614" t="s">
        <v>287</v>
      </c>
      <c r="D5" s="614" t="s">
        <v>288</v>
      </c>
      <c r="E5" s="614" t="s">
        <v>289</v>
      </c>
      <c r="F5" s="615" t="s">
        <v>290</v>
      </c>
      <c r="G5" s="616" t="s">
        <v>291</v>
      </c>
      <c r="H5"/>
    </row>
    <row r="6" spans="1:14" ht="60" customHeight="1" thickBot="1" x14ac:dyDescent="0.3">
      <c r="B6" s="620">
        <v>1</v>
      </c>
      <c r="C6" s="637" t="s">
        <v>342</v>
      </c>
      <c r="D6" s="631" t="s">
        <v>343</v>
      </c>
      <c r="E6" s="631" t="s">
        <v>344</v>
      </c>
      <c r="F6" s="632" t="s">
        <v>293</v>
      </c>
      <c r="G6" s="633" t="s">
        <v>292</v>
      </c>
      <c r="H6" s="609"/>
    </row>
    <row r="7" spans="1:14" ht="61.5" customHeight="1" thickBot="1" x14ac:dyDescent="0.3">
      <c r="B7" s="623">
        <v>2</v>
      </c>
      <c r="C7" s="634" t="s">
        <v>309</v>
      </c>
      <c r="D7" s="577" t="s">
        <v>302</v>
      </c>
      <c r="E7" s="577" t="s">
        <v>308</v>
      </c>
      <c r="F7" s="635" t="s">
        <v>296</v>
      </c>
      <c r="G7" s="636" t="s">
        <v>292</v>
      </c>
      <c r="H7" s="609"/>
    </row>
    <row r="8" spans="1:14" ht="57.75" customHeight="1" thickBot="1" x14ac:dyDescent="0.3">
      <c r="B8" s="629">
        <v>3</v>
      </c>
      <c r="C8" s="630" t="s">
        <v>334</v>
      </c>
      <c r="D8" s="631" t="s">
        <v>333</v>
      </c>
      <c r="E8" s="631" t="s">
        <v>337</v>
      </c>
      <c r="F8" s="632" t="s">
        <v>296</v>
      </c>
      <c r="G8" s="633" t="s">
        <v>292</v>
      </c>
      <c r="H8" s="609"/>
    </row>
    <row r="9" spans="1:14" ht="33" customHeight="1" x14ac:dyDescent="0.25">
      <c r="B9" s="628">
        <v>4</v>
      </c>
      <c r="C9" s="617" t="s">
        <v>310</v>
      </c>
      <c r="D9" s="554" t="s">
        <v>312</v>
      </c>
      <c r="E9" s="554" t="s">
        <v>311</v>
      </c>
      <c r="F9" s="611" t="s">
        <v>293</v>
      </c>
      <c r="G9" s="612" t="s">
        <v>297</v>
      </c>
      <c r="H9" s="124"/>
    </row>
    <row r="10" spans="1:14" ht="30" x14ac:dyDescent="0.25">
      <c r="B10" s="621">
        <v>5</v>
      </c>
      <c r="C10" s="618" t="s">
        <v>298</v>
      </c>
      <c r="D10" s="552" t="s">
        <v>340</v>
      </c>
      <c r="E10" s="552" t="s">
        <v>299</v>
      </c>
      <c r="F10" s="265" t="s">
        <v>293</v>
      </c>
      <c r="G10" s="276" t="s">
        <v>297</v>
      </c>
      <c r="H10" s="124"/>
    </row>
    <row r="11" spans="1:14" ht="30" x14ac:dyDescent="0.25">
      <c r="B11" s="621">
        <v>6</v>
      </c>
      <c r="C11" s="618" t="s">
        <v>313</v>
      </c>
      <c r="D11" s="553" t="s">
        <v>341</v>
      </c>
      <c r="E11" s="553" t="s">
        <v>314</v>
      </c>
      <c r="F11" s="265" t="s">
        <v>293</v>
      </c>
      <c r="G11" s="276" t="s">
        <v>295</v>
      </c>
      <c r="H11" s="124"/>
    </row>
    <row r="12" spans="1:14" x14ac:dyDescent="0.25">
      <c r="B12" s="621">
        <v>7</v>
      </c>
      <c r="C12" s="618" t="s">
        <v>315</v>
      </c>
      <c r="D12" s="553"/>
      <c r="E12" s="553"/>
      <c r="F12" s="265" t="s">
        <v>296</v>
      </c>
      <c r="G12" s="276" t="s">
        <v>295</v>
      </c>
      <c r="H12" s="124"/>
    </row>
    <row r="13" spans="1:14" x14ac:dyDescent="0.25">
      <c r="B13" s="621">
        <v>8</v>
      </c>
      <c r="C13" s="618" t="s">
        <v>316</v>
      </c>
      <c r="D13" s="552"/>
      <c r="E13" s="552"/>
      <c r="F13" s="265" t="s">
        <v>296</v>
      </c>
      <c r="G13" s="276" t="s">
        <v>297</v>
      </c>
      <c r="H13" s="124"/>
    </row>
    <row r="14" spans="1:14" ht="15.75" thickBot="1" x14ac:dyDescent="0.3">
      <c r="B14" s="623">
        <v>9</v>
      </c>
      <c r="C14" s="624" t="s">
        <v>317</v>
      </c>
      <c r="D14" s="625"/>
      <c r="E14" s="625"/>
      <c r="F14" s="626" t="s">
        <v>296</v>
      </c>
      <c r="G14" s="627" t="s">
        <v>295</v>
      </c>
      <c r="H14" s="124"/>
    </row>
    <row r="15" spans="1:14" ht="68.25" customHeight="1" thickBot="1" x14ac:dyDescent="0.3">
      <c r="B15" s="629">
        <v>10</v>
      </c>
      <c r="C15" s="630" t="s">
        <v>330</v>
      </c>
      <c r="D15" s="631"/>
      <c r="E15" s="631"/>
      <c r="F15" s="632" t="s">
        <v>293</v>
      </c>
      <c r="G15" s="633" t="s">
        <v>292</v>
      </c>
      <c r="H15" s="609"/>
    </row>
    <row r="16" spans="1:14" x14ac:dyDescent="0.25">
      <c r="B16" s="628">
        <v>11</v>
      </c>
      <c r="C16" s="617" t="s">
        <v>318</v>
      </c>
      <c r="D16" s="554"/>
      <c r="E16" s="554"/>
      <c r="F16" s="611" t="s">
        <v>293</v>
      </c>
      <c r="G16" s="612" t="s">
        <v>297</v>
      </c>
      <c r="H16" s="124"/>
    </row>
    <row r="17" spans="2:8" x14ac:dyDescent="0.25">
      <c r="B17" s="621">
        <v>12</v>
      </c>
      <c r="C17" s="618" t="s">
        <v>319</v>
      </c>
      <c r="D17" s="552"/>
      <c r="E17" s="552"/>
      <c r="F17" s="265" t="s">
        <v>296</v>
      </c>
      <c r="G17" s="276" t="s">
        <v>297</v>
      </c>
      <c r="H17" s="124"/>
    </row>
    <row r="18" spans="2:8" ht="54.75" customHeight="1" x14ac:dyDescent="0.25">
      <c r="B18" s="621">
        <v>13</v>
      </c>
      <c r="C18" s="618" t="s">
        <v>320</v>
      </c>
      <c r="D18" s="552"/>
      <c r="E18" s="552"/>
      <c r="F18" s="265" t="s">
        <v>296</v>
      </c>
      <c r="G18" s="276" t="s">
        <v>292</v>
      </c>
      <c r="H18" s="124"/>
    </row>
    <row r="19" spans="2:8" x14ac:dyDescent="0.25">
      <c r="B19" s="621">
        <v>14</v>
      </c>
      <c r="C19" s="618" t="s">
        <v>322</v>
      </c>
      <c r="D19" s="552"/>
      <c r="E19" s="552"/>
      <c r="F19" s="265" t="s">
        <v>293</v>
      </c>
      <c r="G19" s="276" t="s">
        <v>292</v>
      </c>
      <c r="H19" s="609"/>
    </row>
    <row r="20" spans="2:8" ht="15.75" thickBot="1" x14ac:dyDescent="0.3">
      <c r="B20" s="622">
        <v>15</v>
      </c>
      <c r="C20" s="619" t="s">
        <v>321</v>
      </c>
      <c r="D20" s="610"/>
      <c r="E20" s="610"/>
      <c r="F20" s="267" t="s">
        <v>293</v>
      </c>
      <c r="G20" s="277" t="s">
        <v>293</v>
      </c>
      <c r="H20" s="124"/>
    </row>
    <row r="21" spans="2:8" x14ac:dyDescent="0.25">
      <c r="H21" s="124"/>
    </row>
    <row r="22" spans="2:8" x14ac:dyDescent="0.25">
      <c r="H22" s="124"/>
    </row>
  </sheetData>
  <mergeCells count="1">
    <mergeCell ref="B4:G4"/>
  </mergeCells>
  <pageMargins left="0.7" right="0.7" top="0.75" bottom="0.75" header="0.3" footer="0.3"/>
  <pageSetup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AL77"/>
  <sheetViews>
    <sheetView topLeftCell="F1" zoomScale="85" zoomScaleNormal="85" workbookViewId="0">
      <pane ySplit="1" topLeftCell="A2" activePane="bottomLeft" state="frozen"/>
      <selection pane="bottomLeft" sqref="A1:N1"/>
    </sheetView>
  </sheetViews>
  <sheetFormatPr baseColWidth="10" defaultColWidth="11.42578125" defaultRowHeight="15" x14ac:dyDescent="0.25"/>
  <cols>
    <col min="1" max="1" width="4" style="1" customWidth="1"/>
    <col min="2" max="2" width="5.42578125" style="1" customWidth="1"/>
    <col min="3" max="3" width="11.42578125" style="1"/>
    <col min="4" max="4" width="25.140625" style="1" customWidth="1"/>
    <col min="5" max="5" width="18.28515625" style="1" customWidth="1"/>
    <col min="6" max="6" width="26.5703125" style="1" bestFit="1" customWidth="1"/>
    <col min="7" max="7" width="20" style="1" customWidth="1"/>
    <col min="8" max="8" width="21.42578125" style="1" customWidth="1"/>
    <col min="9" max="9" width="15.5703125" style="1" customWidth="1"/>
    <col min="10" max="10" width="2.28515625" style="1" customWidth="1"/>
    <col min="11" max="11" width="58.85546875" style="1" customWidth="1"/>
    <col min="12" max="16384" width="11.42578125" style="1"/>
  </cols>
  <sheetData>
    <row r="1" spans="1:38" s="654" customFormat="1" ht="58.5" customHeight="1" x14ac:dyDescent="0.25">
      <c r="A1" s="656"/>
      <c r="B1" s="656"/>
      <c r="C1" s="656"/>
      <c r="D1" s="656"/>
      <c r="E1" s="656"/>
      <c r="F1" s="656"/>
      <c r="G1" s="900" t="s">
        <v>324</v>
      </c>
      <c r="H1" s="901"/>
      <c r="I1" s="901"/>
      <c r="J1" s="656"/>
      <c r="K1" s="656"/>
      <c r="L1" s="656"/>
      <c r="M1" s="656"/>
      <c r="N1" s="656"/>
    </row>
    <row r="2" spans="1:38" ht="20.25" customHeight="1" thickBot="1" x14ac:dyDescent="0.3">
      <c r="G2" s="588"/>
      <c r="H2" s="589"/>
      <c r="I2" s="589"/>
    </row>
    <row r="3" spans="1:38" ht="15.75" thickBot="1" x14ac:dyDescent="0.3">
      <c r="B3" s="590"/>
      <c r="C3" s="591"/>
      <c r="D3" s="591"/>
      <c r="E3" s="591"/>
      <c r="F3" s="591"/>
      <c r="G3" s="591"/>
      <c r="H3" s="591"/>
      <c r="I3" s="591"/>
      <c r="J3" s="591"/>
      <c r="K3" s="591"/>
      <c r="L3" s="592"/>
    </row>
    <row r="4" spans="1:38" ht="15.75" thickBot="1" x14ac:dyDescent="0.3">
      <c r="B4" s="593"/>
      <c r="C4" s="912" t="s">
        <v>323</v>
      </c>
      <c r="D4" s="913"/>
      <c r="E4" s="913"/>
      <c r="F4" s="913"/>
      <c r="G4" s="913"/>
      <c r="H4" s="913"/>
      <c r="I4" s="913"/>
      <c r="J4" s="913"/>
      <c r="K4" s="914"/>
      <c r="L4" s="594"/>
      <c r="M4" s="283"/>
      <c r="N4" s="283"/>
      <c r="O4" s="283"/>
      <c r="P4" s="283"/>
      <c r="Q4" s="283"/>
      <c r="R4" s="283"/>
      <c r="S4" s="283"/>
      <c r="T4" s="283"/>
      <c r="U4" s="283"/>
      <c r="V4" s="283"/>
      <c r="W4" s="283"/>
      <c r="X4" s="283"/>
      <c r="Y4" s="283"/>
      <c r="Z4" s="283"/>
      <c r="AA4" s="283"/>
      <c r="AB4" s="283"/>
      <c r="AC4" s="283"/>
      <c r="AD4" s="283"/>
      <c r="AE4" s="283"/>
      <c r="AF4" s="283"/>
      <c r="AG4" s="283"/>
      <c r="AH4" s="283"/>
      <c r="AI4" s="283"/>
      <c r="AJ4" s="283"/>
      <c r="AK4" s="283"/>
      <c r="AL4" s="283"/>
    </row>
    <row r="5" spans="1:38" ht="15.75" thickBot="1" x14ac:dyDescent="0.3">
      <c r="B5" s="593"/>
      <c r="C5" s="595"/>
      <c r="D5" s="595"/>
      <c r="E5" s="595"/>
      <c r="F5" s="595"/>
      <c r="G5" s="595"/>
      <c r="H5" s="595"/>
      <c r="I5" s="595"/>
      <c r="J5" s="595"/>
      <c r="K5" s="595"/>
      <c r="L5" s="594"/>
      <c r="M5" s="283"/>
      <c r="N5" s="283"/>
      <c r="O5" s="283"/>
      <c r="P5" s="283"/>
      <c r="Q5" s="283"/>
      <c r="R5" s="283"/>
      <c r="S5" s="283"/>
      <c r="T5" s="283"/>
      <c r="U5" s="283"/>
      <c r="V5" s="283"/>
      <c r="W5" s="283"/>
      <c r="X5" s="283"/>
      <c r="Y5" s="283"/>
      <c r="Z5" s="283"/>
      <c r="AA5" s="283"/>
      <c r="AB5" s="283"/>
      <c r="AC5" s="283"/>
      <c r="AD5" s="283"/>
      <c r="AE5" s="283"/>
      <c r="AF5" s="283"/>
      <c r="AG5" s="283"/>
      <c r="AH5" s="283"/>
      <c r="AI5" s="283"/>
      <c r="AJ5" s="283"/>
      <c r="AK5" s="283"/>
      <c r="AL5" s="283"/>
    </row>
    <row r="6" spans="1:38" ht="15.75" thickBot="1" x14ac:dyDescent="0.3">
      <c r="B6" s="593"/>
      <c r="C6" s="124"/>
      <c r="D6" s="124"/>
      <c r="E6" s="124"/>
      <c r="F6" s="567" t="s">
        <v>35</v>
      </c>
      <c r="G6" s="559"/>
      <c r="H6" s="560"/>
      <c r="I6" s="595"/>
      <c r="J6" s="595"/>
      <c r="K6" s="309" t="s">
        <v>335</v>
      </c>
      <c r="L6" s="594"/>
      <c r="M6" s="283"/>
      <c r="N6" s="283"/>
      <c r="O6" s="283"/>
      <c r="P6" s="283"/>
      <c r="Q6" s="283"/>
      <c r="R6" s="283"/>
      <c r="S6" s="283"/>
      <c r="T6" s="283"/>
      <c r="U6" s="283"/>
      <c r="V6" s="283"/>
      <c r="W6" s="283"/>
      <c r="X6" s="283"/>
      <c r="Y6" s="283"/>
      <c r="Z6" s="283"/>
      <c r="AA6" s="283"/>
      <c r="AB6" s="283"/>
      <c r="AC6" s="283"/>
      <c r="AD6" s="283"/>
      <c r="AE6" s="283"/>
      <c r="AF6" s="283"/>
      <c r="AG6" s="283"/>
      <c r="AH6" s="283"/>
      <c r="AI6" s="283"/>
      <c r="AJ6" s="283"/>
      <c r="AK6" s="283"/>
      <c r="AL6" s="283"/>
    </row>
    <row r="7" spans="1:38" x14ac:dyDescent="0.25">
      <c r="B7" s="593"/>
      <c r="E7" s="124"/>
      <c r="F7" s="566">
        <v>2019</v>
      </c>
      <c r="G7" s="566">
        <v>2020</v>
      </c>
      <c r="H7" s="566">
        <v>2021</v>
      </c>
      <c r="I7" s="595"/>
      <c r="J7" s="595"/>
      <c r="K7" s="908" t="s">
        <v>330</v>
      </c>
      <c r="L7" s="594"/>
      <c r="M7" s="283"/>
      <c r="N7" s="283"/>
      <c r="O7" s="283"/>
      <c r="P7" s="283"/>
      <c r="Q7" s="283"/>
      <c r="R7" s="283"/>
      <c r="S7" s="283"/>
      <c r="T7" s="283"/>
      <c r="U7" s="283"/>
      <c r="V7" s="283"/>
      <c r="W7" s="283"/>
      <c r="X7" s="283"/>
      <c r="Y7" s="283"/>
      <c r="Z7" s="283"/>
      <c r="AA7" s="283"/>
      <c r="AB7" s="283"/>
      <c r="AC7" s="283"/>
      <c r="AD7" s="283"/>
      <c r="AE7" s="283"/>
      <c r="AF7" s="283"/>
      <c r="AG7" s="283"/>
      <c r="AH7" s="283"/>
      <c r="AI7" s="283"/>
      <c r="AJ7" s="283"/>
      <c r="AK7" s="283"/>
      <c r="AL7" s="283"/>
    </row>
    <row r="8" spans="1:38" x14ac:dyDescent="0.25">
      <c r="B8" s="593"/>
      <c r="E8" s="124"/>
      <c r="F8" s="561">
        <f>'Presupuesto financiero'!K5</f>
        <v>4.9599999999999998E-2</v>
      </c>
      <c r="G8" s="561">
        <f>'Presupuesto financiero'!L5</f>
        <v>0.1078904648</v>
      </c>
      <c r="H8" s="561">
        <f>'Presupuesto financiero'!M5</f>
        <v>0.17066814759999999</v>
      </c>
      <c r="I8" s="595"/>
      <c r="J8" s="595"/>
      <c r="K8" s="909"/>
      <c r="L8" s="594"/>
      <c r="M8" s="283"/>
      <c r="N8" s="283"/>
      <c r="O8" s="283"/>
      <c r="P8" s="283"/>
      <c r="Q8" s="283"/>
      <c r="R8" s="283"/>
      <c r="S8" s="283"/>
      <c r="T8" s="283"/>
      <c r="U8" s="283"/>
      <c r="V8" s="283"/>
      <c r="W8" s="283"/>
      <c r="X8" s="283"/>
      <c r="Y8" s="283"/>
      <c r="Z8" s="283"/>
      <c r="AA8" s="283"/>
      <c r="AB8" s="283"/>
      <c r="AC8" s="283"/>
      <c r="AD8" s="283"/>
      <c r="AE8" s="283"/>
      <c r="AF8" s="283"/>
      <c r="AG8" s="283"/>
      <c r="AH8" s="283"/>
      <c r="AI8" s="283"/>
      <c r="AJ8" s="283"/>
      <c r="AK8" s="283"/>
      <c r="AL8" s="283"/>
    </row>
    <row r="9" spans="1:38" ht="15.75" thickBot="1" x14ac:dyDescent="0.3">
      <c r="B9" s="593"/>
      <c r="E9" s="572" t="s">
        <v>331</v>
      </c>
      <c r="F9" s="583">
        <f>Hipótesis!$D$24</f>
        <v>301216832</v>
      </c>
      <c r="G9" s="583">
        <f>Hipótesis!$D$25</f>
        <v>655210161.49321604</v>
      </c>
      <c r="H9" s="583">
        <f>Hipótesis!$D$26</f>
        <v>1036454006.9229919</v>
      </c>
      <c r="I9" s="595"/>
      <c r="J9" s="595"/>
      <c r="K9" s="910"/>
      <c r="L9" s="594"/>
      <c r="M9" s="283"/>
      <c r="N9" s="283"/>
      <c r="O9" s="283"/>
      <c r="P9" s="283"/>
      <c r="Q9" s="283"/>
      <c r="R9" s="283"/>
      <c r="S9" s="283"/>
      <c r="T9" s="283"/>
      <c r="U9" s="283"/>
      <c r="V9" s="283"/>
      <c r="W9" s="283"/>
      <c r="X9" s="283"/>
      <c r="Y9" s="283"/>
      <c r="Z9" s="283"/>
      <c r="AA9" s="283"/>
      <c r="AB9" s="283"/>
      <c r="AC9" s="283"/>
      <c r="AD9" s="283"/>
      <c r="AE9" s="283"/>
      <c r="AF9" s="283"/>
      <c r="AG9" s="283"/>
      <c r="AH9" s="283"/>
      <c r="AI9" s="283"/>
      <c r="AJ9" s="283"/>
      <c r="AK9" s="283"/>
      <c r="AL9" s="283"/>
    </row>
    <row r="10" spans="1:38" ht="15.75" thickBot="1" x14ac:dyDescent="0.3">
      <c r="B10" s="593"/>
      <c r="C10" s="124"/>
      <c r="D10" s="124"/>
      <c r="E10" s="572" t="s">
        <v>268</v>
      </c>
      <c r="F10" s="562">
        <f>'Presupuesto financiero'!K10</f>
        <v>2343935.7000000002</v>
      </c>
      <c r="G10" s="562">
        <f>'Presupuesto financiero'!L10</f>
        <v>2614351.9749999996</v>
      </c>
      <c r="H10" s="562">
        <f>'Presupuesto financiero'!M10</f>
        <v>2971977.4835000001</v>
      </c>
      <c r="I10" s="595"/>
      <c r="J10" s="595"/>
      <c r="K10" s="309" t="s">
        <v>288</v>
      </c>
      <c r="L10" s="594"/>
      <c r="M10" s="283"/>
      <c r="N10" s="283"/>
      <c r="O10" s="283"/>
      <c r="P10" s="283"/>
      <c r="Q10" s="283"/>
      <c r="R10" s="283"/>
      <c r="S10" s="283"/>
      <c r="T10" s="283"/>
      <c r="U10" s="283"/>
      <c r="V10" s="283"/>
      <c r="W10" s="283"/>
      <c r="X10" s="283"/>
      <c r="Y10" s="283"/>
      <c r="Z10" s="283"/>
      <c r="AA10" s="283"/>
      <c r="AB10" s="283"/>
      <c r="AC10" s="283"/>
      <c r="AD10" s="283"/>
      <c r="AE10" s="283"/>
      <c r="AF10" s="283"/>
      <c r="AG10" s="283"/>
      <c r="AH10" s="283"/>
      <c r="AI10" s="283"/>
      <c r="AJ10" s="283"/>
      <c r="AK10" s="283"/>
      <c r="AL10" s="283"/>
    </row>
    <row r="11" spans="1:38" x14ac:dyDescent="0.25">
      <c r="B11" s="593"/>
      <c r="C11" s="124"/>
      <c r="D11" s="124"/>
      <c r="E11" s="572" t="s">
        <v>223</v>
      </c>
      <c r="F11" s="562" t="e">
        <f>'Presupuesto financiero'!K11</f>
        <v>#REF!</v>
      </c>
      <c r="G11" s="562">
        <f>'Presupuesto financiero'!L11</f>
        <v>17694195.824999999</v>
      </c>
      <c r="H11" s="562">
        <f>'Presupuesto financiero'!M11</f>
        <v>29793383.600000001</v>
      </c>
      <c r="I11" s="595"/>
      <c r="J11" s="595"/>
      <c r="K11" s="911"/>
      <c r="L11" s="594"/>
      <c r="M11" s="283"/>
      <c r="N11" s="283"/>
      <c r="O11" s="283"/>
      <c r="P11" s="283"/>
      <c r="Q11" s="283"/>
      <c r="R11" s="283"/>
      <c r="S11" s="283"/>
      <c r="T11" s="283"/>
      <c r="U11" s="283"/>
      <c r="V11" s="283"/>
      <c r="W11" s="283"/>
      <c r="X11" s="283"/>
      <c r="Y11" s="283"/>
      <c r="Z11" s="283"/>
      <c r="AA11" s="283"/>
      <c r="AB11" s="283"/>
      <c r="AC11" s="283"/>
      <c r="AD11" s="283"/>
      <c r="AE11" s="283"/>
      <c r="AF11" s="283"/>
      <c r="AG11" s="283"/>
      <c r="AH11" s="283"/>
      <c r="AI11" s="283"/>
      <c r="AJ11" s="283"/>
      <c r="AK11" s="283"/>
      <c r="AL11" s="283"/>
    </row>
    <row r="12" spans="1:38" x14ac:dyDescent="0.25">
      <c r="B12" s="593"/>
      <c r="C12" s="124"/>
      <c r="D12" s="124"/>
      <c r="E12" s="572" t="s">
        <v>329</v>
      </c>
      <c r="F12" s="562">
        <f>'Presupuesto financiero'!K12</f>
        <v>7341662.4450000012</v>
      </c>
      <c r="G12" s="562">
        <f>'Presupuesto financiero'!L12</f>
        <v>8446303.9266666677</v>
      </c>
      <c r="H12" s="562">
        <f>'Presupuesto financiero'!M12</f>
        <v>10262133.115833335</v>
      </c>
      <c r="I12" s="595"/>
      <c r="J12" s="595"/>
      <c r="K12" s="909"/>
      <c r="L12" s="594"/>
      <c r="M12" s="283"/>
      <c r="N12" s="283"/>
      <c r="O12" s="283"/>
      <c r="P12" s="283"/>
      <c r="Q12" s="283"/>
      <c r="R12" s="283"/>
      <c r="S12" s="283"/>
      <c r="T12" s="283"/>
      <c r="U12" s="283"/>
      <c r="V12" s="283"/>
      <c r="W12" s="283"/>
      <c r="X12" s="283"/>
      <c r="Y12" s="283"/>
      <c r="Z12" s="283"/>
      <c r="AA12" s="283"/>
      <c r="AB12" s="283"/>
      <c r="AC12" s="283"/>
      <c r="AD12" s="283"/>
      <c r="AE12" s="283"/>
      <c r="AF12" s="283"/>
      <c r="AG12" s="283"/>
      <c r="AH12" s="283"/>
      <c r="AI12" s="283"/>
      <c r="AJ12" s="283"/>
      <c r="AK12" s="283"/>
      <c r="AL12" s="283"/>
    </row>
    <row r="13" spans="1:38" ht="15.75" thickBot="1" x14ac:dyDescent="0.3">
      <c r="B13" s="593"/>
      <c r="C13" s="124"/>
      <c r="D13" s="124"/>
      <c r="E13" s="124"/>
      <c r="F13" s="124"/>
      <c r="G13" s="124"/>
      <c r="H13" s="124"/>
      <c r="I13" s="595"/>
      <c r="J13" s="595"/>
      <c r="K13" s="910"/>
      <c r="L13" s="594"/>
      <c r="M13" s="283"/>
      <c r="N13" s="283"/>
      <c r="O13" s="283"/>
      <c r="P13" s="283"/>
      <c r="Q13" s="283"/>
      <c r="R13" s="283"/>
      <c r="S13" s="283"/>
      <c r="T13" s="283"/>
      <c r="U13" s="283"/>
      <c r="V13" s="283"/>
      <c r="W13" s="283"/>
      <c r="X13" s="283"/>
      <c r="Y13" s="283"/>
      <c r="Z13" s="283"/>
      <c r="AA13" s="283"/>
      <c r="AB13" s="283"/>
      <c r="AC13" s="283"/>
      <c r="AD13" s="283"/>
      <c r="AE13" s="283"/>
      <c r="AF13" s="283"/>
      <c r="AG13" s="283"/>
      <c r="AH13" s="283"/>
      <c r="AI13" s="283"/>
      <c r="AJ13" s="283"/>
      <c r="AK13" s="283"/>
      <c r="AL13" s="283"/>
    </row>
    <row r="14" spans="1:38" ht="16.5" customHeight="1" thickBot="1" x14ac:dyDescent="0.3">
      <c r="B14" s="593"/>
      <c r="C14" s="915" t="s">
        <v>346</v>
      </c>
      <c r="D14" s="916"/>
      <c r="E14" s="124"/>
      <c r="F14" s="582" t="s">
        <v>253</v>
      </c>
      <c r="G14" s="559"/>
      <c r="H14" s="560"/>
      <c r="I14" s="595"/>
      <c r="J14" s="595"/>
      <c r="K14" s="309" t="s">
        <v>289</v>
      </c>
      <c r="L14" s="594"/>
      <c r="M14" s="283"/>
      <c r="N14" s="283"/>
      <c r="O14" s="283"/>
      <c r="P14" s="283"/>
      <c r="Q14" s="283"/>
      <c r="R14" s="283"/>
      <c r="S14" s="283"/>
      <c r="T14" s="283"/>
      <c r="U14" s="283"/>
      <c r="V14" s="283"/>
      <c r="W14" s="283"/>
      <c r="X14" s="283"/>
      <c r="Y14" s="283"/>
      <c r="Z14" s="283"/>
      <c r="AA14" s="283"/>
      <c r="AB14" s="283"/>
      <c r="AC14" s="283"/>
      <c r="AD14" s="283"/>
      <c r="AE14" s="283"/>
      <c r="AF14" s="283"/>
      <c r="AG14" s="283"/>
      <c r="AH14" s="283"/>
      <c r="AI14" s="283"/>
      <c r="AJ14" s="283"/>
      <c r="AK14" s="283"/>
      <c r="AL14" s="283"/>
    </row>
    <row r="15" spans="1:38" ht="15.75" customHeight="1" x14ac:dyDescent="0.25">
      <c r="B15" s="593"/>
      <c r="C15" s="902">
        <v>2021</v>
      </c>
      <c r="D15" s="903"/>
      <c r="E15" s="124"/>
      <c r="F15" s="344">
        <v>2019</v>
      </c>
      <c r="G15" s="344">
        <v>2020</v>
      </c>
      <c r="H15" s="344">
        <v>2021</v>
      </c>
      <c r="I15" s="595"/>
      <c r="J15" s="595"/>
      <c r="K15" s="917" t="s">
        <v>345</v>
      </c>
      <c r="L15" s="594"/>
      <c r="M15" s="283"/>
      <c r="N15" s="283"/>
      <c r="O15" s="283"/>
      <c r="P15" s="283"/>
      <c r="Q15" s="283"/>
      <c r="R15" s="283"/>
      <c r="S15" s="283"/>
      <c r="T15" s="283"/>
      <c r="U15" s="283"/>
      <c r="V15" s="283"/>
      <c r="W15" s="283"/>
      <c r="X15" s="283"/>
      <c r="Y15" s="283"/>
      <c r="Z15" s="283"/>
      <c r="AA15" s="283"/>
      <c r="AB15" s="283"/>
      <c r="AC15" s="283"/>
      <c r="AD15" s="283"/>
      <c r="AE15" s="283"/>
      <c r="AF15" s="283"/>
      <c r="AG15" s="283"/>
      <c r="AH15" s="283"/>
      <c r="AI15" s="283"/>
      <c r="AJ15" s="283"/>
      <c r="AK15" s="283"/>
      <c r="AL15" s="283"/>
    </row>
    <row r="16" spans="1:38" ht="15.75" thickBot="1" x14ac:dyDescent="0.3">
      <c r="B16" s="593"/>
      <c r="C16" s="904">
        <v>0.8</v>
      </c>
      <c r="D16" s="905"/>
      <c r="E16" s="584"/>
      <c r="F16" s="562">
        <f>'Presupuesto financiero'!K16</f>
        <v>141277.33333333334</v>
      </c>
      <c r="G16" s="562">
        <f>'Presupuesto financiero'!L16</f>
        <v>147660.56666666665</v>
      </c>
      <c r="H16" s="562">
        <f>'Presupuesto financiero'!M16</f>
        <v>162884.43333333335</v>
      </c>
      <c r="I16" s="595"/>
      <c r="J16" s="595"/>
      <c r="K16" s="918"/>
      <c r="L16" s="594"/>
      <c r="M16" s="283"/>
      <c r="N16" s="283"/>
      <c r="O16" s="283"/>
      <c r="P16" s="283"/>
      <c r="Q16" s="283"/>
      <c r="R16" s="283"/>
      <c r="S16" s="283"/>
      <c r="T16" s="283"/>
      <c r="U16" s="283"/>
      <c r="V16" s="283"/>
      <c r="W16" s="283"/>
      <c r="X16" s="283"/>
      <c r="Y16" s="283"/>
      <c r="Z16" s="283"/>
      <c r="AA16" s="283"/>
      <c r="AB16" s="283"/>
      <c r="AC16" s="283"/>
      <c r="AD16" s="283"/>
      <c r="AE16" s="283"/>
      <c r="AF16" s="283"/>
      <c r="AG16" s="283"/>
      <c r="AH16" s="283"/>
      <c r="AI16" s="283"/>
      <c r="AJ16" s="283"/>
      <c r="AK16" s="283"/>
      <c r="AL16" s="283"/>
    </row>
    <row r="17" spans="2:38" x14ac:dyDescent="0.25">
      <c r="B17" s="593"/>
      <c r="C17" s="124"/>
      <c r="D17" s="124"/>
      <c r="E17" s="584"/>
      <c r="F17" s="42"/>
      <c r="G17" s="42"/>
      <c r="H17" s="42"/>
      <c r="I17" s="595"/>
      <c r="J17" s="595"/>
      <c r="K17" s="595"/>
      <c r="L17" s="594"/>
      <c r="M17" s="283"/>
      <c r="N17" s="283"/>
      <c r="O17" s="283"/>
      <c r="P17" s="283"/>
      <c r="Q17" s="283"/>
      <c r="R17" s="283"/>
      <c r="S17" s="283"/>
      <c r="T17" s="283"/>
      <c r="U17" s="283"/>
      <c r="V17" s="283"/>
      <c r="W17" s="283"/>
      <c r="X17" s="283"/>
      <c r="Y17" s="283"/>
      <c r="Z17" s="283"/>
      <c r="AA17" s="283"/>
      <c r="AB17" s="283"/>
      <c r="AC17" s="283"/>
      <c r="AD17" s="283"/>
      <c r="AE17" s="283"/>
      <c r="AF17" s="283"/>
      <c r="AG17" s="283"/>
      <c r="AH17" s="283"/>
      <c r="AI17" s="283"/>
      <c r="AJ17" s="283"/>
      <c r="AK17" s="283"/>
      <c r="AL17" s="283"/>
    </row>
    <row r="18" spans="2:38" x14ac:dyDescent="0.25">
      <c r="B18" s="593"/>
      <c r="C18" s="124"/>
      <c r="D18" s="124"/>
      <c r="E18" s="582" t="s">
        <v>227</v>
      </c>
      <c r="F18" s="559"/>
      <c r="G18" s="559"/>
      <c r="H18" s="560"/>
      <c r="I18" s="595"/>
      <c r="J18" s="595"/>
      <c r="K18" s="595"/>
      <c r="L18" s="594"/>
      <c r="M18" s="283"/>
      <c r="N18" s="283"/>
      <c r="O18" s="283"/>
      <c r="P18" s="283"/>
      <c r="Q18" s="283"/>
      <c r="R18" s="283"/>
      <c r="S18" s="283"/>
      <c r="T18" s="283"/>
      <c r="U18" s="283"/>
      <c r="V18" s="283"/>
      <c r="W18" s="283"/>
      <c r="X18" s="283"/>
      <c r="Y18" s="283"/>
      <c r="Z18" s="283"/>
      <c r="AA18" s="283"/>
      <c r="AB18" s="283"/>
      <c r="AC18" s="283"/>
      <c r="AD18" s="283"/>
      <c r="AE18" s="283"/>
      <c r="AF18" s="283"/>
      <c r="AG18" s="283"/>
      <c r="AH18" s="283"/>
      <c r="AI18" s="283"/>
      <c r="AJ18" s="283"/>
      <c r="AK18" s="283"/>
      <c r="AL18" s="283"/>
    </row>
    <row r="19" spans="2:38" x14ac:dyDescent="0.25">
      <c r="B19" s="593"/>
      <c r="C19" s="124"/>
      <c r="D19" s="124"/>
      <c r="E19" s="566" t="s">
        <v>228</v>
      </c>
      <c r="F19" s="566">
        <v>2019</v>
      </c>
      <c r="G19" s="566">
        <v>2020</v>
      </c>
      <c r="H19" s="566">
        <v>2021</v>
      </c>
      <c r="I19" s="595"/>
      <c r="J19" s="595"/>
      <c r="K19" s="595"/>
      <c r="L19" s="594"/>
      <c r="M19" s="283"/>
      <c r="N19" s="283"/>
      <c r="O19" s="283"/>
      <c r="P19" s="283"/>
      <c r="Q19" s="283"/>
      <c r="R19" s="283"/>
      <c r="S19" s="283"/>
      <c r="T19" s="283"/>
      <c r="U19" s="283"/>
      <c r="V19" s="283"/>
      <c r="W19" s="283"/>
      <c r="X19" s="283"/>
      <c r="Y19" s="283"/>
      <c r="Z19" s="283"/>
      <c r="AA19" s="283"/>
      <c r="AB19" s="283"/>
      <c r="AC19" s="283"/>
      <c r="AD19" s="283"/>
      <c r="AE19" s="283"/>
      <c r="AF19" s="283"/>
      <c r="AG19" s="283"/>
      <c r="AH19" s="283"/>
      <c r="AI19" s="283"/>
      <c r="AJ19" s="283"/>
      <c r="AK19" s="283"/>
      <c r="AL19" s="283"/>
    </row>
    <row r="20" spans="2:38" x14ac:dyDescent="0.25">
      <c r="B20" s="593"/>
      <c r="C20" s="124"/>
      <c r="D20" s="124"/>
      <c r="E20" s="562">
        <f>'Presupuesto financiero'!J20</f>
        <v>2297572</v>
      </c>
      <c r="F20" s="562">
        <f>'Presupuesto financiero'!K20</f>
        <v>22999</v>
      </c>
      <c r="G20" s="562">
        <f>'Presupuesto financiero'!L20</f>
        <v>70262</v>
      </c>
      <c r="H20" s="562">
        <f>'Presupuesto financiero'!M20</f>
        <v>1306257</v>
      </c>
      <c r="I20" s="595"/>
      <c r="J20" s="595"/>
      <c r="K20" s="595"/>
      <c r="L20" s="594"/>
      <c r="M20" s="283"/>
      <c r="N20" s="283"/>
      <c r="O20" s="283"/>
      <c r="P20" s="283"/>
      <c r="Q20" s="283"/>
      <c r="R20" s="283"/>
      <c r="S20" s="283"/>
      <c r="T20" s="283"/>
      <c r="U20" s="283"/>
      <c r="V20" s="283"/>
      <c r="W20" s="283"/>
      <c r="X20" s="283"/>
      <c r="Y20" s="283"/>
      <c r="Z20" s="283"/>
      <c r="AA20" s="283"/>
      <c r="AB20" s="283"/>
      <c r="AC20" s="283"/>
      <c r="AD20" s="283"/>
      <c r="AE20" s="283"/>
      <c r="AF20" s="283"/>
      <c r="AG20" s="283"/>
      <c r="AH20" s="283"/>
      <c r="AI20" s="283"/>
      <c r="AJ20" s="283"/>
      <c r="AK20" s="283"/>
      <c r="AL20" s="283"/>
    </row>
    <row r="21" spans="2:38" x14ac:dyDescent="0.25">
      <c r="B21" s="593"/>
      <c r="C21" s="124"/>
      <c r="D21" s="124"/>
      <c r="E21" s="124"/>
      <c r="F21" s="124"/>
      <c r="G21" s="124"/>
      <c r="H21" s="124"/>
      <c r="I21" s="595"/>
      <c r="J21" s="595"/>
      <c r="K21" s="595"/>
      <c r="L21" s="594"/>
      <c r="M21" s="283"/>
      <c r="N21" s="283"/>
      <c r="O21" s="283"/>
      <c r="P21" s="283"/>
      <c r="Q21" s="283"/>
      <c r="R21" s="283"/>
      <c r="S21" s="283"/>
      <c r="T21" s="283"/>
      <c r="U21" s="283"/>
      <c r="V21" s="283"/>
      <c r="W21" s="283"/>
      <c r="X21" s="283"/>
      <c r="Y21" s="283"/>
      <c r="Z21" s="283"/>
      <c r="AA21" s="283"/>
      <c r="AB21" s="283"/>
      <c r="AC21" s="283"/>
      <c r="AD21" s="283"/>
      <c r="AE21" s="283"/>
      <c r="AF21" s="283"/>
      <c r="AG21" s="283"/>
      <c r="AH21" s="283"/>
      <c r="AI21" s="283"/>
      <c r="AJ21" s="283"/>
      <c r="AK21" s="283"/>
      <c r="AL21" s="283"/>
    </row>
    <row r="22" spans="2:38" x14ac:dyDescent="0.25">
      <c r="B22" s="593"/>
      <c r="C22" s="124"/>
      <c r="D22" s="124"/>
      <c r="E22" s="569" t="s">
        <v>282</v>
      </c>
      <c r="F22" s="569">
        <v>2019</v>
      </c>
      <c r="G22" s="569">
        <v>2020</v>
      </c>
      <c r="H22" s="569">
        <v>2021</v>
      </c>
      <c r="I22" s="595"/>
      <c r="J22" s="595"/>
      <c r="K22" s="595"/>
      <c r="L22" s="594"/>
      <c r="M22" s="283"/>
      <c r="N22" s="283"/>
      <c r="O22" s="283"/>
      <c r="P22" s="283"/>
      <c r="Q22" s="283"/>
      <c r="R22" s="283"/>
      <c r="S22" s="283"/>
      <c r="T22" s="283"/>
      <c r="U22" s="283"/>
      <c r="V22" s="283"/>
      <c r="W22" s="283"/>
      <c r="X22" s="283"/>
      <c r="Y22" s="283"/>
      <c r="Z22" s="283"/>
      <c r="AA22" s="283"/>
      <c r="AB22" s="283"/>
      <c r="AC22" s="283"/>
      <c r="AD22" s="283"/>
      <c r="AE22" s="283"/>
      <c r="AF22" s="283"/>
      <c r="AG22" s="283"/>
      <c r="AH22" s="283"/>
      <c r="AI22" s="283"/>
      <c r="AJ22" s="283"/>
      <c r="AK22" s="283"/>
      <c r="AL22" s="283"/>
    </row>
    <row r="23" spans="2:38" x14ac:dyDescent="0.25">
      <c r="B23" s="593"/>
      <c r="C23" s="570" t="s">
        <v>39</v>
      </c>
      <c r="D23" s="571"/>
      <c r="E23" s="575" t="s">
        <v>269</v>
      </c>
      <c r="F23" s="576">
        <f>F9</f>
        <v>301216832</v>
      </c>
      <c r="G23" s="576">
        <f>G9</f>
        <v>655210161.49321604</v>
      </c>
      <c r="H23" s="638">
        <f>H9*$C$16</f>
        <v>829163205.5383935</v>
      </c>
      <c r="I23" s="595"/>
      <c r="J23" s="595"/>
      <c r="K23" s="595"/>
      <c r="L23" s="594"/>
      <c r="M23" s="283"/>
      <c r="N23" s="283"/>
      <c r="O23" s="283"/>
      <c r="P23" s="283"/>
      <c r="Q23" s="283"/>
      <c r="R23" s="283"/>
      <c r="S23" s="283"/>
      <c r="T23" s="283"/>
      <c r="U23" s="283"/>
      <c r="V23" s="283"/>
      <c r="W23" s="283"/>
      <c r="X23" s="283"/>
      <c r="Y23" s="283"/>
      <c r="Z23" s="283"/>
      <c r="AA23" s="283"/>
      <c r="AB23" s="283"/>
      <c r="AC23" s="283"/>
      <c r="AD23" s="283"/>
      <c r="AE23" s="283"/>
      <c r="AF23" s="283"/>
      <c r="AG23" s="283"/>
      <c r="AH23" s="283"/>
      <c r="AI23" s="283"/>
      <c r="AJ23" s="283"/>
      <c r="AK23" s="283"/>
      <c r="AL23" s="283"/>
    </row>
    <row r="24" spans="2:38" x14ac:dyDescent="0.25">
      <c r="B24" s="593"/>
      <c r="C24" s="919" t="s">
        <v>270</v>
      </c>
      <c r="D24" s="572" t="s">
        <v>326</v>
      </c>
      <c r="E24" s="575" t="s">
        <v>269</v>
      </c>
      <c r="F24" s="576">
        <f>F10</f>
        <v>2343935.7000000002</v>
      </c>
      <c r="G24" s="576">
        <f t="shared" ref="G24:H24" si="0">G10</f>
        <v>2614351.9749999996</v>
      </c>
      <c r="H24" s="576">
        <f t="shared" si="0"/>
        <v>2971977.4835000001</v>
      </c>
      <c r="I24" s="595"/>
      <c r="J24" s="595"/>
      <c r="K24" s="595"/>
      <c r="L24" s="594"/>
      <c r="M24" s="283"/>
      <c r="N24" s="283"/>
      <c r="O24" s="283"/>
      <c r="P24" s="283"/>
      <c r="Q24" s="283"/>
      <c r="R24" s="283"/>
      <c r="S24" s="283"/>
      <c r="T24" s="283"/>
      <c r="U24" s="283"/>
      <c r="V24" s="283"/>
      <c r="W24" s="283"/>
      <c r="X24" s="283"/>
      <c r="Y24" s="283"/>
      <c r="Z24" s="283"/>
      <c r="AA24" s="283"/>
      <c r="AB24" s="283"/>
      <c r="AC24" s="283"/>
      <c r="AD24" s="283"/>
      <c r="AE24" s="283"/>
      <c r="AF24" s="283"/>
      <c r="AG24" s="283"/>
      <c r="AH24" s="283"/>
      <c r="AI24" s="283"/>
      <c r="AJ24" s="283"/>
      <c r="AK24" s="283"/>
      <c r="AL24" s="283"/>
    </row>
    <row r="25" spans="2:38" x14ac:dyDescent="0.25">
      <c r="B25" s="593"/>
      <c r="C25" s="920"/>
      <c r="D25" s="572" t="s">
        <v>327</v>
      </c>
      <c r="E25" s="575" t="s">
        <v>269</v>
      </c>
      <c r="F25" s="576" t="e">
        <f>F11</f>
        <v>#REF!</v>
      </c>
      <c r="G25" s="576">
        <f t="shared" ref="G25" si="1">G11</f>
        <v>17694195.824999999</v>
      </c>
      <c r="H25" s="638">
        <f>H11*C16</f>
        <v>23834706.880000003</v>
      </c>
      <c r="I25" s="595"/>
      <c r="J25" s="595"/>
      <c r="K25" s="595"/>
      <c r="L25" s="594"/>
      <c r="M25" s="283"/>
      <c r="N25" s="283"/>
      <c r="O25" s="283"/>
      <c r="P25" s="283"/>
      <c r="Q25" s="283"/>
      <c r="R25" s="283"/>
      <c r="S25" s="283"/>
      <c r="T25" s="283"/>
      <c r="U25" s="283"/>
      <c r="V25" s="283"/>
      <c r="W25" s="283"/>
      <c r="X25" s="283"/>
      <c r="Y25" s="283"/>
      <c r="Z25" s="283"/>
      <c r="AA25" s="283"/>
      <c r="AB25" s="283"/>
      <c r="AC25" s="283"/>
      <c r="AD25" s="283"/>
      <c r="AE25" s="283"/>
      <c r="AF25" s="283"/>
      <c r="AG25" s="283"/>
      <c r="AH25" s="283"/>
      <c r="AI25" s="283"/>
      <c r="AJ25" s="283"/>
      <c r="AK25" s="283"/>
      <c r="AL25" s="283"/>
    </row>
    <row r="26" spans="2:38" x14ac:dyDescent="0.25">
      <c r="B26" s="593"/>
      <c r="C26" s="921"/>
      <c r="D26" s="572" t="s">
        <v>328</v>
      </c>
      <c r="E26" s="575" t="s">
        <v>269</v>
      </c>
      <c r="F26" s="576">
        <f>F12</f>
        <v>7341662.4450000012</v>
      </c>
      <c r="G26" s="576">
        <f t="shared" ref="G26:H26" si="2">G12</f>
        <v>8446303.9266666677</v>
      </c>
      <c r="H26" s="576">
        <f t="shared" si="2"/>
        <v>10262133.115833335</v>
      </c>
      <c r="I26" s="595"/>
      <c r="J26" s="595"/>
      <c r="K26" s="595"/>
      <c r="L26" s="594"/>
      <c r="M26" s="283"/>
      <c r="N26" s="283"/>
      <c r="O26" s="283"/>
      <c r="P26" s="283"/>
      <c r="Q26" s="283"/>
      <c r="R26" s="283"/>
      <c r="S26" s="283"/>
      <c r="T26" s="283"/>
      <c r="U26" s="283"/>
      <c r="V26" s="283"/>
      <c r="W26" s="283"/>
      <c r="X26" s="283"/>
      <c r="Y26" s="283"/>
      <c r="Z26" s="283"/>
      <c r="AA26" s="283"/>
      <c r="AB26" s="283"/>
      <c r="AC26" s="283"/>
      <c r="AD26" s="283"/>
      <c r="AE26" s="283"/>
      <c r="AF26" s="283"/>
      <c r="AG26" s="283"/>
      <c r="AH26" s="283"/>
      <c r="AI26" s="283"/>
      <c r="AJ26" s="283"/>
      <c r="AK26" s="283"/>
      <c r="AL26" s="283"/>
    </row>
    <row r="27" spans="2:38" x14ac:dyDescent="0.25">
      <c r="B27" s="593"/>
      <c r="C27" s="557" t="s">
        <v>271</v>
      </c>
      <c r="D27" s="558"/>
      <c r="E27" s="578" t="s">
        <v>269</v>
      </c>
      <c r="F27" s="579" t="e">
        <f>F23-F24-F25-F26</f>
        <v>#REF!</v>
      </c>
      <c r="G27" s="579">
        <f t="shared" ref="G27:H27" si="3">G23-G24-G25-G26</f>
        <v>626455309.76654935</v>
      </c>
      <c r="H27" s="579">
        <f t="shared" si="3"/>
        <v>792094388.05906022</v>
      </c>
      <c r="I27" s="595"/>
      <c r="J27" s="595"/>
      <c r="K27" s="595"/>
      <c r="L27" s="594"/>
      <c r="M27" s="283"/>
      <c r="N27" s="283"/>
      <c r="O27" s="283"/>
      <c r="P27" s="283"/>
      <c r="Q27" s="283"/>
      <c r="R27" s="283"/>
      <c r="S27" s="283"/>
      <c r="T27" s="283"/>
      <c r="U27" s="283"/>
      <c r="V27" s="283"/>
      <c r="W27" s="283"/>
      <c r="X27" s="283"/>
      <c r="Y27" s="283"/>
      <c r="Z27" s="283"/>
      <c r="AA27" s="283"/>
      <c r="AB27" s="283"/>
      <c r="AC27" s="283"/>
      <c r="AD27" s="283"/>
      <c r="AE27" s="283"/>
      <c r="AF27" s="283"/>
      <c r="AG27" s="283"/>
      <c r="AH27" s="283"/>
      <c r="AI27" s="283"/>
      <c r="AJ27" s="283"/>
      <c r="AK27" s="283"/>
      <c r="AL27" s="283"/>
    </row>
    <row r="28" spans="2:38" x14ac:dyDescent="0.25">
      <c r="B28" s="593"/>
      <c r="C28" s="573" t="s">
        <v>272</v>
      </c>
      <c r="D28" s="574"/>
      <c r="E28" s="265" t="s">
        <v>269</v>
      </c>
      <c r="F28" s="576">
        <f>F23*0.03</f>
        <v>9036504.959999999</v>
      </c>
      <c r="G28" s="576">
        <f t="shared" ref="G28:H28" si="4">G23*0.03</f>
        <v>19656304.844796479</v>
      </c>
      <c r="H28" s="576">
        <f t="shared" si="4"/>
        <v>24874896.166151803</v>
      </c>
      <c r="I28" s="595"/>
      <c r="J28" s="595"/>
      <c r="K28" s="595"/>
      <c r="L28" s="594"/>
      <c r="M28" s="283"/>
      <c r="N28" s="283"/>
      <c r="O28" s="283"/>
      <c r="P28" s="283"/>
      <c r="Q28" s="283"/>
      <c r="R28" s="283"/>
      <c r="S28" s="283"/>
      <c r="T28" s="283"/>
      <c r="U28" s="283"/>
      <c r="V28" s="283"/>
      <c r="W28" s="283"/>
      <c r="X28" s="283"/>
      <c r="Y28" s="283"/>
      <c r="Z28" s="283"/>
      <c r="AA28" s="283"/>
      <c r="AB28" s="283"/>
      <c r="AC28" s="283"/>
      <c r="AD28" s="283"/>
      <c r="AE28" s="283"/>
      <c r="AF28" s="283"/>
      <c r="AG28" s="283"/>
      <c r="AH28" s="283"/>
      <c r="AI28" s="283"/>
      <c r="AJ28" s="283"/>
      <c r="AK28" s="283"/>
      <c r="AL28" s="283"/>
    </row>
    <row r="29" spans="2:38" x14ac:dyDescent="0.25">
      <c r="B29" s="593"/>
      <c r="C29" s="906" t="s">
        <v>273</v>
      </c>
      <c r="D29" s="907"/>
      <c r="E29" s="265"/>
      <c r="F29" s="576" t="e">
        <f>F27-F28</f>
        <v>#REF!</v>
      </c>
      <c r="G29" s="576">
        <f>G27-G28-G16</f>
        <v>606651344.35508621</v>
      </c>
      <c r="H29" s="576">
        <f>H27-H28-H16</f>
        <v>767056607.45957518</v>
      </c>
      <c r="I29" s="595"/>
      <c r="J29" s="595"/>
      <c r="K29" s="595"/>
      <c r="L29" s="594"/>
      <c r="M29" s="283"/>
      <c r="N29" s="283"/>
      <c r="O29" s="283"/>
      <c r="P29" s="283"/>
      <c r="Q29" s="283"/>
      <c r="R29" s="283"/>
      <c r="S29" s="283"/>
      <c r="T29" s="283"/>
      <c r="U29" s="283"/>
      <c r="V29" s="283"/>
      <c r="W29" s="283"/>
      <c r="X29" s="283"/>
      <c r="Y29" s="283"/>
      <c r="Z29" s="283"/>
      <c r="AA29" s="283"/>
      <c r="AB29" s="283"/>
      <c r="AC29" s="283"/>
      <c r="AD29" s="283"/>
      <c r="AE29" s="283"/>
      <c r="AF29" s="283"/>
      <c r="AG29" s="283"/>
      <c r="AH29" s="283"/>
      <c r="AI29" s="283"/>
      <c r="AJ29" s="283"/>
      <c r="AK29" s="283"/>
      <c r="AL29" s="283"/>
    </row>
    <row r="30" spans="2:38" x14ac:dyDescent="0.25">
      <c r="B30" s="593"/>
      <c r="C30" s="573" t="s">
        <v>274</v>
      </c>
      <c r="D30" s="574"/>
      <c r="E30" s="265" t="s">
        <v>269</v>
      </c>
      <c r="F30" s="576">
        <v>0</v>
      </c>
      <c r="G30" s="576">
        <v>0</v>
      </c>
      <c r="H30" s="576">
        <f>0.35*G29</f>
        <v>212327970.52428016</v>
      </c>
      <c r="I30" s="595"/>
      <c r="J30" s="595"/>
      <c r="K30" s="595"/>
      <c r="L30" s="594"/>
      <c r="M30" s="283"/>
      <c r="N30" s="283"/>
      <c r="O30" s="283"/>
      <c r="P30" s="283"/>
      <c r="Q30" s="283"/>
      <c r="R30" s="283"/>
      <c r="S30" s="283"/>
      <c r="T30" s="283"/>
      <c r="U30" s="283"/>
      <c r="V30" s="283"/>
      <c r="W30" s="283"/>
      <c r="X30" s="283"/>
      <c r="Y30" s="283"/>
      <c r="Z30" s="283"/>
      <c r="AA30" s="283"/>
      <c r="AB30" s="283"/>
      <c r="AC30" s="283"/>
      <c r="AD30" s="283"/>
      <c r="AE30" s="283"/>
      <c r="AF30" s="283"/>
      <c r="AG30" s="283"/>
      <c r="AH30" s="283"/>
      <c r="AI30" s="283"/>
      <c r="AJ30" s="283"/>
      <c r="AK30" s="283"/>
      <c r="AL30" s="283"/>
    </row>
    <row r="31" spans="2:38" x14ac:dyDescent="0.25">
      <c r="B31" s="593"/>
      <c r="C31" s="557" t="s">
        <v>275</v>
      </c>
      <c r="D31" s="558"/>
      <c r="E31" s="578" t="s">
        <v>269</v>
      </c>
      <c r="F31" s="579" t="e">
        <f>F27-F28-F30</f>
        <v>#REF!</v>
      </c>
      <c r="G31" s="579">
        <f t="shared" ref="G31:H31" si="5">G27-G28-G30</f>
        <v>606799004.92175293</v>
      </c>
      <c r="H31" s="579">
        <f t="shared" si="5"/>
        <v>554891521.36862826</v>
      </c>
      <c r="I31" s="595"/>
      <c r="J31" s="595"/>
      <c r="K31" s="595"/>
      <c r="L31" s="594"/>
      <c r="M31" s="283"/>
      <c r="N31" s="283"/>
      <c r="O31" s="283"/>
      <c r="P31" s="283"/>
      <c r="Q31" s="283"/>
      <c r="R31" s="283"/>
      <c r="S31" s="283"/>
      <c r="T31" s="283"/>
      <c r="U31" s="283"/>
      <c r="V31" s="283"/>
      <c r="W31" s="283"/>
      <c r="X31" s="283"/>
      <c r="Y31" s="283"/>
      <c r="Z31" s="283"/>
      <c r="AA31" s="283"/>
      <c r="AB31" s="283"/>
      <c r="AC31" s="283"/>
      <c r="AD31" s="283"/>
      <c r="AE31" s="283"/>
      <c r="AF31" s="283"/>
      <c r="AG31" s="283"/>
      <c r="AH31" s="283"/>
      <c r="AI31" s="283"/>
      <c r="AJ31" s="283"/>
      <c r="AK31" s="283"/>
      <c r="AL31" s="283"/>
    </row>
    <row r="32" spans="2:38" x14ac:dyDescent="0.25">
      <c r="B32" s="593"/>
      <c r="C32" s="573" t="s">
        <v>276</v>
      </c>
      <c r="D32" s="574"/>
      <c r="E32" s="576">
        <f>-E20</f>
        <v>-2297572</v>
      </c>
      <c r="F32" s="576">
        <f t="shared" ref="F32:H32" si="6">-F20</f>
        <v>-22999</v>
      </c>
      <c r="G32" s="576">
        <f t="shared" si="6"/>
        <v>-70262</v>
      </c>
      <c r="H32" s="576">
        <f t="shared" si="6"/>
        <v>-1306257</v>
      </c>
      <c r="I32" s="595"/>
      <c r="J32" s="595"/>
      <c r="K32" s="595"/>
      <c r="L32" s="594"/>
      <c r="M32" s="283"/>
      <c r="N32" s="283"/>
      <c r="O32" s="283"/>
      <c r="P32" s="283"/>
      <c r="Q32" s="283"/>
      <c r="R32" s="283"/>
      <c r="S32" s="283"/>
      <c r="T32" s="283"/>
      <c r="U32" s="283"/>
      <c r="V32" s="283"/>
      <c r="W32" s="283"/>
      <c r="X32" s="283"/>
      <c r="Y32" s="283"/>
      <c r="Z32" s="283"/>
      <c r="AA32" s="283"/>
      <c r="AB32" s="283"/>
      <c r="AC32" s="283"/>
      <c r="AD32" s="283"/>
      <c r="AE32" s="283"/>
      <c r="AF32" s="283"/>
      <c r="AG32" s="283"/>
      <c r="AH32" s="283"/>
      <c r="AI32" s="283"/>
      <c r="AJ32" s="283"/>
      <c r="AK32" s="283"/>
      <c r="AL32" s="283"/>
    </row>
    <row r="33" spans="2:38" x14ac:dyDescent="0.25">
      <c r="B33" s="593"/>
      <c r="C33" s="557" t="s">
        <v>277</v>
      </c>
      <c r="D33" s="558"/>
      <c r="E33" s="579">
        <f>E32</f>
        <v>-2297572</v>
      </c>
      <c r="F33" s="579" t="e">
        <f>F31+F32</f>
        <v>#REF!</v>
      </c>
      <c r="G33" s="579">
        <f t="shared" ref="G33:H33" si="7">G31+G32</f>
        <v>606728742.92175293</v>
      </c>
      <c r="H33" s="579">
        <f t="shared" si="7"/>
        <v>553585264.36862826</v>
      </c>
      <c r="I33" s="595"/>
      <c r="J33" s="595"/>
      <c r="K33" s="595"/>
      <c r="L33" s="594"/>
      <c r="M33" s="283"/>
      <c r="N33" s="283"/>
      <c r="O33" s="283"/>
      <c r="P33" s="283"/>
      <c r="Q33" s="283"/>
      <c r="R33" s="283"/>
      <c r="S33" s="283"/>
      <c r="T33" s="283"/>
      <c r="U33" s="283"/>
      <c r="V33" s="283"/>
      <c r="W33" s="283"/>
      <c r="X33" s="283"/>
      <c r="Y33" s="283"/>
      <c r="Z33" s="283"/>
      <c r="AA33" s="283"/>
      <c r="AB33" s="283"/>
      <c r="AC33" s="283"/>
      <c r="AD33" s="283"/>
      <c r="AE33" s="283"/>
      <c r="AF33" s="283"/>
      <c r="AG33" s="283"/>
      <c r="AH33" s="283"/>
      <c r="AI33" s="283"/>
      <c r="AJ33" s="283"/>
      <c r="AK33" s="283"/>
      <c r="AL33" s="283"/>
    </row>
    <row r="34" spans="2:38" x14ac:dyDescent="0.25">
      <c r="B34" s="593"/>
      <c r="C34" s="124"/>
      <c r="D34" s="124"/>
      <c r="E34" s="124"/>
      <c r="F34" s="124"/>
      <c r="G34" s="124"/>
      <c r="H34" s="124"/>
      <c r="I34" s="595"/>
      <c r="J34" s="595"/>
      <c r="K34" s="595"/>
      <c r="L34" s="594"/>
      <c r="M34" s="283"/>
      <c r="N34" s="283"/>
      <c r="O34" s="283"/>
      <c r="P34" s="283"/>
      <c r="Q34" s="283"/>
      <c r="R34" s="283"/>
      <c r="S34" s="283"/>
      <c r="T34" s="283"/>
      <c r="U34" s="283"/>
      <c r="V34" s="283"/>
      <c r="W34" s="283"/>
      <c r="X34" s="283"/>
      <c r="Y34" s="283"/>
      <c r="Z34" s="283"/>
      <c r="AA34" s="283"/>
      <c r="AB34" s="283"/>
      <c r="AC34" s="283"/>
      <c r="AD34" s="283"/>
      <c r="AE34" s="283"/>
      <c r="AF34" s="283"/>
      <c r="AG34" s="283"/>
      <c r="AH34" s="283"/>
      <c r="AI34" s="283"/>
      <c r="AJ34" s="283"/>
      <c r="AK34" s="283"/>
      <c r="AL34" s="283"/>
    </row>
    <row r="35" spans="2:38" x14ac:dyDescent="0.25">
      <c r="B35" s="593"/>
      <c r="C35" s="124"/>
      <c r="D35" s="124"/>
      <c r="E35" s="124"/>
      <c r="F35" s="124"/>
      <c r="G35" s="605" t="s">
        <v>278</v>
      </c>
      <c r="H35" s="606">
        <v>0.62</v>
      </c>
      <c r="I35" s="595"/>
      <c r="J35" s="595"/>
      <c r="K35" s="595"/>
      <c r="L35" s="594"/>
      <c r="M35" s="283"/>
      <c r="N35" s="283"/>
      <c r="O35" s="283"/>
      <c r="P35" s="283"/>
      <c r="Q35" s="283"/>
      <c r="R35" s="283"/>
      <c r="S35" s="283"/>
      <c r="T35" s="283"/>
      <c r="U35" s="283"/>
      <c r="V35" s="283"/>
      <c r="W35" s="283"/>
      <c r="X35" s="283"/>
      <c r="Y35" s="283"/>
      <c r="Z35" s="283"/>
      <c r="AA35" s="283"/>
      <c r="AB35" s="283"/>
      <c r="AC35" s="283"/>
      <c r="AD35" s="283"/>
      <c r="AE35" s="283"/>
      <c r="AF35" s="283"/>
      <c r="AG35" s="283"/>
      <c r="AH35" s="283"/>
      <c r="AI35" s="283"/>
      <c r="AJ35" s="283"/>
      <c r="AK35" s="283"/>
      <c r="AL35" s="283"/>
    </row>
    <row r="36" spans="2:38" x14ac:dyDescent="0.25">
      <c r="B36" s="593"/>
      <c r="C36" s="124"/>
      <c r="D36" s="124"/>
      <c r="E36" s="124"/>
      <c r="F36" s="124"/>
      <c r="G36" s="605" t="s">
        <v>279</v>
      </c>
      <c r="H36" s="607"/>
      <c r="I36" s="595"/>
      <c r="J36" s="595"/>
      <c r="K36" s="595"/>
      <c r="L36" s="594"/>
      <c r="M36" s="283"/>
      <c r="N36" s="283"/>
      <c r="O36" s="283"/>
      <c r="P36" s="283"/>
      <c r="Q36" s="283"/>
      <c r="R36" s="283"/>
      <c r="S36" s="283"/>
      <c r="T36" s="283"/>
      <c r="U36" s="283"/>
      <c r="V36" s="283"/>
      <c r="W36" s="283"/>
      <c r="X36" s="283"/>
      <c r="Y36" s="283"/>
      <c r="Z36" s="283"/>
      <c r="AA36" s="283"/>
      <c r="AB36" s="283"/>
      <c r="AC36" s="283"/>
      <c r="AD36" s="283"/>
      <c r="AE36" s="283"/>
      <c r="AF36" s="283"/>
      <c r="AG36" s="283"/>
      <c r="AH36" s="283"/>
      <c r="AI36" s="283"/>
      <c r="AJ36" s="283"/>
      <c r="AK36" s="283"/>
      <c r="AL36" s="283"/>
    </row>
    <row r="37" spans="2:38" x14ac:dyDescent="0.25">
      <c r="B37" s="593"/>
      <c r="C37" s="124"/>
      <c r="D37" s="124"/>
      <c r="E37" s="124"/>
      <c r="F37" s="124"/>
      <c r="G37" s="605" t="s">
        <v>280</v>
      </c>
      <c r="H37" s="608"/>
      <c r="I37" s="595"/>
      <c r="J37" s="595"/>
      <c r="K37" s="595"/>
      <c r="L37" s="594"/>
      <c r="M37" s="283"/>
      <c r="N37" s="283"/>
      <c r="O37" s="283"/>
      <c r="P37" s="283"/>
      <c r="Q37" s="283"/>
      <c r="R37" s="283"/>
      <c r="S37" s="283"/>
      <c r="T37" s="283"/>
      <c r="U37" s="283"/>
      <c r="V37" s="283"/>
      <c r="W37" s="283"/>
      <c r="X37" s="283"/>
      <c r="Y37" s="283"/>
      <c r="Z37" s="283"/>
      <c r="AA37" s="283"/>
      <c r="AB37" s="283"/>
      <c r="AC37" s="283"/>
      <c r="AD37" s="283"/>
      <c r="AE37" s="283"/>
      <c r="AF37" s="283"/>
      <c r="AG37" s="283"/>
      <c r="AH37" s="283"/>
      <c r="AI37" s="283"/>
      <c r="AJ37" s="283"/>
      <c r="AK37" s="283"/>
      <c r="AL37" s="283"/>
    </row>
    <row r="38" spans="2:38" ht="15.75" thickBot="1" x14ac:dyDescent="0.3">
      <c r="B38" s="596"/>
      <c r="C38" s="467"/>
      <c r="D38" s="467"/>
      <c r="E38" s="467"/>
      <c r="F38" s="467"/>
      <c r="G38" s="467"/>
      <c r="H38" s="467"/>
      <c r="I38" s="597"/>
      <c r="J38" s="597"/>
      <c r="K38" s="597"/>
      <c r="L38" s="598"/>
      <c r="M38" s="283"/>
      <c r="N38" s="283"/>
      <c r="O38" s="283"/>
      <c r="P38" s="283"/>
      <c r="Q38" s="283"/>
      <c r="R38" s="283"/>
      <c r="S38" s="283"/>
      <c r="T38" s="283"/>
      <c r="U38" s="283"/>
      <c r="V38" s="283"/>
      <c r="W38" s="283"/>
      <c r="X38" s="283"/>
      <c r="Y38" s="283"/>
      <c r="Z38" s="283"/>
      <c r="AA38" s="283"/>
      <c r="AB38" s="283"/>
      <c r="AC38" s="283"/>
      <c r="AD38" s="283"/>
      <c r="AE38" s="283"/>
      <c r="AF38" s="283"/>
      <c r="AG38" s="283"/>
      <c r="AH38" s="283"/>
      <c r="AI38" s="283"/>
      <c r="AJ38" s="283"/>
      <c r="AK38" s="283"/>
      <c r="AL38" s="283"/>
    </row>
    <row r="39" spans="2:38" x14ac:dyDescent="0.25">
      <c r="B39" s="283"/>
      <c r="I39" s="283"/>
      <c r="J39" s="283"/>
      <c r="K39" s="283"/>
      <c r="L39" s="283"/>
      <c r="M39" s="283"/>
      <c r="N39" s="283"/>
      <c r="O39" s="283"/>
      <c r="P39" s="283"/>
      <c r="Q39" s="283"/>
      <c r="R39" s="283"/>
      <c r="S39" s="283"/>
      <c r="T39" s="283"/>
      <c r="U39" s="283"/>
      <c r="V39" s="283"/>
      <c r="W39" s="283"/>
      <c r="X39" s="283"/>
      <c r="Y39" s="283"/>
      <c r="Z39" s="283"/>
      <c r="AA39" s="283"/>
      <c r="AB39" s="283"/>
      <c r="AC39" s="283"/>
      <c r="AD39" s="283"/>
      <c r="AE39" s="283"/>
      <c r="AF39" s="283"/>
      <c r="AG39" s="283"/>
      <c r="AH39" s="283"/>
      <c r="AI39" s="283"/>
      <c r="AJ39" s="283"/>
      <c r="AK39" s="283"/>
      <c r="AL39" s="283"/>
    </row>
    <row r="40" spans="2:38" x14ac:dyDescent="0.25">
      <c r="M40" s="283"/>
      <c r="N40" s="283"/>
      <c r="O40" s="283"/>
      <c r="P40" s="283"/>
      <c r="Q40" s="283"/>
      <c r="R40" s="283"/>
      <c r="S40" s="283"/>
      <c r="T40" s="283"/>
      <c r="U40" s="283"/>
      <c r="V40" s="283"/>
      <c r="W40" s="283"/>
      <c r="X40" s="283"/>
      <c r="Y40" s="283"/>
      <c r="Z40" s="283"/>
      <c r="AA40" s="283"/>
      <c r="AB40" s="283"/>
      <c r="AC40" s="283"/>
      <c r="AD40" s="283"/>
      <c r="AE40" s="283"/>
      <c r="AF40" s="283"/>
      <c r="AG40" s="283"/>
      <c r="AH40" s="283"/>
      <c r="AI40" s="283"/>
      <c r="AJ40" s="283"/>
      <c r="AK40" s="283"/>
      <c r="AL40" s="283"/>
    </row>
    <row r="41" spans="2:38" x14ac:dyDescent="0.25">
      <c r="M41" s="283"/>
      <c r="N41" s="283"/>
      <c r="O41" s="283"/>
      <c r="P41" s="283"/>
      <c r="Q41" s="283"/>
      <c r="R41" s="283"/>
      <c r="S41" s="283"/>
      <c r="T41" s="283"/>
      <c r="U41" s="283"/>
      <c r="V41" s="283"/>
      <c r="W41" s="283"/>
      <c r="X41" s="283"/>
      <c r="Y41" s="283"/>
      <c r="Z41" s="283"/>
      <c r="AA41" s="283"/>
      <c r="AB41" s="283"/>
      <c r="AC41" s="283"/>
      <c r="AD41" s="283"/>
      <c r="AE41" s="283"/>
      <c r="AF41" s="283"/>
      <c r="AG41" s="283"/>
      <c r="AH41" s="283"/>
      <c r="AI41" s="283"/>
      <c r="AJ41" s="283"/>
      <c r="AK41" s="283"/>
      <c r="AL41" s="283"/>
    </row>
    <row r="42" spans="2:38" x14ac:dyDescent="0.25">
      <c r="M42" s="283"/>
      <c r="N42" s="283"/>
      <c r="O42" s="283"/>
      <c r="P42" s="283"/>
      <c r="Q42" s="283"/>
      <c r="R42" s="283"/>
      <c r="S42" s="283"/>
      <c r="T42" s="283"/>
      <c r="U42" s="283"/>
      <c r="V42" s="283"/>
      <c r="W42" s="283"/>
      <c r="X42" s="283"/>
      <c r="Y42" s="283"/>
      <c r="Z42" s="283"/>
      <c r="AA42" s="283"/>
      <c r="AB42" s="283"/>
      <c r="AC42" s="283"/>
      <c r="AD42" s="283"/>
      <c r="AE42" s="283"/>
      <c r="AF42" s="283"/>
      <c r="AG42" s="283"/>
      <c r="AH42" s="283"/>
      <c r="AI42" s="283"/>
      <c r="AJ42" s="283"/>
      <c r="AK42" s="283"/>
      <c r="AL42" s="283"/>
    </row>
    <row r="77" spans="2:12" x14ac:dyDescent="0.25">
      <c r="B77" s="124"/>
      <c r="C77" s="124"/>
      <c r="D77" s="124"/>
      <c r="E77" s="124"/>
      <c r="F77" s="124"/>
      <c r="G77" s="124"/>
      <c r="H77" s="124"/>
      <c r="I77" s="124"/>
      <c r="J77" s="124"/>
      <c r="K77" s="124"/>
      <c r="L77" s="124"/>
    </row>
  </sheetData>
  <mergeCells count="10">
    <mergeCell ref="G1:I1"/>
    <mergeCell ref="C15:D15"/>
    <mergeCell ref="C16:D16"/>
    <mergeCell ref="C29:D29"/>
    <mergeCell ref="K7:K9"/>
    <mergeCell ref="K11:K13"/>
    <mergeCell ref="C4:K4"/>
    <mergeCell ref="C14:D14"/>
    <mergeCell ref="K15:K16"/>
    <mergeCell ref="C24:C26"/>
  </mergeCells>
  <pageMargins left="0.7" right="0.7" top="0.75" bottom="0.75" header="0.3" footer="0.3"/>
  <pageSetup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N40"/>
  <sheetViews>
    <sheetView topLeftCell="G1" zoomScale="85" zoomScaleNormal="85" workbookViewId="0">
      <pane ySplit="1" topLeftCell="A2" activePane="bottomLeft" state="frozen"/>
      <selection pane="bottomLeft" sqref="A1:N1"/>
    </sheetView>
  </sheetViews>
  <sheetFormatPr baseColWidth="10" defaultColWidth="11.42578125" defaultRowHeight="15" x14ac:dyDescent="0.25"/>
  <cols>
    <col min="1" max="1" width="4.42578125" style="1" customWidth="1"/>
    <col min="2" max="2" width="6.5703125" style="1" customWidth="1"/>
    <col min="3" max="3" width="12" style="1" customWidth="1"/>
    <col min="4" max="4" width="22.85546875" style="1" customWidth="1"/>
    <col min="5" max="5" width="23.7109375" style="1" customWidth="1"/>
    <col min="6" max="6" width="19.28515625" style="1" customWidth="1"/>
    <col min="7" max="7" width="19" style="1" customWidth="1"/>
    <col min="8" max="8" width="21.28515625" style="1" customWidth="1"/>
    <col min="9" max="10" width="11.42578125" style="1"/>
    <col min="11" max="11" width="49.140625" style="1" customWidth="1"/>
    <col min="12" max="12" width="22.5703125" style="1" customWidth="1"/>
    <col min="13" max="16384" width="11.42578125" style="1"/>
  </cols>
  <sheetData>
    <row r="1" spans="1:14" s="654" customFormat="1" ht="58.5" customHeight="1" x14ac:dyDescent="0.25">
      <c r="A1" s="656"/>
      <c r="B1" s="656"/>
      <c r="C1" s="656"/>
      <c r="D1" s="656"/>
      <c r="E1" s="656"/>
      <c r="F1" s="900" t="s">
        <v>294</v>
      </c>
      <c r="G1" s="901"/>
      <c r="H1" s="901"/>
      <c r="I1" s="656"/>
      <c r="J1" s="656"/>
      <c r="K1" s="656"/>
      <c r="L1" s="656"/>
      <c r="M1" s="656"/>
      <c r="N1" s="656"/>
    </row>
    <row r="3" spans="1:14" ht="15.75" thickBot="1" x14ac:dyDescent="0.3"/>
    <row r="4" spans="1:14" ht="15.75" thickBot="1" x14ac:dyDescent="0.3">
      <c r="B4" s="599"/>
      <c r="C4" s="591"/>
      <c r="D4" s="591"/>
      <c r="E4" s="591"/>
      <c r="F4" s="591"/>
      <c r="G4" s="591"/>
      <c r="H4" s="591"/>
      <c r="I4" s="600"/>
      <c r="J4" s="600"/>
      <c r="K4" s="600"/>
      <c r="L4" s="601"/>
    </row>
    <row r="5" spans="1:14" ht="15.75" thickBot="1" x14ac:dyDescent="0.3">
      <c r="B5" s="593"/>
      <c r="C5" s="912" t="s">
        <v>332</v>
      </c>
      <c r="D5" s="913"/>
      <c r="E5" s="913"/>
      <c r="F5" s="913"/>
      <c r="G5" s="913"/>
      <c r="H5" s="913"/>
      <c r="I5" s="913"/>
      <c r="J5" s="913"/>
      <c r="K5" s="914"/>
      <c r="L5" s="594"/>
    </row>
    <row r="6" spans="1:14" ht="15.75" thickBot="1" x14ac:dyDescent="0.3">
      <c r="B6" s="593"/>
      <c r="C6" s="595"/>
      <c r="D6" s="595"/>
      <c r="E6" s="595"/>
      <c r="F6" s="595"/>
      <c r="G6" s="595"/>
      <c r="H6" s="595"/>
      <c r="I6" s="595"/>
      <c r="J6" s="595"/>
      <c r="K6" s="595"/>
      <c r="L6" s="594"/>
    </row>
    <row r="7" spans="1:14" ht="17.25" customHeight="1" thickBot="1" x14ac:dyDescent="0.3">
      <c r="B7" s="602"/>
      <c r="C7" s="124"/>
      <c r="D7" s="124"/>
      <c r="E7" s="124"/>
      <c r="F7" s="926" t="s">
        <v>35</v>
      </c>
      <c r="G7" s="927"/>
      <c r="H7" s="928"/>
      <c r="I7" s="595"/>
      <c r="J7" s="595"/>
      <c r="K7" s="309" t="s">
        <v>339</v>
      </c>
      <c r="L7" s="603"/>
    </row>
    <row r="8" spans="1:14" x14ac:dyDescent="0.25">
      <c r="B8" s="602"/>
      <c r="E8" s="124"/>
      <c r="F8" s="566">
        <v>2019</v>
      </c>
      <c r="G8" s="566">
        <v>2020</v>
      </c>
      <c r="H8" s="566">
        <v>2021</v>
      </c>
      <c r="I8" s="595"/>
      <c r="J8" s="595"/>
      <c r="K8" s="911" t="s">
        <v>334</v>
      </c>
      <c r="L8" s="603"/>
    </row>
    <row r="9" spans="1:14" x14ac:dyDescent="0.25">
      <c r="B9" s="602"/>
      <c r="E9" s="124"/>
      <c r="F9" s="561">
        <f>'Presupuesto financiero'!K5</f>
        <v>4.9599999999999998E-2</v>
      </c>
      <c r="G9" s="561">
        <f>'Presupuesto financiero'!L5</f>
        <v>0.1078904648</v>
      </c>
      <c r="H9" s="561">
        <f>'Presupuesto financiero'!M5</f>
        <v>0.17066814759999999</v>
      </c>
      <c r="I9" s="595"/>
      <c r="J9" s="595"/>
      <c r="K9" s="909"/>
      <c r="L9" s="603"/>
    </row>
    <row r="10" spans="1:14" ht="15.75" thickBot="1" x14ac:dyDescent="0.3">
      <c r="B10" s="602"/>
      <c r="E10" s="572" t="s">
        <v>331</v>
      </c>
      <c r="F10" s="583">
        <f>'Presupuesto financiero'!K6</f>
        <v>301216832</v>
      </c>
      <c r="G10" s="583">
        <f>'Presupuesto financiero'!L6</f>
        <v>655210161.49321604</v>
      </c>
      <c r="H10" s="583">
        <f>'Presupuesto financiero'!M6</f>
        <v>1036454006.9229919</v>
      </c>
      <c r="I10" s="595"/>
      <c r="J10" s="595"/>
      <c r="K10" s="910"/>
      <c r="L10" s="603"/>
    </row>
    <row r="11" spans="1:14" ht="15.75" thickBot="1" x14ac:dyDescent="0.3">
      <c r="B11" s="602"/>
      <c r="C11" s="124"/>
      <c r="D11" s="124"/>
      <c r="E11" s="572" t="s">
        <v>268</v>
      </c>
      <c r="F11" s="562">
        <f>'Presupuesto financiero'!K10</f>
        <v>2343935.7000000002</v>
      </c>
      <c r="G11" s="562">
        <f>'Presupuesto financiero'!L10</f>
        <v>2614351.9749999996</v>
      </c>
      <c r="H11" s="562">
        <f>'Presupuesto financiero'!M10</f>
        <v>2971977.4835000001</v>
      </c>
      <c r="I11" s="595"/>
      <c r="J11" s="595"/>
      <c r="K11" s="309" t="s">
        <v>288</v>
      </c>
      <c r="L11" s="603"/>
    </row>
    <row r="12" spans="1:14" x14ac:dyDescent="0.25">
      <c r="B12" s="602"/>
      <c r="C12" s="124"/>
      <c r="D12" s="124"/>
      <c r="E12" s="572" t="s">
        <v>223</v>
      </c>
      <c r="F12" s="562" t="e">
        <f>'Presupuesto financiero'!K11</f>
        <v>#REF!</v>
      </c>
      <c r="G12" s="562">
        <f>'Presupuesto financiero'!L11</f>
        <v>17694195.824999999</v>
      </c>
      <c r="H12" s="562">
        <f>'Presupuesto financiero'!M11</f>
        <v>29793383.600000001</v>
      </c>
      <c r="I12" s="595"/>
      <c r="J12" s="595"/>
      <c r="K12" s="911" t="s">
        <v>333</v>
      </c>
      <c r="L12" s="603"/>
    </row>
    <row r="13" spans="1:14" x14ac:dyDescent="0.25">
      <c r="B13" s="602"/>
      <c r="C13" s="124"/>
      <c r="D13" s="124"/>
      <c r="E13" s="572" t="s">
        <v>329</v>
      </c>
      <c r="F13" s="562">
        <f>'Presupuesto financiero'!K12</f>
        <v>7341662.4450000012</v>
      </c>
      <c r="G13" s="562">
        <f>'Presupuesto financiero'!L12</f>
        <v>8446303.9266666677</v>
      </c>
      <c r="H13" s="562">
        <f>'Presupuesto financiero'!M12</f>
        <v>10262133.115833335</v>
      </c>
      <c r="I13" s="595"/>
      <c r="J13" s="595"/>
      <c r="K13" s="909"/>
      <c r="L13" s="603"/>
    </row>
    <row r="14" spans="1:14" ht="15.75" thickBot="1" x14ac:dyDescent="0.3">
      <c r="B14" s="602"/>
      <c r="C14" s="124"/>
      <c r="D14" s="124"/>
      <c r="E14" s="124"/>
      <c r="F14" s="124"/>
      <c r="G14" s="124"/>
      <c r="H14" s="124"/>
      <c r="I14" s="595"/>
      <c r="J14" s="595"/>
      <c r="K14" s="910"/>
      <c r="L14" s="603"/>
    </row>
    <row r="15" spans="1:14" ht="15.75" thickBot="1" x14ac:dyDescent="0.3">
      <c r="B15" s="602"/>
      <c r="C15" s="580" t="s">
        <v>325</v>
      </c>
      <c r="D15" s="581"/>
      <c r="E15" s="124"/>
      <c r="F15" s="582" t="s">
        <v>253</v>
      </c>
      <c r="G15" s="559"/>
      <c r="H15" s="560"/>
      <c r="I15" s="595"/>
      <c r="J15" s="595"/>
      <c r="K15" s="309" t="s">
        <v>289</v>
      </c>
      <c r="L15" s="603"/>
    </row>
    <row r="16" spans="1:14" ht="30.75" customHeight="1" thickBot="1" x14ac:dyDescent="0.3">
      <c r="B16" s="602"/>
      <c r="C16" s="922" t="s">
        <v>338</v>
      </c>
      <c r="D16" s="923"/>
      <c r="E16" s="124"/>
      <c r="F16" s="344">
        <v>2019</v>
      </c>
      <c r="G16" s="344">
        <v>2020</v>
      </c>
      <c r="H16" s="344">
        <v>2021</v>
      </c>
      <c r="I16" s="595"/>
      <c r="J16" s="595"/>
      <c r="K16" s="587" t="s">
        <v>337</v>
      </c>
      <c r="L16" s="603"/>
    </row>
    <row r="17" spans="2:12" x14ac:dyDescent="0.25">
      <c r="B17" s="602"/>
      <c r="C17" s="924">
        <v>3800000</v>
      </c>
      <c r="D17" s="925"/>
      <c r="E17" s="584"/>
      <c r="F17" s="562">
        <f>'Presupuesto financiero'!K16</f>
        <v>141277.33333333334</v>
      </c>
      <c r="G17" s="562">
        <f>'Presupuesto financiero'!L16</f>
        <v>147660.56666666665</v>
      </c>
      <c r="H17" s="562">
        <f>'Presupuesto financiero'!M16</f>
        <v>162884.43333333335</v>
      </c>
      <c r="I17" s="595"/>
      <c r="J17" s="595"/>
      <c r="K17" s="595"/>
      <c r="L17" s="603"/>
    </row>
    <row r="18" spans="2:12" x14ac:dyDescent="0.25">
      <c r="B18" s="602"/>
      <c r="C18" s="124"/>
      <c r="D18" s="124"/>
      <c r="E18" s="584"/>
      <c r="F18" s="42"/>
      <c r="G18" s="42"/>
      <c r="H18" s="42"/>
      <c r="I18" s="595"/>
      <c r="J18" s="595"/>
      <c r="K18" s="595"/>
      <c r="L18" s="603"/>
    </row>
    <row r="19" spans="2:12" x14ac:dyDescent="0.25">
      <c r="B19" s="602"/>
      <c r="C19" s="124"/>
      <c r="D19" s="124"/>
      <c r="E19" s="582" t="s">
        <v>227</v>
      </c>
      <c r="F19" s="559"/>
      <c r="G19" s="559"/>
      <c r="H19" s="560"/>
      <c r="I19" s="595"/>
      <c r="J19" s="595"/>
      <c r="K19" s="595"/>
      <c r="L19" s="603"/>
    </row>
    <row r="20" spans="2:12" x14ac:dyDescent="0.25">
      <c r="B20" s="602"/>
      <c r="C20" s="124"/>
      <c r="D20" s="124"/>
      <c r="E20" s="566" t="s">
        <v>228</v>
      </c>
      <c r="F20" s="566">
        <v>2019</v>
      </c>
      <c r="G20" s="566">
        <v>2020</v>
      </c>
      <c r="H20" s="566">
        <v>2021</v>
      </c>
      <c r="I20" s="595"/>
      <c r="J20" s="595"/>
      <c r="K20" s="595"/>
      <c r="L20" s="603"/>
    </row>
    <row r="21" spans="2:12" x14ac:dyDescent="0.25">
      <c r="B21" s="602"/>
      <c r="C21" s="124"/>
      <c r="D21" s="124"/>
      <c r="E21" s="562">
        <f>'Presupuesto financiero'!J20</f>
        <v>2297572</v>
      </c>
      <c r="F21" s="562">
        <f>'Presupuesto financiero'!K20</f>
        <v>22999</v>
      </c>
      <c r="G21" s="562">
        <f>'Presupuesto financiero'!L20</f>
        <v>70262</v>
      </c>
      <c r="H21" s="562">
        <f>'Presupuesto financiero'!M20</f>
        <v>1306257</v>
      </c>
      <c r="I21" s="595"/>
      <c r="J21" s="595"/>
      <c r="K21" s="595"/>
      <c r="L21" s="603"/>
    </row>
    <row r="22" spans="2:12" x14ac:dyDescent="0.25">
      <c r="B22" s="602"/>
      <c r="C22" s="124"/>
      <c r="D22" s="124"/>
      <c r="E22" s="124"/>
      <c r="F22" s="124"/>
      <c r="G22" s="124"/>
      <c r="H22" s="124"/>
      <c r="I22" s="595"/>
      <c r="J22" s="595"/>
      <c r="K22" s="595"/>
      <c r="L22" s="603"/>
    </row>
    <row r="23" spans="2:12" x14ac:dyDescent="0.25">
      <c r="B23" s="602"/>
      <c r="C23" s="124"/>
      <c r="D23" s="124"/>
      <c r="E23" s="569" t="s">
        <v>282</v>
      </c>
      <c r="F23" s="569">
        <v>2019</v>
      </c>
      <c r="G23" s="569">
        <v>2020</v>
      </c>
      <c r="H23" s="569">
        <v>2021</v>
      </c>
      <c r="I23" s="595"/>
      <c r="J23" s="595"/>
      <c r="K23" s="595"/>
      <c r="L23" s="603"/>
    </row>
    <row r="24" spans="2:12" x14ac:dyDescent="0.25">
      <c r="B24" s="602"/>
      <c r="C24" s="570" t="s">
        <v>39</v>
      </c>
      <c r="D24" s="571"/>
      <c r="E24" s="575" t="s">
        <v>269</v>
      </c>
      <c r="F24" s="576">
        <f t="shared" ref="F24:H25" si="0">F10</f>
        <v>301216832</v>
      </c>
      <c r="G24" s="576">
        <f t="shared" si="0"/>
        <v>655210161.49321604</v>
      </c>
      <c r="H24" s="576">
        <f t="shared" si="0"/>
        <v>1036454006.9229919</v>
      </c>
      <c r="I24" s="595"/>
      <c r="J24" s="595"/>
      <c r="K24" s="595"/>
      <c r="L24" s="603"/>
    </row>
    <row r="25" spans="2:12" x14ac:dyDescent="0.25">
      <c r="B25" s="602"/>
      <c r="C25" s="919" t="s">
        <v>270</v>
      </c>
      <c r="D25" s="572" t="s">
        <v>326</v>
      </c>
      <c r="E25" s="575" t="s">
        <v>269</v>
      </c>
      <c r="F25" s="576">
        <f t="shared" si="0"/>
        <v>2343935.7000000002</v>
      </c>
      <c r="G25" s="576">
        <f t="shared" si="0"/>
        <v>2614351.9749999996</v>
      </c>
      <c r="H25" s="576">
        <f t="shared" si="0"/>
        <v>2971977.4835000001</v>
      </c>
      <c r="I25" s="595"/>
      <c r="J25" s="595"/>
      <c r="K25" s="595"/>
      <c r="L25" s="603"/>
    </row>
    <row r="26" spans="2:12" x14ac:dyDescent="0.25">
      <c r="B26" s="602"/>
      <c r="C26" s="920"/>
      <c r="D26" s="572" t="s">
        <v>327</v>
      </c>
      <c r="E26" s="575" t="s">
        <v>269</v>
      </c>
      <c r="F26" s="576" t="e">
        <f>F12</f>
        <v>#REF!</v>
      </c>
      <c r="G26" s="604">
        <f>G12+C17</f>
        <v>21494195.824999999</v>
      </c>
      <c r="H26" s="576">
        <f>H12</f>
        <v>29793383.600000001</v>
      </c>
      <c r="I26" s="595"/>
      <c r="J26" s="595"/>
      <c r="K26" s="595"/>
      <c r="L26" s="603"/>
    </row>
    <row r="27" spans="2:12" x14ac:dyDescent="0.25">
      <c r="B27" s="602"/>
      <c r="C27" s="921"/>
      <c r="D27" s="572" t="s">
        <v>328</v>
      </c>
      <c r="E27" s="575" t="s">
        <v>269</v>
      </c>
      <c r="F27" s="576">
        <f>F13</f>
        <v>7341662.4450000012</v>
      </c>
      <c r="G27" s="576">
        <f>G13</f>
        <v>8446303.9266666677</v>
      </c>
      <c r="H27" s="576">
        <f>H13</f>
        <v>10262133.115833335</v>
      </c>
      <c r="I27" s="595"/>
      <c r="J27" s="595"/>
      <c r="K27" s="595"/>
      <c r="L27" s="603"/>
    </row>
    <row r="28" spans="2:12" x14ac:dyDescent="0.25">
      <c r="B28" s="602"/>
      <c r="C28" s="557" t="s">
        <v>271</v>
      </c>
      <c r="D28" s="558"/>
      <c r="E28" s="578" t="s">
        <v>269</v>
      </c>
      <c r="F28" s="579" t="e">
        <f>F24-F25-F26-F27</f>
        <v>#REF!</v>
      </c>
      <c r="G28" s="579">
        <f>G24-G25-G26-G27</f>
        <v>622655309.76654935</v>
      </c>
      <c r="H28" s="579">
        <f>H24-H25-H26-H27</f>
        <v>993426512.72365856</v>
      </c>
      <c r="I28" s="595"/>
      <c r="J28" s="595"/>
      <c r="K28" s="595"/>
      <c r="L28" s="603"/>
    </row>
    <row r="29" spans="2:12" x14ac:dyDescent="0.25">
      <c r="B29" s="602"/>
      <c r="C29" s="573" t="s">
        <v>272</v>
      </c>
      <c r="D29" s="574"/>
      <c r="E29" s="265" t="s">
        <v>269</v>
      </c>
      <c r="F29" s="576">
        <f>F24*0.03</f>
        <v>9036504.959999999</v>
      </c>
      <c r="G29" s="576">
        <f>G24*0.03</f>
        <v>19656304.844796479</v>
      </c>
      <c r="H29" s="576">
        <f>H24*0.03</f>
        <v>31093620.207689755</v>
      </c>
      <c r="I29" s="595"/>
      <c r="J29" s="595"/>
      <c r="K29" s="595"/>
      <c r="L29" s="603"/>
    </row>
    <row r="30" spans="2:12" x14ac:dyDescent="0.25">
      <c r="B30" s="602"/>
      <c r="C30" s="906" t="s">
        <v>273</v>
      </c>
      <c r="D30" s="907"/>
      <c r="E30" s="265"/>
      <c r="F30" s="576" t="e">
        <f>F28-F29</f>
        <v>#REF!</v>
      </c>
      <c r="G30" s="576">
        <f>G28-G29-G17</f>
        <v>602851344.35508621</v>
      </c>
      <c r="H30" s="576">
        <f>H28-H29</f>
        <v>962332892.5159688</v>
      </c>
      <c r="I30" s="595"/>
      <c r="J30" s="595"/>
      <c r="K30" s="595"/>
      <c r="L30" s="603"/>
    </row>
    <row r="31" spans="2:12" x14ac:dyDescent="0.25">
      <c r="B31" s="602"/>
      <c r="C31" s="573" t="s">
        <v>274</v>
      </c>
      <c r="D31" s="574"/>
      <c r="E31" s="265" t="s">
        <v>269</v>
      </c>
      <c r="F31" s="576">
        <v>0</v>
      </c>
      <c r="G31" s="576">
        <v>0</v>
      </c>
      <c r="H31" s="576">
        <v>0</v>
      </c>
      <c r="I31" s="595"/>
      <c r="J31" s="595"/>
      <c r="K31" s="595"/>
      <c r="L31" s="603"/>
    </row>
    <row r="32" spans="2:12" x14ac:dyDescent="0.25">
      <c r="B32" s="602"/>
      <c r="C32" s="557" t="s">
        <v>275</v>
      </c>
      <c r="D32" s="558"/>
      <c r="E32" s="578" t="s">
        <v>269</v>
      </c>
      <c r="F32" s="579" t="e">
        <f>F28-F29-F31</f>
        <v>#REF!</v>
      </c>
      <c r="G32" s="579">
        <f>G28-G29-G31</f>
        <v>602999004.92175293</v>
      </c>
      <c r="H32" s="579">
        <f>H28-H29-H31</f>
        <v>962332892.5159688</v>
      </c>
      <c r="I32" s="595"/>
      <c r="J32" s="595"/>
      <c r="K32" s="595"/>
      <c r="L32" s="603"/>
    </row>
    <row r="33" spans="2:12" x14ac:dyDescent="0.25">
      <c r="B33" s="602"/>
      <c r="C33" s="573" t="s">
        <v>276</v>
      </c>
      <c r="D33" s="574"/>
      <c r="E33" s="576">
        <f>-E21</f>
        <v>-2297572</v>
      </c>
      <c r="F33" s="576">
        <f>-F21</f>
        <v>-22999</v>
      </c>
      <c r="G33" s="576">
        <f>-G21</f>
        <v>-70262</v>
      </c>
      <c r="H33" s="576">
        <f>-H21</f>
        <v>-1306257</v>
      </c>
      <c r="I33" s="595"/>
      <c r="J33" s="595"/>
      <c r="K33" s="595"/>
      <c r="L33" s="603"/>
    </row>
    <row r="34" spans="2:12" x14ac:dyDescent="0.25">
      <c r="B34" s="602"/>
      <c r="C34" s="557" t="s">
        <v>277</v>
      </c>
      <c r="D34" s="558"/>
      <c r="E34" s="579">
        <f>E33</f>
        <v>-2297572</v>
      </c>
      <c r="F34" s="579" t="e">
        <f>F32+F33</f>
        <v>#REF!</v>
      </c>
      <c r="G34" s="579">
        <f>G32+G33</f>
        <v>602928742.92175293</v>
      </c>
      <c r="H34" s="579">
        <f>H32+H33</f>
        <v>961026635.5159688</v>
      </c>
      <c r="I34" s="595"/>
      <c r="J34" s="595"/>
      <c r="K34" s="595"/>
      <c r="L34" s="603"/>
    </row>
    <row r="35" spans="2:12" x14ac:dyDescent="0.25">
      <c r="B35" s="602"/>
      <c r="C35" s="124"/>
      <c r="D35" s="124"/>
      <c r="E35" s="124"/>
      <c r="F35" s="124"/>
      <c r="G35" s="124"/>
      <c r="H35" s="124"/>
      <c r="I35" s="595"/>
      <c r="J35" s="595"/>
      <c r="K35" s="595"/>
      <c r="L35" s="603"/>
    </row>
    <row r="36" spans="2:12" x14ac:dyDescent="0.25">
      <c r="B36" s="602"/>
      <c r="C36" s="124"/>
      <c r="D36" s="124"/>
      <c r="E36" s="124"/>
      <c r="F36" s="124"/>
      <c r="G36" s="605" t="s">
        <v>278</v>
      </c>
      <c r="H36" s="606">
        <v>0.62</v>
      </c>
      <c r="I36" s="595"/>
      <c r="J36" s="595"/>
      <c r="K36" s="595"/>
      <c r="L36" s="603"/>
    </row>
    <row r="37" spans="2:12" x14ac:dyDescent="0.25">
      <c r="B37" s="602"/>
      <c r="C37" s="124"/>
      <c r="D37" s="124"/>
      <c r="E37" s="124"/>
      <c r="F37" s="124"/>
      <c r="G37" s="605" t="s">
        <v>279</v>
      </c>
      <c r="H37" s="607"/>
      <c r="I37" s="595"/>
      <c r="J37" s="595"/>
      <c r="K37" s="595"/>
      <c r="L37" s="603"/>
    </row>
    <row r="38" spans="2:12" x14ac:dyDescent="0.25">
      <c r="B38" s="602"/>
      <c r="C38" s="124"/>
      <c r="D38" s="124"/>
      <c r="E38" s="124"/>
      <c r="F38" s="124"/>
      <c r="G38" s="605" t="s">
        <v>280</v>
      </c>
      <c r="H38" s="608"/>
      <c r="I38" s="595"/>
      <c r="J38" s="595"/>
      <c r="K38" s="595"/>
      <c r="L38" s="603"/>
    </row>
    <row r="39" spans="2:12" x14ac:dyDescent="0.25">
      <c r="B39" s="602"/>
      <c r="C39" s="124"/>
      <c r="D39" s="124"/>
      <c r="E39" s="124"/>
      <c r="F39" s="124"/>
      <c r="G39" s="124"/>
      <c r="H39" s="124"/>
      <c r="I39" s="124"/>
      <c r="J39" s="124"/>
      <c r="K39" s="124"/>
      <c r="L39" s="603"/>
    </row>
    <row r="40" spans="2:12" ht="15.75" thickBot="1" x14ac:dyDescent="0.3">
      <c r="B40" s="466"/>
      <c r="C40" s="467"/>
      <c r="D40" s="467"/>
      <c r="E40" s="467"/>
      <c r="F40" s="467"/>
      <c r="G40" s="467"/>
      <c r="H40" s="467"/>
      <c r="I40" s="467"/>
      <c r="J40" s="467"/>
      <c r="K40" s="467"/>
      <c r="L40" s="468"/>
    </row>
  </sheetData>
  <mergeCells count="9">
    <mergeCell ref="F1:H1"/>
    <mergeCell ref="C25:C27"/>
    <mergeCell ref="C16:D16"/>
    <mergeCell ref="C17:D17"/>
    <mergeCell ref="C30:D30"/>
    <mergeCell ref="C5:K5"/>
    <mergeCell ref="K8:K10"/>
    <mergeCell ref="K12:K14"/>
    <mergeCell ref="F7:H7"/>
  </mergeCells>
  <pageMargins left="0.7" right="0.7" top="0.75" bottom="0.75" header="0.3" footer="0.3"/>
  <pageSetup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N38"/>
  <sheetViews>
    <sheetView topLeftCell="L1" zoomScale="90" zoomScaleNormal="90" workbookViewId="0">
      <pane ySplit="1" topLeftCell="A2" activePane="bottomLeft" state="frozen"/>
      <selection pane="bottomLeft" sqref="A1:N1"/>
    </sheetView>
  </sheetViews>
  <sheetFormatPr baseColWidth="10" defaultColWidth="11.42578125" defaultRowHeight="15" x14ac:dyDescent="0.25"/>
  <cols>
    <col min="1" max="1" width="4.7109375" style="1" customWidth="1"/>
    <col min="2" max="2" width="8.28515625" style="1" customWidth="1"/>
    <col min="3" max="3" width="11.7109375" style="1" customWidth="1"/>
    <col min="4" max="4" width="23.42578125" style="1" customWidth="1"/>
    <col min="5" max="5" width="19.85546875" style="1" customWidth="1"/>
    <col min="6" max="6" width="24.7109375" style="1" customWidth="1"/>
    <col min="7" max="7" width="15.28515625" style="1" bestFit="1" customWidth="1"/>
    <col min="8" max="8" width="17" style="1" customWidth="1"/>
    <col min="9" max="9" width="8.28515625" style="1" customWidth="1"/>
    <col min="10" max="10" width="6.7109375" style="1" customWidth="1"/>
    <col min="11" max="11" width="54.28515625" style="1" customWidth="1"/>
    <col min="12" max="16384" width="11.42578125" style="1"/>
  </cols>
  <sheetData>
    <row r="1" spans="1:14" s="654" customFormat="1" ht="58.5" customHeight="1" x14ac:dyDescent="0.25">
      <c r="A1" s="656"/>
      <c r="B1" s="656"/>
      <c r="C1" s="656"/>
      <c r="D1" s="656"/>
      <c r="E1" s="656"/>
      <c r="F1" s="900" t="s">
        <v>300</v>
      </c>
      <c r="G1" s="901"/>
      <c r="H1" s="901"/>
      <c r="I1" s="656"/>
      <c r="J1" s="656"/>
      <c r="K1" s="656"/>
      <c r="L1" s="656"/>
      <c r="M1" s="656"/>
      <c r="N1" s="656"/>
    </row>
    <row r="2" spans="1:14" ht="15.75" thickBot="1" x14ac:dyDescent="0.3"/>
    <row r="3" spans="1:14" ht="15.75" thickBot="1" x14ac:dyDescent="0.3">
      <c r="B3" s="590"/>
      <c r="C3" s="591"/>
      <c r="D3" s="591"/>
      <c r="E3" s="591"/>
      <c r="F3" s="591"/>
      <c r="G3" s="591"/>
      <c r="H3" s="591"/>
      <c r="I3" s="591"/>
      <c r="J3" s="591"/>
      <c r="K3" s="591"/>
      <c r="L3" s="592"/>
    </row>
    <row r="4" spans="1:14" ht="15.75" thickBot="1" x14ac:dyDescent="0.3">
      <c r="B4" s="602"/>
      <c r="C4" s="756" t="s">
        <v>336</v>
      </c>
      <c r="D4" s="929"/>
      <c r="E4" s="929"/>
      <c r="F4" s="929"/>
      <c r="G4" s="929"/>
      <c r="H4" s="929"/>
      <c r="I4" s="929"/>
      <c r="J4" s="929"/>
      <c r="K4" s="757"/>
      <c r="L4" s="603"/>
    </row>
    <row r="5" spans="1:14" ht="15.75" thickBot="1" x14ac:dyDescent="0.3">
      <c r="B5" s="602"/>
      <c r="C5" s="595"/>
      <c r="D5" s="595"/>
      <c r="E5" s="595"/>
      <c r="F5" s="595"/>
      <c r="G5" s="595"/>
      <c r="H5" s="595"/>
      <c r="I5" s="595"/>
      <c r="J5" s="595"/>
      <c r="K5" s="595"/>
      <c r="L5" s="603"/>
    </row>
    <row r="6" spans="1:14" ht="15.75" thickBot="1" x14ac:dyDescent="0.3">
      <c r="B6" s="602"/>
      <c r="C6" s="124"/>
      <c r="D6" s="124"/>
      <c r="E6" s="124"/>
      <c r="F6" s="926" t="s">
        <v>35</v>
      </c>
      <c r="G6" s="927"/>
      <c r="H6" s="928"/>
      <c r="I6" s="595"/>
      <c r="J6" s="595"/>
      <c r="K6" s="309" t="s">
        <v>347</v>
      </c>
      <c r="L6" s="603"/>
    </row>
    <row r="7" spans="1:14" x14ac:dyDescent="0.25">
      <c r="B7" s="602"/>
      <c r="E7" s="124"/>
      <c r="F7" s="566">
        <v>2019</v>
      </c>
      <c r="G7" s="566">
        <v>2020</v>
      </c>
      <c r="H7" s="566">
        <v>2021</v>
      </c>
      <c r="I7" s="595"/>
      <c r="J7" s="595"/>
      <c r="K7" s="911" t="s">
        <v>342</v>
      </c>
      <c r="L7" s="603"/>
    </row>
    <row r="8" spans="1:14" x14ac:dyDescent="0.25">
      <c r="B8" s="602"/>
      <c r="E8" s="124"/>
      <c r="F8" s="561">
        <f>'Presupuesto financiero'!K5</f>
        <v>4.9599999999999998E-2</v>
      </c>
      <c r="G8" s="561">
        <f>'Presupuesto financiero'!L5</f>
        <v>0.1078904648</v>
      </c>
      <c r="H8" s="561">
        <f>'Presupuesto financiero'!M5</f>
        <v>0.17066814759999999</v>
      </c>
      <c r="I8" s="595"/>
      <c r="J8" s="595"/>
      <c r="K8" s="909"/>
      <c r="L8" s="603"/>
    </row>
    <row r="9" spans="1:14" ht="15.75" thickBot="1" x14ac:dyDescent="0.3">
      <c r="B9" s="602"/>
      <c r="E9" s="572" t="s">
        <v>331</v>
      </c>
      <c r="F9" s="583">
        <f>'Presupuesto financiero'!K6</f>
        <v>301216832</v>
      </c>
      <c r="G9" s="583">
        <f>'Presupuesto financiero'!L6</f>
        <v>655210161.49321604</v>
      </c>
      <c r="H9" s="583">
        <f>'Presupuesto financiero'!M6</f>
        <v>1036454006.9229919</v>
      </c>
      <c r="I9" s="595"/>
      <c r="J9" s="595"/>
      <c r="K9" s="910"/>
      <c r="L9" s="603"/>
    </row>
    <row r="10" spans="1:14" ht="15.75" thickBot="1" x14ac:dyDescent="0.3">
      <c r="B10" s="602"/>
      <c r="C10" s="124"/>
      <c r="D10" s="124"/>
      <c r="E10" s="572" t="s">
        <v>268</v>
      </c>
      <c r="F10" s="562">
        <f>'Presupuesto financiero'!K10</f>
        <v>2343935.7000000002</v>
      </c>
      <c r="G10" s="562">
        <f>'Presupuesto financiero'!L10</f>
        <v>2614351.9749999996</v>
      </c>
      <c r="H10" s="562">
        <f>'Presupuesto financiero'!M10</f>
        <v>2971977.4835000001</v>
      </c>
      <c r="I10" s="595"/>
      <c r="J10" s="595"/>
      <c r="K10" s="309" t="s">
        <v>288</v>
      </c>
      <c r="L10" s="603"/>
    </row>
    <row r="11" spans="1:14" x14ac:dyDescent="0.25">
      <c r="B11" s="602"/>
      <c r="C11" s="124"/>
      <c r="D11" s="124"/>
      <c r="E11" s="572" t="s">
        <v>223</v>
      </c>
      <c r="F11" s="562" t="e">
        <f>'Presupuesto financiero'!K11</f>
        <v>#REF!</v>
      </c>
      <c r="G11" s="562">
        <f>'Presupuesto financiero'!L11</f>
        <v>17694195.824999999</v>
      </c>
      <c r="H11" s="562">
        <f>'Presupuesto financiero'!M11</f>
        <v>29793383.600000001</v>
      </c>
      <c r="I11" s="595"/>
      <c r="J11" s="595"/>
      <c r="K11" s="911"/>
      <c r="L11" s="603"/>
    </row>
    <row r="12" spans="1:14" x14ac:dyDescent="0.25">
      <c r="B12" s="602"/>
      <c r="C12" s="124"/>
      <c r="D12" s="124"/>
      <c r="E12" s="572" t="s">
        <v>329</v>
      </c>
      <c r="F12" s="562">
        <f>'Presupuesto financiero'!K12</f>
        <v>7341662.4450000012</v>
      </c>
      <c r="G12" s="562">
        <f>'Presupuesto financiero'!L12</f>
        <v>8446303.9266666677</v>
      </c>
      <c r="H12" s="562">
        <f>'Presupuesto financiero'!M12</f>
        <v>10262133.115833335</v>
      </c>
      <c r="I12" s="595"/>
      <c r="J12" s="595"/>
      <c r="K12" s="909"/>
      <c r="L12" s="603"/>
    </row>
    <row r="13" spans="1:14" ht="15.75" thickBot="1" x14ac:dyDescent="0.3">
      <c r="B13" s="602"/>
      <c r="C13" s="124"/>
      <c r="D13" s="124"/>
      <c r="E13" s="124"/>
      <c r="F13" s="124"/>
      <c r="G13" s="124"/>
      <c r="H13" s="124"/>
      <c r="I13" s="595"/>
      <c r="J13" s="595"/>
      <c r="K13" s="910"/>
      <c r="L13" s="603"/>
    </row>
    <row r="14" spans="1:14" ht="15.75" thickBot="1" x14ac:dyDescent="0.3">
      <c r="B14" s="602"/>
      <c r="C14" s="915" t="s">
        <v>346</v>
      </c>
      <c r="D14" s="916"/>
      <c r="E14" s="124"/>
      <c r="F14" s="582" t="s">
        <v>253</v>
      </c>
      <c r="G14" s="559"/>
      <c r="H14" s="560"/>
      <c r="I14" s="595"/>
      <c r="J14" s="595"/>
      <c r="K14" s="309" t="s">
        <v>289</v>
      </c>
      <c r="L14" s="603"/>
    </row>
    <row r="15" spans="1:14" ht="20.25" customHeight="1" thickBot="1" x14ac:dyDescent="0.3">
      <c r="B15" s="602"/>
      <c r="C15" s="566">
        <v>2020</v>
      </c>
      <c r="D15" s="566">
        <v>2021</v>
      </c>
      <c r="E15" s="124"/>
      <c r="F15" s="344">
        <v>2019</v>
      </c>
      <c r="G15" s="344">
        <v>2020</v>
      </c>
      <c r="H15" s="344">
        <v>2021</v>
      </c>
      <c r="I15" s="595"/>
      <c r="J15" s="595"/>
      <c r="K15" s="587" t="s">
        <v>344</v>
      </c>
      <c r="L15" s="603"/>
    </row>
    <row r="16" spans="1:14" x14ac:dyDescent="0.25">
      <c r="B16" s="602"/>
      <c r="C16" s="639">
        <v>0.9</v>
      </c>
      <c r="D16" s="639">
        <v>0.9</v>
      </c>
      <c r="E16" s="584"/>
      <c r="F16" s="562">
        <f>'Presupuesto financiero'!K16</f>
        <v>141277.33333333334</v>
      </c>
      <c r="G16" s="562">
        <f>'Presupuesto financiero'!L16</f>
        <v>147660.56666666665</v>
      </c>
      <c r="H16" s="562">
        <f>'Presupuesto financiero'!M16</f>
        <v>162884.43333333335</v>
      </c>
      <c r="I16" s="595"/>
      <c r="J16" s="595"/>
      <c r="K16" s="595"/>
      <c r="L16" s="603"/>
    </row>
    <row r="17" spans="2:12" x14ac:dyDescent="0.25">
      <c r="B17" s="602"/>
      <c r="C17" s="124"/>
      <c r="D17" s="124"/>
      <c r="E17" s="584"/>
      <c r="F17" s="42"/>
      <c r="G17" s="42"/>
      <c r="H17" s="42"/>
      <c r="I17" s="595"/>
      <c r="J17" s="595"/>
      <c r="K17" s="595"/>
      <c r="L17" s="603"/>
    </row>
    <row r="18" spans="2:12" x14ac:dyDescent="0.25">
      <c r="B18" s="602"/>
      <c r="C18" s="124"/>
      <c r="D18" s="124"/>
      <c r="E18" s="582" t="s">
        <v>227</v>
      </c>
      <c r="F18" s="559"/>
      <c r="G18" s="559"/>
      <c r="H18" s="560"/>
      <c r="I18" s="595"/>
      <c r="J18" s="595"/>
      <c r="K18" s="595"/>
      <c r="L18" s="603"/>
    </row>
    <row r="19" spans="2:12" x14ac:dyDescent="0.25">
      <c r="B19" s="602"/>
      <c r="C19" s="124"/>
      <c r="D19" s="124"/>
      <c r="E19" s="566" t="s">
        <v>228</v>
      </c>
      <c r="F19" s="566">
        <v>2019</v>
      </c>
      <c r="G19" s="566">
        <v>2020</v>
      </c>
      <c r="H19" s="566">
        <v>2021</v>
      </c>
      <c r="I19" s="595"/>
      <c r="J19" s="595"/>
      <c r="K19" s="595"/>
      <c r="L19" s="603"/>
    </row>
    <row r="20" spans="2:12" x14ac:dyDescent="0.25">
      <c r="B20" s="602"/>
      <c r="C20" s="124"/>
      <c r="D20" s="124"/>
      <c r="E20" s="562">
        <f>'Presupuesto financiero'!J20</f>
        <v>2297572</v>
      </c>
      <c r="F20" s="562">
        <f>'Presupuesto financiero'!K20</f>
        <v>22999</v>
      </c>
      <c r="G20" s="562">
        <f>'Presupuesto financiero'!L20</f>
        <v>70262</v>
      </c>
      <c r="H20" s="562">
        <f>'Presupuesto financiero'!M20</f>
        <v>1306257</v>
      </c>
      <c r="I20" s="595"/>
      <c r="J20" s="595"/>
      <c r="K20" s="595"/>
      <c r="L20" s="603"/>
    </row>
    <row r="21" spans="2:12" x14ac:dyDescent="0.25">
      <c r="B21" s="602"/>
      <c r="C21" s="124"/>
      <c r="D21" s="124"/>
      <c r="E21" s="124"/>
      <c r="F21" s="124"/>
      <c r="G21" s="124"/>
      <c r="H21" s="124"/>
      <c r="I21" s="595"/>
      <c r="J21" s="595"/>
      <c r="K21" s="595"/>
      <c r="L21" s="603"/>
    </row>
    <row r="22" spans="2:12" x14ac:dyDescent="0.25">
      <c r="B22" s="602"/>
      <c r="C22" s="124"/>
      <c r="D22" s="124"/>
      <c r="E22" s="569" t="s">
        <v>282</v>
      </c>
      <c r="F22" s="569">
        <v>2019</v>
      </c>
      <c r="G22" s="569">
        <v>2020</v>
      </c>
      <c r="H22" s="569">
        <v>2021</v>
      </c>
      <c r="I22" s="595"/>
      <c r="J22" s="595"/>
      <c r="K22" s="595"/>
      <c r="L22" s="603"/>
    </row>
    <row r="23" spans="2:12" x14ac:dyDescent="0.25">
      <c r="B23" s="602"/>
      <c r="C23" s="570" t="s">
        <v>39</v>
      </c>
      <c r="D23" s="571"/>
      <c r="E23" s="575" t="s">
        <v>269</v>
      </c>
      <c r="F23" s="576">
        <f>F9</f>
        <v>301216832</v>
      </c>
      <c r="G23" s="638">
        <f>G9*C16</f>
        <v>589689145.34389448</v>
      </c>
      <c r="H23" s="638">
        <f>H9*D16</f>
        <v>932808606.23069274</v>
      </c>
      <c r="I23" s="595"/>
      <c r="J23" s="595"/>
      <c r="K23" s="595"/>
      <c r="L23" s="603"/>
    </row>
    <row r="24" spans="2:12" x14ac:dyDescent="0.25">
      <c r="B24" s="602"/>
      <c r="C24" s="919" t="s">
        <v>270</v>
      </c>
      <c r="D24" s="572" t="s">
        <v>326</v>
      </c>
      <c r="E24" s="575" t="s">
        <v>269</v>
      </c>
      <c r="F24" s="576">
        <f>F10</f>
        <v>2343935.7000000002</v>
      </c>
      <c r="G24" s="576">
        <f>G10</f>
        <v>2614351.9749999996</v>
      </c>
      <c r="H24" s="576">
        <f>H10</f>
        <v>2971977.4835000001</v>
      </c>
      <c r="I24" s="595"/>
      <c r="J24" s="595"/>
      <c r="K24" s="595"/>
      <c r="L24" s="603"/>
    </row>
    <row r="25" spans="2:12" x14ac:dyDescent="0.25">
      <c r="B25" s="602"/>
      <c r="C25" s="920"/>
      <c r="D25" s="572" t="s">
        <v>327</v>
      </c>
      <c r="E25" s="575" t="s">
        <v>269</v>
      </c>
      <c r="F25" s="576" t="e">
        <f>F11</f>
        <v>#REF!</v>
      </c>
      <c r="G25" s="638">
        <f>G11*C16</f>
        <v>15924776.2425</v>
      </c>
      <c r="H25" s="638">
        <f>H11*D16</f>
        <v>26814045.240000002</v>
      </c>
      <c r="I25" s="595"/>
      <c r="J25" s="595"/>
      <c r="K25" s="595"/>
      <c r="L25" s="603"/>
    </row>
    <row r="26" spans="2:12" x14ac:dyDescent="0.25">
      <c r="B26" s="602"/>
      <c r="C26" s="921"/>
      <c r="D26" s="572" t="s">
        <v>328</v>
      </c>
      <c r="E26" s="575" t="s">
        <v>269</v>
      </c>
      <c r="F26" s="576">
        <f>F12</f>
        <v>7341662.4450000012</v>
      </c>
      <c r="G26" s="576">
        <f>G12</f>
        <v>8446303.9266666677</v>
      </c>
      <c r="H26" s="576">
        <f>H12</f>
        <v>10262133.115833335</v>
      </c>
      <c r="I26" s="595"/>
      <c r="J26" s="595"/>
      <c r="K26" s="595"/>
      <c r="L26" s="603"/>
    </row>
    <row r="27" spans="2:12" x14ac:dyDescent="0.25">
      <c r="B27" s="602"/>
      <c r="C27" s="573" t="s">
        <v>271</v>
      </c>
      <c r="D27" s="574"/>
      <c r="E27" s="578" t="s">
        <v>269</v>
      </c>
      <c r="F27" s="579" t="e">
        <f>F23-F24-F25-F26</f>
        <v>#REF!</v>
      </c>
      <c r="G27" s="579">
        <f>G23-G24-G25-G26</f>
        <v>562703713.19972789</v>
      </c>
      <c r="H27" s="579">
        <f>H23-H24-H25-H26</f>
        <v>892760450.39135945</v>
      </c>
      <c r="I27" s="595"/>
      <c r="J27" s="595"/>
      <c r="K27" s="595"/>
      <c r="L27" s="603"/>
    </row>
    <row r="28" spans="2:12" x14ac:dyDescent="0.25">
      <c r="B28" s="602"/>
      <c r="C28" s="573" t="s">
        <v>272</v>
      </c>
      <c r="D28" s="574"/>
      <c r="E28" s="265" t="s">
        <v>269</v>
      </c>
      <c r="F28" s="576">
        <f>F23*0.03</f>
        <v>9036504.959999999</v>
      </c>
      <c r="G28" s="576">
        <f>G23*0.03</f>
        <v>17690674.360316835</v>
      </c>
      <c r="H28" s="576">
        <f>H23*0.03</f>
        <v>27984258.186920781</v>
      </c>
      <c r="I28" s="595"/>
      <c r="J28" s="595"/>
      <c r="K28" s="595"/>
      <c r="L28" s="603"/>
    </row>
    <row r="29" spans="2:12" x14ac:dyDescent="0.25">
      <c r="B29" s="602"/>
      <c r="C29" s="906" t="s">
        <v>273</v>
      </c>
      <c r="D29" s="907"/>
      <c r="E29" s="265"/>
      <c r="F29" s="576" t="e">
        <f>F27-F28</f>
        <v>#REF!</v>
      </c>
      <c r="G29" s="576">
        <f>G27-G28-G16</f>
        <v>544865378.2727443</v>
      </c>
      <c r="H29" s="576">
        <f>H27-H28-H16</f>
        <v>864613307.77110541</v>
      </c>
      <c r="I29" s="595"/>
      <c r="J29" s="595"/>
      <c r="K29" s="595"/>
      <c r="L29" s="603"/>
    </row>
    <row r="30" spans="2:12" x14ac:dyDescent="0.25">
      <c r="B30" s="602"/>
      <c r="C30" s="573" t="s">
        <v>274</v>
      </c>
      <c r="D30" s="574"/>
      <c r="E30" s="265" t="s">
        <v>269</v>
      </c>
      <c r="F30" s="576">
        <v>0</v>
      </c>
      <c r="G30" s="576">
        <v>0</v>
      </c>
      <c r="H30" s="576">
        <f>0.35*G29</f>
        <v>190702882.39546049</v>
      </c>
      <c r="I30" s="595"/>
      <c r="J30" s="595"/>
      <c r="K30" s="595"/>
      <c r="L30" s="603"/>
    </row>
    <row r="31" spans="2:12" x14ac:dyDescent="0.25">
      <c r="B31" s="602"/>
      <c r="C31" s="573" t="s">
        <v>275</v>
      </c>
      <c r="D31" s="574"/>
      <c r="E31" s="578" t="s">
        <v>269</v>
      </c>
      <c r="F31" s="579" t="e">
        <f>F27-F28-F30</f>
        <v>#REF!</v>
      </c>
      <c r="G31" s="579">
        <f>G27-G28-G30</f>
        <v>545013038.83941102</v>
      </c>
      <c r="H31" s="579">
        <f>H27-H28-H30</f>
        <v>674073309.8089782</v>
      </c>
      <c r="I31" s="595"/>
      <c r="J31" s="595"/>
      <c r="K31" s="595"/>
      <c r="L31" s="603"/>
    </row>
    <row r="32" spans="2:12" x14ac:dyDescent="0.25">
      <c r="B32" s="602"/>
      <c r="C32" s="573" t="s">
        <v>276</v>
      </c>
      <c r="D32" s="574"/>
      <c r="E32" s="576">
        <f>-E20</f>
        <v>-2297572</v>
      </c>
      <c r="F32" s="576">
        <f>-F20</f>
        <v>-22999</v>
      </c>
      <c r="G32" s="576">
        <f>-G20</f>
        <v>-70262</v>
      </c>
      <c r="H32" s="576">
        <f>-H20</f>
        <v>-1306257</v>
      </c>
      <c r="I32" s="595"/>
      <c r="J32" s="595"/>
      <c r="K32" s="595"/>
      <c r="L32" s="603"/>
    </row>
    <row r="33" spans="2:12" x14ac:dyDescent="0.25">
      <c r="B33" s="602"/>
      <c r="C33" s="573" t="s">
        <v>277</v>
      </c>
      <c r="D33" s="574"/>
      <c r="E33" s="579">
        <f>E32</f>
        <v>-2297572</v>
      </c>
      <c r="F33" s="579" t="e">
        <f>F31+F32</f>
        <v>#REF!</v>
      </c>
      <c r="G33" s="579">
        <f>G31+G32</f>
        <v>544942776.83941102</v>
      </c>
      <c r="H33" s="579">
        <f>H31+H32</f>
        <v>672767052.8089782</v>
      </c>
      <c r="I33" s="595"/>
      <c r="J33" s="595"/>
      <c r="K33" s="595"/>
      <c r="L33" s="603"/>
    </row>
    <row r="34" spans="2:12" x14ac:dyDescent="0.25">
      <c r="B34" s="602"/>
      <c r="C34" s="124"/>
      <c r="D34" s="124"/>
      <c r="E34" s="124"/>
      <c r="F34" s="124"/>
      <c r="G34" s="124"/>
      <c r="H34" s="124"/>
      <c r="I34" s="595"/>
      <c r="J34" s="595"/>
      <c r="K34" s="595"/>
      <c r="L34" s="603"/>
    </row>
    <row r="35" spans="2:12" x14ac:dyDescent="0.25">
      <c r="B35" s="602"/>
      <c r="C35" s="124"/>
      <c r="D35" s="124"/>
      <c r="E35" s="124"/>
      <c r="F35" s="124"/>
      <c r="G35" s="568" t="s">
        <v>278</v>
      </c>
      <c r="H35" s="563">
        <v>0.62</v>
      </c>
      <c r="I35" s="595"/>
      <c r="J35" s="595"/>
      <c r="K35" s="595"/>
      <c r="L35" s="603"/>
    </row>
    <row r="36" spans="2:12" x14ac:dyDescent="0.25">
      <c r="B36" s="602"/>
      <c r="C36" s="124"/>
      <c r="D36" s="124"/>
      <c r="E36" s="124"/>
      <c r="F36" s="124"/>
      <c r="G36" s="568" t="s">
        <v>279</v>
      </c>
      <c r="H36" s="564"/>
      <c r="I36" s="595"/>
      <c r="J36" s="595"/>
      <c r="K36" s="595"/>
      <c r="L36" s="603"/>
    </row>
    <row r="37" spans="2:12" x14ac:dyDescent="0.25">
      <c r="B37" s="602"/>
      <c r="C37" s="124"/>
      <c r="D37" s="124"/>
      <c r="E37" s="124"/>
      <c r="F37" s="124"/>
      <c r="G37" s="568" t="s">
        <v>280</v>
      </c>
      <c r="H37" s="565"/>
      <c r="I37" s="595"/>
      <c r="J37" s="595"/>
      <c r="K37" s="595"/>
      <c r="L37" s="603"/>
    </row>
    <row r="38" spans="2:12" ht="15.75" thickBot="1" x14ac:dyDescent="0.3">
      <c r="B38" s="466"/>
      <c r="C38" s="467"/>
      <c r="D38" s="467"/>
      <c r="E38" s="467"/>
      <c r="F38" s="467"/>
      <c r="G38" s="467"/>
      <c r="H38" s="467"/>
      <c r="I38" s="467"/>
      <c r="J38" s="467"/>
      <c r="K38" s="467"/>
      <c r="L38" s="468"/>
    </row>
  </sheetData>
  <mergeCells count="8">
    <mergeCell ref="C29:D29"/>
    <mergeCell ref="F6:H6"/>
    <mergeCell ref="F1:H1"/>
    <mergeCell ref="C14:D14"/>
    <mergeCell ref="C24:C26"/>
    <mergeCell ref="C4:K4"/>
    <mergeCell ref="K7:K9"/>
    <mergeCell ref="K11:K13"/>
  </mergeCells>
  <pageMargins left="0.7" right="0.7" top="0.75" bottom="0.75" header="0.3" footer="0.3"/>
  <pageSetup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O42"/>
  <sheetViews>
    <sheetView zoomScale="70" zoomScaleNormal="70" workbookViewId="0">
      <pane ySplit="1" topLeftCell="A17" activePane="bottomLeft" state="frozen"/>
      <selection pane="bottomLeft"/>
    </sheetView>
  </sheetViews>
  <sheetFormatPr baseColWidth="10" defaultColWidth="11.42578125" defaultRowHeight="15" x14ac:dyDescent="0.25"/>
  <cols>
    <col min="1" max="1" width="11.42578125" style="1"/>
    <col min="2" max="2" width="3" style="1" customWidth="1"/>
    <col min="3" max="3" width="60.7109375" style="1" customWidth="1"/>
    <col min="4" max="4" width="5" style="1" customWidth="1"/>
    <col min="5" max="5" width="3.85546875" style="1" customWidth="1"/>
    <col min="6" max="6" width="11.42578125" style="1"/>
    <col min="7" max="7" width="20.42578125" style="1" customWidth="1"/>
    <col min="8" max="8" width="24.28515625" style="1" bestFit="1" customWidth="1"/>
    <col min="9" max="9" width="16.7109375" style="1" bestFit="1" customWidth="1"/>
    <col min="10" max="11" width="20.28515625" style="1" bestFit="1" customWidth="1"/>
    <col min="12" max="12" width="6.28515625" style="1" customWidth="1"/>
    <col min="13" max="13" width="34.140625" style="1" customWidth="1"/>
    <col min="14" max="14" width="28.42578125" style="1" customWidth="1"/>
    <col min="15" max="16384" width="11.42578125" style="1"/>
  </cols>
  <sheetData>
    <row r="1" spans="1:15" s="654" customFormat="1" ht="58.5" customHeight="1" x14ac:dyDescent="0.25">
      <c r="A1" s="655"/>
      <c r="B1" s="655"/>
      <c r="C1" s="655"/>
      <c r="D1" s="655"/>
      <c r="E1" s="655"/>
      <c r="F1" s="657" t="s">
        <v>12</v>
      </c>
      <c r="G1" s="658"/>
      <c r="H1" s="658"/>
      <c r="I1" s="655"/>
      <c r="J1" s="655"/>
      <c r="K1" s="655"/>
      <c r="L1" s="655"/>
      <c r="M1" s="655"/>
      <c r="N1" s="655"/>
      <c r="O1" s="655"/>
    </row>
    <row r="2" spans="1:15" ht="15.75" thickBot="1" x14ac:dyDescent="0.3"/>
    <row r="3" spans="1:15" ht="21.75" thickBot="1" x14ac:dyDescent="0.4">
      <c r="C3" s="933" t="s">
        <v>349</v>
      </c>
      <c r="D3" s="934"/>
      <c r="E3" s="934"/>
      <c r="F3" s="934"/>
      <c r="G3" s="934"/>
      <c r="H3" s="934"/>
      <c r="I3" s="934"/>
      <c r="J3" s="934"/>
      <c r="K3" s="934"/>
      <c r="L3" s="934"/>
      <c r="M3" s="934"/>
      <c r="N3" s="935"/>
    </row>
    <row r="4" spans="1:15" ht="15.75" thickBot="1" x14ac:dyDescent="0.3"/>
    <row r="5" spans="1:15" ht="15.75" customHeight="1" thickBot="1" x14ac:dyDescent="0.3">
      <c r="C5" s="309" t="s">
        <v>347</v>
      </c>
      <c r="F5" s="124"/>
      <c r="G5" s="124"/>
      <c r="H5" s="124"/>
      <c r="I5" s="926" t="s">
        <v>35</v>
      </c>
      <c r="J5" s="927"/>
      <c r="K5" s="928"/>
    </row>
    <row r="6" spans="1:15" x14ac:dyDescent="0.25">
      <c r="C6" s="911" t="s">
        <v>342</v>
      </c>
      <c r="H6" s="124"/>
      <c r="I6" s="566">
        <v>2019</v>
      </c>
      <c r="J6" s="566">
        <v>2020</v>
      </c>
      <c r="K6" s="566">
        <v>2021</v>
      </c>
    </row>
    <row r="7" spans="1:15" x14ac:dyDescent="0.25">
      <c r="C7" s="909"/>
      <c r="H7" s="124"/>
      <c r="I7" s="561">
        <f>'Escenario 3'!F8</f>
        <v>4.9599999999999998E-2</v>
      </c>
      <c r="J7" s="561">
        <f>'Escenario 3'!G8</f>
        <v>0.1078904648</v>
      </c>
      <c r="K7" s="561">
        <f>'Escenario 3'!H8</f>
        <v>0.17066814759999999</v>
      </c>
    </row>
    <row r="8" spans="1:15" ht="15.75" thickBot="1" x14ac:dyDescent="0.3">
      <c r="C8" s="910"/>
      <c r="H8" s="572" t="s">
        <v>331</v>
      </c>
      <c r="I8" s="583">
        <f>'Escenario 3'!F9</f>
        <v>301216832</v>
      </c>
      <c r="J8" s="583">
        <f>'Escenario 3'!G9</f>
        <v>655210161.49321604</v>
      </c>
      <c r="K8" s="583">
        <f>'Escenario 3'!H9</f>
        <v>1036454006.9229919</v>
      </c>
    </row>
    <row r="9" spans="1:15" ht="15.75" thickBot="1" x14ac:dyDescent="0.3">
      <c r="C9" s="309" t="s">
        <v>288</v>
      </c>
      <c r="F9" s="124"/>
      <c r="G9" s="124"/>
      <c r="H9" s="572" t="s">
        <v>268</v>
      </c>
      <c r="I9" s="562">
        <f>'Escenario 3'!F10</f>
        <v>2343935.7000000002</v>
      </c>
      <c r="J9" s="562">
        <f>'Escenario 3'!G10</f>
        <v>2614351.9749999996</v>
      </c>
      <c r="K9" s="562">
        <f>'Escenario 3'!H10</f>
        <v>2971977.4835000001</v>
      </c>
    </row>
    <row r="10" spans="1:15" x14ac:dyDescent="0.25">
      <c r="C10" s="911" t="s">
        <v>343</v>
      </c>
      <c r="F10" s="124"/>
      <c r="G10" s="124"/>
      <c r="H10" s="572" t="s">
        <v>223</v>
      </c>
      <c r="I10" s="562" t="e">
        <f>'Escenario 3'!F11</f>
        <v>#REF!</v>
      </c>
      <c r="J10" s="562">
        <f>'Escenario 3'!G11</f>
        <v>17694195.824999999</v>
      </c>
      <c r="K10" s="562">
        <f>'Escenario 3'!H11</f>
        <v>29793383.600000001</v>
      </c>
    </row>
    <row r="11" spans="1:15" x14ac:dyDescent="0.25">
      <c r="C11" s="909"/>
      <c r="F11" s="124"/>
      <c r="G11" s="124"/>
      <c r="H11" s="572" t="s">
        <v>329</v>
      </c>
      <c r="I11" s="562">
        <f>'Escenario 3'!F12</f>
        <v>7341662.4450000012</v>
      </c>
      <c r="J11" s="562">
        <f>'Escenario 3'!G12</f>
        <v>8446303.9266666677</v>
      </c>
      <c r="K11" s="562">
        <f>'Escenario 3'!H12</f>
        <v>10262133.115833335</v>
      </c>
    </row>
    <row r="12" spans="1:15" ht="15.75" thickBot="1" x14ac:dyDescent="0.3">
      <c r="C12" s="910"/>
      <c r="F12" s="124"/>
      <c r="G12" s="124"/>
      <c r="H12" s="124"/>
      <c r="I12" s="124"/>
      <c r="J12" s="124"/>
      <c r="K12" s="124"/>
    </row>
    <row r="13" spans="1:15" ht="15.75" thickBot="1" x14ac:dyDescent="0.3">
      <c r="C13" s="309" t="s">
        <v>289</v>
      </c>
      <c r="H13" s="124"/>
      <c r="I13" s="582" t="s">
        <v>253</v>
      </c>
      <c r="J13" s="559"/>
      <c r="K13" s="560"/>
    </row>
    <row r="14" spans="1:15" ht="19.5" customHeight="1" thickBot="1" x14ac:dyDescent="0.3">
      <c r="C14" s="587" t="s">
        <v>344</v>
      </c>
      <c r="H14" s="124"/>
      <c r="I14" s="344">
        <v>2019</v>
      </c>
      <c r="J14" s="344">
        <v>2020</v>
      </c>
      <c r="K14" s="344">
        <v>2021</v>
      </c>
    </row>
    <row r="15" spans="1:15" x14ac:dyDescent="0.25">
      <c r="H15" s="584"/>
      <c r="I15" s="562">
        <f>'Escenario 3'!F16</f>
        <v>141277.33333333334</v>
      </c>
      <c r="J15" s="562">
        <f>'Escenario 3'!G16</f>
        <v>147660.56666666665</v>
      </c>
      <c r="K15" s="562">
        <f>'Escenario 3'!H16</f>
        <v>162884.43333333335</v>
      </c>
    </row>
    <row r="16" spans="1:15" ht="15.75" thickBot="1" x14ac:dyDescent="0.3">
      <c r="C16" s="124"/>
      <c r="F16" s="124"/>
      <c r="G16" s="124"/>
      <c r="H16" s="584"/>
      <c r="I16" s="42"/>
      <c r="J16" s="42"/>
      <c r="K16" s="42"/>
    </row>
    <row r="17" spans="3:14" ht="15.75" thickBot="1" x14ac:dyDescent="0.3">
      <c r="C17" s="650" t="s">
        <v>348</v>
      </c>
      <c r="F17" s="124"/>
      <c r="G17" s="124"/>
      <c r="H17" s="582" t="s">
        <v>227</v>
      </c>
      <c r="I17" s="559"/>
      <c r="J17" s="559"/>
      <c r="K17" s="560"/>
    </row>
    <row r="18" spans="3:14" ht="15" customHeight="1" x14ac:dyDescent="0.25">
      <c r="C18" s="938" t="s">
        <v>357</v>
      </c>
      <c r="F18" s="124"/>
      <c r="G18" s="124"/>
      <c r="H18" s="566" t="s">
        <v>228</v>
      </c>
      <c r="I18" s="566">
        <v>2019</v>
      </c>
      <c r="J18" s="566">
        <v>2020</v>
      </c>
      <c r="K18" s="566">
        <v>2021</v>
      </c>
    </row>
    <row r="19" spans="3:14" ht="30" customHeight="1" x14ac:dyDescent="0.25">
      <c r="C19" s="939"/>
      <c r="F19" s="124"/>
      <c r="G19" s="124"/>
      <c r="H19" s="562">
        <f>'Escenario 3'!E20</f>
        <v>2297572</v>
      </c>
      <c r="I19" s="562">
        <f>'Escenario 3'!F20</f>
        <v>22999</v>
      </c>
      <c r="J19" s="562">
        <f>'Escenario 3'!G20</f>
        <v>70262</v>
      </c>
      <c r="K19" s="562">
        <f>'Escenario 3'!H20</f>
        <v>1306257</v>
      </c>
    </row>
    <row r="20" spans="3:14" x14ac:dyDescent="0.25">
      <c r="C20" s="939"/>
      <c r="F20" s="124"/>
      <c r="G20" s="124"/>
      <c r="H20" s="124"/>
      <c r="I20" s="124"/>
      <c r="J20" s="124"/>
      <c r="K20" s="124"/>
    </row>
    <row r="21" spans="3:14" x14ac:dyDescent="0.25">
      <c r="C21" s="939"/>
      <c r="F21" s="124"/>
      <c r="G21" s="124"/>
      <c r="H21" s="569" t="s">
        <v>282</v>
      </c>
      <c r="I21" s="569">
        <v>2019</v>
      </c>
      <c r="J21" s="569">
        <v>2020</v>
      </c>
      <c r="K21" s="569">
        <v>2021</v>
      </c>
      <c r="M21" s="915" t="s">
        <v>351</v>
      </c>
      <c r="N21" s="916"/>
    </row>
    <row r="22" spans="3:14" x14ac:dyDescent="0.25">
      <c r="C22" s="939"/>
      <c r="F22" s="570" t="s">
        <v>39</v>
      </c>
      <c r="G22" s="571"/>
      <c r="H22" s="575" t="s">
        <v>269</v>
      </c>
      <c r="I22" s="576">
        <f>I8</f>
        <v>301216832</v>
      </c>
      <c r="J22" s="638">
        <f>J8*M23</f>
        <v>589689145.34389448</v>
      </c>
      <c r="K22" s="638">
        <f>K8*N23</f>
        <v>953537686.36915255</v>
      </c>
      <c r="M22" s="566">
        <v>2020</v>
      </c>
      <c r="N22" s="566">
        <v>2021</v>
      </c>
    </row>
    <row r="23" spans="3:14" x14ac:dyDescent="0.25">
      <c r="C23" s="939"/>
      <c r="F23" s="919" t="s">
        <v>270</v>
      </c>
      <c r="G23" s="572" t="s">
        <v>326</v>
      </c>
      <c r="H23" s="575" t="s">
        <v>269</v>
      </c>
      <c r="I23" s="576">
        <f>I9</f>
        <v>2343935.7000000002</v>
      </c>
      <c r="J23" s="576">
        <f>J9</f>
        <v>2614351.9749999996</v>
      </c>
      <c r="K23" s="576">
        <f>K9</f>
        <v>2971977.4835000001</v>
      </c>
      <c r="M23" s="639">
        <v>0.9</v>
      </c>
      <c r="N23" s="639">
        <v>0.92</v>
      </c>
    </row>
    <row r="24" spans="3:14" x14ac:dyDescent="0.25">
      <c r="C24" s="939"/>
      <c r="F24" s="920"/>
      <c r="G24" s="572" t="s">
        <v>327</v>
      </c>
      <c r="H24" s="575" t="s">
        <v>269</v>
      </c>
      <c r="I24" s="576" t="e">
        <f>I10</f>
        <v>#REF!</v>
      </c>
      <c r="J24" s="638">
        <f>J10*M23</f>
        <v>15924776.2425</v>
      </c>
      <c r="K24" s="638">
        <f>K10*N23</f>
        <v>27409912.912000004</v>
      </c>
    </row>
    <row r="25" spans="3:14" x14ac:dyDescent="0.25">
      <c r="C25" s="939"/>
      <c r="F25" s="921"/>
      <c r="G25" s="572" t="s">
        <v>328</v>
      </c>
      <c r="H25" s="575" t="s">
        <v>269</v>
      </c>
      <c r="I25" s="576">
        <f>I11</f>
        <v>7341662.4450000012</v>
      </c>
      <c r="J25" s="652">
        <f>J11-N30</f>
        <v>7896645.1166666672</v>
      </c>
      <c r="K25" s="653">
        <f>K11-N31</f>
        <v>8465054.0258333348</v>
      </c>
    </row>
    <row r="26" spans="3:14" x14ac:dyDescent="0.25">
      <c r="C26" s="939"/>
      <c r="F26" s="573" t="s">
        <v>271</v>
      </c>
      <c r="G26" s="574"/>
      <c r="H26" s="578" t="s">
        <v>269</v>
      </c>
      <c r="I26" s="579" t="e">
        <f>I22-I23-I24-I25</f>
        <v>#REF!</v>
      </c>
      <c r="J26" s="579">
        <f>J22-J23-J24-J25</f>
        <v>563253372.00972784</v>
      </c>
      <c r="K26" s="579">
        <f>K22-K23-K24-K25</f>
        <v>914690741.94781911</v>
      </c>
    </row>
    <row r="27" spans="3:14" x14ac:dyDescent="0.25">
      <c r="C27" s="939"/>
      <c r="F27" s="573" t="s">
        <v>272</v>
      </c>
      <c r="G27" s="574"/>
      <c r="H27" s="265" t="s">
        <v>269</v>
      </c>
      <c r="I27" s="576">
        <f>I22*0.03</f>
        <v>9036504.959999999</v>
      </c>
      <c r="J27" s="576">
        <f>J22*0.03</f>
        <v>17690674.360316835</v>
      </c>
      <c r="K27" s="576">
        <f>K22*0.03</f>
        <v>28606130.591074575</v>
      </c>
    </row>
    <row r="28" spans="3:14" x14ac:dyDescent="0.25">
      <c r="C28" s="939"/>
      <c r="F28" s="906" t="s">
        <v>273</v>
      </c>
      <c r="G28" s="907"/>
      <c r="H28" s="265"/>
      <c r="I28" s="576" t="e">
        <f>I26-I27</f>
        <v>#REF!</v>
      </c>
      <c r="J28" s="576">
        <f>J26-J27-J15</f>
        <v>545415037.08274424</v>
      </c>
      <c r="K28" s="576">
        <f>K26-K27-K15</f>
        <v>885921726.92341125</v>
      </c>
      <c r="M28" s="915" t="s">
        <v>352</v>
      </c>
      <c r="N28" s="916"/>
    </row>
    <row r="29" spans="3:14" x14ac:dyDescent="0.25">
      <c r="C29" s="939"/>
      <c r="F29" s="573" t="s">
        <v>274</v>
      </c>
      <c r="G29" s="574"/>
      <c r="H29" s="265" t="s">
        <v>269</v>
      </c>
      <c r="I29" s="576">
        <v>0</v>
      </c>
      <c r="J29" s="576">
        <v>0</v>
      </c>
      <c r="K29" s="576">
        <f>0.35*J28</f>
        <v>190895262.97896048</v>
      </c>
      <c r="M29" s="647" t="s">
        <v>353</v>
      </c>
      <c r="N29" s="651">
        <v>1234590</v>
      </c>
    </row>
    <row r="30" spans="3:14" x14ac:dyDescent="0.25">
      <c r="C30" s="939"/>
      <c r="F30" s="573" t="s">
        <v>275</v>
      </c>
      <c r="G30" s="574"/>
      <c r="H30" s="578" t="s">
        <v>269</v>
      </c>
      <c r="I30" s="579" t="e">
        <f>I26-I27-I29</f>
        <v>#REF!</v>
      </c>
      <c r="J30" s="579">
        <f>J26-J27-J29</f>
        <v>545562697.64941096</v>
      </c>
      <c r="K30" s="579">
        <f>K26-K27-K29</f>
        <v>695189348.37778401</v>
      </c>
      <c r="M30" s="648" t="s">
        <v>355</v>
      </c>
      <c r="N30" s="652">
        <f>549658.81</f>
        <v>549658.81000000006</v>
      </c>
    </row>
    <row r="31" spans="3:14" x14ac:dyDescent="0.25">
      <c r="C31" s="939"/>
      <c r="F31" s="573" t="s">
        <v>276</v>
      </c>
      <c r="G31" s="574"/>
      <c r="H31" s="576">
        <f>-H19</f>
        <v>-2297572</v>
      </c>
      <c r="I31" s="576">
        <f>-I19</f>
        <v>-22999</v>
      </c>
      <c r="J31" s="576">
        <f>-J19</f>
        <v>-70262</v>
      </c>
      <c r="K31" s="651">
        <f>-K19+N29</f>
        <v>-71667</v>
      </c>
      <c r="M31" s="648" t="s">
        <v>354</v>
      </c>
      <c r="N31" s="653">
        <f>634277.41+824488.21+338313.47</f>
        <v>1797079.09</v>
      </c>
    </row>
    <row r="32" spans="3:14" x14ac:dyDescent="0.25">
      <c r="C32" s="939"/>
      <c r="F32" s="573" t="s">
        <v>277</v>
      </c>
      <c r="G32" s="574"/>
      <c r="H32" s="579">
        <f>H31</f>
        <v>-2297572</v>
      </c>
      <c r="I32" s="579" t="e">
        <f>I30+I31</f>
        <v>#REF!</v>
      </c>
      <c r="J32" s="579">
        <f>J30+J31</f>
        <v>545492435.64941096</v>
      </c>
      <c r="K32" s="579">
        <f>K30+K31</f>
        <v>695117681.37778401</v>
      </c>
    </row>
    <row r="33" spans="3:14" ht="15.75" thickBot="1" x14ac:dyDescent="0.3">
      <c r="C33" s="939"/>
      <c r="F33" s="124"/>
      <c r="G33" s="124"/>
      <c r="H33" s="124"/>
      <c r="I33" s="124"/>
      <c r="J33" s="124"/>
      <c r="K33" s="124"/>
      <c r="N33" s="649"/>
    </row>
    <row r="34" spans="3:14" ht="15.75" thickBot="1" x14ac:dyDescent="0.3">
      <c r="C34" s="939"/>
      <c r="F34" s="124"/>
      <c r="G34" s="936" t="s">
        <v>300</v>
      </c>
      <c r="H34" s="937"/>
      <c r="I34" s="124"/>
      <c r="J34" s="936" t="s">
        <v>350</v>
      </c>
      <c r="K34" s="937"/>
    </row>
    <row r="35" spans="3:14" x14ac:dyDescent="0.25">
      <c r="C35" s="939"/>
      <c r="F35" s="124"/>
      <c r="G35" s="641" t="s">
        <v>278</v>
      </c>
      <c r="H35" s="642">
        <v>0.62</v>
      </c>
      <c r="I35" s="124"/>
      <c r="J35" s="641" t="s">
        <v>278</v>
      </c>
      <c r="K35" s="642">
        <v>0.62</v>
      </c>
    </row>
    <row r="36" spans="3:14" x14ac:dyDescent="0.25">
      <c r="C36" s="939"/>
      <c r="F36" s="124"/>
      <c r="G36" s="643" t="s">
        <v>279</v>
      </c>
      <c r="H36" s="644"/>
      <c r="I36" s="124"/>
      <c r="J36" s="643" t="s">
        <v>279</v>
      </c>
      <c r="K36" s="644"/>
    </row>
    <row r="37" spans="3:14" ht="15.75" thickBot="1" x14ac:dyDescent="0.3">
      <c r="C37" s="939"/>
      <c r="G37" s="645" t="s">
        <v>280</v>
      </c>
      <c r="H37" s="646"/>
      <c r="J37" s="645" t="s">
        <v>280</v>
      </c>
      <c r="K37" s="646"/>
    </row>
    <row r="38" spans="3:14" x14ac:dyDescent="0.25">
      <c r="C38" s="939"/>
    </row>
    <row r="39" spans="3:14" ht="15.75" thickBot="1" x14ac:dyDescent="0.3">
      <c r="C39" s="940"/>
    </row>
    <row r="40" spans="3:14" ht="15" customHeight="1" x14ac:dyDescent="0.25">
      <c r="G40" s="941" t="s">
        <v>145</v>
      </c>
      <c r="H40" s="942"/>
      <c r="I40" s="942"/>
      <c r="J40" s="942"/>
      <c r="K40" s="943"/>
    </row>
    <row r="41" spans="3:14" ht="3" customHeight="1" thickBot="1" x14ac:dyDescent="0.3">
      <c r="G41" s="944"/>
      <c r="H41" s="945"/>
      <c r="I41" s="945"/>
      <c r="J41" s="945"/>
      <c r="K41" s="946"/>
    </row>
    <row r="42" spans="3:14" ht="69.75" customHeight="1" thickBot="1" x14ac:dyDescent="0.3">
      <c r="G42" s="930" t="s">
        <v>358</v>
      </c>
      <c r="H42" s="931"/>
      <c r="I42" s="931"/>
      <c r="J42" s="931"/>
      <c r="K42" s="932"/>
    </row>
  </sheetData>
  <mergeCells count="13">
    <mergeCell ref="G42:K42"/>
    <mergeCell ref="C3:N3"/>
    <mergeCell ref="G34:H34"/>
    <mergeCell ref="J34:K34"/>
    <mergeCell ref="M28:N28"/>
    <mergeCell ref="C18:C39"/>
    <mergeCell ref="G40:K41"/>
    <mergeCell ref="C6:C8"/>
    <mergeCell ref="C10:C12"/>
    <mergeCell ref="I5:K5"/>
    <mergeCell ref="M21:N21"/>
    <mergeCell ref="F23:F25"/>
    <mergeCell ref="F28:G28"/>
  </mergeCells>
  <pageMargins left="0.7" right="0.7" top="0.75" bottom="0.75" header="0.3" footer="0.3"/>
  <pageSetup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J19"/>
  <sheetViews>
    <sheetView workbookViewId="0">
      <selection activeCell="D6" sqref="D6"/>
    </sheetView>
  </sheetViews>
  <sheetFormatPr baseColWidth="10" defaultRowHeight="15" x14ac:dyDescent="0.25"/>
  <cols>
    <col min="1" max="1" width="22" bestFit="1" customWidth="1"/>
    <col min="2" max="2" width="49.28515625" customWidth="1"/>
    <col min="3" max="3" width="23" bestFit="1" customWidth="1"/>
    <col min="4" max="4" width="29.5703125" customWidth="1"/>
    <col min="5" max="5" width="15.5703125" bestFit="1" customWidth="1"/>
  </cols>
  <sheetData>
    <row r="1" spans="1:10" ht="33.75" customHeight="1" x14ac:dyDescent="0.25">
      <c r="B1" s="21"/>
      <c r="C1" s="17" t="s">
        <v>17</v>
      </c>
      <c r="D1" s="9"/>
      <c r="E1" s="6"/>
    </row>
    <row r="2" spans="1:10" x14ac:dyDescent="0.25">
      <c r="B2" s="15" t="s">
        <v>16</v>
      </c>
      <c r="C2" s="22">
        <v>3072029</v>
      </c>
      <c r="D2" s="8"/>
      <c r="E2" s="7"/>
      <c r="H2" s="10">
        <v>2019</v>
      </c>
      <c r="I2" s="11">
        <v>3072029</v>
      </c>
      <c r="J2" s="12"/>
    </row>
    <row r="3" spans="1:10" x14ac:dyDescent="0.25">
      <c r="B3" s="20" t="s">
        <v>18</v>
      </c>
      <c r="C3" s="16">
        <v>44938712</v>
      </c>
      <c r="D3" s="8"/>
      <c r="E3" s="7"/>
      <c r="H3" s="13">
        <v>2019</v>
      </c>
      <c r="I3" s="14">
        <v>17370144</v>
      </c>
      <c r="J3" s="12"/>
    </row>
    <row r="4" spans="1:10" x14ac:dyDescent="0.25">
      <c r="B4" s="15" t="s">
        <v>24</v>
      </c>
      <c r="C4" s="16">
        <f>C3*32/100</f>
        <v>14380387.84</v>
      </c>
      <c r="E4" s="7"/>
      <c r="H4" s="10">
        <v>2019</v>
      </c>
      <c r="I4" s="11">
        <v>44938712</v>
      </c>
      <c r="J4" s="12">
        <f>I4*32/100</f>
        <v>14380387.84</v>
      </c>
    </row>
    <row r="5" spans="1:10" x14ac:dyDescent="0.25">
      <c r="B5" s="18" t="s">
        <v>19</v>
      </c>
      <c r="C5" s="19">
        <f>C4+C2</f>
        <v>17452416.84</v>
      </c>
    </row>
    <row r="6" spans="1:10" x14ac:dyDescent="0.25">
      <c r="B6" s="6"/>
    </row>
    <row r="7" spans="1:10" x14ac:dyDescent="0.25">
      <c r="A7" t="s">
        <v>21</v>
      </c>
      <c r="B7" s="6" t="s">
        <v>20</v>
      </c>
    </row>
    <row r="8" spans="1:10" x14ac:dyDescent="0.25">
      <c r="A8" t="s">
        <v>23</v>
      </c>
      <c r="B8" s="6" t="s">
        <v>22</v>
      </c>
    </row>
    <row r="11" spans="1:10" ht="15.75" thickBot="1" x14ac:dyDescent="0.3">
      <c r="B11" s="1"/>
      <c r="C11" s="1"/>
      <c r="D11" s="1"/>
      <c r="E11" s="1"/>
      <c r="F11" s="1"/>
      <c r="G11" s="1"/>
      <c r="H11" s="1"/>
      <c r="I11" s="1"/>
      <c r="J11" s="1"/>
    </row>
    <row r="12" spans="1:10" ht="27" thickBot="1" x14ac:dyDescent="0.45">
      <c r="B12" s="663" t="s">
        <v>15</v>
      </c>
      <c r="C12" s="664"/>
      <c r="D12" s="664"/>
      <c r="E12" s="664"/>
      <c r="F12" s="664"/>
      <c r="G12" s="664"/>
      <c r="H12" s="664"/>
      <c r="I12" s="664"/>
      <c r="J12" s="665"/>
    </row>
    <row r="13" spans="1:10" ht="18.75" x14ac:dyDescent="0.25">
      <c r="B13" s="666" t="s">
        <v>34</v>
      </c>
      <c r="C13" s="667"/>
      <c r="D13" s="667"/>
      <c r="E13" s="667"/>
      <c r="F13" s="667"/>
      <c r="G13" s="667"/>
      <c r="H13" s="667"/>
      <c r="I13" s="667"/>
      <c r="J13" s="668"/>
    </row>
    <row r="14" spans="1:10" x14ac:dyDescent="0.25">
      <c r="B14" s="1"/>
      <c r="C14" s="1"/>
      <c r="D14" s="1"/>
      <c r="E14" s="1"/>
      <c r="F14" s="1"/>
      <c r="G14" s="1"/>
      <c r="H14" s="1"/>
      <c r="I14" s="1"/>
      <c r="J14" s="1"/>
    </row>
    <row r="15" spans="1:10" x14ac:dyDescent="0.25">
      <c r="B15" s="21"/>
      <c r="C15" s="24" t="s">
        <v>26</v>
      </c>
      <c r="D15" s="1"/>
      <c r="E15" s="1"/>
      <c r="F15" s="1"/>
      <c r="G15" s="1"/>
      <c r="H15" s="1"/>
      <c r="I15" s="1"/>
      <c r="J15" s="1"/>
    </row>
    <row r="16" spans="1:10" x14ac:dyDescent="0.25">
      <c r="B16" s="36" t="s">
        <v>16</v>
      </c>
      <c r="C16" s="25">
        <v>3072029</v>
      </c>
      <c r="D16" s="1"/>
      <c r="E16" s="1"/>
      <c r="F16" s="1"/>
      <c r="G16" s="1"/>
      <c r="H16" s="1"/>
      <c r="I16" s="1"/>
      <c r="J16" s="1"/>
    </row>
    <row r="17" spans="2:10" x14ac:dyDescent="0.25">
      <c r="B17" s="37" t="s">
        <v>18</v>
      </c>
      <c r="C17" s="26">
        <v>44938712</v>
      </c>
      <c r="D17" s="1"/>
      <c r="E17" s="1"/>
      <c r="F17" s="1"/>
      <c r="G17" s="1"/>
      <c r="H17" s="1"/>
      <c r="I17" s="1"/>
      <c r="J17" s="1"/>
    </row>
    <row r="18" spans="2:10" x14ac:dyDescent="0.25">
      <c r="B18" s="36" t="s">
        <v>24</v>
      </c>
      <c r="C18" s="26">
        <f>ROUND(C17*32/100,0)</f>
        <v>14380388</v>
      </c>
      <c r="D18" s="1"/>
      <c r="E18" s="1"/>
      <c r="F18" s="1"/>
      <c r="G18" s="1"/>
      <c r="H18" s="1"/>
      <c r="I18" s="1"/>
      <c r="J18" s="1"/>
    </row>
    <row r="19" spans="2:10" x14ac:dyDescent="0.25">
      <c r="B19" s="38" t="s">
        <v>27</v>
      </c>
      <c r="C19" s="27">
        <f>C18+C16</f>
        <v>17452417</v>
      </c>
      <c r="D19" s="1" t="s">
        <v>25</v>
      </c>
      <c r="E19" s="1"/>
      <c r="F19" s="1"/>
      <c r="G19" s="1"/>
      <c r="H19" s="1"/>
      <c r="I19" s="1"/>
      <c r="J19" s="1"/>
    </row>
  </sheetData>
  <mergeCells count="2">
    <mergeCell ref="B12:J12"/>
    <mergeCell ref="B13:J13"/>
  </mergeCells>
  <hyperlinks>
    <hyperlink ref="B7" r:id="rId1" xr:uid="{00000000-0004-0000-1200-000000000000}"/>
    <hyperlink ref="B8" r:id="rId2" xr:uid="{00000000-0004-0000-1200-000001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2"/>
  <dimension ref="C1:F18"/>
  <sheetViews>
    <sheetView workbookViewId="0">
      <selection activeCell="C9" sqref="C9"/>
    </sheetView>
  </sheetViews>
  <sheetFormatPr baseColWidth="10" defaultColWidth="11.42578125" defaultRowHeight="15" x14ac:dyDescent="0.25"/>
  <cols>
    <col min="1" max="1" width="11.42578125" style="654"/>
    <col min="2" max="2" width="13" style="654" bestFit="1" customWidth="1"/>
    <col min="3" max="3" width="11.42578125" style="654"/>
    <col min="4" max="4" width="35.5703125" style="654" customWidth="1"/>
    <col min="5" max="16384" width="11.42578125" style="654"/>
  </cols>
  <sheetData>
    <row r="1" spans="3:6" ht="15.75" thickBot="1" x14ac:dyDescent="0.3">
      <c r="D1" s="951"/>
    </row>
    <row r="2" spans="3:6" ht="21.75" thickBot="1" x14ac:dyDescent="0.4">
      <c r="C2" s="950"/>
      <c r="D2" s="952" t="s">
        <v>14</v>
      </c>
    </row>
    <row r="3" spans="3:6" ht="15.75" thickBot="1" x14ac:dyDescent="0.3">
      <c r="D3" s="950"/>
    </row>
    <row r="4" spans="3:6" ht="18.75" x14ac:dyDescent="0.25">
      <c r="C4" s="950"/>
      <c r="D4" s="947" t="s">
        <v>1</v>
      </c>
    </row>
    <row r="5" spans="3:6" ht="18.75" x14ac:dyDescent="0.25">
      <c r="C5" s="950"/>
      <c r="D5" s="948" t="s">
        <v>2</v>
      </c>
    </row>
    <row r="6" spans="3:6" ht="18.75" x14ac:dyDescent="0.25">
      <c r="C6" s="950"/>
      <c r="D6" s="948" t="s">
        <v>3</v>
      </c>
    </row>
    <row r="7" spans="3:6" ht="18.75" x14ac:dyDescent="0.25">
      <c r="C7" s="950"/>
      <c r="D7" s="948" t="s">
        <v>4</v>
      </c>
    </row>
    <row r="8" spans="3:6" ht="18.75" x14ac:dyDescent="0.25">
      <c r="C8" s="950"/>
      <c r="D8" s="948" t="s">
        <v>5</v>
      </c>
      <c r="F8" s="1024"/>
    </row>
    <row r="9" spans="3:6" ht="18.75" x14ac:dyDescent="0.25">
      <c r="C9" s="950"/>
      <c r="D9" s="948" t="s">
        <v>6</v>
      </c>
    </row>
    <row r="10" spans="3:6" ht="18.75" x14ac:dyDescent="0.25">
      <c r="C10" s="950"/>
      <c r="D10" s="948" t="s">
        <v>7</v>
      </c>
    </row>
    <row r="11" spans="3:6" ht="18.75" x14ac:dyDescent="0.25">
      <c r="C11" s="950"/>
      <c r="D11" s="948" t="s">
        <v>8</v>
      </c>
    </row>
    <row r="12" spans="3:6" ht="18.75" x14ac:dyDescent="0.25">
      <c r="C12" s="950"/>
      <c r="D12" s="948" t="s">
        <v>9</v>
      </c>
    </row>
    <row r="13" spans="3:6" ht="18.75" x14ac:dyDescent="0.25">
      <c r="C13" s="950"/>
      <c r="D13" s="948" t="s">
        <v>10</v>
      </c>
    </row>
    <row r="14" spans="3:6" ht="18.75" x14ac:dyDescent="0.25">
      <c r="C14" s="950"/>
      <c r="D14" s="948" t="s">
        <v>11</v>
      </c>
    </row>
    <row r="15" spans="3:6" ht="18.75" x14ac:dyDescent="0.25">
      <c r="C15" s="950"/>
      <c r="D15" s="948" t="s">
        <v>324</v>
      </c>
    </row>
    <row r="16" spans="3:6" ht="18.75" x14ac:dyDescent="0.25">
      <c r="C16" s="950"/>
      <c r="D16" s="948" t="s">
        <v>294</v>
      </c>
    </row>
    <row r="17" spans="3:4" ht="18.75" x14ac:dyDescent="0.25">
      <c r="C17" s="950"/>
      <c r="D17" s="948" t="s">
        <v>300</v>
      </c>
    </row>
    <row r="18" spans="3:4" ht="19.5" thickBot="1" x14ac:dyDescent="0.3">
      <c r="C18" s="950"/>
      <c r="D18" s="949" t="s">
        <v>12</v>
      </c>
    </row>
  </sheetData>
  <hyperlinks>
    <hyperlink ref="D4" location="Hipótesis!A1" display="Hipótesis" xr:uid="{00000000-0004-0000-0100-000000000000}"/>
    <hyperlink ref="D5" location="'Proy. Ventas'!A1" display="Proyección de ventas" xr:uid="{00000000-0004-0000-0100-000001000000}"/>
    <hyperlink ref="D6" location="'Mod. Ingresos'!A1" display="Modelo de ingresos" xr:uid="{00000000-0004-0000-0100-000002000000}"/>
    <hyperlink ref="D7" location="'Costos Fijos'!A1" display="Estructura de costos fijos" xr:uid="{00000000-0004-0000-0100-000003000000}"/>
    <hyperlink ref="D8" location="'Costos Variables'!A1" display="Estructura de costos variables" xr:uid="{00000000-0004-0000-0100-000004000000}"/>
    <hyperlink ref="D9" location="'Costos RRHH'!A1" display="Estructura de costos de RRHH" xr:uid="{00000000-0004-0000-0100-000005000000}"/>
    <hyperlink ref="D10" location="'Mod. Egresos'!A1" display="Modelo de egresos" xr:uid="{00000000-0004-0000-0100-000006000000}"/>
    <hyperlink ref="D11" location="'Mod. Inversión'!A1" display="Modelo de inversión" xr:uid="{00000000-0004-0000-0100-000007000000}"/>
    <hyperlink ref="D12" location="Amortizaciones!A1" display="Amortizaciones" xr:uid="{00000000-0004-0000-0100-000008000000}"/>
    <hyperlink ref="D13" location="'Presupuesto financiero'!A1" display="Presupuesto Financiero" xr:uid="{00000000-0004-0000-0100-000009000000}"/>
    <hyperlink ref="D14" location="'Matriz Riesgo'!A1" display="Matriz de riesgos" xr:uid="{00000000-0004-0000-0100-00000A000000}"/>
    <hyperlink ref="D15" location="'Escenario 1'!A1" display="Escenario 1" xr:uid="{00000000-0004-0000-0100-00000B000000}"/>
    <hyperlink ref="D18" location="'Plan de Contingencia'!A1" display="Plan de contingencia" xr:uid="{00000000-0004-0000-0100-00000C000000}"/>
    <hyperlink ref="D16" location="'Escenario 2'!A1" display="Escenario 2" xr:uid="{00000000-0004-0000-0100-00000D000000}"/>
    <hyperlink ref="D17" location="'Escenario 3'!A1" display="Escenario 3" xr:uid="{00000000-0004-0000-0100-00000E000000}"/>
  </hyperlink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3"/>
  <dimension ref="A1:N57"/>
  <sheetViews>
    <sheetView zoomScale="80" zoomScaleNormal="80" workbookViewId="0">
      <pane ySplit="1" topLeftCell="A23" activePane="bottomLeft" state="frozen"/>
      <selection pane="bottomLeft" activeCell="C42" sqref="C42:F44"/>
    </sheetView>
  </sheetViews>
  <sheetFormatPr baseColWidth="10" defaultColWidth="11.42578125" defaultRowHeight="15" x14ac:dyDescent="0.25"/>
  <cols>
    <col min="1" max="1" width="11.42578125" style="1"/>
    <col min="2" max="2" width="33.28515625" style="1" customWidth="1"/>
    <col min="3" max="3" width="32.85546875" style="1" customWidth="1"/>
    <col min="4" max="4" width="29.28515625" style="1" customWidth="1"/>
    <col min="5" max="5" width="35.28515625" style="1" customWidth="1"/>
    <col min="6" max="6" width="19.28515625" style="1" customWidth="1"/>
    <col min="7" max="7" width="11.42578125" style="1"/>
    <col min="8" max="8" width="15.5703125" style="1" customWidth="1"/>
    <col min="9" max="13" width="11.42578125" style="1"/>
    <col min="14" max="14" width="8.85546875" style="1" customWidth="1"/>
    <col min="15" max="15" width="43.5703125" style="1" bestFit="1" customWidth="1"/>
    <col min="16" max="16384" width="11.42578125" style="1"/>
  </cols>
  <sheetData>
    <row r="1" spans="1:11" s="955" customFormat="1" ht="58.5" customHeight="1" thickBot="1" x14ac:dyDescent="0.3">
      <c r="A1" s="954"/>
      <c r="E1" s="956" t="s">
        <v>1</v>
      </c>
      <c r="F1" s="957"/>
      <c r="G1" s="957"/>
    </row>
    <row r="2" spans="1:11" ht="15.75" thickBot="1" x14ac:dyDescent="0.3">
      <c r="C2" s="5"/>
    </row>
    <row r="3" spans="1:11" ht="24.75" customHeight="1" thickBot="1" x14ac:dyDescent="0.45">
      <c r="B3" s="961" t="s">
        <v>96</v>
      </c>
      <c r="C3" s="962"/>
      <c r="D3" s="962"/>
      <c r="E3" s="962"/>
      <c r="F3" s="962"/>
      <c r="G3" s="962"/>
      <c r="H3" s="962"/>
      <c r="I3" s="962"/>
      <c r="J3" s="963"/>
    </row>
    <row r="4" spans="1:11" ht="165" customHeight="1" thickBot="1" x14ac:dyDescent="0.3">
      <c r="B4" s="964" t="s">
        <v>368</v>
      </c>
      <c r="C4" s="965"/>
      <c r="D4" s="965"/>
      <c r="E4" s="965"/>
      <c r="F4" s="965"/>
      <c r="G4" s="965"/>
      <c r="H4" s="965"/>
      <c r="I4" s="965"/>
      <c r="J4" s="966"/>
      <c r="K4" s="4"/>
    </row>
    <row r="6" spans="1:11" ht="15.75" thickBot="1" x14ac:dyDescent="0.3"/>
    <row r="7" spans="1:11" ht="27" thickBot="1" x14ac:dyDescent="0.45">
      <c r="B7" s="970" t="s">
        <v>97</v>
      </c>
      <c r="C7" s="971"/>
      <c r="D7" s="971"/>
      <c r="E7" s="971"/>
      <c r="F7" s="971"/>
      <c r="G7" s="971"/>
      <c r="H7" s="971"/>
      <c r="I7" s="971"/>
      <c r="J7" s="972"/>
    </row>
    <row r="8" spans="1:11" ht="73.5" customHeight="1" thickBot="1" x14ac:dyDescent="0.3">
      <c r="B8" s="967" t="s">
        <v>369</v>
      </c>
      <c r="C8" s="968"/>
      <c r="D8" s="968"/>
      <c r="E8" s="968"/>
      <c r="F8" s="968"/>
      <c r="G8" s="968"/>
      <c r="H8" s="968"/>
      <c r="I8" s="968"/>
      <c r="J8" s="969"/>
    </row>
    <row r="9" spans="1:11" ht="18.75" x14ac:dyDescent="0.25">
      <c r="B9" s="201"/>
      <c r="C9" s="201"/>
      <c r="D9" s="201"/>
      <c r="E9" s="201"/>
      <c r="F9" s="201"/>
      <c r="G9" s="201"/>
      <c r="H9" s="201"/>
      <c r="I9" s="201"/>
      <c r="J9" s="201"/>
    </row>
    <row r="10" spans="1:11" ht="19.5" thickBot="1" x14ac:dyDescent="0.3">
      <c r="B10" s="201"/>
      <c r="C10" s="201"/>
      <c r="D10" s="201"/>
      <c r="E10" s="201"/>
      <c r="F10" s="201"/>
      <c r="G10" s="201"/>
      <c r="H10" s="201"/>
      <c r="I10" s="201"/>
      <c r="J10" s="201"/>
    </row>
    <row r="11" spans="1:11" ht="18.75" x14ac:dyDescent="0.25">
      <c r="B11" s="993" t="s">
        <v>359</v>
      </c>
      <c r="C11" s="994" t="s">
        <v>360</v>
      </c>
      <c r="D11" s="995" t="s">
        <v>38</v>
      </c>
      <c r="E11" s="201"/>
      <c r="F11" s="201"/>
      <c r="G11" s="201"/>
      <c r="H11" s="201"/>
      <c r="I11" s="201"/>
      <c r="J11" s="201"/>
    </row>
    <row r="12" spans="1:11" ht="21" customHeight="1" thickBot="1" x14ac:dyDescent="0.3">
      <c r="B12" s="996">
        <v>1214584</v>
      </c>
      <c r="C12" s="997">
        <v>5000</v>
      </c>
      <c r="D12" s="998">
        <f>B12*C12</f>
        <v>6072920000</v>
      </c>
      <c r="E12" s="201"/>
      <c r="F12" s="201"/>
      <c r="G12" s="201"/>
      <c r="H12" s="201"/>
      <c r="I12" s="201"/>
      <c r="J12" s="201"/>
    </row>
    <row r="13" spans="1:11" ht="12" customHeight="1" x14ac:dyDescent="0.25">
      <c r="B13" s="201"/>
      <c r="C13" s="201"/>
      <c r="D13" s="201"/>
      <c r="E13" s="201"/>
      <c r="F13" s="201"/>
      <c r="G13" s="201"/>
      <c r="H13" s="201"/>
      <c r="I13" s="201"/>
      <c r="J13" s="201"/>
    </row>
    <row r="14" spans="1:11" ht="12.75" customHeight="1" thickBot="1" x14ac:dyDescent="0.3"/>
    <row r="15" spans="1:11" ht="27" thickBot="1" x14ac:dyDescent="0.45">
      <c r="B15" s="976" t="s">
        <v>98</v>
      </c>
      <c r="C15" s="977"/>
      <c r="D15" s="977"/>
      <c r="E15" s="977"/>
      <c r="F15" s="977"/>
      <c r="G15" s="977"/>
      <c r="H15" s="977"/>
      <c r="I15" s="977"/>
      <c r="J15" s="978"/>
    </row>
    <row r="16" spans="1:11" ht="43.5" customHeight="1" thickBot="1" x14ac:dyDescent="0.3">
      <c r="B16" s="973" t="s">
        <v>376</v>
      </c>
      <c r="C16" s="974"/>
      <c r="D16" s="974"/>
      <c r="E16" s="974"/>
      <c r="F16" s="974"/>
      <c r="G16" s="974"/>
      <c r="H16" s="974"/>
      <c r="I16" s="974"/>
      <c r="J16" s="975"/>
    </row>
    <row r="17" spans="2:14" ht="15.75" x14ac:dyDescent="0.25">
      <c r="B17" s="23"/>
      <c r="C17" s="23"/>
      <c r="D17" s="23"/>
      <c r="E17" s="23"/>
      <c r="F17" s="23"/>
      <c r="G17" s="23"/>
      <c r="H17" s="23"/>
      <c r="I17" s="23"/>
      <c r="J17" s="23"/>
      <c r="K17" s="23"/>
      <c r="L17" s="23"/>
      <c r="M17" s="23"/>
      <c r="N17" s="23"/>
    </row>
    <row r="18" spans="2:14" ht="15.75" x14ac:dyDescent="0.25">
      <c r="E18" s="23"/>
      <c r="F18" s="23"/>
      <c r="G18" s="23"/>
      <c r="H18" s="23"/>
      <c r="I18" s="23"/>
      <c r="J18" s="23"/>
      <c r="K18" s="23"/>
      <c r="L18" s="23"/>
      <c r="M18" s="23"/>
      <c r="N18" s="23"/>
    </row>
    <row r="19" spans="2:14" ht="15.75" x14ac:dyDescent="0.25">
      <c r="E19" s="23"/>
      <c r="F19" s="23"/>
      <c r="G19" s="23"/>
      <c r="H19" s="23"/>
      <c r="I19" s="23"/>
      <c r="J19" s="23"/>
      <c r="K19" s="23"/>
      <c r="L19" s="23"/>
      <c r="M19" s="23"/>
      <c r="N19" s="23"/>
    </row>
    <row r="20" spans="2:14" ht="15.75" x14ac:dyDescent="0.25">
      <c r="D20" s="23"/>
      <c r="E20" s="23"/>
      <c r="F20" s="23"/>
      <c r="G20" s="23"/>
      <c r="H20" s="23"/>
      <c r="I20" s="23"/>
      <c r="J20" s="23"/>
      <c r="K20" s="23"/>
      <c r="L20" s="23"/>
      <c r="M20" s="23"/>
      <c r="N20" s="23"/>
    </row>
    <row r="21" spans="2:14" ht="16.5" thickBot="1" x14ac:dyDescent="0.3">
      <c r="B21" s="23"/>
      <c r="C21" s="23"/>
      <c r="D21" s="23"/>
      <c r="E21" s="23"/>
      <c r="F21" s="23"/>
      <c r="G21" s="23"/>
      <c r="H21" s="23"/>
      <c r="I21" s="23"/>
      <c r="J21" s="23"/>
      <c r="K21" s="23"/>
      <c r="L21" s="23"/>
      <c r="M21" s="23"/>
      <c r="N21" s="23"/>
    </row>
    <row r="22" spans="2:14" ht="27" thickBot="1" x14ac:dyDescent="0.3">
      <c r="B22" s="980" t="s">
        <v>72</v>
      </c>
      <c r="C22" s="981"/>
      <c r="D22" s="982"/>
      <c r="E22" s="23"/>
      <c r="F22" s="23"/>
      <c r="G22" s="23"/>
      <c r="H22" s="23"/>
      <c r="I22" s="23"/>
      <c r="J22" s="23"/>
      <c r="K22" s="23"/>
      <c r="L22" s="23"/>
      <c r="M22" s="23"/>
      <c r="N22" s="23"/>
    </row>
    <row r="23" spans="2:14" ht="19.5" thickBot="1" x14ac:dyDescent="0.3">
      <c r="B23" s="990" t="s">
        <v>36</v>
      </c>
      <c r="C23" s="991" t="s">
        <v>37</v>
      </c>
      <c r="D23" s="992" t="s">
        <v>19</v>
      </c>
      <c r="E23" s="23"/>
      <c r="F23" s="23"/>
      <c r="G23" s="23"/>
      <c r="H23" s="23"/>
      <c r="I23" s="23"/>
      <c r="J23" s="23"/>
      <c r="K23" s="23"/>
      <c r="L23" s="23"/>
      <c r="M23" s="23"/>
      <c r="N23" s="23"/>
    </row>
    <row r="24" spans="2:14" ht="15.75" x14ac:dyDescent="0.25">
      <c r="B24" s="983">
        <v>2019</v>
      </c>
      <c r="C24" s="979">
        <v>4.9599999999999998E-2</v>
      </c>
      <c r="D24" s="984">
        <f>C24*$D$12</f>
        <v>301216832</v>
      </c>
      <c r="E24" s="23"/>
      <c r="F24" s="23"/>
      <c r="G24" s="23"/>
      <c r="H24" s="23"/>
      <c r="I24" s="23"/>
      <c r="J24" s="23"/>
      <c r="K24" s="23"/>
      <c r="L24" s="23"/>
      <c r="M24" s="23"/>
      <c r="N24" s="23"/>
    </row>
    <row r="25" spans="2:14" ht="15.75" x14ac:dyDescent="0.25">
      <c r="B25" s="985">
        <v>2020</v>
      </c>
      <c r="C25" s="28">
        <v>0.1078904648</v>
      </c>
      <c r="D25" s="986">
        <f t="shared" ref="D25:D26" si="0">C25*$D$12</f>
        <v>655210161.49321604</v>
      </c>
      <c r="E25" s="23"/>
      <c r="F25" s="23"/>
      <c r="G25" s="23"/>
      <c r="H25" s="23"/>
      <c r="I25" s="23"/>
      <c r="J25" s="23"/>
      <c r="K25" s="23"/>
      <c r="L25" s="23"/>
      <c r="M25" s="23"/>
      <c r="N25" s="23"/>
    </row>
    <row r="26" spans="2:14" ht="16.5" thickBot="1" x14ac:dyDescent="0.3">
      <c r="B26" s="987">
        <v>2021</v>
      </c>
      <c r="C26" s="988">
        <v>0.17066814759999999</v>
      </c>
      <c r="D26" s="989">
        <f t="shared" si="0"/>
        <v>1036454006.9229919</v>
      </c>
      <c r="E26" s="23"/>
      <c r="F26" s="23"/>
      <c r="G26" s="23"/>
      <c r="H26" s="23"/>
      <c r="I26" s="23"/>
      <c r="J26" s="23"/>
      <c r="K26" s="23"/>
      <c r="L26" s="23"/>
      <c r="M26" s="23"/>
      <c r="N26" s="23"/>
    </row>
    <row r="27" spans="2:14" ht="15.75" x14ac:dyDescent="0.25">
      <c r="B27" s="23"/>
      <c r="C27" s="135"/>
      <c r="D27" s="136"/>
      <c r="E27" s="23"/>
      <c r="F27" s="23"/>
      <c r="G27" s="23"/>
      <c r="H27" s="23"/>
      <c r="I27" s="23"/>
      <c r="J27" s="23"/>
      <c r="K27" s="23"/>
      <c r="L27" s="23"/>
      <c r="M27" s="23"/>
      <c r="N27" s="23"/>
    </row>
    <row r="28" spans="2:14" ht="15.75" x14ac:dyDescent="0.25">
      <c r="B28" s="23"/>
      <c r="C28" s="135"/>
      <c r="D28" s="136"/>
      <c r="E28" s="23"/>
      <c r="F28" s="23"/>
      <c r="G28" s="23"/>
      <c r="H28" s="23"/>
      <c r="I28" s="23"/>
      <c r="J28" s="23"/>
      <c r="K28" s="23"/>
      <c r="L28" s="23"/>
      <c r="M28" s="23"/>
      <c r="N28" s="23"/>
    </row>
    <row r="29" spans="2:14" ht="15.75" x14ac:dyDescent="0.25">
      <c r="B29" s="23"/>
      <c r="C29" s="135"/>
      <c r="D29" s="136"/>
      <c r="E29" s="23"/>
      <c r="F29" s="23"/>
      <c r="G29" s="23"/>
      <c r="H29" s="23"/>
      <c r="I29" s="23"/>
      <c r="J29" s="23"/>
      <c r="K29" s="23"/>
      <c r="L29" s="23"/>
      <c r="M29" s="23"/>
      <c r="N29" s="23"/>
    </row>
    <row r="30" spans="2:14" ht="15.75" x14ac:dyDescent="0.25">
      <c r="B30" s="23"/>
      <c r="C30" s="135"/>
      <c r="D30" s="136"/>
      <c r="E30" s="23"/>
      <c r="F30" s="23"/>
      <c r="G30" s="23"/>
      <c r="H30" s="23"/>
      <c r="I30" s="23"/>
      <c r="J30" s="23"/>
      <c r="K30" s="23"/>
      <c r="L30" s="23"/>
      <c r="M30" s="23"/>
      <c r="N30" s="23"/>
    </row>
    <row r="31" spans="2:14" ht="15.75" x14ac:dyDescent="0.25">
      <c r="B31" s="23"/>
      <c r="C31" s="135"/>
      <c r="D31" s="136"/>
      <c r="E31" s="23"/>
      <c r="F31" s="23"/>
      <c r="G31" s="23"/>
      <c r="H31" s="23"/>
      <c r="I31" s="23"/>
      <c r="J31" s="23"/>
      <c r="K31" s="23"/>
      <c r="L31" s="23"/>
      <c r="M31" s="23"/>
      <c r="N31" s="23"/>
    </row>
    <row r="32" spans="2:14" ht="16.5" thickBot="1" x14ac:dyDescent="0.3">
      <c r="B32" s="23"/>
      <c r="C32" s="23"/>
      <c r="D32" s="23"/>
      <c r="E32" s="23"/>
      <c r="F32" s="23"/>
      <c r="H32" s="23"/>
      <c r="I32" s="23"/>
      <c r="J32" s="23"/>
      <c r="K32" s="23"/>
      <c r="L32" s="23"/>
      <c r="M32" s="23"/>
      <c r="N32" s="23"/>
    </row>
    <row r="33" spans="1:14" ht="27" thickBot="1" x14ac:dyDescent="0.45">
      <c r="B33" s="961" t="s">
        <v>99</v>
      </c>
      <c r="C33" s="962"/>
      <c r="D33" s="962"/>
      <c r="E33" s="962"/>
      <c r="F33" s="963"/>
      <c r="H33" s="148"/>
      <c r="I33" s="148"/>
      <c r="J33" s="148"/>
      <c r="K33" s="148"/>
      <c r="L33" s="148"/>
      <c r="M33" s="148"/>
      <c r="N33" s="148"/>
    </row>
    <row r="34" spans="1:14" ht="27" thickBot="1" x14ac:dyDescent="0.45">
      <c r="A34" s="124"/>
      <c r="B34" s="39"/>
      <c r="C34" s="39"/>
      <c r="D34" s="39"/>
      <c r="E34" s="39"/>
      <c r="F34" s="39"/>
      <c r="G34" s="124"/>
      <c r="H34" s="148"/>
      <c r="I34" s="148"/>
      <c r="J34" s="148"/>
      <c r="K34" s="148"/>
      <c r="L34" s="148"/>
      <c r="M34" s="148"/>
      <c r="N34" s="148"/>
    </row>
    <row r="35" spans="1:14" ht="27" thickBot="1" x14ac:dyDescent="0.45">
      <c r="B35" s="961" t="s">
        <v>30</v>
      </c>
      <c r="C35" s="1002"/>
      <c r="D35" s="1002"/>
      <c r="E35" s="1002"/>
      <c r="F35" s="1003"/>
    </row>
    <row r="36" spans="1:14" ht="15" customHeight="1" x14ac:dyDescent="0.25">
      <c r="B36" s="999" t="s">
        <v>29</v>
      </c>
      <c r="C36" s="1006" t="s">
        <v>379</v>
      </c>
      <c r="D36" s="1006"/>
      <c r="E36" s="1006"/>
      <c r="F36" s="1006"/>
    </row>
    <row r="37" spans="1:14" ht="15" customHeight="1" x14ac:dyDescent="0.25">
      <c r="B37" s="1000"/>
      <c r="C37" s="1006"/>
      <c r="D37" s="1006"/>
      <c r="E37" s="1006"/>
      <c r="F37" s="1006"/>
    </row>
    <row r="38" spans="1:14" ht="15.75" customHeight="1" x14ac:dyDescent="0.25">
      <c r="B38" s="1000"/>
      <c r="C38" s="1006"/>
      <c r="D38" s="1006"/>
      <c r="E38" s="1006"/>
      <c r="F38" s="1006"/>
    </row>
    <row r="39" spans="1:14" ht="15" customHeight="1" x14ac:dyDescent="0.25">
      <c r="B39" s="1000"/>
      <c r="C39" s="1005" t="s">
        <v>377</v>
      </c>
      <c r="D39" s="1005"/>
      <c r="E39" s="1005"/>
      <c r="F39" s="1005"/>
    </row>
    <row r="40" spans="1:14" ht="15" customHeight="1" x14ac:dyDescent="0.25">
      <c r="B40" s="1000"/>
      <c r="C40" s="1005"/>
      <c r="D40" s="1005"/>
      <c r="E40" s="1005"/>
      <c r="F40" s="1005"/>
    </row>
    <row r="41" spans="1:14" ht="15.75" customHeight="1" x14ac:dyDescent="0.25">
      <c r="B41" s="1000"/>
      <c r="C41" s="1005"/>
      <c r="D41" s="1005"/>
      <c r="E41" s="1005"/>
      <c r="F41" s="1005"/>
    </row>
    <row r="42" spans="1:14" ht="15" customHeight="1" x14ac:dyDescent="0.25">
      <c r="B42" s="1000"/>
      <c r="C42" s="1004" t="s">
        <v>378</v>
      </c>
      <c r="D42" s="1004"/>
      <c r="E42" s="1004"/>
      <c r="F42" s="1004"/>
    </row>
    <row r="43" spans="1:14" ht="15" customHeight="1" x14ac:dyDescent="0.25">
      <c r="B43" s="1000"/>
      <c r="C43" s="1004"/>
      <c r="D43" s="1004"/>
      <c r="E43" s="1004"/>
      <c r="F43" s="1004"/>
    </row>
    <row r="44" spans="1:14" ht="15.75" customHeight="1" thickBot="1" x14ac:dyDescent="0.3">
      <c r="B44" s="1001"/>
      <c r="C44" s="1004"/>
      <c r="D44" s="1004"/>
      <c r="E44" s="1004"/>
      <c r="F44" s="1004"/>
    </row>
    <row r="46" spans="1:14" ht="15.75" thickBot="1" x14ac:dyDescent="0.3"/>
    <row r="47" spans="1:14" ht="27" thickBot="1" x14ac:dyDescent="0.45">
      <c r="B47" s="1025" t="s">
        <v>28</v>
      </c>
      <c r="C47" s="1026"/>
    </row>
    <row r="48" spans="1:14" ht="16.5" thickBot="1" x14ac:dyDescent="0.3">
      <c r="B48" s="1027" t="s">
        <v>31</v>
      </c>
      <c r="C48" s="1028" t="s">
        <v>32</v>
      </c>
    </row>
    <row r="49" spans="2:3" ht="15.75" customHeight="1" x14ac:dyDescent="0.25">
      <c r="B49" s="1007" t="s">
        <v>379</v>
      </c>
      <c r="C49" s="1016">
        <v>1300</v>
      </c>
    </row>
    <row r="50" spans="2:3" x14ac:dyDescent="0.25">
      <c r="B50" s="1008"/>
      <c r="C50" s="1016"/>
    </row>
    <row r="51" spans="2:3" ht="15.75" thickBot="1" x14ac:dyDescent="0.3">
      <c r="B51" s="1009"/>
      <c r="C51" s="1017"/>
    </row>
    <row r="52" spans="2:3" ht="15.75" customHeight="1" x14ac:dyDescent="0.25">
      <c r="B52" s="1010" t="s">
        <v>377</v>
      </c>
      <c r="C52" s="1018">
        <v>2500</v>
      </c>
    </row>
    <row r="53" spans="2:3" ht="15.75" customHeight="1" x14ac:dyDescent="0.25">
      <c r="B53" s="1011"/>
      <c r="C53" s="1019"/>
    </row>
    <row r="54" spans="2:3" ht="16.5" customHeight="1" thickBot="1" x14ac:dyDescent="0.3">
      <c r="B54" s="1012"/>
      <c r="C54" s="1020"/>
    </row>
    <row r="55" spans="2:3" ht="15.75" customHeight="1" x14ac:dyDescent="0.25">
      <c r="B55" s="1013" t="s">
        <v>378</v>
      </c>
      <c r="C55" s="1021">
        <v>4000</v>
      </c>
    </row>
    <row r="56" spans="2:3" x14ac:dyDescent="0.25">
      <c r="B56" s="1014"/>
      <c r="C56" s="1022"/>
    </row>
    <row r="57" spans="2:3" ht="15.75" thickBot="1" x14ac:dyDescent="0.3">
      <c r="B57" s="1015"/>
      <c r="C57" s="1023"/>
    </row>
  </sheetData>
  <mergeCells count="20">
    <mergeCell ref="B49:B51"/>
    <mergeCell ref="B52:B54"/>
    <mergeCell ref="B55:B57"/>
    <mergeCell ref="C49:C51"/>
    <mergeCell ref="C52:C54"/>
    <mergeCell ref="C55:C57"/>
    <mergeCell ref="B15:J15"/>
    <mergeCell ref="B16:J16"/>
    <mergeCell ref="B35:F35"/>
    <mergeCell ref="B33:F33"/>
    <mergeCell ref="C36:F38"/>
    <mergeCell ref="C39:F41"/>
    <mergeCell ref="C42:F44"/>
    <mergeCell ref="B47:C47"/>
    <mergeCell ref="B3:J3"/>
    <mergeCell ref="B22:D22"/>
    <mergeCell ref="B36:B44"/>
    <mergeCell ref="B4:J4"/>
    <mergeCell ref="B7:J7"/>
    <mergeCell ref="B8:J8"/>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W188"/>
  <sheetViews>
    <sheetView tabSelected="1" zoomScale="70" zoomScaleNormal="70" workbookViewId="0">
      <pane xSplit="2" ySplit="1" topLeftCell="C2" activePane="bottomRight" state="frozen"/>
      <selection pane="topRight" activeCell="C1" sqref="C1"/>
      <selection pane="bottomLeft" activeCell="A2" sqref="A2"/>
      <selection pane="bottomRight" activeCell="B1" sqref="B1"/>
    </sheetView>
  </sheetViews>
  <sheetFormatPr baseColWidth="10" defaultColWidth="11.42578125" defaultRowHeight="15" x14ac:dyDescent="0.25"/>
  <cols>
    <col min="1" max="1" width="44.5703125" style="1" customWidth="1"/>
    <col min="2" max="2" width="35" style="1" customWidth="1"/>
    <col min="3" max="3" width="19" style="1" bestFit="1" customWidth="1"/>
    <col min="4" max="4" width="37.28515625" style="1" customWidth="1"/>
    <col min="5" max="5" width="15.5703125" style="1" customWidth="1"/>
    <col min="6" max="6" width="23" style="1" bestFit="1" customWidth="1"/>
    <col min="7" max="7" width="16" style="1" bestFit="1" customWidth="1"/>
    <col min="8" max="8" width="22.42578125" style="1" bestFit="1" customWidth="1"/>
    <col min="9" max="9" width="19.5703125" style="1" customWidth="1"/>
    <col min="10" max="10" width="23" style="1" bestFit="1" customWidth="1"/>
    <col min="11" max="11" width="16" style="1" bestFit="1" customWidth="1"/>
    <col min="12" max="12" width="22.42578125" style="1" bestFit="1" customWidth="1"/>
    <col min="13" max="13" width="16.5703125" style="1" bestFit="1" customWidth="1"/>
    <col min="14" max="14" width="22.28515625" style="1" bestFit="1" customWidth="1"/>
    <col min="15" max="15" width="17.28515625" style="1" bestFit="1" customWidth="1"/>
    <col min="16" max="16" width="24.85546875" style="1" customWidth="1"/>
    <col min="17" max="17" width="16" style="1" bestFit="1" customWidth="1"/>
    <col min="18" max="18" width="24.5703125" style="1" customWidth="1"/>
    <col min="19" max="19" width="16.28515625" style="1" bestFit="1" customWidth="1"/>
    <col min="20" max="20" width="24.28515625" style="1" customWidth="1"/>
    <col min="21" max="21" width="16" style="1" bestFit="1" customWidth="1"/>
    <col min="22" max="22" width="22.28515625" style="1" customWidth="1"/>
    <col min="23" max="23" width="19.42578125" style="1" customWidth="1"/>
    <col min="24" max="24" width="24.140625" style="1" customWidth="1"/>
    <col min="25" max="25" width="16.5703125" style="1" customWidth="1"/>
    <col min="26" max="26" width="21.28515625" style="1" customWidth="1"/>
    <col min="27" max="27" width="19" style="1" customWidth="1"/>
    <col min="28" max="28" width="24" style="1" customWidth="1"/>
    <col min="29" max="29" width="18.7109375" style="1" bestFit="1" customWidth="1"/>
    <col min="30" max="16384" width="11.42578125" style="1"/>
  </cols>
  <sheetData>
    <row r="1" spans="1:49" s="953" customFormat="1" ht="58.5" customHeight="1" x14ac:dyDescent="0.25">
      <c r="B1" s="1029" t="s">
        <v>2</v>
      </c>
      <c r="G1" s="1030"/>
      <c r="H1" s="1030"/>
      <c r="I1" s="1030"/>
      <c r="J1" s="1030"/>
    </row>
    <row r="4" spans="1:49" ht="15.75" thickBot="1" x14ac:dyDescent="0.3">
      <c r="A4" s="29"/>
      <c r="B4" s="29"/>
      <c r="C4" s="29"/>
      <c r="D4" s="29"/>
      <c r="E4" s="29"/>
      <c r="F4" s="29"/>
      <c r="G4" s="32"/>
      <c r="H4" s="32"/>
      <c r="I4" s="32"/>
      <c r="J4" s="32"/>
      <c r="K4" s="32"/>
      <c r="L4" s="32"/>
      <c r="M4" s="32"/>
      <c r="N4" s="32"/>
      <c r="O4" s="32"/>
      <c r="P4" s="32"/>
      <c r="Q4" s="32"/>
      <c r="R4" s="32"/>
      <c r="S4" s="32"/>
      <c r="T4" s="32"/>
      <c r="U4" s="32"/>
      <c r="V4" s="32"/>
      <c r="W4" s="29"/>
      <c r="X4" s="29"/>
      <c r="Y4" s="29"/>
      <c r="Z4" s="29"/>
      <c r="AA4" s="29"/>
      <c r="AB4" s="29"/>
      <c r="AC4" s="29"/>
      <c r="AD4" s="29"/>
      <c r="AE4" s="29"/>
      <c r="AF4" s="29"/>
      <c r="AG4" s="29"/>
      <c r="AH4" s="29"/>
      <c r="AI4" s="29"/>
      <c r="AJ4" s="29"/>
      <c r="AK4" s="29"/>
      <c r="AL4" s="29"/>
      <c r="AM4" s="29"/>
      <c r="AN4" s="29"/>
      <c r="AO4" s="29"/>
      <c r="AP4" s="29"/>
      <c r="AQ4" s="29"/>
      <c r="AR4" s="29"/>
      <c r="AS4" s="29"/>
      <c r="AT4" s="29"/>
      <c r="AU4" s="29"/>
      <c r="AV4" s="29"/>
      <c r="AW4" s="29"/>
    </row>
    <row r="5" spans="1:49" s="124" customFormat="1" ht="27" thickBot="1" x14ac:dyDescent="0.45">
      <c r="A5" s="30"/>
      <c r="B5" s="958" t="s">
        <v>35</v>
      </c>
      <c r="C5" s="959"/>
      <c r="D5" s="960"/>
      <c r="E5" s="1"/>
      <c r="F5" s="1"/>
      <c r="G5" s="958" t="s">
        <v>62</v>
      </c>
      <c r="H5" s="959"/>
      <c r="I5" s="959"/>
      <c r="J5" s="959"/>
      <c r="K5" s="959"/>
      <c r="L5" s="960"/>
      <c r="M5" s="39"/>
      <c r="N5" s="39"/>
      <c r="O5" s="39"/>
      <c r="P5" s="39"/>
      <c r="Q5" s="39"/>
      <c r="R5" s="39"/>
      <c r="S5" s="39"/>
      <c r="T5" s="39"/>
      <c r="U5" s="39"/>
      <c r="AJ5" s="32"/>
      <c r="AK5" s="32"/>
      <c r="AL5" s="32"/>
      <c r="AM5" s="32"/>
      <c r="AN5" s="32"/>
      <c r="AO5" s="32"/>
      <c r="AP5" s="32"/>
      <c r="AQ5" s="32"/>
      <c r="AR5" s="32"/>
      <c r="AS5" s="32"/>
      <c r="AT5" s="32"/>
      <c r="AU5" s="32"/>
      <c r="AV5" s="32"/>
      <c r="AW5" s="32"/>
    </row>
    <row r="6" spans="1:49" s="124" customFormat="1" ht="30" customHeight="1" x14ac:dyDescent="0.25">
      <c r="A6" s="31"/>
      <c r="B6" s="1031">
        <v>2020</v>
      </c>
      <c r="C6" s="1032">
        <v>2021</v>
      </c>
      <c r="D6" s="1033">
        <v>2022</v>
      </c>
      <c r="E6" s="1"/>
      <c r="F6" s="1"/>
      <c r="G6" s="682" t="s">
        <v>75</v>
      </c>
      <c r="H6" s="683"/>
      <c r="I6" s="683"/>
      <c r="J6" s="683"/>
      <c r="K6" s="683"/>
      <c r="L6" s="684"/>
      <c r="M6" s="123"/>
      <c r="N6" s="123"/>
      <c r="O6" s="123"/>
      <c r="P6" s="123"/>
      <c r="Q6" s="123"/>
      <c r="R6" s="123"/>
      <c r="S6" s="123"/>
      <c r="T6" s="123"/>
      <c r="U6" s="123"/>
      <c r="AJ6" s="32"/>
      <c r="AK6" s="32"/>
      <c r="AL6" s="32"/>
      <c r="AM6" s="32"/>
      <c r="AN6" s="32"/>
      <c r="AO6" s="32"/>
      <c r="AP6" s="32"/>
      <c r="AQ6" s="32"/>
      <c r="AR6" s="32"/>
      <c r="AS6" s="32"/>
      <c r="AT6" s="32"/>
      <c r="AU6" s="32"/>
      <c r="AV6" s="32"/>
      <c r="AW6" s="32"/>
    </row>
    <row r="7" spans="1:49" s="124" customFormat="1" x14ac:dyDescent="0.25">
      <c r="A7" s="31"/>
      <c r="B7" s="118">
        <f>Hipótesis!C24</f>
        <v>4.9599999999999998E-2</v>
      </c>
      <c r="C7" s="40">
        <f>Hipótesis!C25</f>
        <v>0.1078904648</v>
      </c>
      <c r="D7" s="119">
        <f>Hipótesis!C26</f>
        <v>0.17066814759999999</v>
      </c>
      <c r="E7" s="1"/>
      <c r="F7" s="1"/>
      <c r="G7" s="685"/>
      <c r="H7" s="686"/>
      <c r="I7" s="686"/>
      <c r="J7" s="686"/>
      <c r="K7" s="686"/>
      <c r="L7" s="687"/>
      <c r="M7" s="123"/>
      <c r="N7" s="123"/>
      <c r="O7" s="123"/>
      <c r="P7" s="123"/>
      <c r="Q7" s="123"/>
      <c r="R7" s="123"/>
      <c r="S7" s="123"/>
      <c r="T7" s="123"/>
      <c r="U7" s="123"/>
      <c r="AJ7" s="32"/>
      <c r="AK7" s="32"/>
      <c r="AL7" s="32"/>
      <c r="AM7" s="32"/>
      <c r="AN7" s="32"/>
      <c r="AO7" s="32"/>
      <c r="AP7" s="32"/>
      <c r="AQ7" s="32"/>
      <c r="AR7" s="32"/>
      <c r="AS7" s="32"/>
      <c r="AT7" s="32"/>
      <c r="AU7" s="32"/>
      <c r="AV7" s="32"/>
      <c r="AW7" s="32"/>
    </row>
    <row r="8" spans="1:49" s="124" customFormat="1" ht="15.75" thickBot="1" x14ac:dyDescent="0.3">
      <c r="A8" s="31"/>
      <c r="B8" s="120">
        <f>Hipótesis!D24</f>
        <v>301216832</v>
      </c>
      <c r="C8" s="121">
        <f>Hipótesis!D25</f>
        <v>655210161.49321604</v>
      </c>
      <c r="D8" s="122">
        <f>Hipótesis!D26</f>
        <v>1036454006.9229919</v>
      </c>
      <c r="E8" s="1"/>
      <c r="F8" s="1"/>
      <c r="G8" s="685"/>
      <c r="H8" s="686"/>
      <c r="I8" s="686"/>
      <c r="J8" s="686"/>
      <c r="K8" s="686"/>
      <c r="L8" s="687"/>
      <c r="M8" s="123"/>
      <c r="N8" s="123"/>
      <c r="O8" s="123"/>
      <c r="P8" s="123"/>
      <c r="Q8" s="123"/>
      <c r="R8" s="123"/>
      <c r="S8" s="123"/>
      <c r="T8" s="123"/>
      <c r="U8" s="123"/>
      <c r="AJ8" s="32"/>
      <c r="AK8" s="32"/>
      <c r="AL8" s="32"/>
      <c r="AM8" s="32"/>
      <c r="AN8" s="32"/>
      <c r="AO8" s="32"/>
      <c r="AP8" s="32"/>
      <c r="AQ8" s="32"/>
      <c r="AR8" s="32"/>
      <c r="AS8" s="32"/>
      <c r="AT8" s="32"/>
      <c r="AU8" s="32"/>
      <c r="AV8" s="32"/>
      <c r="AW8" s="32"/>
    </row>
    <row r="9" spans="1:49" s="124" customFormat="1" x14ac:dyDescent="0.25">
      <c r="A9" s="29"/>
      <c r="B9" s="29"/>
      <c r="C9" s="29"/>
      <c r="D9" s="29"/>
      <c r="E9" s="1"/>
      <c r="F9" s="1"/>
      <c r="G9" s="685"/>
      <c r="H9" s="686"/>
      <c r="I9" s="686"/>
      <c r="J9" s="686"/>
      <c r="K9" s="686"/>
      <c r="L9" s="687"/>
      <c r="M9" s="123"/>
      <c r="N9" s="123"/>
      <c r="O9" s="123"/>
      <c r="P9" s="123"/>
      <c r="Q9" s="123"/>
      <c r="R9" s="123"/>
      <c r="S9" s="123"/>
      <c r="T9" s="123"/>
      <c r="U9" s="123"/>
      <c r="AJ9" s="32"/>
      <c r="AK9" s="32"/>
      <c r="AL9" s="32"/>
      <c r="AM9" s="32"/>
      <c r="AN9" s="32"/>
      <c r="AO9" s="32"/>
      <c r="AP9" s="32"/>
      <c r="AQ9" s="32"/>
      <c r="AR9" s="32"/>
      <c r="AS9" s="32"/>
      <c r="AT9" s="32"/>
      <c r="AU9" s="32"/>
      <c r="AV9" s="32"/>
      <c r="AW9" s="32"/>
    </row>
    <row r="10" spans="1:49" s="124" customFormat="1" x14ac:dyDescent="0.25">
      <c r="A10" s="29" t="s">
        <v>54</v>
      </c>
      <c r="B10" s="29"/>
      <c r="C10" s="29"/>
      <c r="D10" s="29"/>
      <c r="E10" s="1"/>
      <c r="F10" s="1"/>
      <c r="G10" s="685"/>
      <c r="H10" s="686"/>
      <c r="I10" s="686"/>
      <c r="J10" s="686"/>
      <c r="K10" s="686"/>
      <c r="L10" s="687"/>
      <c r="M10" s="123"/>
      <c r="N10" s="123"/>
      <c r="O10" s="123"/>
      <c r="P10" s="123"/>
      <c r="Q10" s="123"/>
      <c r="R10" s="123"/>
      <c r="S10" s="123"/>
      <c r="T10" s="123"/>
      <c r="U10" s="123"/>
      <c r="AJ10" s="32"/>
      <c r="AK10" s="32"/>
      <c r="AL10" s="32"/>
      <c r="AM10" s="32"/>
      <c r="AN10" s="32"/>
      <c r="AO10" s="32"/>
      <c r="AP10" s="32"/>
      <c r="AQ10" s="32"/>
      <c r="AR10" s="32"/>
      <c r="AS10" s="32"/>
      <c r="AT10" s="32"/>
      <c r="AU10" s="32"/>
      <c r="AV10" s="32"/>
      <c r="AW10" s="32"/>
    </row>
    <row r="11" spans="1:49" s="124" customFormat="1" x14ac:dyDescent="0.25">
      <c r="A11" s="29"/>
      <c r="B11" s="29"/>
      <c r="C11" s="29"/>
      <c r="D11" s="29"/>
      <c r="E11" s="1"/>
      <c r="F11" s="1"/>
      <c r="G11" s="685"/>
      <c r="H11" s="686"/>
      <c r="I11" s="686"/>
      <c r="J11" s="686"/>
      <c r="K11" s="686"/>
      <c r="L11" s="687"/>
      <c r="M11" s="123"/>
      <c r="N11" s="123"/>
      <c r="O11" s="123"/>
      <c r="P11" s="123"/>
      <c r="Q11" s="123"/>
      <c r="R11" s="123"/>
      <c r="S11" s="123"/>
      <c r="T11" s="123"/>
      <c r="U11" s="123"/>
      <c r="AJ11" s="32"/>
      <c r="AK11" s="32"/>
      <c r="AL11" s="32"/>
      <c r="AM11" s="32"/>
      <c r="AN11" s="32"/>
      <c r="AO11" s="32"/>
      <c r="AP11" s="32"/>
      <c r="AQ11" s="32"/>
      <c r="AR11" s="32"/>
      <c r="AS11" s="32"/>
      <c r="AT11" s="32"/>
      <c r="AU11" s="32"/>
      <c r="AV11" s="32"/>
      <c r="AW11" s="32"/>
    </row>
    <row r="12" spans="1:49" s="124" customFormat="1" ht="93" customHeight="1" thickBot="1" x14ac:dyDescent="0.3">
      <c r="A12" s="29"/>
      <c r="B12" s="29"/>
      <c r="C12" s="29"/>
      <c r="D12" s="29"/>
      <c r="E12" s="29"/>
      <c r="F12" s="29"/>
      <c r="G12" s="688"/>
      <c r="H12" s="689"/>
      <c r="I12" s="689"/>
      <c r="J12" s="689"/>
      <c r="K12" s="689"/>
      <c r="L12" s="690"/>
      <c r="M12" s="123"/>
      <c r="N12" s="123"/>
      <c r="O12" s="123"/>
      <c r="P12" s="123"/>
      <c r="Q12" s="123"/>
      <c r="R12" s="123"/>
      <c r="S12" s="123"/>
      <c r="T12" s="123"/>
      <c r="U12" s="123"/>
      <c r="AJ12" s="32"/>
      <c r="AK12" s="32"/>
      <c r="AL12" s="32"/>
      <c r="AM12" s="32"/>
      <c r="AN12" s="32"/>
      <c r="AO12" s="32"/>
      <c r="AP12" s="32"/>
      <c r="AQ12" s="32"/>
      <c r="AR12" s="32"/>
      <c r="AS12" s="32"/>
      <c r="AT12" s="32"/>
      <c r="AU12" s="32"/>
      <c r="AV12" s="32"/>
      <c r="AW12" s="32"/>
    </row>
    <row r="13" spans="1:49" x14ac:dyDescent="0.25">
      <c r="A13" s="29"/>
      <c r="B13" s="29"/>
      <c r="C13" s="29"/>
      <c r="D13" s="29"/>
      <c r="E13" s="29"/>
      <c r="F13" s="29"/>
      <c r="G13" s="32"/>
      <c r="H13" s="32"/>
      <c r="I13" s="32"/>
      <c r="J13" s="32"/>
      <c r="K13" s="32"/>
      <c r="L13" s="32"/>
      <c r="M13" s="29"/>
      <c r="N13" s="29"/>
      <c r="O13" s="29"/>
      <c r="P13" s="29"/>
      <c r="Q13" s="29"/>
      <c r="R13" s="29"/>
      <c r="S13" s="29"/>
      <c r="T13" s="29"/>
      <c r="U13" s="29"/>
      <c r="V13" s="29"/>
      <c r="W13" s="29"/>
      <c r="X13" s="29"/>
      <c r="Y13" s="29"/>
      <c r="Z13" s="29"/>
      <c r="AA13" s="29"/>
      <c r="AB13" s="29"/>
      <c r="AC13" s="29"/>
      <c r="AD13" s="29"/>
      <c r="AE13" s="29"/>
      <c r="AF13" s="29"/>
      <c r="AG13" s="29"/>
      <c r="AH13" s="29"/>
      <c r="AI13" s="29"/>
      <c r="AJ13" s="29"/>
      <c r="AK13" s="29"/>
      <c r="AL13" s="29"/>
      <c r="AM13" s="29"/>
      <c r="AN13" s="29"/>
      <c r="AO13" s="29"/>
      <c r="AP13" s="29"/>
      <c r="AQ13" s="29"/>
      <c r="AR13" s="29"/>
      <c r="AS13" s="29"/>
      <c r="AT13" s="29"/>
      <c r="AU13" s="29"/>
      <c r="AV13" s="29"/>
      <c r="AW13" s="29"/>
    </row>
    <row r="14" spans="1:49" ht="15.75" thickBot="1" x14ac:dyDescent="0.3">
      <c r="A14" s="29"/>
      <c r="B14" s="29"/>
      <c r="C14" s="29"/>
      <c r="D14" s="29"/>
      <c r="E14" s="29"/>
      <c r="F14" s="29"/>
      <c r="G14" s="29"/>
      <c r="H14" s="29"/>
      <c r="I14" s="29"/>
      <c r="J14" s="29"/>
      <c r="K14" s="29"/>
      <c r="L14" s="29"/>
      <c r="M14" s="29"/>
      <c r="N14" s="29"/>
      <c r="O14" s="29"/>
      <c r="P14" s="29"/>
      <c r="Q14" s="29"/>
      <c r="R14" s="29"/>
      <c r="S14" s="29"/>
      <c r="T14" s="29"/>
      <c r="U14" s="29"/>
      <c r="V14" s="29"/>
      <c r="W14" s="29"/>
      <c r="X14" s="29"/>
      <c r="Y14" s="29"/>
      <c r="Z14" s="29"/>
      <c r="AA14" s="29"/>
      <c r="AB14" s="29"/>
      <c r="AC14" s="29"/>
      <c r="AD14" s="29"/>
      <c r="AE14" s="29"/>
      <c r="AF14" s="29"/>
      <c r="AG14" s="29"/>
      <c r="AH14" s="29"/>
      <c r="AI14" s="29"/>
      <c r="AJ14" s="29"/>
      <c r="AK14" s="29"/>
      <c r="AL14" s="29"/>
      <c r="AM14" s="29"/>
      <c r="AN14" s="29"/>
      <c r="AO14" s="29"/>
      <c r="AP14" s="29"/>
      <c r="AQ14" s="29"/>
      <c r="AR14" s="29"/>
      <c r="AS14" s="29"/>
      <c r="AT14" s="29"/>
      <c r="AU14" s="29"/>
      <c r="AV14" s="29"/>
      <c r="AW14" s="29"/>
    </row>
    <row r="15" spans="1:49" ht="27" thickBot="1" x14ac:dyDescent="0.45">
      <c r="A15" s="958" t="s">
        <v>52</v>
      </c>
      <c r="B15" s="959"/>
      <c r="C15" s="959"/>
      <c r="D15" s="959"/>
      <c r="E15" s="959"/>
      <c r="F15" s="959"/>
      <c r="G15" s="959"/>
      <c r="H15" s="959"/>
      <c r="I15" s="959"/>
      <c r="J15" s="959"/>
      <c r="K15" s="959"/>
      <c r="L15" s="959"/>
      <c r="M15" s="959"/>
      <c r="N15" s="959"/>
      <c r="O15" s="959"/>
      <c r="P15" s="959"/>
      <c r="Q15" s="959"/>
      <c r="R15" s="959"/>
      <c r="S15" s="959"/>
      <c r="T15" s="959"/>
      <c r="U15" s="959"/>
      <c r="V15" s="959"/>
      <c r="W15" s="959"/>
      <c r="X15" s="959"/>
      <c r="Y15" s="959"/>
      <c r="Z15" s="959"/>
      <c r="AA15" s="959"/>
      <c r="AB15" s="960"/>
      <c r="AC15" s="29"/>
      <c r="AD15" s="29"/>
      <c r="AE15" s="29"/>
      <c r="AF15" s="29"/>
      <c r="AG15" s="29"/>
      <c r="AH15" s="29"/>
      <c r="AI15" s="29"/>
      <c r="AJ15" s="29"/>
      <c r="AK15" s="29"/>
      <c r="AL15" s="29"/>
      <c r="AM15" s="29"/>
      <c r="AN15" s="29"/>
      <c r="AO15" s="29"/>
      <c r="AP15" s="29"/>
      <c r="AQ15" s="29"/>
      <c r="AR15" s="29"/>
      <c r="AS15" s="29"/>
      <c r="AT15" s="29"/>
      <c r="AU15" s="29"/>
      <c r="AV15" s="29"/>
      <c r="AW15" s="29"/>
    </row>
    <row r="16" spans="1:49" x14ac:dyDescent="0.25">
      <c r="A16" s="1034" t="s">
        <v>31</v>
      </c>
      <c r="B16" s="1034" t="s">
        <v>32</v>
      </c>
      <c r="C16" s="1035" t="s">
        <v>61</v>
      </c>
      <c r="D16" s="1036"/>
      <c r="E16" s="675" t="s">
        <v>40</v>
      </c>
      <c r="F16" s="676"/>
      <c r="G16" s="675" t="s">
        <v>41</v>
      </c>
      <c r="H16" s="676"/>
      <c r="I16" s="675" t="s">
        <v>42</v>
      </c>
      <c r="J16" s="676"/>
      <c r="K16" s="675" t="s">
        <v>43</v>
      </c>
      <c r="L16" s="676"/>
      <c r="M16" s="675" t="s">
        <v>44</v>
      </c>
      <c r="N16" s="676"/>
      <c r="O16" s="675" t="s">
        <v>45</v>
      </c>
      <c r="P16" s="676"/>
      <c r="Q16" s="675" t="s">
        <v>46</v>
      </c>
      <c r="R16" s="676"/>
      <c r="S16" s="675" t="s">
        <v>47</v>
      </c>
      <c r="T16" s="676"/>
      <c r="U16" s="675" t="s">
        <v>48</v>
      </c>
      <c r="V16" s="676"/>
      <c r="W16" s="675" t="s">
        <v>49</v>
      </c>
      <c r="X16" s="676"/>
      <c r="Y16" s="675" t="s">
        <v>50</v>
      </c>
      <c r="Z16" s="676"/>
      <c r="AA16" s="675" t="s">
        <v>51</v>
      </c>
      <c r="AB16" s="676"/>
      <c r="AC16" s="29"/>
      <c r="AD16" s="29"/>
      <c r="AE16" s="29"/>
      <c r="AF16" s="29"/>
      <c r="AG16" s="29"/>
      <c r="AH16" s="29"/>
      <c r="AI16" s="29"/>
      <c r="AJ16" s="29"/>
      <c r="AK16" s="29"/>
      <c r="AL16" s="29"/>
      <c r="AM16" s="29"/>
      <c r="AN16" s="29"/>
      <c r="AO16" s="29"/>
      <c r="AP16" s="29"/>
      <c r="AQ16" s="29"/>
      <c r="AR16" s="29"/>
      <c r="AS16" s="29"/>
      <c r="AT16" s="29"/>
      <c r="AU16" s="29"/>
      <c r="AV16" s="29"/>
      <c r="AW16" s="29"/>
    </row>
    <row r="17" spans="1:49" x14ac:dyDescent="0.25">
      <c r="A17" s="1037"/>
      <c r="B17" s="1037"/>
      <c r="C17" s="1038" t="s">
        <v>60</v>
      </c>
      <c r="D17" s="1039" t="s">
        <v>39</v>
      </c>
      <c r="E17" s="677">
        <v>0.08</v>
      </c>
      <c r="F17" s="678"/>
      <c r="G17" s="677">
        <v>0.1</v>
      </c>
      <c r="H17" s="678"/>
      <c r="I17" s="677">
        <v>0.08</v>
      </c>
      <c r="J17" s="678"/>
      <c r="K17" s="677">
        <v>7.0000000000000007E-2</v>
      </c>
      <c r="L17" s="678"/>
      <c r="M17" s="677">
        <v>0.06</v>
      </c>
      <c r="N17" s="678"/>
      <c r="O17" s="677">
        <v>0.04</v>
      </c>
      <c r="P17" s="678"/>
      <c r="Q17" s="677">
        <v>0.09</v>
      </c>
      <c r="R17" s="678"/>
      <c r="S17" s="677">
        <v>0.05</v>
      </c>
      <c r="T17" s="678"/>
      <c r="U17" s="677">
        <v>0.09</v>
      </c>
      <c r="V17" s="678"/>
      <c r="W17" s="677">
        <v>0.1</v>
      </c>
      <c r="X17" s="678"/>
      <c r="Y17" s="677">
        <v>0.11</v>
      </c>
      <c r="Z17" s="678"/>
      <c r="AA17" s="677">
        <v>0.13</v>
      </c>
      <c r="AB17" s="678"/>
      <c r="AC17" s="29"/>
      <c r="AD17" s="29"/>
      <c r="AE17" s="29"/>
      <c r="AF17" s="29"/>
      <c r="AG17" s="29"/>
      <c r="AH17" s="29"/>
      <c r="AI17" s="29"/>
      <c r="AJ17" s="29"/>
      <c r="AK17" s="29"/>
      <c r="AL17" s="29"/>
      <c r="AM17" s="29"/>
      <c r="AN17" s="29"/>
      <c r="AO17" s="29"/>
      <c r="AP17" s="29"/>
      <c r="AQ17" s="29"/>
      <c r="AR17" s="29"/>
      <c r="AS17" s="29"/>
      <c r="AT17" s="29"/>
      <c r="AU17" s="29"/>
      <c r="AV17" s="29"/>
      <c r="AW17" s="29"/>
    </row>
    <row r="18" spans="1:49" ht="15.75" customHeight="1" thickBot="1" x14ac:dyDescent="0.3">
      <c r="A18" s="1040"/>
      <c r="B18" s="1040"/>
      <c r="C18" s="1042"/>
      <c r="D18" s="1041"/>
      <c r="E18" s="81" t="s">
        <v>60</v>
      </c>
      <c r="F18" s="82" t="s">
        <v>39</v>
      </c>
      <c r="G18" s="81" t="s">
        <v>60</v>
      </c>
      <c r="H18" s="82" t="s">
        <v>39</v>
      </c>
      <c r="I18" s="81" t="s">
        <v>60</v>
      </c>
      <c r="J18" s="82" t="s">
        <v>39</v>
      </c>
      <c r="K18" s="81" t="s">
        <v>60</v>
      </c>
      <c r="L18" s="82" t="s">
        <v>39</v>
      </c>
      <c r="M18" s="81" t="s">
        <v>60</v>
      </c>
      <c r="N18" s="82" t="s">
        <v>39</v>
      </c>
      <c r="O18" s="81" t="s">
        <v>60</v>
      </c>
      <c r="P18" s="82" t="s">
        <v>39</v>
      </c>
      <c r="Q18" s="81" t="s">
        <v>60</v>
      </c>
      <c r="R18" s="82" t="s">
        <v>39</v>
      </c>
      <c r="S18" s="81" t="s">
        <v>60</v>
      </c>
      <c r="T18" s="82" t="s">
        <v>39</v>
      </c>
      <c r="U18" s="81" t="s">
        <v>60</v>
      </c>
      <c r="V18" s="82" t="s">
        <v>39</v>
      </c>
      <c r="W18" s="81" t="s">
        <v>60</v>
      </c>
      <c r="X18" s="82" t="s">
        <v>39</v>
      </c>
      <c r="Y18" s="81" t="s">
        <v>60</v>
      </c>
      <c r="Z18" s="82" t="s">
        <v>39</v>
      </c>
      <c r="AA18" s="81" t="s">
        <v>60</v>
      </c>
      <c r="AB18" s="82" t="s">
        <v>39</v>
      </c>
      <c r="AC18" s="29"/>
      <c r="AD18" s="29"/>
      <c r="AE18" s="29"/>
      <c r="AF18" s="29"/>
      <c r="AG18" s="29"/>
      <c r="AH18" s="29"/>
      <c r="AI18" s="29"/>
      <c r="AJ18" s="29"/>
      <c r="AK18" s="29"/>
      <c r="AL18" s="29"/>
      <c r="AM18" s="29"/>
      <c r="AN18" s="29"/>
      <c r="AO18" s="29"/>
      <c r="AP18" s="29"/>
      <c r="AQ18" s="29"/>
      <c r="AR18" s="29"/>
      <c r="AS18" s="29"/>
      <c r="AT18" s="29"/>
      <c r="AU18" s="29"/>
      <c r="AV18" s="29"/>
      <c r="AW18" s="29"/>
    </row>
    <row r="19" spans="1:49" ht="15.75" customHeight="1" x14ac:dyDescent="0.25">
      <c r="A19" s="1043" t="s">
        <v>379</v>
      </c>
      <c r="B19" s="1044">
        <f>Hipótesis!C49</f>
        <v>1300</v>
      </c>
      <c r="C19" s="1045">
        <v>900</v>
      </c>
      <c r="D19" s="1044">
        <f>B19*C19</f>
        <v>1170000</v>
      </c>
      <c r="E19" s="1046">
        <f>C19*$E$17</f>
        <v>72</v>
      </c>
      <c r="F19" s="1044">
        <f>D19*$E$17</f>
        <v>93600</v>
      </c>
      <c r="G19" s="1046">
        <f>C19*$G$17</f>
        <v>90</v>
      </c>
      <c r="H19" s="1044">
        <f>D19*$G$17</f>
        <v>117000</v>
      </c>
      <c r="I19" s="1046">
        <f>C19*$I$17</f>
        <v>72</v>
      </c>
      <c r="J19" s="1044">
        <f>D19*$I$17</f>
        <v>93600</v>
      </c>
      <c r="K19" s="1046">
        <f>C19*$K$17</f>
        <v>63.000000000000007</v>
      </c>
      <c r="L19" s="1044">
        <f>D19*$K$17</f>
        <v>81900.000000000015</v>
      </c>
      <c r="M19" s="1046">
        <f>C19*$M$17</f>
        <v>54</v>
      </c>
      <c r="N19" s="1044">
        <f>D19*$M$17</f>
        <v>70200</v>
      </c>
      <c r="O19" s="1046">
        <f>C19*$O$17</f>
        <v>36</v>
      </c>
      <c r="P19" s="1044">
        <f>D19*$O$17</f>
        <v>46800</v>
      </c>
      <c r="Q19" s="1046">
        <f>C19*$Q$17</f>
        <v>81</v>
      </c>
      <c r="R19" s="1044">
        <f>D19*$Q$17</f>
        <v>105300</v>
      </c>
      <c r="S19" s="1046">
        <f>C19*$S$17</f>
        <v>45</v>
      </c>
      <c r="T19" s="1044">
        <f>D19*$S$17</f>
        <v>58500</v>
      </c>
      <c r="U19" s="1046">
        <f>C19*$U$17</f>
        <v>81</v>
      </c>
      <c r="V19" s="1044">
        <f>D19*$U$17</f>
        <v>105300</v>
      </c>
      <c r="W19" s="1046">
        <f>C19*$W$17</f>
        <v>90</v>
      </c>
      <c r="X19" s="1044">
        <f>D19*$W$17</f>
        <v>117000</v>
      </c>
      <c r="Y19" s="1046">
        <f>C19*$Y$17</f>
        <v>99</v>
      </c>
      <c r="Z19" s="1047">
        <f>D19*$Y$17</f>
        <v>128700</v>
      </c>
      <c r="AA19" s="1046">
        <f>C19*$AA$17</f>
        <v>117</v>
      </c>
      <c r="AB19" s="1044">
        <f>D19*$AA$17</f>
        <v>152100</v>
      </c>
    </row>
    <row r="20" spans="1:49" x14ac:dyDescent="0.25">
      <c r="A20" s="1048"/>
      <c r="B20" s="1049"/>
      <c r="C20" s="1050"/>
      <c r="D20" s="1049"/>
      <c r="E20" s="1051"/>
      <c r="F20" s="1049"/>
      <c r="G20" s="1051"/>
      <c r="H20" s="1049"/>
      <c r="I20" s="1051"/>
      <c r="J20" s="1049"/>
      <c r="K20" s="1051"/>
      <c r="L20" s="1049"/>
      <c r="M20" s="1051"/>
      <c r="N20" s="1049"/>
      <c r="O20" s="1051"/>
      <c r="P20" s="1049"/>
      <c r="Q20" s="1051"/>
      <c r="R20" s="1049"/>
      <c r="S20" s="1051"/>
      <c r="T20" s="1049"/>
      <c r="U20" s="1051"/>
      <c r="V20" s="1049"/>
      <c r="W20" s="1051"/>
      <c r="X20" s="1049"/>
      <c r="Y20" s="1051"/>
      <c r="Z20" s="1052"/>
      <c r="AA20" s="1051"/>
      <c r="AB20" s="1049"/>
    </row>
    <row r="21" spans="1:49" ht="15.75" thickBot="1" x14ac:dyDescent="0.3">
      <c r="A21" s="1053"/>
      <c r="B21" s="1054"/>
      <c r="C21" s="1055"/>
      <c r="D21" s="1054"/>
      <c r="E21" s="1056"/>
      <c r="F21" s="1054"/>
      <c r="G21" s="1056"/>
      <c r="H21" s="1054"/>
      <c r="I21" s="1056"/>
      <c r="J21" s="1054"/>
      <c r="K21" s="1056"/>
      <c r="L21" s="1054"/>
      <c r="M21" s="1056"/>
      <c r="N21" s="1054"/>
      <c r="O21" s="1056"/>
      <c r="P21" s="1054"/>
      <c r="Q21" s="1056"/>
      <c r="R21" s="1054"/>
      <c r="S21" s="1056"/>
      <c r="T21" s="1054"/>
      <c r="U21" s="1056"/>
      <c r="V21" s="1054"/>
      <c r="W21" s="1056"/>
      <c r="X21" s="1054"/>
      <c r="Y21" s="1056"/>
      <c r="Z21" s="1057"/>
      <c r="AA21" s="1056"/>
      <c r="AB21" s="1054"/>
    </row>
    <row r="22" spans="1:49" ht="15.75" customHeight="1" x14ac:dyDescent="0.25">
      <c r="A22" s="1058" t="s">
        <v>377</v>
      </c>
      <c r="B22" s="1059">
        <f>Hipótesis!C52</f>
        <v>2500</v>
      </c>
      <c r="C22" s="1060">
        <v>550</v>
      </c>
      <c r="D22" s="1059">
        <f t="shared" ref="D22:D25" si="0">B22*C22</f>
        <v>1375000</v>
      </c>
      <c r="E22" s="1061">
        <f>C22*$E$17</f>
        <v>44</v>
      </c>
      <c r="F22" s="1059">
        <f>D22*$E$17</f>
        <v>110000</v>
      </c>
      <c r="G22" s="1061">
        <f>C22*$G$17</f>
        <v>55</v>
      </c>
      <c r="H22" s="1059">
        <f>D22*$G$17</f>
        <v>137500</v>
      </c>
      <c r="I22" s="1061">
        <f>C22*$I$17</f>
        <v>44</v>
      </c>
      <c r="J22" s="1059">
        <f>D22*$I$17</f>
        <v>110000</v>
      </c>
      <c r="K22" s="1061">
        <f>C22*$K$17</f>
        <v>38.500000000000007</v>
      </c>
      <c r="L22" s="1059">
        <f>D22*$K$17</f>
        <v>96250.000000000015</v>
      </c>
      <c r="M22" s="1061">
        <f>C22*$M$17</f>
        <v>33</v>
      </c>
      <c r="N22" s="1059">
        <f>D22*$M$17</f>
        <v>82500</v>
      </c>
      <c r="O22" s="1061">
        <f>C22*$O$17</f>
        <v>22</v>
      </c>
      <c r="P22" s="1059">
        <f>D22*$O$17</f>
        <v>55000</v>
      </c>
      <c r="Q22" s="1061">
        <f>C22*$Q$17</f>
        <v>49.5</v>
      </c>
      <c r="R22" s="1059">
        <f>D22*$Q$17</f>
        <v>123750</v>
      </c>
      <c r="S22" s="1061">
        <f>C22*$S$17</f>
        <v>27.5</v>
      </c>
      <c r="T22" s="1059">
        <f>D22*$S$17</f>
        <v>68750</v>
      </c>
      <c r="U22" s="1061">
        <f>C22*$U$17</f>
        <v>49.5</v>
      </c>
      <c r="V22" s="1059">
        <f>D22*$U$17</f>
        <v>123750</v>
      </c>
      <c r="W22" s="1061">
        <f>C22*$W$17</f>
        <v>55</v>
      </c>
      <c r="X22" s="1059">
        <f>D22*$W$17</f>
        <v>137500</v>
      </c>
      <c r="Y22" s="1061">
        <f>C22*$Y$17</f>
        <v>60.5</v>
      </c>
      <c r="Z22" s="1062">
        <f>D22*$Y$17</f>
        <v>151250</v>
      </c>
      <c r="AA22" s="1061">
        <f>C22*$AA$17</f>
        <v>71.5</v>
      </c>
      <c r="AB22" s="1059">
        <f>D22*$AA$17</f>
        <v>178750</v>
      </c>
    </row>
    <row r="23" spans="1:49" x14ac:dyDescent="0.25">
      <c r="A23" s="1063"/>
      <c r="B23" s="1064"/>
      <c r="C23" s="1065"/>
      <c r="D23" s="1064"/>
      <c r="E23" s="1066"/>
      <c r="F23" s="1064"/>
      <c r="G23" s="1066"/>
      <c r="H23" s="1064"/>
      <c r="I23" s="1066"/>
      <c r="J23" s="1064"/>
      <c r="K23" s="1066"/>
      <c r="L23" s="1064"/>
      <c r="M23" s="1066"/>
      <c r="N23" s="1064"/>
      <c r="O23" s="1066"/>
      <c r="P23" s="1064"/>
      <c r="Q23" s="1066"/>
      <c r="R23" s="1064"/>
      <c r="S23" s="1066"/>
      <c r="T23" s="1064"/>
      <c r="U23" s="1066"/>
      <c r="V23" s="1064"/>
      <c r="W23" s="1066"/>
      <c r="X23" s="1064"/>
      <c r="Y23" s="1066"/>
      <c r="Z23" s="1067"/>
      <c r="AA23" s="1066"/>
      <c r="AB23" s="1064"/>
    </row>
    <row r="24" spans="1:49" ht="15.75" thickBot="1" x14ac:dyDescent="0.3">
      <c r="A24" s="1068"/>
      <c r="B24" s="1069"/>
      <c r="C24" s="1070"/>
      <c r="D24" s="1069"/>
      <c r="E24" s="1071"/>
      <c r="F24" s="1069"/>
      <c r="G24" s="1071"/>
      <c r="H24" s="1069"/>
      <c r="I24" s="1071"/>
      <c r="J24" s="1069"/>
      <c r="K24" s="1071"/>
      <c r="L24" s="1069"/>
      <c r="M24" s="1071"/>
      <c r="N24" s="1069"/>
      <c r="O24" s="1071"/>
      <c r="P24" s="1069"/>
      <c r="Q24" s="1071"/>
      <c r="R24" s="1069"/>
      <c r="S24" s="1071"/>
      <c r="T24" s="1069"/>
      <c r="U24" s="1071"/>
      <c r="V24" s="1069"/>
      <c r="W24" s="1071"/>
      <c r="X24" s="1069"/>
      <c r="Y24" s="1071"/>
      <c r="Z24" s="1072"/>
      <c r="AA24" s="1071"/>
      <c r="AB24" s="1069"/>
    </row>
    <row r="25" spans="1:49" ht="15.75" customHeight="1" x14ac:dyDescent="0.25">
      <c r="A25" s="1073" t="s">
        <v>378</v>
      </c>
      <c r="B25" s="1074">
        <f>Hipótesis!C55</f>
        <v>4000</v>
      </c>
      <c r="C25" s="1075">
        <v>770</v>
      </c>
      <c r="D25" s="1074">
        <f t="shared" si="0"/>
        <v>3080000</v>
      </c>
      <c r="E25" s="1076">
        <f>C25*$E$17</f>
        <v>61.6</v>
      </c>
      <c r="F25" s="1074">
        <f>D25*$E$17</f>
        <v>246400</v>
      </c>
      <c r="G25" s="1076">
        <f>C25*$G$17</f>
        <v>77</v>
      </c>
      <c r="H25" s="1074">
        <f>D25*$G$17</f>
        <v>308000</v>
      </c>
      <c r="I25" s="1076">
        <f>C25*$I$17</f>
        <v>61.6</v>
      </c>
      <c r="J25" s="1074">
        <f>D25*$I$17</f>
        <v>246400</v>
      </c>
      <c r="K25" s="1076">
        <f>C25*$K$17</f>
        <v>53.900000000000006</v>
      </c>
      <c r="L25" s="1074">
        <f>D25*$K$17</f>
        <v>215600.00000000003</v>
      </c>
      <c r="M25" s="1076">
        <f>C25*$M$17</f>
        <v>46.199999999999996</v>
      </c>
      <c r="N25" s="1074">
        <f>D25*$M$17</f>
        <v>184800</v>
      </c>
      <c r="O25" s="1076">
        <f>C25*$O$17</f>
        <v>30.8</v>
      </c>
      <c r="P25" s="1074">
        <f>D25*$O$17</f>
        <v>123200</v>
      </c>
      <c r="Q25" s="1076">
        <f>C25*$Q$17</f>
        <v>69.3</v>
      </c>
      <c r="R25" s="1074">
        <f>D25*$Q$17</f>
        <v>277200</v>
      </c>
      <c r="S25" s="1076">
        <f>C25*$S$17</f>
        <v>38.5</v>
      </c>
      <c r="T25" s="1074">
        <f>D25*$S$17</f>
        <v>154000</v>
      </c>
      <c r="U25" s="1076">
        <f>C25*$U$17</f>
        <v>69.3</v>
      </c>
      <c r="V25" s="1074">
        <f>D25*$U$17</f>
        <v>277200</v>
      </c>
      <c r="W25" s="1076">
        <f>C25*$W$17</f>
        <v>77</v>
      </c>
      <c r="X25" s="1074">
        <f>D25*$W$17</f>
        <v>308000</v>
      </c>
      <c r="Y25" s="1076">
        <f>C25*$Y$17</f>
        <v>84.7</v>
      </c>
      <c r="Z25" s="1077">
        <f>D25*$Y$17</f>
        <v>338800</v>
      </c>
      <c r="AA25" s="1076">
        <f>C25*$AA$17</f>
        <v>100.10000000000001</v>
      </c>
      <c r="AB25" s="1074">
        <f>D25*$AA$17</f>
        <v>400400</v>
      </c>
    </row>
    <row r="26" spans="1:49" ht="15.75" customHeight="1" x14ac:dyDescent="0.25">
      <c r="A26" s="1078"/>
      <c r="B26" s="1079"/>
      <c r="C26" s="1080"/>
      <c r="D26" s="1079"/>
      <c r="E26" s="1081"/>
      <c r="F26" s="1079"/>
      <c r="G26" s="1081"/>
      <c r="H26" s="1079"/>
      <c r="I26" s="1081"/>
      <c r="J26" s="1079"/>
      <c r="K26" s="1081"/>
      <c r="L26" s="1079"/>
      <c r="M26" s="1081"/>
      <c r="N26" s="1079"/>
      <c r="O26" s="1081"/>
      <c r="P26" s="1079"/>
      <c r="Q26" s="1081"/>
      <c r="R26" s="1079"/>
      <c r="S26" s="1081"/>
      <c r="T26" s="1079"/>
      <c r="U26" s="1081"/>
      <c r="V26" s="1079"/>
      <c r="W26" s="1081"/>
      <c r="X26" s="1079"/>
      <c r="Y26" s="1081"/>
      <c r="Z26" s="1082"/>
      <c r="AA26" s="1081"/>
      <c r="AB26" s="1079"/>
    </row>
    <row r="27" spans="1:49" ht="16.5" customHeight="1" thickBot="1" x14ac:dyDescent="0.3">
      <c r="A27" s="1083"/>
      <c r="B27" s="1084"/>
      <c r="C27" s="1085"/>
      <c r="D27" s="1084"/>
      <c r="E27" s="1086"/>
      <c r="F27" s="1087"/>
      <c r="G27" s="1086"/>
      <c r="H27" s="1087"/>
      <c r="I27" s="1086"/>
      <c r="J27" s="1087"/>
      <c r="K27" s="1086"/>
      <c r="L27" s="1087"/>
      <c r="M27" s="1086"/>
      <c r="N27" s="1087"/>
      <c r="O27" s="1086"/>
      <c r="P27" s="1087"/>
      <c r="Q27" s="1086"/>
      <c r="R27" s="1087"/>
      <c r="S27" s="1086"/>
      <c r="T27" s="1087"/>
      <c r="U27" s="1086"/>
      <c r="V27" s="1087"/>
      <c r="W27" s="1086"/>
      <c r="X27" s="1087"/>
      <c r="Y27" s="1086"/>
      <c r="Z27" s="1088"/>
      <c r="AA27" s="1086"/>
      <c r="AB27" s="1087"/>
    </row>
    <row r="28" spans="1:49" ht="15.75" x14ac:dyDescent="0.25">
      <c r="A28" s="773" t="s">
        <v>104</v>
      </c>
      <c r="B28" s="774"/>
      <c r="C28" s="238"/>
      <c r="D28" s="239">
        <f>SUM(D19:D27)</f>
        <v>5625000</v>
      </c>
      <c r="E28" s="203"/>
      <c r="F28" s="204">
        <f>SUM(F19:F27)</f>
        <v>450000</v>
      </c>
      <c r="G28" s="203"/>
      <c r="H28" s="204">
        <f>SUM(H19:H27)</f>
        <v>562500</v>
      </c>
      <c r="I28" s="203"/>
      <c r="J28" s="204">
        <f>SUM(J19:J27)</f>
        <v>450000</v>
      </c>
      <c r="K28" s="203"/>
      <c r="L28" s="204">
        <f>SUM(L19:L27)</f>
        <v>393750.00000000006</v>
      </c>
      <c r="M28" s="203"/>
      <c r="N28" s="204">
        <f>SUM(N19:N27)</f>
        <v>337500</v>
      </c>
      <c r="O28" s="203"/>
      <c r="P28" s="204">
        <f>SUM(P19:P27)</f>
        <v>225000</v>
      </c>
      <c r="Q28" s="203"/>
      <c r="R28" s="204">
        <f>SUM(R19:R27)</f>
        <v>506250</v>
      </c>
      <c r="S28" s="203"/>
      <c r="T28" s="204">
        <f>SUM(T19:T27)</f>
        <v>281250</v>
      </c>
      <c r="U28" s="203"/>
      <c r="V28" s="204">
        <f>SUM(V19:V27)</f>
        <v>506250</v>
      </c>
      <c r="W28" s="203"/>
      <c r="X28" s="204">
        <f>SUM(X19:X27)</f>
        <v>562500</v>
      </c>
      <c r="Y28" s="203"/>
      <c r="Z28" s="204">
        <f>SUM(Z19:Z27)</f>
        <v>618750</v>
      </c>
      <c r="AA28" s="203"/>
      <c r="AB28" s="204">
        <f>SUM(AB19:AB27)</f>
        <v>731250</v>
      </c>
      <c r="AC28" s="43"/>
    </row>
    <row r="29" spans="1:49" ht="15.75" thickBot="1" x14ac:dyDescent="0.3">
      <c r="D29" s="35"/>
      <c r="I29" s="41"/>
      <c r="J29" s="41"/>
      <c r="K29" s="41"/>
      <c r="L29" s="41"/>
      <c r="N29" s="41"/>
      <c r="O29" s="41"/>
      <c r="P29" s="41"/>
      <c r="Q29" s="41"/>
      <c r="R29" s="41"/>
      <c r="S29" s="41"/>
      <c r="T29" s="41"/>
      <c r="U29" s="41"/>
      <c r="V29" s="41"/>
      <c r="W29" s="41"/>
      <c r="X29" s="41"/>
      <c r="Y29" s="41"/>
      <c r="Z29" s="41"/>
      <c r="AB29" s="41"/>
    </row>
    <row r="30" spans="1:49" ht="27" thickBot="1" x14ac:dyDescent="0.45">
      <c r="A30" s="691" t="s">
        <v>380</v>
      </c>
      <c r="B30" s="692"/>
      <c r="C30" s="692"/>
      <c r="D30" s="692"/>
      <c r="E30" s="692"/>
      <c r="F30" s="692"/>
      <c r="G30" s="692"/>
      <c r="H30" s="692"/>
      <c r="I30" s="692"/>
      <c r="J30" s="692"/>
      <c r="K30" s="692"/>
      <c r="L30" s="692"/>
      <c r="M30" s="692"/>
      <c r="N30" s="692"/>
      <c r="O30" s="692"/>
      <c r="P30" s="692"/>
      <c r="Q30" s="692"/>
      <c r="R30" s="692"/>
      <c r="S30" s="692"/>
      <c r="T30" s="692"/>
      <c r="U30" s="692"/>
      <c r="V30" s="692"/>
      <c r="W30" s="692"/>
      <c r="X30" s="692"/>
      <c r="Y30" s="692"/>
      <c r="Z30" s="692"/>
      <c r="AA30" s="692"/>
      <c r="AB30" s="693"/>
    </row>
    <row r="31" spans="1:49" ht="184.5" customHeight="1" thickBot="1" x14ac:dyDescent="0.3">
      <c r="A31" s="158" t="s">
        <v>73</v>
      </c>
      <c r="B31" s="679" t="s">
        <v>248</v>
      </c>
      <c r="C31" s="680"/>
      <c r="D31" s="680"/>
      <c r="E31" s="680"/>
      <c r="F31" s="680"/>
      <c r="G31" s="680"/>
      <c r="H31" s="680"/>
      <c r="I31" s="680"/>
      <c r="J31" s="680"/>
      <c r="K31" s="680"/>
      <c r="L31" s="680"/>
      <c r="M31" s="680"/>
      <c r="N31" s="680"/>
      <c r="O31" s="680"/>
      <c r="P31" s="680"/>
      <c r="Q31" s="680"/>
      <c r="R31" s="680"/>
      <c r="S31" s="680"/>
      <c r="T31" s="680"/>
      <c r="U31" s="680"/>
      <c r="V31" s="680"/>
      <c r="W31" s="680"/>
      <c r="X31" s="680"/>
      <c r="Y31" s="680"/>
      <c r="Z31" s="680"/>
      <c r="AA31" s="680"/>
      <c r="AB31" s="681"/>
    </row>
    <row r="32" spans="1:49" ht="21.75" thickBot="1" x14ac:dyDescent="0.4">
      <c r="A32" s="736" t="s">
        <v>64</v>
      </c>
      <c r="B32" s="737"/>
      <c r="C32" s="716" t="s">
        <v>65</v>
      </c>
      <c r="D32" s="717"/>
      <c r="E32" s="734" t="s">
        <v>66</v>
      </c>
      <c r="F32" s="734"/>
      <c r="G32" s="734"/>
      <c r="H32" s="734"/>
      <c r="I32" s="734"/>
      <c r="J32" s="734"/>
      <c r="K32" s="734"/>
      <c r="L32" s="734"/>
      <c r="M32" s="734"/>
      <c r="N32" s="734"/>
      <c r="O32" s="734"/>
      <c r="P32" s="734"/>
      <c r="Q32" s="734"/>
      <c r="R32" s="734"/>
      <c r="S32" s="734"/>
      <c r="T32" s="734"/>
      <c r="U32" s="734"/>
      <c r="V32" s="734"/>
      <c r="W32" s="734"/>
      <c r="X32" s="734"/>
      <c r="Y32" s="734"/>
      <c r="Z32" s="734"/>
      <c r="AA32" s="734"/>
      <c r="AB32" s="735"/>
    </row>
    <row r="33" spans="1:28" ht="15.75" thickBot="1" x14ac:dyDescent="0.3">
      <c r="A33" s="694"/>
      <c r="B33" s="695"/>
      <c r="C33" s="142" t="s">
        <v>60</v>
      </c>
      <c r="D33" s="143" t="s">
        <v>64</v>
      </c>
      <c r="E33" s="696" t="s">
        <v>40</v>
      </c>
      <c r="F33" s="697"/>
      <c r="G33" s="698" t="s">
        <v>41</v>
      </c>
      <c r="H33" s="697"/>
      <c r="I33" s="698" t="s">
        <v>42</v>
      </c>
      <c r="J33" s="697"/>
      <c r="K33" s="698" t="s">
        <v>43</v>
      </c>
      <c r="L33" s="697"/>
      <c r="M33" s="698" t="s">
        <v>44</v>
      </c>
      <c r="N33" s="697"/>
      <c r="O33" s="698" t="s">
        <v>45</v>
      </c>
      <c r="P33" s="697"/>
      <c r="Q33" s="698" t="s">
        <v>46</v>
      </c>
      <c r="R33" s="697"/>
      <c r="S33" s="698" t="s">
        <v>47</v>
      </c>
      <c r="T33" s="697"/>
      <c r="U33" s="698" t="s">
        <v>48</v>
      </c>
      <c r="V33" s="697"/>
      <c r="W33" s="698" t="s">
        <v>49</v>
      </c>
      <c r="X33" s="697"/>
      <c r="Y33" s="698" t="s">
        <v>50</v>
      </c>
      <c r="Z33" s="697"/>
      <c r="AA33" s="698" t="s">
        <v>51</v>
      </c>
      <c r="AB33" s="697"/>
    </row>
    <row r="34" spans="1:28" x14ac:dyDescent="0.25">
      <c r="A34" s="738" t="s">
        <v>63</v>
      </c>
      <c r="B34" s="739"/>
      <c r="C34" s="144">
        <v>1</v>
      </c>
      <c r="D34" s="145"/>
      <c r="E34" s="724"/>
      <c r="F34" s="714"/>
      <c r="G34" s="714"/>
      <c r="H34" s="714"/>
      <c r="I34" s="714"/>
      <c r="J34" s="714"/>
      <c r="K34" s="714"/>
      <c r="L34" s="714"/>
      <c r="M34" s="714"/>
      <c r="N34" s="714"/>
      <c r="O34" s="714"/>
      <c r="P34" s="714"/>
      <c r="Q34" s="714"/>
      <c r="R34" s="714"/>
      <c r="S34" s="714"/>
      <c r="T34" s="714"/>
      <c r="U34" s="714"/>
      <c r="V34" s="714"/>
      <c r="W34" s="714"/>
      <c r="X34" s="714"/>
      <c r="Y34" s="714"/>
      <c r="Z34" s="714"/>
      <c r="AA34" s="714" t="s">
        <v>67</v>
      </c>
      <c r="AB34" s="731"/>
    </row>
    <row r="35" spans="1:28" x14ac:dyDescent="0.25">
      <c r="A35" s="740"/>
      <c r="B35" s="741"/>
      <c r="C35" s="149">
        <v>1</v>
      </c>
      <c r="D35" s="150"/>
      <c r="E35" s="728"/>
      <c r="F35" s="713"/>
      <c r="G35" s="713"/>
      <c r="H35" s="713"/>
      <c r="I35" s="713"/>
      <c r="J35" s="713"/>
      <c r="K35" s="713"/>
      <c r="L35" s="713"/>
      <c r="M35" s="713"/>
      <c r="N35" s="713"/>
      <c r="O35" s="713"/>
      <c r="P35" s="713"/>
      <c r="Q35" s="713"/>
      <c r="R35" s="713"/>
      <c r="S35" s="713"/>
      <c r="T35" s="713"/>
      <c r="U35" s="713"/>
      <c r="V35" s="713"/>
      <c r="W35" s="713"/>
      <c r="X35" s="713"/>
      <c r="Y35" s="713"/>
      <c r="Z35" s="713"/>
      <c r="AA35" s="713" t="s">
        <v>67</v>
      </c>
      <c r="AB35" s="732"/>
    </row>
    <row r="36" spans="1:28" x14ac:dyDescent="0.25">
      <c r="A36" s="740"/>
      <c r="B36" s="741"/>
      <c r="C36" s="146">
        <v>0</v>
      </c>
      <c r="D36" s="147"/>
      <c r="E36" s="728"/>
      <c r="F36" s="713"/>
      <c r="G36" s="713"/>
      <c r="H36" s="713"/>
      <c r="I36" s="713"/>
      <c r="J36" s="713"/>
      <c r="K36" s="713"/>
      <c r="L36" s="713"/>
      <c r="M36" s="713"/>
      <c r="N36" s="713"/>
      <c r="O36" s="713"/>
      <c r="P36" s="713"/>
      <c r="Q36" s="713"/>
      <c r="R36" s="713"/>
      <c r="S36" s="713"/>
      <c r="T36" s="713"/>
      <c r="U36" s="713"/>
      <c r="V36" s="713"/>
      <c r="W36" s="713"/>
      <c r="X36" s="713"/>
      <c r="Y36" s="713"/>
      <c r="Z36" s="713"/>
      <c r="AA36" s="713" t="s">
        <v>67</v>
      </c>
      <c r="AB36" s="732"/>
    </row>
    <row r="37" spans="1:28" x14ac:dyDescent="0.25">
      <c r="A37" s="740"/>
      <c r="B37" s="741"/>
      <c r="C37" s="141">
        <v>0</v>
      </c>
      <c r="D37" s="137"/>
      <c r="E37" s="728"/>
      <c r="F37" s="713"/>
      <c r="G37" s="713"/>
      <c r="H37" s="713"/>
      <c r="I37" s="713"/>
      <c r="J37" s="713"/>
      <c r="K37" s="713"/>
      <c r="L37" s="713"/>
      <c r="M37" s="713"/>
      <c r="N37" s="713"/>
      <c r="O37" s="713"/>
      <c r="P37" s="713"/>
      <c r="Q37" s="713"/>
      <c r="R37" s="713"/>
      <c r="S37" s="713"/>
      <c r="T37" s="713"/>
      <c r="U37" s="713"/>
      <c r="V37" s="713"/>
      <c r="W37" s="713"/>
      <c r="X37" s="713"/>
      <c r="Y37" s="713"/>
      <c r="Z37" s="713"/>
      <c r="AA37" s="713" t="s">
        <v>67</v>
      </c>
      <c r="AB37" s="732"/>
    </row>
    <row r="38" spans="1:28" x14ac:dyDescent="0.25">
      <c r="A38" s="740"/>
      <c r="B38" s="741"/>
      <c r="C38" s="141">
        <v>0</v>
      </c>
      <c r="D38" s="137"/>
      <c r="E38" s="728"/>
      <c r="F38" s="713"/>
      <c r="G38" s="713"/>
      <c r="H38" s="713"/>
      <c r="I38" s="713"/>
      <c r="J38" s="713"/>
      <c r="K38" s="713"/>
      <c r="L38" s="713"/>
      <c r="M38" s="713"/>
      <c r="N38" s="713"/>
      <c r="O38" s="713"/>
      <c r="P38" s="713"/>
      <c r="Q38" s="713"/>
      <c r="R38" s="713"/>
      <c r="S38" s="713"/>
      <c r="T38" s="713"/>
      <c r="U38" s="713"/>
      <c r="V38" s="713"/>
      <c r="W38" s="713"/>
      <c r="X38" s="713"/>
      <c r="Y38" s="713"/>
      <c r="Z38" s="713"/>
      <c r="AA38" s="713" t="s">
        <v>67</v>
      </c>
      <c r="AB38" s="732"/>
    </row>
    <row r="39" spans="1:28" x14ac:dyDescent="0.25">
      <c r="A39" s="740"/>
      <c r="B39" s="741"/>
      <c r="C39" s="141">
        <v>0</v>
      </c>
      <c r="D39" s="137"/>
      <c r="E39" s="728"/>
      <c r="F39" s="713"/>
      <c r="G39" s="713"/>
      <c r="H39" s="713"/>
      <c r="I39" s="713"/>
      <c r="J39" s="713"/>
      <c r="K39" s="713"/>
      <c r="L39" s="713"/>
      <c r="M39" s="713"/>
      <c r="N39" s="713"/>
      <c r="O39" s="713"/>
      <c r="P39" s="713"/>
      <c r="Q39" s="713"/>
      <c r="R39" s="713"/>
      <c r="S39" s="713"/>
      <c r="T39" s="713"/>
      <c r="U39" s="713"/>
      <c r="V39" s="713"/>
      <c r="W39" s="713"/>
      <c r="X39" s="713"/>
      <c r="Y39" s="713"/>
      <c r="Z39" s="713"/>
      <c r="AA39" s="713" t="s">
        <v>67</v>
      </c>
      <c r="AB39" s="732"/>
    </row>
    <row r="40" spans="1:28" x14ac:dyDescent="0.25">
      <c r="A40" s="740"/>
      <c r="B40" s="741"/>
      <c r="C40" s="141">
        <v>0</v>
      </c>
      <c r="D40" s="137"/>
      <c r="E40" s="728"/>
      <c r="F40" s="713"/>
      <c r="G40" s="713"/>
      <c r="H40" s="713"/>
      <c r="I40" s="713"/>
      <c r="J40" s="713"/>
      <c r="K40" s="713"/>
      <c r="L40" s="713"/>
      <c r="M40" s="713"/>
      <c r="N40" s="713"/>
      <c r="O40" s="713"/>
      <c r="P40" s="713"/>
      <c r="Q40" s="713"/>
      <c r="R40" s="713"/>
      <c r="S40" s="713"/>
      <c r="T40" s="713"/>
      <c r="U40" s="713"/>
      <c r="V40" s="713"/>
      <c r="W40" s="713"/>
      <c r="X40" s="713"/>
      <c r="Y40" s="713"/>
      <c r="Z40" s="713"/>
      <c r="AA40" s="713" t="s">
        <v>67</v>
      </c>
      <c r="AB40" s="732"/>
    </row>
    <row r="41" spans="1:28" x14ac:dyDescent="0.25">
      <c r="A41" s="740"/>
      <c r="B41" s="741"/>
      <c r="C41" s="149">
        <v>1</v>
      </c>
      <c r="D41" s="150"/>
      <c r="E41" s="728"/>
      <c r="F41" s="713"/>
      <c r="G41" s="713"/>
      <c r="H41" s="713"/>
      <c r="I41" s="713"/>
      <c r="J41" s="713"/>
      <c r="K41" s="713"/>
      <c r="L41" s="713"/>
      <c r="M41" s="713"/>
      <c r="N41" s="713"/>
      <c r="O41" s="713"/>
      <c r="P41" s="713"/>
      <c r="Q41" s="713"/>
      <c r="R41" s="713"/>
      <c r="S41" s="713"/>
      <c r="T41" s="713"/>
      <c r="U41" s="713"/>
      <c r="V41" s="713"/>
      <c r="W41" s="713"/>
      <c r="X41" s="713"/>
      <c r="Y41" s="713"/>
      <c r="Z41" s="713"/>
      <c r="AA41" s="713" t="s">
        <v>67</v>
      </c>
      <c r="AB41" s="732"/>
    </row>
    <row r="42" spans="1:28" x14ac:dyDescent="0.25">
      <c r="A42" s="740"/>
      <c r="B42" s="741"/>
      <c r="C42" s="141">
        <v>0</v>
      </c>
      <c r="D42" s="137"/>
      <c r="E42" s="728"/>
      <c r="F42" s="713"/>
      <c r="G42" s="713"/>
      <c r="H42" s="713"/>
      <c r="I42" s="713"/>
      <c r="J42" s="713"/>
      <c r="K42" s="713"/>
      <c r="L42" s="713"/>
      <c r="M42" s="713"/>
      <c r="N42" s="713"/>
      <c r="O42" s="713"/>
      <c r="P42" s="713"/>
      <c r="Q42" s="713"/>
      <c r="R42" s="713"/>
      <c r="S42" s="713"/>
      <c r="T42" s="713"/>
      <c r="U42" s="713"/>
      <c r="V42" s="713"/>
      <c r="W42" s="713"/>
      <c r="X42" s="713"/>
      <c r="Y42" s="713"/>
      <c r="Z42" s="713"/>
      <c r="AA42" s="713" t="s">
        <v>67</v>
      </c>
      <c r="AB42" s="732"/>
    </row>
    <row r="43" spans="1:28" x14ac:dyDescent="0.25">
      <c r="A43" s="740"/>
      <c r="B43" s="741"/>
      <c r="C43" s="149">
        <v>1</v>
      </c>
      <c r="D43" s="150"/>
      <c r="E43" s="728"/>
      <c r="F43" s="713"/>
      <c r="G43" s="713"/>
      <c r="H43" s="713"/>
      <c r="I43" s="713"/>
      <c r="J43" s="713"/>
      <c r="K43" s="713"/>
      <c r="L43" s="713"/>
      <c r="M43" s="713"/>
      <c r="N43" s="713"/>
      <c r="O43" s="713"/>
      <c r="P43" s="713"/>
      <c r="Q43" s="713"/>
      <c r="R43" s="713"/>
      <c r="S43" s="713"/>
      <c r="T43" s="713"/>
      <c r="U43" s="713"/>
      <c r="V43" s="713"/>
      <c r="W43" s="713"/>
      <c r="X43" s="713"/>
      <c r="Y43" s="713"/>
      <c r="Z43" s="713"/>
      <c r="AA43" s="713" t="s">
        <v>67</v>
      </c>
      <c r="AB43" s="732"/>
    </row>
    <row r="44" spans="1:28" x14ac:dyDescent="0.25">
      <c r="A44" s="740"/>
      <c r="B44" s="741"/>
      <c r="C44" s="149">
        <v>1</v>
      </c>
      <c r="D44" s="150"/>
      <c r="E44" s="728"/>
      <c r="F44" s="713"/>
      <c r="G44" s="713"/>
      <c r="H44" s="713"/>
      <c r="I44" s="713"/>
      <c r="J44" s="713"/>
      <c r="K44" s="713"/>
      <c r="L44" s="713"/>
      <c r="M44" s="713"/>
      <c r="N44" s="713"/>
      <c r="O44" s="713"/>
      <c r="P44" s="713"/>
      <c r="Q44" s="713"/>
      <c r="R44" s="713"/>
      <c r="S44" s="713"/>
      <c r="T44" s="713"/>
      <c r="U44" s="713"/>
      <c r="V44" s="713"/>
      <c r="W44" s="713"/>
      <c r="X44" s="713"/>
      <c r="Y44" s="713"/>
      <c r="Z44" s="713"/>
      <c r="AA44" s="713" t="s">
        <v>67</v>
      </c>
      <c r="AB44" s="732"/>
    </row>
    <row r="45" spans="1:28" x14ac:dyDescent="0.25">
      <c r="A45" s="740"/>
      <c r="B45" s="741"/>
      <c r="C45" s="141">
        <v>0</v>
      </c>
      <c r="D45" s="137"/>
      <c r="E45" s="728"/>
      <c r="F45" s="713"/>
      <c r="G45" s="713"/>
      <c r="H45" s="713"/>
      <c r="I45" s="713"/>
      <c r="J45" s="713"/>
      <c r="K45" s="713"/>
      <c r="L45" s="713"/>
      <c r="M45" s="713"/>
      <c r="N45" s="713"/>
      <c r="O45" s="713"/>
      <c r="P45" s="713"/>
      <c r="Q45" s="713"/>
      <c r="R45" s="713"/>
      <c r="S45" s="713"/>
      <c r="T45" s="713"/>
      <c r="U45" s="713"/>
      <c r="V45" s="713"/>
      <c r="W45" s="713"/>
      <c r="X45" s="713"/>
      <c r="Y45" s="733" t="s">
        <v>78</v>
      </c>
      <c r="Z45" s="733"/>
      <c r="AA45" s="713" t="s">
        <v>67</v>
      </c>
      <c r="AB45" s="732"/>
    </row>
    <row r="46" spans="1:28" x14ac:dyDescent="0.25">
      <c r="A46" s="740"/>
      <c r="B46" s="741"/>
      <c r="C46" s="141">
        <v>0</v>
      </c>
      <c r="D46" s="137"/>
      <c r="E46" s="728"/>
      <c r="F46" s="713"/>
      <c r="G46" s="713"/>
      <c r="H46" s="713"/>
      <c r="I46" s="713"/>
      <c r="J46" s="713"/>
      <c r="K46" s="713"/>
      <c r="L46" s="713"/>
      <c r="M46" s="713"/>
      <c r="N46" s="713"/>
      <c r="O46" s="713"/>
      <c r="P46" s="713"/>
      <c r="Q46" s="713"/>
      <c r="R46" s="713"/>
      <c r="S46" s="713"/>
      <c r="T46" s="713"/>
      <c r="U46" s="713"/>
      <c r="V46" s="713"/>
      <c r="W46" s="713"/>
      <c r="X46" s="713"/>
      <c r="Y46" s="713"/>
      <c r="Z46" s="713"/>
      <c r="AA46" s="713" t="s">
        <v>67</v>
      </c>
      <c r="AB46" s="732"/>
    </row>
    <row r="47" spans="1:28" x14ac:dyDescent="0.25">
      <c r="A47" s="740"/>
      <c r="B47" s="741"/>
      <c r="C47" s="149">
        <v>1</v>
      </c>
      <c r="D47" s="150"/>
      <c r="E47" s="728"/>
      <c r="F47" s="713"/>
      <c r="G47" s="713"/>
      <c r="H47" s="713"/>
      <c r="I47" s="713"/>
      <c r="J47" s="713"/>
      <c r="K47" s="713"/>
      <c r="L47" s="713"/>
      <c r="M47" s="713"/>
      <c r="N47" s="713"/>
      <c r="O47" s="713"/>
      <c r="P47" s="713"/>
      <c r="Q47" s="713"/>
      <c r="R47" s="713"/>
      <c r="S47" s="713"/>
      <c r="T47" s="713"/>
      <c r="U47" s="713"/>
      <c r="V47" s="713"/>
      <c r="W47" s="713"/>
      <c r="X47" s="713"/>
      <c r="Y47" s="713"/>
      <c r="Z47" s="713"/>
      <c r="AA47" s="713" t="s">
        <v>67</v>
      </c>
      <c r="AB47" s="732"/>
    </row>
    <row r="48" spans="1:28" x14ac:dyDescent="0.25">
      <c r="A48" s="740"/>
      <c r="B48" s="741"/>
      <c r="C48" s="149">
        <v>1</v>
      </c>
      <c r="D48" s="150"/>
      <c r="E48" s="728"/>
      <c r="F48" s="713"/>
      <c r="G48" s="713"/>
      <c r="H48" s="713"/>
      <c r="I48" s="713"/>
      <c r="J48" s="713"/>
      <c r="K48" s="713"/>
      <c r="L48" s="713"/>
      <c r="M48" s="713"/>
      <c r="N48" s="713"/>
      <c r="O48" s="713"/>
      <c r="P48" s="713"/>
      <c r="Q48" s="713"/>
      <c r="R48" s="713"/>
      <c r="S48" s="713"/>
      <c r="T48" s="713"/>
      <c r="U48" s="713"/>
      <c r="V48" s="713"/>
      <c r="W48" s="713"/>
      <c r="X48" s="713"/>
      <c r="Y48" s="713"/>
      <c r="Z48" s="713"/>
      <c r="AA48" s="713" t="s">
        <v>67</v>
      </c>
      <c r="AB48" s="732"/>
    </row>
    <row r="49" spans="1:28" ht="30" customHeight="1" x14ac:dyDescent="0.25">
      <c r="A49" s="740"/>
      <c r="B49" s="741"/>
      <c r="C49" s="141">
        <v>0</v>
      </c>
      <c r="D49" s="137"/>
      <c r="E49" s="728"/>
      <c r="F49" s="713"/>
      <c r="G49" s="713"/>
      <c r="H49" s="713"/>
      <c r="I49" s="713"/>
      <c r="J49" s="713"/>
      <c r="K49" s="713"/>
      <c r="L49" s="713"/>
      <c r="M49" s="713"/>
      <c r="N49" s="713"/>
      <c r="O49" s="713"/>
      <c r="P49" s="713"/>
      <c r="Q49" s="713"/>
      <c r="R49" s="713"/>
      <c r="S49" s="713"/>
      <c r="T49" s="713"/>
      <c r="U49" s="713"/>
      <c r="V49" s="713"/>
      <c r="W49" s="713"/>
      <c r="X49" s="713"/>
      <c r="Y49" s="713"/>
      <c r="Z49" s="713"/>
      <c r="AA49" s="713" t="s">
        <v>67</v>
      </c>
      <c r="AB49" s="732"/>
    </row>
    <row r="50" spans="1:28" x14ac:dyDescent="0.25">
      <c r="A50" s="740"/>
      <c r="B50" s="741"/>
      <c r="C50" s="149">
        <v>2</v>
      </c>
      <c r="D50" s="150"/>
      <c r="E50" s="728"/>
      <c r="F50" s="713"/>
      <c r="G50" s="713"/>
      <c r="H50" s="713"/>
      <c r="I50" s="713"/>
      <c r="J50" s="713"/>
      <c r="K50" s="713"/>
      <c r="L50" s="713"/>
      <c r="M50" s="713"/>
      <c r="N50" s="713"/>
      <c r="O50" s="713"/>
      <c r="P50" s="713"/>
      <c r="Q50" s="713"/>
      <c r="R50" s="713"/>
      <c r="S50" s="713"/>
      <c r="T50" s="713"/>
      <c r="U50" s="713"/>
      <c r="V50" s="713"/>
      <c r="W50" s="713"/>
      <c r="X50" s="713"/>
      <c r="Y50" s="713"/>
      <c r="Z50" s="713"/>
      <c r="AA50" s="713" t="s">
        <v>67</v>
      </c>
      <c r="AB50" s="732"/>
    </row>
    <row r="51" spans="1:28" ht="29.25" customHeight="1" thickBot="1" x14ac:dyDescent="0.3">
      <c r="A51" s="742"/>
      <c r="B51" s="743"/>
      <c r="C51" s="151">
        <v>2</v>
      </c>
      <c r="D51" s="152"/>
      <c r="E51" s="729"/>
      <c r="F51" s="730"/>
      <c r="G51" s="730"/>
      <c r="H51" s="730"/>
      <c r="I51" s="730"/>
      <c r="J51" s="730"/>
      <c r="K51" s="730"/>
      <c r="L51" s="730"/>
      <c r="M51" s="730"/>
      <c r="N51" s="730"/>
      <c r="O51" s="730"/>
      <c r="P51" s="730"/>
      <c r="Q51" s="730"/>
      <c r="R51" s="730"/>
      <c r="S51" s="730"/>
      <c r="T51" s="730"/>
      <c r="U51" s="730"/>
      <c r="V51" s="730"/>
      <c r="W51" s="730"/>
      <c r="X51" s="730"/>
      <c r="Y51" s="730"/>
      <c r="Z51" s="730"/>
      <c r="AA51" s="730" t="s">
        <v>67</v>
      </c>
      <c r="AB51" s="744"/>
    </row>
    <row r="52" spans="1:28" x14ac:dyDescent="0.25">
      <c r="A52" s="718" t="s">
        <v>68</v>
      </c>
      <c r="B52" s="719"/>
      <c r="C52" s="144">
        <v>6</v>
      </c>
      <c r="D52" s="153"/>
      <c r="E52" s="724"/>
      <c r="F52" s="714"/>
      <c r="G52" s="714"/>
      <c r="H52" s="714"/>
      <c r="I52" s="714"/>
      <c r="J52" s="714"/>
      <c r="K52" s="714"/>
      <c r="L52" s="714"/>
      <c r="M52" s="714"/>
      <c r="N52" s="714"/>
      <c r="O52" s="714"/>
      <c r="P52" s="714"/>
      <c r="Q52" s="714"/>
      <c r="R52" s="714"/>
      <c r="S52" s="714"/>
      <c r="T52" s="714"/>
      <c r="U52" s="713"/>
      <c r="V52" s="713"/>
      <c r="W52" s="714"/>
      <c r="X52" s="714"/>
      <c r="Y52" s="733" t="s">
        <v>76</v>
      </c>
      <c r="Z52" s="733"/>
      <c r="AA52" s="714" t="s">
        <v>67</v>
      </c>
      <c r="AB52" s="731"/>
    </row>
    <row r="53" spans="1:28" x14ac:dyDescent="0.25">
      <c r="A53" s="720"/>
      <c r="B53" s="721"/>
      <c r="C53" s="149">
        <v>2</v>
      </c>
      <c r="D53" s="150"/>
      <c r="E53" s="728"/>
      <c r="F53" s="713"/>
      <c r="G53" s="713"/>
      <c r="H53" s="713"/>
      <c r="I53" s="713"/>
      <c r="J53" s="713"/>
      <c r="K53" s="713"/>
      <c r="L53" s="713"/>
      <c r="M53" s="713"/>
      <c r="N53" s="713"/>
      <c r="O53" s="713"/>
      <c r="P53" s="713"/>
      <c r="Q53" s="713"/>
      <c r="R53" s="713"/>
      <c r="S53" s="713"/>
      <c r="T53" s="713"/>
      <c r="U53" s="713"/>
      <c r="V53" s="713"/>
      <c r="W53" s="713"/>
      <c r="X53" s="713"/>
      <c r="Y53" s="713"/>
      <c r="Z53" s="713"/>
      <c r="AA53" s="713" t="s">
        <v>67</v>
      </c>
      <c r="AB53" s="732"/>
    </row>
    <row r="54" spans="1:28" x14ac:dyDescent="0.25">
      <c r="A54" s="720"/>
      <c r="B54" s="721"/>
      <c r="C54" s="149">
        <v>8</v>
      </c>
      <c r="D54" s="150"/>
      <c r="E54" s="728"/>
      <c r="F54" s="713"/>
      <c r="G54" s="713"/>
      <c r="H54" s="713"/>
      <c r="I54" s="713"/>
      <c r="J54" s="713"/>
      <c r="K54" s="713"/>
      <c r="L54" s="713"/>
      <c r="M54" s="713"/>
      <c r="N54" s="713"/>
      <c r="O54" s="713"/>
      <c r="P54" s="713"/>
      <c r="Q54" s="713"/>
      <c r="R54" s="713"/>
      <c r="S54" s="713"/>
      <c r="T54" s="713"/>
      <c r="U54" s="713"/>
      <c r="V54" s="713"/>
      <c r="W54" s="713"/>
      <c r="X54" s="713"/>
      <c r="Y54" s="733" t="s">
        <v>77</v>
      </c>
      <c r="Z54" s="733"/>
      <c r="AA54" s="713" t="s">
        <v>67</v>
      </c>
      <c r="AB54" s="732"/>
    </row>
    <row r="55" spans="1:28" x14ac:dyDescent="0.25">
      <c r="A55" s="720"/>
      <c r="B55" s="721"/>
      <c r="C55" s="149">
        <v>2</v>
      </c>
      <c r="D55" s="150"/>
      <c r="E55" s="728"/>
      <c r="F55" s="713"/>
      <c r="G55" s="713"/>
      <c r="H55" s="713"/>
      <c r="I55" s="713"/>
      <c r="J55" s="713"/>
      <c r="K55" s="713"/>
      <c r="L55" s="713"/>
      <c r="M55" s="713"/>
      <c r="N55" s="713"/>
      <c r="O55" s="713"/>
      <c r="P55" s="713"/>
      <c r="Q55" s="713"/>
      <c r="R55" s="713"/>
      <c r="S55" s="713"/>
      <c r="T55" s="713"/>
      <c r="U55" s="713"/>
      <c r="V55" s="713"/>
      <c r="W55" s="713"/>
      <c r="X55" s="713"/>
      <c r="Y55" s="713"/>
      <c r="Z55" s="713"/>
      <c r="AA55" s="713" t="s">
        <v>67</v>
      </c>
      <c r="AB55" s="732"/>
    </row>
    <row r="56" spans="1:28" x14ac:dyDescent="0.25">
      <c r="A56" s="720"/>
      <c r="B56" s="721"/>
      <c r="C56" s="149">
        <v>6</v>
      </c>
      <c r="D56" s="150"/>
      <c r="E56" s="728"/>
      <c r="F56" s="713"/>
      <c r="G56" s="713"/>
      <c r="H56" s="713"/>
      <c r="I56" s="713"/>
      <c r="J56" s="713"/>
      <c r="K56" s="713"/>
      <c r="L56" s="713"/>
      <c r="M56" s="713"/>
      <c r="N56" s="713"/>
      <c r="O56" s="713"/>
      <c r="P56" s="713"/>
      <c r="Q56" s="713"/>
      <c r="R56" s="713"/>
      <c r="S56" s="713"/>
      <c r="T56" s="713"/>
      <c r="U56" s="713"/>
      <c r="V56" s="713"/>
      <c r="W56" s="713"/>
      <c r="X56" s="713"/>
      <c r="Y56" s="713"/>
      <c r="Z56" s="713"/>
      <c r="AA56" s="713" t="s">
        <v>67</v>
      </c>
      <c r="AB56" s="732"/>
    </row>
    <row r="57" spans="1:28" x14ac:dyDescent="0.25">
      <c r="A57" s="720"/>
      <c r="B57" s="721"/>
      <c r="C57" s="149">
        <v>1</v>
      </c>
      <c r="D57" s="150"/>
      <c r="E57" s="728"/>
      <c r="F57" s="713"/>
      <c r="G57" s="713"/>
      <c r="H57" s="713"/>
      <c r="I57" s="713"/>
      <c r="J57" s="713"/>
      <c r="K57" s="713"/>
      <c r="L57" s="713"/>
      <c r="M57" s="713"/>
      <c r="N57" s="713"/>
      <c r="O57" s="713"/>
      <c r="P57" s="713"/>
      <c r="Q57" s="713"/>
      <c r="R57" s="713"/>
      <c r="S57" s="713"/>
      <c r="T57" s="713"/>
      <c r="U57" s="713"/>
      <c r="V57" s="713"/>
      <c r="W57" s="713"/>
      <c r="X57" s="713"/>
      <c r="Y57" s="713"/>
      <c r="Z57" s="713"/>
      <c r="AA57" s="713" t="s">
        <v>67</v>
      </c>
      <c r="AB57" s="732"/>
    </row>
    <row r="58" spans="1:28" ht="36.75" customHeight="1" x14ac:dyDescent="0.25">
      <c r="A58" s="720"/>
      <c r="B58" s="721"/>
      <c r="C58" s="154" t="s">
        <v>74</v>
      </c>
      <c r="D58" s="155"/>
      <c r="E58" s="728"/>
      <c r="F58" s="713"/>
      <c r="G58" s="713"/>
      <c r="H58" s="713"/>
      <c r="I58" s="713"/>
      <c r="J58" s="713"/>
      <c r="K58" s="713"/>
      <c r="L58" s="713"/>
      <c r="M58" s="713"/>
      <c r="N58" s="713"/>
      <c r="O58" s="713"/>
      <c r="P58" s="713"/>
      <c r="Q58" s="713"/>
      <c r="R58" s="713"/>
      <c r="S58" s="713"/>
      <c r="T58" s="713"/>
      <c r="U58" s="713"/>
      <c r="V58" s="713"/>
      <c r="W58" s="713"/>
      <c r="X58" s="713"/>
      <c r="Y58" s="733" t="s">
        <v>79</v>
      </c>
      <c r="Z58" s="733"/>
      <c r="AA58" s="713" t="s">
        <v>67</v>
      </c>
      <c r="AB58" s="732"/>
    </row>
    <row r="59" spans="1:28" x14ac:dyDescent="0.25">
      <c r="A59" s="720"/>
      <c r="B59" s="721"/>
      <c r="C59" s="149">
        <v>9</v>
      </c>
      <c r="D59" s="150"/>
      <c r="E59" s="728"/>
      <c r="F59" s="713"/>
      <c r="G59" s="713"/>
      <c r="H59" s="713"/>
      <c r="I59" s="713"/>
      <c r="J59" s="713"/>
      <c r="K59" s="713"/>
      <c r="L59" s="713"/>
      <c r="M59" s="713"/>
      <c r="N59" s="713"/>
      <c r="O59" s="713"/>
      <c r="P59" s="713"/>
      <c r="Q59" s="713"/>
      <c r="R59" s="713"/>
      <c r="S59" s="713"/>
      <c r="T59" s="713"/>
      <c r="U59" s="713"/>
      <c r="V59" s="713"/>
      <c r="W59" s="713"/>
      <c r="X59" s="713"/>
      <c r="Y59" s="733" t="s">
        <v>80</v>
      </c>
      <c r="Z59" s="733"/>
      <c r="AA59" s="713" t="s">
        <v>67</v>
      </c>
      <c r="AB59" s="732"/>
    </row>
    <row r="60" spans="1:28" x14ac:dyDescent="0.25">
      <c r="A60" s="720"/>
      <c r="B60" s="721"/>
      <c r="C60" s="149">
        <v>5</v>
      </c>
      <c r="D60" s="150"/>
      <c r="E60" s="728"/>
      <c r="F60" s="713"/>
      <c r="G60" s="713"/>
      <c r="H60" s="713"/>
      <c r="I60" s="713"/>
      <c r="J60" s="713"/>
      <c r="K60" s="713"/>
      <c r="L60" s="713"/>
      <c r="M60" s="713"/>
      <c r="N60" s="713"/>
      <c r="O60" s="713"/>
      <c r="P60" s="713"/>
      <c r="Q60" s="713"/>
      <c r="R60" s="713"/>
      <c r="S60" s="713"/>
      <c r="T60" s="713"/>
      <c r="U60" s="713"/>
      <c r="V60" s="713"/>
      <c r="W60" s="713"/>
      <c r="X60" s="713"/>
      <c r="Y60" s="713"/>
      <c r="Z60" s="713"/>
      <c r="AA60" s="713" t="s">
        <v>67</v>
      </c>
      <c r="AB60" s="732"/>
    </row>
    <row r="61" spans="1:28" x14ac:dyDescent="0.25">
      <c r="A61" s="720"/>
      <c r="B61" s="721"/>
      <c r="C61" s="149">
        <v>5</v>
      </c>
      <c r="D61" s="150"/>
      <c r="E61" s="728"/>
      <c r="F61" s="713"/>
      <c r="G61" s="713"/>
      <c r="H61" s="713"/>
      <c r="I61" s="713"/>
      <c r="J61" s="713"/>
      <c r="K61" s="713"/>
      <c r="L61" s="713"/>
      <c r="M61" s="713"/>
      <c r="N61" s="713"/>
      <c r="O61" s="713"/>
      <c r="P61" s="713"/>
      <c r="Q61" s="713"/>
      <c r="R61" s="713"/>
      <c r="S61" s="713"/>
      <c r="T61" s="713"/>
      <c r="U61" s="713"/>
      <c r="V61" s="713"/>
      <c r="W61" s="713"/>
      <c r="X61" s="713"/>
      <c r="Y61" s="713"/>
      <c r="Z61" s="713"/>
      <c r="AA61" s="713" t="s">
        <v>67</v>
      </c>
      <c r="AB61" s="732"/>
    </row>
    <row r="62" spans="1:28" ht="15.75" thickBot="1" x14ac:dyDescent="0.3">
      <c r="A62" s="720"/>
      <c r="B62" s="721"/>
      <c r="C62" s="149">
        <v>2</v>
      </c>
      <c r="D62" s="150"/>
      <c r="E62" s="728"/>
      <c r="F62" s="713"/>
      <c r="G62" s="713"/>
      <c r="H62" s="713"/>
      <c r="I62" s="713"/>
      <c r="J62" s="713"/>
      <c r="K62" s="713"/>
      <c r="L62" s="713"/>
      <c r="M62" s="713"/>
      <c r="N62" s="713"/>
      <c r="O62" s="713"/>
      <c r="P62" s="713"/>
      <c r="Q62" s="713"/>
      <c r="R62" s="713"/>
      <c r="S62" s="713"/>
      <c r="T62" s="713"/>
      <c r="U62" s="713"/>
      <c r="V62" s="713"/>
      <c r="W62" s="713"/>
      <c r="X62" s="713"/>
      <c r="Y62" s="713"/>
      <c r="Z62" s="713"/>
      <c r="AA62" s="713" t="s">
        <v>67</v>
      </c>
      <c r="AB62" s="732"/>
    </row>
    <row r="63" spans="1:28" x14ac:dyDescent="0.25">
      <c r="A63" s="718" t="s">
        <v>69</v>
      </c>
      <c r="B63" s="719"/>
      <c r="C63" s="144">
        <v>1</v>
      </c>
      <c r="D63" s="156"/>
      <c r="E63" s="724"/>
      <c r="F63" s="714"/>
      <c r="G63" s="714"/>
      <c r="H63" s="714"/>
      <c r="I63" s="714"/>
      <c r="J63" s="714"/>
      <c r="K63" s="714"/>
      <c r="L63" s="714"/>
      <c r="M63" s="714"/>
      <c r="N63" s="714"/>
      <c r="O63" s="714"/>
      <c r="P63" s="714"/>
      <c r="Q63" s="714"/>
      <c r="R63" s="714"/>
      <c r="S63" s="714"/>
      <c r="T63" s="714"/>
      <c r="U63" s="714"/>
      <c r="V63" s="714"/>
      <c r="W63" s="714"/>
      <c r="X63" s="714"/>
      <c r="Y63" s="714"/>
      <c r="Z63" s="714"/>
      <c r="AA63" s="714" t="s">
        <v>67</v>
      </c>
      <c r="AB63" s="731"/>
    </row>
    <row r="64" spans="1:28" ht="15.75" thickBot="1" x14ac:dyDescent="0.3">
      <c r="A64" s="722"/>
      <c r="B64" s="723"/>
      <c r="C64" s="151">
        <v>1</v>
      </c>
      <c r="D64" s="157"/>
      <c r="E64" s="729"/>
      <c r="F64" s="730"/>
      <c r="G64" s="730"/>
      <c r="H64" s="730"/>
      <c r="I64" s="730"/>
      <c r="J64" s="730"/>
      <c r="K64" s="730"/>
      <c r="L64" s="730"/>
      <c r="M64" s="730"/>
      <c r="N64" s="730"/>
      <c r="O64" s="730"/>
      <c r="P64" s="730"/>
      <c r="Q64" s="730"/>
      <c r="R64" s="730"/>
      <c r="S64" s="730"/>
      <c r="T64" s="730"/>
      <c r="U64" s="730"/>
      <c r="V64" s="730"/>
      <c r="W64" s="730"/>
      <c r="X64" s="730"/>
      <c r="Y64" s="730"/>
      <c r="Z64" s="730"/>
      <c r="AA64" s="730" t="s">
        <v>67</v>
      </c>
      <c r="AB64" s="744"/>
    </row>
    <row r="65" spans="1:43" ht="18.75" customHeight="1" x14ac:dyDescent="0.25">
      <c r="A65" s="138"/>
      <c r="B65" s="138"/>
      <c r="C65" s="124"/>
      <c r="D65" s="42"/>
      <c r="E65" s="140"/>
      <c r="F65" s="140"/>
      <c r="G65" s="140"/>
      <c r="H65" s="140"/>
      <c r="I65" s="140"/>
      <c r="J65" s="140"/>
      <c r="K65" s="140"/>
      <c r="L65" s="140"/>
      <c r="M65" s="140"/>
      <c r="N65" s="140"/>
      <c r="O65" s="140"/>
      <c r="P65" s="140"/>
      <c r="Q65" s="140"/>
      <c r="R65" s="140"/>
      <c r="S65" s="140"/>
      <c r="T65" s="140"/>
      <c r="U65" s="140"/>
      <c r="V65" s="140"/>
      <c r="W65" s="140"/>
      <c r="X65" s="140"/>
      <c r="Y65" s="140"/>
      <c r="Z65" s="140"/>
      <c r="AA65" s="140"/>
      <c r="AB65" s="140"/>
    </row>
    <row r="66" spans="1:43" ht="6.75" customHeight="1" x14ac:dyDescent="0.25">
      <c r="A66" s="195"/>
      <c r="B66" s="195"/>
      <c r="C66" s="196"/>
      <c r="D66" s="197"/>
      <c r="E66" s="198"/>
      <c r="F66" s="198"/>
      <c r="G66" s="198"/>
      <c r="H66" s="198"/>
      <c r="I66" s="198"/>
      <c r="J66" s="198"/>
      <c r="K66" s="198"/>
      <c r="L66" s="198"/>
      <c r="M66" s="198"/>
      <c r="N66" s="198"/>
      <c r="O66" s="198"/>
      <c r="P66" s="198"/>
      <c r="Q66" s="198"/>
      <c r="R66" s="198"/>
      <c r="S66" s="198"/>
      <c r="T66" s="198"/>
      <c r="U66" s="198"/>
      <c r="V66" s="198"/>
      <c r="W66" s="198"/>
      <c r="X66" s="198"/>
      <c r="Y66" s="198"/>
      <c r="Z66" s="198"/>
      <c r="AA66" s="198"/>
      <c r="AB66" s="198"/>
      <c r="AC66" s="199"/>
      <c r="AD66" s="199"/>
      <c r="AE66" s="199"/>
      <c r="AF66" s="199"/>
      <c r="AG66" s="199"/>
      <c r="AH66" s="199"/>
      <c r="AI66" s="199"/>
      <c r="AJ66" s="199"/>
      <c r="AK66" s="199"/>
      <c r="AL66" s="199"/>
      <c r="AM66" s="199"/>
      <c r="AN66" s="199"/>
      <c r="AO66" s="199"/>
      <c r="AP66" s="199"/>
      <c r="AQ66" s="199"/>
    </row>
    <row r="67" spans="1:43" ht="15.75" thickBot="1" x14ac:dyDescent="0.3"/>
    <row r="68" spans="1:43" ht="27" thickBot="1" x14ac:dyDescent="0.45">
      <c r="A68" s="725" t="s">
        <v>52</v>
      </c>
      <c r="B68" s="726"/>
      <c r="C68" s="726"/>
      <c r="D68" s="726"/>
      <c r="E68" s="726"/>
      <c r="F68" s="726"/>
      <c r="G68" s="726"/>
      <c r="H68" s="726"/>
      <c r="I68" s="726"/>
      <c r="J68" s="726"/>
      <c r="K68" s="726"/>
      <c r="L68" s="726"/>
      <c r="M68" s="726"/>
      <c r="N68" s="726"/>
      <c r="O68" s="726"/>
      <c r="P68" s="726"/>
      <c r="Q68" s="726"/>
      <c r="R68" s="726"/>
      <c r="S68" s="726"/>
      <c r="T68" s="726"/>
      <c r="U68" s="726"/>
      <c r="V68" s="726"/>
      <c r="W68" s="726"/>
      <c r="X68" s="726"/>
      <c r="Y68" s="726"/>
      <c r="Z68" s="726"/>
      <c r="AA68" s="726"/>
      <c r="AB68" s="727"/>
    </row>
    <row r="69" spans="1:43" x14ac:dyDescent="0.25">
      <c r="A69" s="711" t="s">
        <v>31</v>
      </c>
      <c r="B69" s="715" t="s">
        <v>32</v>
      </c>
      <c r="C69" s="711" t="s">
        <v>61</v>
      </c>
      <c r="D69" s="712"/>
      <c r="E69" s="675" t="s">
        <v>40</v>
      </c>
      <c r="F69" s="676"/>
      <c r="G69" s="675" t="s">
        <v>41</v>
      </c>
      <c r="H69" s="676"/>
      <c r="I69" s="675" t="s">
        <v>42</v>
      </c>
      <c r="J69" s="676"/>
      <c r="K69" s="675" t="s">
        <v>43</v>
      </c>
      <c r="L69" s="676"/>
      <c r="M69" s="675" t="s">
        <v>44</v>
      </c>
      <c r="N69" s="676"/>
      <c r="O69" s="675" t="s">
        <v>45</v>
      </c>
      <c r="P69" s="676"/>
      <c r="Q69" s="675" t="s">
        <v>46</v>
      </c>
      <c r="R69" s="676"/>
      <c r="S69" s="675" t="s">
        <v>47</v>
      </c>
      <c r="T69" s="676"/>
      <c r="U69" s="675" t="s">
        <v>48</v>
      </c>
      <c r="V69" s="676"/>
      <c r="W69" s="675" t="s">
        <v>49</v>
      </c>
      <c r="X69" s="676"/>
      <c r="Y69" s="675" t="s">
        <v>50</v>
      </c>
      <c r="Z69" s="676"/>
      <c r="AA69" s="675" t="s">
        <v>51</v>
      </c>
      <c r="AB69" s="676"/>
    </row>
    <row r="70" spans="1:43" x14ac:dyDescent="0.25">
      <c r="A70" s="700"/>
      <c r="B70" s="703"/>
      <c r="C70" s="706" t="s">
        <v>60</v>
      </c>
      <c r="D70" s="708" t="s">
        <v>39</v>
      </c>
      <c r="E70" s="677">
        <v>0.11</v>
      </c>
      <c r="F70" s="678"/>
      <c r="G70" s="677">
        <v>0.1</v>
      </c>
      <c r="H70" s="678"/>
      <c r="I70" s="677">
        <v>7.0000000000000007E-2</v>
      </c>
      <c r="J70" s="678"/>
      <c r="K70" s="677">
        <v>0.06</v>
      </c>
      <c r="L70" s="678"/>
      <c r="M70" s="677">
        <v>0.06</v>
      </c>
      <c r="N70" s="678"/>
      <c r="O70" s="677">
        <v>0.04</v>
      </c>
      <c r="P70" s="678"/>
      <c r="Q70" s="677">
        <v>0.09</v>
      </c>
      <c r="R70" s="678"/>
      <c r="S70" s="677">
        <v>0.05</v>
      </c>
      <c r="T70" s="678"/>
      <c r="U70" s="677">
        <v>0.09</v>
      </c>
      <c r="V70" s="678"/>
      <c r="W70" s="677">
        <v>0.1</v>
      </c>
      <c r="X70" s="678"/>
      <c r="Y70" s="677">
        <v>0.11</v>
      </c>
      <c r="Z70" s="678"/>
      <c r="AA70" s="677">
        <v>0.12</v>
      </c>
      <c r="AB70" s="678"/>
    </row>
    <row r="71" spans="1:43" ht="15.75" thickBot="1" x14ac:dyDescent="0.3">
      <c r="A71" s="701"/>
      <c r="B71" s="704"/>
      <c r="C71" s="707"/>
      <c r="D71" s="709"/>
      <c r="E71" s="101" t="s">
        <v>60</v>
      </c>
      <c r="F71" s="102" t="s">
        <v>39</v>
      </c>
      <c r="G71" s="101" t="s">
        <v>60</v>
      </c>
      <c r="H71" s="102" t="s">
        <v>39</v>
      </c>
      <c r="I71" s="101" t="s">
        <v>60</v>
      </c>
      <c r="J71" s="102" t="s">
        <v>39</v>
      </c>
      <c r="K71" s="101" t="s">
        <v>60</v>
      </c>
      <c r="L71" s="102" t="s">
        <v>39</v>
      </c>
      <c r="M71" s="101" t="s">
        <v>60</v>
      </c>
      <c r="N71" s="102" t="s">
        <v>39</v>
      </c>
      <c r="O71" s="101" t="s">
        <v>60</v>
      </c>
      <c r="P71" s="102" t="s">
        <v>39</v>
      </c>
      <c r="Q71" s="101" t="s">
        <v>60</v>
      </c>
      <c r="R71" s="102" t="s">
        <v>39</v>
      </c>
      <c r="S71" s="81" t="s">
        <v>60</v>
      </c>
      <c r="T71" s="82" t="s">
        <v>39</v>
      </c>
      <c r="U71" s="81" t="s">
        <v>60</v>
      </c>
      <c r="V71" s="82" t="s">
        <v>39</v>
      </c>
      <c r="W71" s="81" t="s">
        <v>60</v>
      </c>
      <c r="X71" s="82" t="s">
        <v>39</v>
      </c>
      <c r="Y71" s="81" t="s">
        <v>60</v>
      </c>
      <c r="Z71" s="82" t="s">
        <v>39</v>
      </c>
      <c r="AA71" s="81" t="s">
        <v>60</v>
      </c>
      <c r="AB71" s="82" t="s">
        <v>39</v>
      </c>
    </row>
    <row r="72" spans="1:43" ht="15.75" x14ac:dyDescent="0.25">
      <c r="A72" s="53"/>
      <c r="B72" s="54">
        <f>Hipótesis!C49</f>
        <v>1300</v>
      </c>
      <c r="C72" s="107">
        <v>1200</v>
      </c>
      <c r="D72" s="56">
        <f>B72*C72</f>
        <v>1560000</v>
      </c>
      <c r="E72" s="83">
        <f>C72*$E$70</f>
        <v>132</v>
      </c>
      <c r="F72" s="56">
        <f>D72*$E$17</f>
        <v>124800</v>
      </c>
      <c r="G72" s="83">
        <f>C72*$G$70</f>
        <v>120</v>
      </c>
      <c r="H72" s="56">
        <f>D72*$G$17</f>
        <v>156000</v>
      </c>
      <c r="I72" s="83">
        <f>C72*$I$70</f>
        <v>84.000000000000014</v>
      </c>
      <c r="J72" s="56">
        <f>D72*$I$17</f>
        <v>124800</v>
      </c>
      <c r="K72" s="83">
        <f>C72*$K$70</f>
        <v>72</v>
      </c>
      <c r="L72" s="56">
        <f>D72*$K$17</f>
        <v>109200.00000000001</v>
      </c>
      <c r="M72" s="83">
        <f>C72*$M$70</f>
        <v>72</v>
      </c>
      <c r="N72" s="56">
        <f>D72*$M$17</f>
        <v>93600</v>
      </c>
      <c r="O72" s="83">
        <f>C72*$O$70</f>
        <v>48</v>
      </c>
      <c r="P72" s="56">
        <f>D72*$O$17</f>
        <v>62400</v>
      </c>
      <c r="Q72" s="83">
        <f>C72*$Q$70</f>
        <v>108</v>
      </c>
      <c r="R72" s="56">
        <f>D72*$Q$17</f>
        <v>140400</v>
      </c>
      <c r="S72" s="83">
        <f>C72*$S$70</f>
        <v>60</v>
      </c>
      <c r="T72" s="56">
        <f>D72*$S$17</f>
        <v>78000</v>
      </c>
      <c r="U72" s="83">
        <f>C72*$U$70</f>
        <v>108</v>
      </c>
      <c r="V72" s="56">
        <f>D72*$U$17</f>
        <v>140400</v>
      </c>
      <c r="W72" s="83">
        <f>C72*$W$70</f>
        <v>120</v>
      </c>
      <c r="X72" s="56">
        <f>D72*$W$17</f>
        <v>156000</v>
      </c>
      <c r="Y72" s="83">
        <f>C72*$Y$70</f>
        <v>132</v>
      </c>
      <c r="Z72" s="92">
        <f>D72*$Y$17</f>
        <v>171600</v>
      </c>
      <c r="AA72" s="83">
        <f>C72*$AA$70</f>
        <v>144</v>
      </c>
      <c r="AB72" s="56">
        <f>D72*$AA$17</f>
        <v>202800</v>
      </c>
    </row>
    <row r="73" spans="1:43" ht="15.75" x14ac:dyDescent="0.25">
      <c r="A73" s="57"/>
      <c r="B73" s="44">
        <f>Hipótesis!C50</f>
        <v>0</v>
      </c>
      <c r="C73" s="103">
        <v>845</v>
      </c>
      <c r="D73" s="48">
        <f t="shared" ref="D73:D84" si="1">B73*C73</f>
        <v>0</v>
      </c>
      <c r="E73" s="84">
        <f t="shared" ref="E73:E83" si="2">C73*$E$70</f>
        <v>92.95</v>
      </c>
      <c r="F73" s="48">
        <f>D73*$E$17</f>
        <v>0</v>
      </c>
      <c r="G73" s="84">
        <f t="shared" ref="G73:G84" si="3">C73*$G$70</f>
        <v>84.5</v>
      </c>
      <c r="H73" s="48">
        <f>D73*$G$17</f>
        <v>0</v>
      </c>
      <c r="I73" s="84">
        <f t="shared" ref="I73:I84" si="4">C73*$I$70</f>
        <v>59.150000000000006</v>
      </c>
      <c r="J73" s="48">
        <f>D73*$I$17</f>
        <v>0</v>
      </c>
      <c r="K73" s="84">
        <f t="shared" ref="K73:K84" si="5">C73*$K$70</f>
        <v>50.699999999999996</v>
      </c>
      <c r="L73" s="48">
        <f>D73*$K$17</f>
        <v>0</v>
      </c>
      <c r="M73" s="84">
        <f t="shared" ref="M73:M84" si="6">C73*$M$70</f>
        <v>50.699999999999996</v>
      </c>
      <c r="N73" s="48">
        <f>D73*$M$17</f>
        <v>0</v>
      </c>
      <c r="O73" s="84">
        <f t="shared" ref="O73:O84" si="7">C73*$O$70</f>
        <v>33.799999999999997</v>
      </c>
      <c r="P73" s="48">
        <f>D73*$O$17</f>
        <v>0</v>
      </c>
      <c r="Q73" s="84">
        <f t="shared" ref="Q73:Q84" si="8">C73*$Q$70</f>
        <v>76.05</v>
      </c>
      <c r="R73" s="48">
        <f>D73*$Q$17</f>
        <v>0</v>
      </c>
      <c r="S73" s="84">
        <f t="shared" ref="S73:S84" si="9">C73*$S$70</f>
        <v>42.25</v>
      </c>
      <c r="T73" s="48">
        <f>D73*$S$17</f>
        <v>0</v>
      </c>
      <c r="U73" s="84">
        <f t="shared" ref="U73:U84" si="10">C73*$U$70</f>
        <v>76.05</v>
      </c>
      <c r="V73" s="48">
        <f>D73*$U$17</f>
        <v>0</v>
      </c>
      <c r="W73" s="84">
        <f t="shared" ref="W73:W84" si="11">C73*$W$70</f>
        <v>84.5</v>
      </c>
      <c r="X73" s="48">
        <f>D73*$W$17</f>
        <v>0</v>
      </c>
      <c r="Y73" s="84">
        <f t="shared" ref="Y73:Y84" si="12">C73*$Y$70</f>
        <v>92.95</v>
      </c>
      <c r="Z73" s="93">
        <f>D73*$Y$17</f>
        <v>0</v>
      </c>
      <c r="AA73" s="84">
        <f t="shared" ref="AA73:AA84" si="13">C73*$AA$70</f>
        <v>101.39999999999999</v>
      </c>
      <c r="AB73" s="48">
        <f>D73*$AA$17</f>
        <v>0</v>
      </c>
    </row>
    <row r="74" spans="1:43" ht="16.5" thickBot="1" x14ac:dyDescent="0.3">
      <c r="A74" s="58"/>
      <c r="B74" s="59">
        <f>Hipótesis!C51</f>
        <v>0</v>
      </c>
      <c r="C74" s="108">
        <v>245</v>
      </c>
      <c r="D74" s="61">
        <f t="shared" si="1"/>
        <v>0</v>
      </c>
      <c r="E74" s="85">
        <f t="shared" si="2"/>
        <v>26.95</v>
      </c>
      <c r="F74" s="61">
        <f>D74*$E$17</f>
        <v>0</v>
      </c>
      <c r="G74" s="85">
        <f t="shared" si="3"/>
        <v>24.5</v>
      </c>
      <c r="H74" s="61">
        <f>D74*$G$17</f>
        <v>0</v>
      </c>
      <c r="I74" s="85">
        <f t="shared" si="4"/>
        <v>17.150000000000002</v>
      </c>
      <c r="J74" s="61">
        <f>D74*$I$17</f>
        <v>0</v>
      </c>
      <c r="K74" s="85">
        <f t="shared" si="5"/>
        <v>14.7</v>
      </c>
      <c r="L74" s="61">
        <f>D74*$K$17</f>
        <v>0</v>
      </c>
      <c r="M74" s="85">
        <f t="shared" si="6"/>
        <v>14.7</v>
      </c>
      <c r="N74" s="61">
        <f>D74*$M$17</f>
        <v>0</v>
      </c>
      <c r="O74" s="85">
        <f t="shared" si="7"/>
        <v>9.8000000000000007</v>
      </c>
      <c r="P74" s="61">
        <f>D74*$O$17</f>
        <v>0</v>
      </c>
      <c r="Q74" s="85">
        <f t="shared" si="8"/>
        <v>22.05</v>
      </c>
      <c r="R74" s="61">
        <f>D74*$Q$17</f>
        <v>0</v>
      </c>
      <c r="S74" s="85">
        <f t="shared" si="9"/>
        <v>12.25</v>
      </c>
      <c r="T74" s="61">
        <f>D74*$S$17</f>
        <v>0</v>
      </c>
      <c r="U74" s="85">
        <f t="shared" si="10"/>
        <v>22.05</v>
      </c>
      <c r="V74" s="61">
        <f>D74*$U$17</f>
        <v>0</v>
      </c>
      <c r="W74" s="85">
        <f t="shared" si="11"/>
        <v>24.5</v>
      </c>
      <c r="X74" s="61">
        <f>D74*$W$17</f>
        <v>0</v>
      </c>
      <c r="Y74" s="85">
        <f t="shared" si="12"/>
        <v>26.95</v>
      </c>
      <c r="Z74" s="94">
        <f>D74*$Y$17</f>
        <v>0</v>
      </c>
      <c r="AA74" s="85">
        <f t="shared" si="13"/>
        <v>29.4</v>
      </c>
      <c r="AB74" s="61">
        <f>D74*$AA$17</f>
        <v>0</v>
      </c>
    </row>
    <row r="75" spans="1:43" ht="15.75" x14ac:dyDescent="0.25">
      <c r="A75" s="62"/>
      <c r="B75" s="63">
        <f>Hipótesis!C52</f>
        <v>2500</v>
      </c>
      <c r="C75" s="109">
        <v>1800</v>
      </c>
      <c r="D75" s="65">
        <f t="shared" si="1"/>
        <v>4500000</v>
      </c>
      <c r="E75" s="86">
        <f t="shared" si="2"/>
        <v>198</v>
      </c>
      <c r="F75" s="65">
        <f>D75*$E$17</f>
        <v>360000</v>
      </c>
      <c r="G75" s="86">
        <f t="shared" si="3"/>
        <v>180</v>
      </c>
      <c r="H75" s="65">
        <f>D75*$G$17</f>
        <v>450000</v>
      </c>
      <c r="I75" s="86">
        <f t="shared" si="4"/>
        <v>126.00000000000001</v>
      </c>
      <c r="J75" s="65">
        <f>D75*$I$17</f>
        <v>360000</v>
      </c>
      <c r="K75" s="86">
        <f t="shared" si="5"/>
        <v>108</v>
      </c>
      <c r="L75" s="65">
        <f>D75*$K$17</f>
        <v>315000.00000000006</v>
      </c>
      <c r="M75" s="86">
        <f t="shared" si="6"/>
        <v>108</v>
      </c>
      <c r="N75" s="65">
        <f>D75*$M$17</f>
        <v>270000</v>
      </c>
      <c r="O75" s="86">
        <f t="shared" si="7"/>
        <v>72</v>
      </c>
      <c r="P75" s="65">
        <f>D75*$O$17</f>
        <v>180000</v>
      </c>
      <c r="Q75" s="86">
        <f t="shared" si="8"/>
        <v>162</v>
      </c>
      <c r="R75" s="65">
        <f>D75*$Q$17</f>
        <v>405000</v>
      </c>
      <c r="S75" s="86">
        <f t="shared" si="9"/>
        <v>90</v>
      </c>
      <c r="T75" s="65">
        <f>D75*$S$17</f>
        <v>225000</v>
      </c>
      <c r="U75" s="86">
        <f t="shared" si="10"/>
        <v>162</v>
      </c>
      <c r="V75" s="65">
        <f>D75*$U$17</f>
        <v>405000</v>
      </c>
      <c r="W75" s="86">
        <f t="shared" si="11"/>
        <v>180</v>
      </c>
      <c r="X75" s="65">
        <f>D75*$W$17</f>
        <v>450000</v>
      </c>
      <c r="Y75" s="86">
        <f t="shared" si="12"/>
        <v>198</v>
      </c>
      <c r="Z75" s="95">
        <f>D75*$Y$17</f>
        <v>495000</v>
      </c>
      <c r="AA75" s="86">
        <f t="shared" si="13"/>
        <v>216</v>
      </c>
      <c r="AB75" s="65">
        <f>D75*$AA$17</f>
        <v>585000</v>
      </c>
    </row>
    <row r="76" spans="1:43" ht="15.75" x14ac:dyDescent="0.25">
      <c r="A76" s="66"/>
      <c r="B76" s="45">
        <f>Hipótesis!C53</f>
        <v>0</v>
      </c>
      <c r="C76" s="104">
        <v>1800</v>
      </c>
      <c r="D76" s="50">
        <f t="shared" si="1"/>
        <v>0</v>
      </c>
      <c r="E76" s="87">
        <f t="shared" si="2"/>
        <v>198</v>
      </c>
      <c r="F76" s="50">
        <f>D76*$E$17</f>
        <v>0</v>
      </c>
      <c r="G76" s="87">
        <f t="shared" si="3"/>
        <v>180</v>
      </c>
      <c r="H76" s="50">
        <f>D76*$G$17</f>
        <v>0</v>
      </c>
      <c r="I76" s="87">
        <f t="shared" si="4"/>
        <v>126.00000000000001</v>
      </c>
      <c r="J76" s="50">
        <f>D76*$I$17</f>
        <v>0</v>
      </c>
      <c r="K76" s="87">
        <f t="shared" si="5"/>
        <v>108</v>
      </c>
      <c r="L76" s="50">
        <f>D76*$K$17</f>
        <v>0</v>
      </c>
      <c r="M76" s="87">
        <f t="shared" si="6"/>
        <v>108</v>
      </c>
      <c r="N76" s="50">
        <f>D76*$M$17</f>
        <v>0</v>
      </c>
      <c r="O76" s="87">
        <f t="shared" si="7"/>
        <v>72</v>
      </c>
      <c r="P76" s="50">
        <f>D76*$O$17</f>
        <v>0</v>
      </c>
      <c r="Q76" s="87">
        <f t="shared" si="8"/>
        <v>162</v>
      </c>
      <c r="R76" s="50">
        <f>D76*$Q$17</f>
        <v>0</v>
      </c>
      <c r="S76" s="87">
        <f t="shared" si="9"/>
        <v>90</v>
      </c>
      <c r="T76" s="50">
        <f>D76*$S$17</f>
        <v>0</v>
      </c>
      <c r="U76" s="87">
        <f t="shared" si="10"/>
        <v>162</v>
      </c>
      <c r="V76" s="50">
        <f>D76*$U$17</f>
        <v>0</v>
      </c>
      <c r="W76" s="87">
        <f t="shared" si="11"/>
        <v>180</v>
      </c>
      <c r="X76" s="50">
        <f>D76*$W$17</f>
        <v>0</v>
      </c>
      <c r="Y76" s="87">
        <f t="shared" si="12"/>
        <v>198</v>
      </c>
      <c r="Z76" s="96">
        <f>D76*$Y$17</f>
        <v>0</v>
      </c>
      <c r="AA76" s="87">
        <f t="shared" si="13"/>
        <v>216</v>
      </c>
      <c r="AB76" s="50">
        <f>D76*$AA$17</f>
        <v>0</v>
      </c>
    </row>
    <row r="77" spans="1:43" ht="15.75" x14ac:dyDescent="0.25">
      <c r="A77" s="67"/>
      <c r="B77" s="45">
        <f>Hipótesis!C54</f>
        <v>0</v>
      </c>
      <c r="C77" s="104">
        <v>750</v>
      </c>
      <c r="D77" s="50">
        <f t="shared" si="1"/>
        <v>0</v>
      </c>
      <c r="E77" s="87">
        <f t="shared" si="2"/>
        <v>82.5</v>
      </c>
      <c r="F77" s="50">
        <f>D77*$E$17</f>
        <v>0</v>
      </c>
      <c r="G77" s="87">
        <f t="shared" si="3"/>
        <v>75</v>
      </c>
      <c r="H77" s="50">
        <f>D77*$G$17</f>
        <v>0</v>
      </c>
      <c r="I77" s="87">
        <f t="shared" si="4"/>
        <v>52.500000000000007</v>
      </c>
      <c r="J77" s="50">
        <f>D77*$I$17</f>
        <v>0</v>
      </c>
      <c r="K77" s="87">
        <f t="shared" si="5"/>
        <v>45</v>
      </c>
      <c r="L77" s="50">
        <f>D77*$K$17</f>
        <v>0</v>
      </c>
      <c r="M77" s="87">
        <f t="shared" si="6"/>
        <v>45</v>
      </c>
      <c r="N77" s="50">
        <f>D77*$M$17</f>
        <v>0</v>
      </c>
      <c r="O77" s="87">
        <f t="shared" si="7"/>
        <v>30</v>
      </c>
      <c r="P77" s="50">
        <f>D77*$O$17</f>
        <v>0</v>
      </c>
      <c r="Q77" s="87">
        <f t="shared" si="8"/>
        <v>67.5</v>
      </c>
      <c r="R77" s="50">
        <f>D77*$Q$17</f>
        <v>0</v>
      </c>
      <c r="S77" s="87">
        <f t="shared" si="9"/>
        <v>37.5</v>
      </c>
      <c r="T77" s="50">
        <f>D77*$S$17</f>
        <v>0</v>
      </c>
      <c r="U77" s="87">
        <f t="shared" si="10"/>
        <v>67.5</v>
      </c>
      <c r="V77" s="50">
        <f>D77*$U$17</f>
        <v>0</v>
      </c>
      <c r="W77" s="87">
        <f t="shared" si="11"/>
        <v>75</v>
      </c>
      <c r="X77" s="50">
        <f>D77*$W$17</f>
        <v>0</v>
      </c>
      <c r="Y77" s="87">
        <f t="shared" si="12"/>
        <v>82.5</v>
      </c>
      <c r="Z77" s="96">
        <f>D77*$Y$17</f>
        <v>0</v>
      </c>
      <c r="AA77" s="87">
        <f t="shared" si="13"/>
        <v>90</v>
      </c>
      <c r="AB77" s="50">
        <f>D77*$AA$17</f>
        <v>0</v>
      </c>
    </row>
    <row r="78" spans="1:43" ht="16.5" thickBot="1" x14ac:dyDescent="0.3">
      <c r="A78" s="68"/>
      <c r="B78" s="69" t="e">
        <f>Hipótesis!#REF!</f>
        <v>#REF!</v>
      </c>
      <c r="C78" s="106">
        <v>1600</v>
      </c>
      <c r="D78" s="71" t="e">
        <f t="shared" si="1"/>
        <v>#REF!</v>
      </c>
      <c r="E78" s="88">
        <f t="shared" si="2"/>
        <v>176</v>
      </c>
      <c r="F78" s="71" t="e">
        <f>D78*$E$17</f>
        <v>#REF!</v>
      </c>
      <c r="G78" s="88">
        <f t="shared" si="3"/>
        <v>160</v>
      </c>
      <c r="H78" s="71" t="e">
        <f>D78*$G$17</f>
        <v>#REF!</v>
      </c>
      <c r="I78" s="88">
        <f t="shared" si="4"/>
        <v>112.00000000000001</v>
      </c>
      <c r="J78" s="71" t="e">
        <f>D78*$I$17</f>
        <v>#REF!</v>
      </c>
      <c r="K78" s="88">
        <f t="shared" si="5"/>
        <v>96</v>
      </c>
      <c r="L78" s="71" t="e">
        <f>D78*$K$17</f>
        <v>#REF!</v>
      </c>
      <c r="M78" s="88">
        <f t="shared" si="6"/>
        <v>96</v>
      </c>
      <c r="N78" s="71" t="e">
        <f>D78*$M$17</f>
        <v>#REF!</v>
      </c>
      <c r="O78" s="88">
        <f t="shared" si="7"/>
        <v>64</v>
      </c>
      <c r="P78" s="71" t="e">
        <f>D78*$O$17</f>
        <v>#REF!</v>
      </c>
      <c r="Q78" s="88">
        <f t="shared" si="8"/>
        <v>144</v>
      </c>
      <c r="R78" s="71" t="e">
        <f>D78*$Q$17</f>
        <v>#REF!</v>
      </c>
      <c r="S78" s="88">
        <f t="shared" si="9"/>
        <v>80</v>
      </c>
      <c r="T78" s="71" t="e">
        <f>D78*$S$17</f>
        <v>#REF!</v>
      </c>
      <c r="U78" s="88">
        <f t="shared" si="10"/>
        <v>144</v>
      </c>
      <c r="V78" s="71" t="e">
        <f>D78*$U$17</f>
        <v>#REF!</v>
      </c>
      <c r="W78" s="88">
        <f t="shared" si="11"/>
        <v>160</v>
      </c>
      <c r="X78" s="71" t="e">
        <f>D78*$W$17</f>
        <v>#REF!</v>
      </c>
      <c r="Y78" s="88">
        <f t="shared" si="12"/>
        <v>176</v>
      </c>
      <c r="Z78" s="97" t="e">
        <f>D78*$Y$17</f>
        <v>#REF!</v>
      </c>
      <c r="AA78" s="88">
        <f t="shared" si="13"/>
        <v>192</v>
      </c>
      <c r="AB78" s="71" t="e">
        <f>D78*$AA$17</f>
        <v>#REF!</v>
      </c>
    </row>
    <row r="79" spans="1:43" ht="15.75" x14ac:dyDescent="0.25">
      <c r="A79" s="72"/>
      <c r="B79" s="73">
        <f>Hipótesis!C55</f>
        <v>4000</v>
      </c>
      <c r="C79" s="114">
        <v>900</v>
      </c>
      <c r="D79" s="75">
        <f t="shared" si="1"/>
        <v>3600000</v>
      </c>
      <c r="E79" s="89">
        <f t="shared" si="2"/>
        <v>99</v>
      </c>
      <c r="F79" s="75">
        <f>D79*$E$17</f>
        <v>288000</v>
      </c>
      <c r="G79" s="89">
        <f t="shared" si="3"/>
        <v>90</v>
      </c>
      <c r="H79" s="75">
        <f>D79*$G$17</f>
        <v>360000</v>
      </c>
      <c r="I79" s="89">
        <f t="shared" si="4"/>
        <v>63.000000000000007</v>
      </c>
      <c r="J79" s="75">
        <f>D79*$I$17</f>
        <v>288000</v>
      </c>
      <c r="K79" s="89">
        <f t="shared" si="5"/>
        <v>54</v>
      </c>
      <c r="L79" s="75">
        <f>D79*$K$17</f>
        <v>252000.00000000003</v>
      </c>
      <c r="M79" s="89">
        <f t="shared" si="6"/>
        <v>54</v>
      </c>
      <c r="N79" s="75">
        <f>D79*$M$17</f>
        <v>216000</v>
      </c>
      <c r="O79" s="89">
        <f t="shared" si="7"/>
        <v>36</v>
      </c>
      <c r="P79" s="75">
        <f>D79*$O$17</f>
        <v>144000</v>
      </c>
      <c r="Q79" s="89">
        <f t="shared" si="8"/>
        <v>81</v>
      </c>
      <c r="R79" s="75">
        <f>D79*$Q$17</f>
        <v>324000</v>
      </c>
      <c r="S79" s="89">
        <f t="shared" si="9"/>
        <v>45</v>
      </c>
      <c r="T79" s="75">
        <f>D79*$S$17</f>
        <v>180000</v>
      </c>
      <c r="U79" s="89">
        <f t="shared" si="10"/>
        <v>81</v>
      </c>
      <c r="V79" s="75">
        <f>D79*$U$17</f>
        <v>324000</v>
      </c>
      <c r="W79" s="89">
        <f t="shared" si="11"/>
        <v>90</v>
      </c>
      <c r="X79" s="75">
        <f>D79*$W$17</f>
        <v>360000</v>
      </c>
      <c r="Y79" s="89">
        <f t="shared" si="12"/>
        <v>99</v>
      </c>
      <c r="Z79" s="98">
        <f>D79*$Y$17</f>
        <v>396000</v>
      </c>
      <c r="AA79" s="89">
        <f t="shared" si="13"/>
        <v>108</v>
      </c>
      <c r="AB79" s="75">
        <f>D79*$AA$17</f>
        <v>468000</v>
      </c>
    </row>
    <row r="80" spans="1:43" ht="15.75" x14ac:dyDescent="0.25">
      <c r="A80" s="76"/>
      <c r="B80" s="46">
        <f>Hipótesis!C56</f>
        <v>0</v>
      </c>
      <c r="C80" s="105">
        <v>730</v>
      </c>
      <c r="D80" s="52">
        <f t="shared" si="1"/>
        <v>0</v>
      </c>
      <c r="E80" s="90">
        <f t="shared" si="2"/>
        <v>80.3</v>
      </c>
      <c r="F80" s="52">
        <f>D80*$E$17</f>
        <v>0</v>
      </c>
      <c r="G80" s="90">
        <f t="shared" si="3"/>
        <v>73</v>
      </c>
      <c r="H80" s="52">
        <f>D80*$G$17</f>
        <v>0</v>
      </c>
      <c r="I80" s="90">
        <f t="shared" si="4"/>
        <v>51.1</v>
      </c>
      <c r="J80" s="52">
        <f>D80*$I$17</f>
        <v>0</v>
      </c>
      <c r="K80" s="90">
        <f t="shared" si="5"/>
        <v>43.8</v>
      </c>
      <c r="L80" s="52">
        <f>D80*$K$17</f>
        <v>0</v>
      </c>
      <c r="M80" s="90">
        <f t="shared" si="6"/>
        <v>43.8</v>
      </c>
      <c r="N80" s="52">
        <f>D80*$M$17</f>
        <v>0</v>
      </c>
      <c r="O80" s="90">
        <f t="shared" si="7"/>
        <v>29.2</v>
      </c>
      <c r="P80" s="52">
        <f>D80*$O$17</f>
        <v>0</v>
      </c>
      <c r="Q80" s="90">
        <f t="shared" si="8"/>
        <v>65.7</v>
      </c>
      <c r="R80" s="52">
        <f>D80*$Q$17</f>
        <v>0</v>
      </c>
      <c r="S80" s="90">
        <f t="shared" si="9"/>
        <v>36.5</v>
      </c>
      <c r="T80" s="52">
        <f>D80*$S$17</f>
        <v>0</v>
      </c>
      <c r="U80" s="90">
        <f t="shared" si="10"/>
        <v>65.7</v>
      </c>
      <c r="V80" s="52">
        <f>D80*$U$17</f>
        <v>0</v>
      </c>
      <c r="W80" s="90">
        <f t="shared" si="11"/>
        <v>73</v>
      </c>
      <c r="X80" s="52">
        <f>D80*$W$17</f>
        <v>0</v>
      </c>
      <c r="Y80" s="90">
        <f t="shared" si="12"/>
        <v>80.3</v>
      </c>
      <c r="Z80" s="99">
        <f>D80*$Y$17</f>
        <v>0</v>
      </c>
      <c r="AA80" s="90">
        <f t="shared" si="13"/>
        <v>87.6</v>
      </c>
      <c r="AB80" s="52">
        <f>D80*$AA$17</f>
        <v>0</v>
      </c>
    </row>
    <row r="81" spans="1:28" ht="15.75" x14ac:dyDescent="0.25">
      <c r="A81" s="76"/>
      <c r="B81" s="46">
        <f>Hipótesis!C57</f>
        <v>0</v>
      </c>
      <c r="C81" s="105">
        <v>730</v>
      </c>
      <c r="D81" s="52">
        <f t="shared" si="1"/>
        <v>0</v>
      </c>
      <c r="E81" s="90">
        <f t="shared" si="2"/>
        <v>80.3</v>
      </c>
      <c r="F81" s="52">
        <f>D81*$E$17</f>
        <v>0</v>
      </c>
      <c r="G81" s="90">
        <f t="shared" si="3"/>
        <v>73</v>
      </c>
      <c r="H81" s="52">
        <f>D81*$G$17</f>
        <v>0</v>
      </c>
      <c r="I81" s="90">
        <f t="shared" si="4"/>
        <v>51.1</v>
      </c>
      <c r="J81" s="52">
        <f>D81*$I$17</f>
        <v>0</v>
      </c>
      <c r="K81" s="90">
        <f t="shared" si="5"/>
        <v>43.8</v>
      </c>
      <c r="L81" s="52">
        <f>D81*$K$17</f>
        <v>0</v>
      </c>
      <c r="M81" s="90">
        <f t="shared" si="6"/>
        <v>43.8</v>
      </c>
      <c r="N81" s="52">
        <f>D81*$M$17</f>
        <v>0</v>
      </c>
      <c r="O81" s="90">
        <f t="shared" si="7"/>
        <v>29.2</v>
      </c>
      <c r="P81" s="52">
        <f>D81*$O$17</f>
        <v>0</v>
      </c>
      <c r="Q81" s="90">
        <f t="shared" si="8"/>
        <v>65.7</v>
      </c>
      <c r="R81" s="52">
        <f>D81*$Q$17</f>
        <v>0</v>
      </c>
      <c r="S81" s="90">
        <f t="shared" si="9"/>
        <v>36.5</v>
      </c>
      <c r="T81" s="52">
        <f>D81*$S$17</f>
        <v>0</v>
      </c>
      <c r="U81" s="90">
        <f t="shared" si="10"/>
        <v>65.7</v>
      </c>
      <c r="V81" s="52">
        <f>D81*$U$17</f>
        <v>0</v>
      </c>
      <c r="W81" s="90">
        <f t="shared" si="11"/>
        <v>73</v>
      </c>
      <c r="X81" s="52">
        <f>D81*$W$17</f>
        <v>0</v>
      </c>
      <c r="Y81" s="90">
        <f t="shared" si="12"/>
        <v>80.3</v>
      </c>
      <c r="Z81" s="99">
        <f>D81*$Y$17</f>
        <v>0</v>
      </c>
      <c r="AA81" s="90">
        <f t="shared" si="13"/>
        <v>87.6</v>
      </c>
      <c r="AB81" s="52">
        <f>D81*$AA$17</f>
        <v>0</v>
      </c>
    </row>
    <row r="82" spans="1:28" ht="15.75" x14ac:dyDescent="0.25">
      <c r="A82" s="76"/>
      <c r="B82" s="46" t="e">
        <f>Hipótesis!#REF!</f>
        <v>#REF!</v>
      </c>
      <c r="C82" s="105">
        <v>745</v>
      </c>
      <c r="D82" s="52" t="e">
        <f t="shared" si="1"/>
        <v>#REF!</v>
      </c>
      <c r="E82" s="90">
        <f t="shared" si="2"/>
        <v>81.95</v>
      </c>
      <c r="F82" s="52" t="e">
        <f>D82*$E$17</f>
        <v>#REF!</v>
      </c>
      <c r="G82" s="90">
        <f t="shared" si="3"/>
        <v>74.5</v>
      </c>
      <c r="H82" s="52" t="e">
        <f>D82*$G$17</f>
        <v>#REF!</v>
      </c>
      <c r="I82" s="90">
        <f t="shared" si="4"/>
        <v>52.150000000000006</v>
      </c>
      <c r="J82" s="52" t="e">
        <f>D82*$I$17</f>
        <v>#REF!</v>
      </c>
      <c r="K82" s="90">
        <f t="shared" si="5"/>
        <v>44.699999999999996</v>
      </c>
      <c r="L82" s="52" t="e">
        <f>D82*$K$17</f>
        <v>#REF!</v>
      </c>
      <c r="M82" s="90">
        <f t="shared" si="6"/>
        <v>44.699999999999996</v>
      </c>
      <c r="N82" s="52" t="e">
        <f>D82*$M$17</f>
        <v>#REF!</v>
      </c>
      <c r="O82" s="90">
        <f t="shared" si="7"/>
        <v>29.8</v>
      </c>
      <c r="P82" s="52" t="e">
        <f>D82*$O$17</f>
        <v>#REF!</v>
      </c>
      <c r="Q82" s="90">
        <f t="shared" si="8"/>
        <v>67.05</v>
      </c>
      <c r="R82" s="52" t="e">
        <f>D82*$Q$17</f>
        <v>#REF!</v>
      </c>
      <c r="S82" s="90">
        <f t="shared" si="9"/>
        <v>37.25</v>
      </c>
      <c r="T82" s="52" t="e">
        <f>D82*$S$17</f>
        <v>#REF!</v>
      </c>
      <c r="U82" s="90">
        <f t="shared" si="10"/>
        <v>67.05</v>
      </c>
      <c r="V82" s="52" t="e">
        <f>D82*$U$17</f>
        <v>#REF!</v>
      </c>
      <c r="W82" s="90">
        <f t="shared" si="11"/>
        <v>74.5</v>
      </c>
      <c r="X82" s="52" t="e">
        <f>D82*$W$17</f>
        <v>#REF!</v>
      </c>
      <c r="Y82" s="90">
        <f t="shared" si="12"/>
        <v>81.95</v>
      </c>
      <c r="Z82" s="99" t="e">
        <f>D82*$Y$17</f>
        <v>#REF!</v>
      </c>
      <c r="AA82" s="90">
        <f t="shared" si="13"/>
        <v>89.399999999999991</v>
      </c>
      <c r="AB82" s="52" t="e">
        <f>D82*$AA$17</f>
        <v>#REF!</v>
      </c>
    </row>
    <row r="83" spans="1:28" ht="16.5" thickBot="1" x14ac:dyDescent="0.3">
      <c r="A83" s="77"/>
      <c r="B83" s="78" t="e">
        <f>Hipótesis!#REF!</f>
        <v>#REF!</v>
      </c>
      <c r="C83" s="115">
        <v>1550</v>
      </c>
      <c r="D83" s="80" t="e">
        <f t="shared" si="1"/>
        <v>#REF!</v>
      </c>
      <c r="E83" s="91">
        <f t="shared" si="2"/>
        <v>170.5</v>
      </c>
      <c r="F83" s="80" t="e">
        <f>D83*$E$17</f>
        <v>#REF!</v>
      </c>
      <c r="G83" s="91">
        <f t="shared" si="3"/>
        <v>155</v>
      </c>
      <c r="H83" s="80" t="e">
        <f>D83*$G$17</f>
        <v>#REF!</v>
      </c>
      <c r="I83" s="91">
        <f t="shared" si="4"/>
        <v>108.50000000000001</v>
      </c>
      <c r="J83" s="80" t="e">
        <f>D83*$I$17</f>
        <v>#REF!</v>
      </c>
      <c r="K83" s="91">
        <f t="shared" si="5"/>
        <v>93</v>
      </c>
      <c r="L83" s="80" t="e">
        <f>D83*$K$17</f>
        <v>#REF!</v>
      </c>
      <c r="M83" s="91">
        <f t="shared" si="6"/>
        <v>93</v>
      </c>
      <c r="N83" s="80" t="e">
        <f>D83*$M$17</f>
        <v>#REF!</v>
      </c>
      <c r="O83" s="91">
        <f t="shared" si="7"/>
        <v>62</v>
      </c>
      <c r="P83" s="80" t="e">
        <f>D83*$O$17</f>
        <v>#REF!</v>
      </c>
      <c r="Q83" s="91">
        <f t="shared" si="8"/>
        <v>139.5</v>
      </c>
      <c r="R83" s="80" t="e">
        <f>D83*$Q$17</f>
        <v>#REF!</v>
      </c>
      <c r="S83" s="91">
        <f t="shared" si="9"/>
        <v>77.5</v>
      </c>
      <c r="T83" s="80" t="e">
        <f>D83*$S$17</f>
        <v>#REF!</v>
      </c>
      <c r="U83" s="91">
        <f t="shared" si="10"/>
        <v>139.5</v>
      </c>
      <c r="V83" s="80" t="e">
        <f>D83*$U$17</f>
        <v>#REF!</v>
      </c>
      <c r="W83" s="91">
        <f t="shared" si="11"/>
        <v>155</v>
      </c>
      <c r="X83" s="80" t="e">
        <f>D83*$W$17</f>
        <v>#REF!</v>
      </c>
      <c r="Y83" s="91">
        <f t="shared" si="12"/>
        <v>170.5</v>
      </c>
      <c r="Z83" s="100" t="e">
        <f>D83*$Y$17</f>
        <v>#REF!</v>
      </c>
      <c r="AA83" s="91">
        <f t="shared" si="13"/>
        <v>186</v>
      </c>
      <c r="AB83" s="80" t="e">
        <f>D83*$AA$17</f>
        <v>#REF!</v>
      </c>
    </row>
    <row r="84" spans="1:28" ht="16.5" thickBot="1" x14ac:dyDescent="0.3">
      <c r="A84" s="236"/>
      <c r="B84" s="237" t="e">
        <f>Hipótesis!#REF!</f>
        <v>#REF!</v>
      </c>
      <c r="C84" s="110">
        <v>1400</v>
      </c>
      <c r="D84" s="111" t="e">
        <f t="shared" si="1"/>
        <v>#REF!</v>
      </c>
      <c r="E84" s="112">
        <f>C84*$E$17</f>
        <v>112</v>
      </c>
      <c r="F84" s="111" t="e">
        <f>D84*$E$17</f>
        <v>#REF!</v>
      </c>
      <c r="G84" s="112">
        <f t="shared" si="3"/>
        <v>140</v>
      </c>
      <c r="H84" s="111" t="e">
        <f>D84*$G$17</f>
        <v>#REF!</v>
      </c>
      <c r="I84" s="112">
        <f t="shared" si="4"/>
        <v>98.000000000000014</v>
      </c>
      <c r="J84" s="111" t="e">
        <f>D84*$I$17</f>
        <v>#REF!</v>
      </c>
      <c r="K84" s="112">
        <f t="shared" si="5"/>
        <v>84</v>
      </c>
      <c r="L84" s="111" t="e">
        <f>D84*$K$17</f>
        <v>#REF!</v>
      </c>
      <c r="M84" s="112">
        <f t="shared" si="6"/>
        <v>84</v>
      </c>
      <c r="N84" s="111" t="e">
        <f>D84*$M$17</f>
        <v>#REF!</v>
      </c>
      <c r="O84" s="112">
        <f t="shared" si="7"/>
        <v>56</v>
      </c>
      <c r="P84" s="111" t="e">
        <f>D84*$O$17</f>
        <v>#REF!</v>
      </c>
      <c r="Q84" s="112">
        <f t="shared" si="8"/>
        <v>126</v>
      </c>
      <c r="R84" s="111" t="e">
        <f>D84*$Q$17</f>
        <v>#REF!</v>
      </c>
      <c r="S84" s="112">
        <f t="shared" si="9"/>
        <v>70</v>
      </c>
      <c r="T84" s="111" t="e">
        <f>D84*$S$17</f>
        <v>#REF!</v>
      </c>
      <c r="U84" s="112">
        <f t="shared" si="10"/>
        <v>126</v>
      </c>
      <c r="V84" s="111" t="e">
        <f>D84*$U$17</f>
        <v>#REF!</v>
      </c>
      <c r="W84" s="112">
        <f t="shared" si="11"/>
        <v>140</v>
      </c>
      <c r="X84" s="111" t="e">
        <f>D84*$W$17</f>
        <v>#REF!</v>
      </c>
      <c r="Y84" s="112">
        <f t="shared" si="12"/>
        <v>154</v>
      </c>
      <c r="Z84" s="113" t="e">
        <f>D84*$Y$17</f>
        <v>#REF!</v>
      </c>
      <c r="AA84" s="112">
        <f t="shared" si="13"/>
        <v>168</v>
      </c>
      <c r="AB84" s="111" t="e">
        <f>D84*$AA$17</f>
        <v>#REF!</v>
      </c>
    </row>
    <row r="85" spans="1:28" ht="16.5" thickBot="1" x14ac:dyDescent="0.3">
      <c r="A85" s="771" t="s">
        <v>104</v>
      </c>
      <c r="B85" s="772"/>
      <c r="C85" s="199"/>
      <c r="D85" s="202" t="e">
        <f>SUM(D72:D84)</f>
        <v>#REF!</v>
      </c>
      <c r="E85" s="203"/>
      <c r="F85" s="204" t="e">
        <f t="shared" ref="F85" si="14">SUM(F72:F84)</f>
        <v>#REF!</v>
      </c>
      <c r="G85" s="203"/>
      <c r="H85" s="204" t="e">
        <f t="shared" ref="H85" si="15">SUM(H72:H84)</f>
        <v>#REF!</v>
      </c>
      <c r="I85" s="203"/>
      <c r="J85" s="204" t="e">
        <f t="shared" ref="J85" si="16">SUM(J72:J84)</f>
        <v>#REF!</v>
      </c>
      <c r="K85" s="203"/>
      <c r="L85" s="204" t="e">
        <f t="shared" ref="L85" si="17">SUM(L72:L84)</f>
        <v>#REF!</v>
      </c>
      <c r="M85" s="203"/>
      <c r="N85" s="204" t="e">
        <f t="shared" ref="N85" si="18">SUM(N72:N84)</f>
        <v>#REF!</v>
      </c>
      <c r="O85" s="203"/>
      <c r="P85" s="204" t="e">
        <f t="shared" ref="P85" si="19">SUM(P72:P84)</f>
        <v>#REF!</v>
      </c>
      <c r="Q85" s="203"/>
      <c r="R85" s="204" t="e">
        <f t="shared" ref="R85" si="20">SUM(R72:R84)</f>
        <v>#REF!</v>
      </c>
      <c r="S85" s="203"/>
      <c r="T85" s="204" t="e">
        <f t="shared" ref="T85" si="21">SUM(T72:T84)</f>
        <v>#REF!</v>
      </c>
      <c r="U85" s="203"/>
      <c r="V85" s="204" t="e">
        <f t="shared" ref="V85" si="22">SUM(V72:V84)</f>
        <v>#REF!</v>
      </c>
      <c r="W85" s="203"/>
      <c r="X85" s="204" t="e">
        <f t="shared" ref="X85" si="23">SUM(X72:X84)</f>
        <v>#REF!</v>
      </c>
      <c r="Y85" s="203"/>
      <c r="Z85" s="204" t="e">
        <f t="shared" ref="Z85" si="24">SUM(Z72:Z84)</f>
        <v>#REF!</v>
      </c>
      <c r="AA85" s="203"/>
      <c r="AB85" s="204" t="e">
        <f t="shared" ref="AB85" si="25">SUM(AB72:AB84)</f>
        <v>#REF!</v>
      </c>
    </row>
    <row r="86" spans="1:28" ht="15.75" x14ac:dyDescent="0.25">
      <c r="A86" s="769"/>
      <c r="B86" s="770"/>
      <c r="C86" s="228">
        <f>C72</f>
        <v>1200</v>
      </c>
      <c r="D86" s="210"/>
      <c r="E86" s="221">
        <f>E72</f>
        <v>132</v>
      </c>
      <c r="F86" s="210"/>
      <c r="G86" s="221">
        <f>G72</f>
        <v>120</v>
      </c>
      <c r="H86" s="210"/>
      <c r="I86" s="221">
        <f>I72</f>
        <v>84.000000000000014</v>
      </c>
      <c r="J86" s="210"/>
      <c r="K86" s="221">
        <f>K72</f>
        <v>72</v>
      </c>
      <c r="L86" s="210"/>
      <c r="M86" s="221">
        <f>M72</f>
        <v>72</v>
      </c>
      <c r="N86" s="210"/>
      <c r="O86" s="221">
        <f>O72</f>
        <v>48</v>
      </c>
      <c r="P86" s="210"/>
      <c r="Q86" s="221">
        <f>Q72</f>
        <v>108</v>
      </c>
      <c r="R86" s="210"/>
      <c r="S86" s="221">
        <f>S72</f>
        <v>60</v>
      </c>
      <c r="T86" s="210"/>
      <c r="U86" s="221">
        <f>U72</f>
        <v>108</v>
      </c>
      <c r="V86" s="210"/>
      <c r="W86" s="221">
        <f>W72</f>
        <v>120</v>
      </c>
      <c r="X86" s="210"/>
      <c r="Y86" s="221">
        <f>Y72</f>
        <v>132</v>
      </c>
      <c r="Z86" s="210"/>
      <c r="AA86" s="221">
        <f>AA72</f>
        <v>144</v>
      </c>
      <c r="AB86" s="211"/>
    </row>
    <row r="87" spans="1:28" ht="15.75" x14ac:dyDescent="0.25">
      <c r="A87" s="767"/>
      <c r="B87" s="768"/>
      <c r="C87" s="229">
        <f>C73</f>
        <v>845</v>
      </c>
      <c r="D87" s="206"/>
      <c r="E87" s="222">
        <f>E73</f>
        <v>92.95</v>
      </c>
      <c r="F87" s="206"/>
      <c r="G87" s="222">
        <f>G73</f>
        <v>84.5</v>
      </c>
      <c r="H87" s="206"/>
      <c r="I87" s="222">
        <f>I73</f>
        <v>59.150000000000006</v>
      </c>
      <c r="J87" s="206"/>
      <c r="K87" s="222">
        <f>K73</f>
        <v>50.699999999999996</v>
      </c>
      <c r="L87" s="206"/>
      <c r="M87" s="222">
        <f>M73</f>
        <v>50.699999999999996</v>
      </c>
      <c r="N87" s="206"/>
      <c r="O87" s="222">
        <f>O73</f>
        <v>33.799999999999997</v>
      </c>
      <c r="P87" s="206"/>
      <c r="Q87" s="222">
        <f>Q73</f>
        <v>76.05</v>
      </c>
      <c r="R87" s="206"/>
      <c r="S87" s="222">
        <f>S73</f>
        <v>42.25</v>
      </c>
      <c r="T87" s="206"/>
      <c r="U87" s="222">
        <f>U73</f>
        <v>76.05</v>
      </c>
      <c r="V87" s="206"/>
      <c r="W87" s="222">
        <f>W73</f>
        <v>84.5</v>
      </c>
      <c r="X87" s="206"/>
      <c r="Y87" s="222">
        <f>Y73</f>
        <v>92.95</v>
      </c>
      <c r="Z87" s="206"/>
      <c r="AA87" s="222">
        <f>AA73</f>
        <v>101.39999999999999</v>
      </c>
      <c r="AB87" s="212"/>
    </row>
    <row r="88" spans="1:28" ht="16.5" thickBot="1" x14ac:dyDescent="0.3">
      <c r="A88" s="765"/>
      <c r="B88" s="766"/>
      <c r="C88" s="230">
        <f>C74</f>
        <v>245</v>
      </c>
      <c r="D88" s="213"/>
      <c r="E88" s="223">
        <f>E74</f>
        <v>26.95</v>
      </c>
      <c r="F88" s="213"/>
      <c r="G88" s="223">
        <f>G74</f>
        <v>24.5</v>
      </c>
      <c r="H88" s="213"/>
      <c r="I88" s="223">
        <f>I74</f>
        <v>17.150000000000002</v>
      </c>
      <c r="J88" s="213"/>
      <c r="K88" s="223">
        <f>K74</f>
        <v>14.7</v>
      </c>
      <c r="L88" s="213"/>
      <c r="M88" s="223">
        <f>M74</f>
        <v>14.7</v>
      </c>
      <c r="N88" s="213"/>
      <c r="O88" s="223">
        <f>O74</f>
        <v>9.8000000000000007</v>
      </c>
      <c r="P88" s="213"/>
      <c r="Q88" s="223">
        <f>Q74</f>
        <v>22.05</v>
      </c>
      <c r="R88" s="213"/>
      <c r="S88" s="223">
        <f>S74</f>
        <v>12.25</v>
      </c>
      <c r="T88" s="213"/>
      <c r="U88" s="223">
        <f>U74</f>
        <v>22.05</v>
      </c>
      <c r="V88" s="213"/>
      <c r="W88" s="223">
        <f>W74</f>
        <v>24.5</v>
      </c>
      <c r="X88" s="213"/>
      <c r="Y88" s="223">
        <f>Y74</f>
        <v>26.95</v>
      </c>
      <c r="Z88" s="213"/>
      <c r="AA88" s="223">
        <f>AA74</f>
        <v>29.4</v>
      </c>
      <c r="AB88" s="214"/>
    </row>
    <row r="89" spans="1:28" ht="16.5" thickBot="1" x14ac:dyDescent="0.3">
      <c r="A89" s="785"/>
      <c r="B89" s="786"/>
      <c r="C89" s="231">
        <f>SUM(C75:C78)</f>
        <v>5950</v>
      </c>
      <c r="D89" s="209"/>
      <c r="E89" s="224">
        <f>SUM(E75:E78)</f>
        <v>654.5</v>
      </c>
      <c r="F89" s="215"/>
      <c r="G89" s="224">
        <f>SUM(G75:G78)</f>
        <v>595</v>
      </c>
      <c r="H89" s="215"/>
      <c r="I89" s="224">
        <f>SUM(I75:I78)</f>
        <v>416.50000000000006</v>
      </c>
      <c r="J89" s="215"/>
      <c r="K89" s="224">
        <f>SUM(K75:K78)</f>
        <v>357</v>
      </c>
      <c r="L89" s="215"/>
      <c r="M89" s="224">
        <f>SUM(M75:M78)</f>
        <v>357</v>
      </c>
      <c r="N89" s="215"/>
      <c r="O89" s="224">
        <f>SUM(O75:O78)</f>
        <v>238</v>
      </c>
      <c r="P89" s="215"/>
      <c r="Q89" s="224">
        <f>SUM(Q75:Q78)</f>
        <v>535.5</v>
      </c>
      <c r="R89" s="215"/>
      <c r="S89" s="224">
        <f>SUM(S75:S78)</f>
        <v>297.5</v>
      </c>
      <c r="T89" s="215"/>
      <c r="U89" s="224">
        <f>SUM(U75:U78)</f>
        <v>535.5</v>
      </c>
      <c r="V89" s="215"/>
      <c r="W89" s="224">
        <f>SUM(W75:W78)</f>
        <v>595</v>
      </c>
      <c r="X89" s="215"/>
      <c r="Y89" s="224">
        <f>SUM(Y75:Y78)</f>
        <v>654.5</v>
      </c>
      <c r="Z89" s="215"/>
      <c r="AA89" s="224">
        <f>SUM(AA75:AA78)</f>
        <v>714</v>
      </c>
      <c r="AB89" s="218"/>
    </row>
    <row r="90" spans="1:28" ht="16.5" thickBot="1" x14ac:dyDescent="0.3">
      <c r="A90" s="779"/>
      <c r="B90" s="780"/>
      <c r="C90" s="232">
        <f>SUM(C79:C83)</f>
        <v>4655</v>
      </c>
      <c r="D90" s="208"/>
      <c r="E90" s="225">
        <f>SUM(E79:E83)</f>
        <v>512.04999999999995</v>
      </c>
      <c r="F90" s="216"/>
      <c r="G90" s="225">
        <f>SUM(G79:G83)</f>
        <v>465.5</v>
      </c>
      <c r="H90" s="216"/>
      <c r="I90" s="225">
        <f>SUM(I79:I83)</f>
        <v>325.85000000000002</v>
      </c>
      <c r="J90" s="216"/>
      <c r="K90" s="225">
        <f>SUM(K79:K83)</f>
        <v>279.29999999999995</v>
      </c>
      <c r="L90" s="216"/>
      <c r="M90" s="225">
        <f>SUM(M79:M83)</f>
        <v>279.29999999999995</v>
      </c>
      <c r="N90" s="216"/>
      <c r="O90" s="225">
        <f>SUM(O79:O83)</f>
        <v>186.2</v>
      </c>
      <c r="P90" s="216"/>
      <c r="Q90" s="225">
        <f>SUM(Q79:Q83)</f>
        <v>418.95</v>
      </c>
      <c r="R90" s="216"/>
      <c r="S90" s="225">
        <f>SUM(S79:S83)</f>
        <v>232.75</v>
      </c>
      <c r="T90" s="216"/>
      <c r="U90" s="225">
        <f>SUM(U79:U83)</f>
        <v>418.95</v>
      </c>
      <c r="V90" s="216"/>
      <c r="W90" s="225">
        <f>SUM(W79:W83)</f>
        <v>465.5</v>
      </c>
      <c r="X90" s="216"/>
      <c r="Y90" s="225">
        <f>SUM(Y79:Y83)</f>
        <v>512.04999999999995</v>
      </c>
      <c r="Z90" s="216"/>
      <c r="AA90" s="225">
        <f>SUM(AA79:AA83)</f>
        <v>558.59999999999991</v>
      </c>
      <c r="AB90" s="219"/>
    </row>
    <row r="91" spans="1:28" ht="16.5" thickBot="1" x14ac:dyDescent="0.3">
      <c r="A91" s="783"/>
      <c r="B91" s="784"/>
      <c r="C91" s="233">
        <f>C84</f>
        <v>1400</v>
      </c>
      <c r="D91" s="207"/>
      <c r="E91" s="226">
        <f>E84</f>
        <v>112</v>
      </c>
      <c r="F91" s="217"/>
      <c r="G91" s="226">
        <f>G84</f>
        <v>140</v>
      </c>
      <c r="H91" s="217"/>
      <c r="I91" s="226">
        <f>I84</f>
        <v>98.000000000000014</v>
      </c>
      <c r="J91" s="217"/>
      <c r="K91" s="226">
        <f>K84</f>
        <v>84</v>
      </c>
      <c r="L91" s="217"/>
      <c r="M91" s="226">
        <f>M84</f>
        <v>84</v>
      </c>
      <c r="N91" s="217"/>
      <c r="O91" s="226">
        <f>O84</f>
        <v>56</v>
      </c>
      <c r="P91" s="217"/>
      <c r="Q91" s="226">
        <f>Q84</f>
        <v>126</v>
      </c>
      <c r="R91" s="217"/>
      <c r="S91" s="226">
        <f>S84</f>
        <v>70</v>
      </c>
      <c r="T91" s="217"/>
      <c r="U91" s="226">
        <f>U84</f>
        <v>126</v>
      </c>
      <c r="V91" s="217"/>
      <c r="W91" s="226">
        <f>W84</f>
        <v>140</v>
      </c>
      <c r="X91" s="217"/>
      <c r="Y91" s="226">
        <f>Y84</f>
        <v>154</v>
      </c>
      <c r="Z91" s="217"/>
      <c r="AA91" s="226">
        <f>AA84</f>
        <v>168</v>
      </c>
      <c r="AB91" s="220"/>
    </row>
    <row r="92" spans="1:28" ht="15.75" thickBot="1" x14ac:dyDescent="0.3">
      <c r="D92" s="35"/>
    </row>
    <row r="93" spans="1:28" ht="27" thickBot="1" x14ac:dyDescent="0.45">
      <c r="A93" s="691" t="s">
        <v>70</v>
      </c>
      <c r="B93" s="692"/>
      <c r="C93" s="692"/>
      <c r="D93" s="692"/>
      <c r="E93" s="692"/>
      <c r="F93" s="692"/>
      <c r="G93" s="692"/>
      <c r="H93" s="692"/>
      <c r="I93" s="692"/>
      <c r="J93" s="692"/>
      <c r="K93" s="692"/>
      <c r="L93" s="692"/>
      <c r="M93" s="692"/>
      <c r="N93" s="692"/>
      <c r="O93" s="692"/>
      <c r="P93" s="692"/>
      <c r="Q93" s="692"/>
      <c r="R93" s="692"/>
      <c r="S93" s="692"/>
      <c r="T93" s="692"/>
      <c r="U93" s="692"/>
      <c r="V93" s="692"/>
      <c r="W93" s="692"/>
      <c r="X93" s="692"/>
      <c r="Y93" s="692"/>
      <c r="Z93" s="692"/>
      <c r="AA93" s="692"/>
      <c r="AB93" s="693"/>
    </row>
    <row r="94" spans="1:28" ht="107.25" customHeight="1" thickBot="1" x14ac:dyDescent="0.3">
      <c r="A94" s="158" t="s">
        <v>73</v>
      </c>
      <c r="B94" s="679" t="s">
        <v>356</v>
      </c>
      <c r="C94" s="680"/>
      <c r="D94" s="680"/>
      <c r="E94" s="680"/>
      <c r="F94" s="680"/>
      <c r="G94" s="680"/>
      <c r="H94" s="680"/>
      <c r="I94" s="680"/>
      <c r="J94" s="680"/>
      <c r="K94" s="680"/>
      <c r="L94" s="680"/>
      <c r="M94" s="680"/>
      <c r="N94" s="680"/>
      <c r="O94" s="680"/>
      <c r="P94" s="680"/>
      <c r="Q94" s="680"/>
      <c r="R94" s="680"/>
      <c r="S94" s="680"/>
      <c r="T94" s="680"/>
      <c r="U94" s="680"/>
      <c r="V94" s="680"/>
      <c r="W94" s="680"/>
      <c r="X94" s="680"/>
      <c r="Y94" s="680"/>
      <c r="Z94" s="680"/>
      <c r="AA94" s="680"/>
      <c r="AB94" s="681"/>
    </row>
    <row r="95" spans="1:28" ht="21.75" thickBot="1" x14ac:dyDescent="0.3">
      <c r="A95" s="694"/>
      <c r="B95" s="695"/>
      <c r="C95" s="756" t="s">
        <v>64</v>
      </c>
      <c r="D95" s="757"/>
      <c r="E95" s="696" t="s">
        <v>40</v>
      </c>
      <c r="F95" s="697"/>
      <c r="G95" s="698" t="s">
        <v>41</v>
      </c>
      <c r="H95" s="697"/>
      <c r="I95" s="698" t="s">
        <v>42</v>
      </c>
      <c r="J95" s="697"/>
      <c r="K95" s="698" t="s">
        <v>43</v>
      </c>
      <c r="L95" s="697"/>
      <c r="M95" s="698" t="s">
        <v>44</v>
      </c>
      <c r="N95" s="697"/>
      <c r="O95" s="698" t="s">
        <v>45</v>
      </c>
      <c r="P95" s="697"/>
      <c r="Q95" s="698" t="s">
        <v>46</v>
      </c>
      <c r="R95" s="697"/>
      <c r="S95" s="698" t="s">
        <v>47</v>
      </c>
      <c r="T95" s="697"/>
      <c r="U95" s="698" t="s">
        <v>48</v>
      </c>
      <c r="V95" s="697"/>
      <c r="W95" s="698" t="s">
        <v>49</v>
      </c>
      <c r="X95" s="697"/>
      <c r="Y95" s="698" t="s">
        <v>50</v>
      </c>
      <c r="Z95" s="697"/>
      <c r="AA95" s="698" t="s">
        <v>51</v>
      </c>
      <c r="AB95" s="697"/>
    </row>
    <row r="96" spans="1:28" x14ac:dyDescent="0.25">
      <c r="A96" s="738" t="s">
        <v>63</v>
      </c>
      <c r="B96" s="739"/>
      <c r="C96" s="754"/>
      <c r="D96" s="755"/>
      <c r="E96" s="745" t="s">
        <v>67</v>
      </c>
      <c r="F96" s="724"/>
      <c r="G96" s="746" t="s">
        <v>67</v>
      </c>
      <c r="H96" s="724"/>
      <c r="I96" s="746" t="s">
        <v>67</v>
      </c>
      <c r="J96" s="724"/>
      <c r="K96" s="746" t="s">
        <v>67</v>
      </c>
      <c r="L96" s="724"/>
      <c r="M96" s="746" t="s">
        <v>67</v>
      </c>
      <c r="N96" s="724"/>
      <c r="O96" s="746" t="s">
        <v>67</v>
      </c>
      <c r="P96" s="724"/>
      <c r="Q96" s="746" t="s">
        <v>67</v>
      </c>
      <c r="R96" s="724"/>
      <c r="S96" s="746" t="s">
        <v>67</v>
      </c>
      <c r="T96" s="724"/>
      <c r="U96" s="714" t="s">
        <v>67</v>
      </c>
      <c r="V96" s="714"/>
      <c r="W96" s="714" t="s">
        <v>67</v>
      </c>
      <c r="X96" s="714"/>
      <c r="Y96" s="714" t="s">
        <v>67</v>
      </c>
      <c r="Z96" s="714"/>
      <c r="AA96" s="714" t="s">
        <v>67</v>
      </c>
      <c r="AB96" s="731"/>
    </row>
    <row r="97" spans="1:28" x14ac:dyDescent="0.25">
      <c r="A97" s="740"/>
      <c r="B97" s="741"/>
      <c r="C97" s="750"/>
      <c r="D97" s="751"/>
      <c r="E97" s="728" t="s">
        <v>67</v>
      </c>
      <c r="F97" s="713"/>
      <c r="G97" s="713" t="s">
        <v>67</v>
      </c>
      <c r="H97" s="713"/>
      <c r="I97" s="713" t="s">
        <v>67</v>
      </c>
      <c r="J97" s="713"/>
      <c r="K97" s="713" t="s">
        <v>67</v>
      </c>
      <c r="L97" s="713"/>
      <c r="M97" s="713" t="s">
        <v>67</v>
      </c>
      <c r="N97" s="713"/>
      <c r="O97" s="713" t="s">
        <v>67</v>
      </c>
      <c r="P97" s="713"/>
      <c r="Q97" s="713" t="s">
        <v>67</v>
      </c>
      <c r="R97" s="713"/>
      <c r="S97" s="713" t="s">
        <v>67</v>
      </c>
      <c r="T97" s="713"/>
      <c r="U97" s="713" t="s">
        <v>67</v>
      </c>
      <c r="V97" s="713"/>
      <c r="W97" s="713" t="s">
        <v>67</v>
      </c>
      <c r="X97" s="713"/>
      <c r="Y97" s="713" t="s">
        <v>67</v>
      </c>
      <c r="Z97" s="713"/>
      <c r="AA97" s="713" t="s">
        <v>67</v>
      </c>
      <c r="AB97" s="732"/>
    </row>
    <row r="98" spans="1:28" x14ac:dyDescent="0.25">
      <c r="A98" s="740"/>
      <c r="B98" s="741"/>
      <c r="C98" s="750"/>
      <c r="D98" s="751"/>
      <c r="E98" s="728" t="s">
        <v>67</v>
      </c>
      <c r="F98" s="713"/>
      <c r="G98" s="713" t="s">
        <v>67</v>
      </c>
      <c r="H98" s="713"/>
      <c r="I98" s="713" t="s">
        <v>67</v>
      </c>
      <c r="J98" s="713"/>
      <c r="K98" s="713" t="s">
        <v>67</v>
      </c>
      <c r="L98" s="713"/>
      <c r="M98" s="713" t="s">
        <v>67</v>
      </c>
      <c r="N98" s="713"/>
      <c r="O98" s="713" t="s">
        <v>67</v>
      </c>
      <c r="P98" s="713"/>
      <c r="Q98" s="713" t="s">
        <v>67</v>
      </c>
      <c r="R98" s="713"/>
      <c r="S98" s="713" t="s">
        <v>67</v>
      </c>
      <c r="T98" s="713"/>
      <c r="U98" s="713" t="s">
        <v>67</v>
      </c>
      <c r="V98" s="713"/>
      <c r="W98" s="713" t="s">
        <v>67</v>
      </c>
      <c r="X98" s="713"/>
      <c r="Y98" s="713" t="s">
        <v>67</v>
      </c>
      <c r="Z98" s="713"/>
      <c r="AA98" s="713" t="s">
        <v>67</v>
      </c>
      <c r="AB98" s="732"/>
    </row>
    <row r="99" spans="1:28" x14ac:dyDescent="0.25">
      <c r="A99" s="740"/>
      <c r="B99" s="741"/>
      <c r="C99" s="750"/>
      <c r="D99" s="751"/>
      <c r="E99" s="728" t="s">
        <v>67</v>
      </c>
      <c r="F99" s="713"/>
      <c r="G99" s="713" t="s">
        <v>67</v>
      </c>
      <c r="H99" s="713"/>
      <c r="I99" s="713" t="s">
        <v>67</v>
      </c>
      <c r="J99" s="713"/>
      <c r="K99" s="713" t="s">
        <v>67</v>
      </c>
      <c r="L99" s="713"/>
      <c r="M99" s="713" t="s">
        <v>67</v>
      </c>
      <c r="N99" s="713"/>
      <c r="O99" s="713" t="s">
        <v>67</v>
      </c>
      <c r="P99" s="713"/>
      <c r="Q99" s="713" t="s">
        <v>67</v>
      </c>
      <c r="R99" s="713"/>
      <c r="S99" s="713" t="s">
        <v>67</v>
      </c>
      <c r="T99" s="713"/>
      <c r="U99" s="713" t="s">
        <v>67</v>
      </c>
      <c r="V99" s="713"/>
      <c r="W99" s="713" t="s">
        <v>67</v>
      </c>
      <c r="X99" s="713"/>
      <c r="Y99" s="713" t="s">
        <v>67</v>
      </c>
      <c r="Z99" s="713"/>
      <c r="AA99" s="713" t="s">
        <v>67</v>
      </c>
      <c r="AB99" s="732"/>
    </row>
    <row r="100" spans="1:28" x14ac:dyDescent="0.25">
      <c r="A100" s="740"/>
      <c r="B100" s="741"/>
      <c r="C100" s="750"/>
      <c r="D100" s="751"/>
      <c r="E100" s="728" t="s">
        <v>67</v>
      </c>
      <c r="F100" s="713"/>
      <c r="G100" s="713" t="s">
        <v>67</v>
      </c>
      <c r="H100" s="713"/>
      <c r="I100" s="713" t="s">
        <v>67</v>
      </c>
      <c r="J100" s="713"/>
      <c r="K100" s="713" t="s">
        <v>67</v>
      </c>
      <c r="L100" s="713"/>
      <c r="M100" s="713" t="s">
        <v>67</v>
      </c>
      <c r="N100" s="713"/>
      <c r="O100" s="713" t="s">
        <v>67</v>
      </c>
      <c r="P100" s="713"/>
      <c r="Q100" s="713" t="s">
        <v>67</v>
      </c>
      <c r="R100" s="713"/>
      <c r="S100" s="713" t="s">
        <v>67</v>
      </c>
      <c r="T100" s="713"/>
      <c r="U100" s="713" t="s">
        <v>67</v>
      </c>
      <c r="V100" s="713"/>
      <c r="W100" s="713" t="s">
        <v>67</v>
      </c>
      <c r="X100" s="713"/>
      <c r="Y100" s="713" t="s">
        <v>67</v>
      </c>
      <c r="Z100" s="713"/>
      <c r="AA100" s="713" t="s">
        <v>67</v>
      </c>
      <c r="AB100" s="732"/>
    </row>
    <row r="101" spans="1:28" x14ac:dyDescent="0.25">
      <c r="A101" s="740"/>
      <c r="B101" s="741"/>
      <c r="C101" s="750"/>
      <c r="D101" s="751"/>
      <c r="E101" s="728" t="s">
        <v>67</v>
      </c>
      <c r="F101" s="713"/>
      <c r="G101" s="713" t="s">
        <v>67</v>
      </c>
      <c r="H101" s="713"/>
      <c r="I101" s="713" t="s">
        <v>67</v>
      </c>
      <c r="J101" s="713"/>
      <c r="K101" s="713" t="s">
        <v>67</v>
      </c>
      <c r="L101" s="713"/>
      <c r="M101" s="713" t="s">
        <v>67</v>
      </c>
      <c r="N101" s="713"/>
      <c r="O101" s="713" t="s">
        <v>67</v>
      </c>
      <c r="P101" s="713"/>
      <c r="Q101" s="713" t="s">
        <v>67</v>
      </c>
      <c r="R101" s="713"/>
      <c r="S101" s="713" t="s">
        <v>67</v>
      </c>
      <c r="T101" s="713"/>
      <c r="U101" s="713" t="s">
        <v>67</v>
      </c>
      <c r="V101" s="713"/>
      <c r="W101" s="713" t="s">
        <v>67</v>
      </c>
      <c r="X101" s="713"/>
      <c r="Y101" s="713" t="s">
        <v>67</v>
      </c>
      <c r="Z101" s="713"/>
      <c r="AA101" s="713" t="s">
        <v>67</v>
      </c>
      <c r="AB101" s="732"/>
    </row>
    <row r="102" spans="1:28" x14ac:dyDescent="0.25">
      <c r="A102" s="740"/>
      <c r="B102" s="741"/>
      <c r="C102" s="752"/>
      <c r="D102" s="753"/>
      <c r="E102" s="728" t="s">
        <v>67</v>
      </c>
      <c r="F102" s="713"/>
      <c r="G102" s="713" t="s">
        <v>67</v>
      </c>
      <c r="H102" s="713"/>
      <c r="I102" s="713" t="s">
        <v>67</v>
      </c>
      <c r="J102" s="713"/>
      <c r="K102" s="713" t="s">
        <v>67</v>
      </c>
      <c r="L102" s="713"/>
      <c r="M102" s="733" t="s">
        <v>87</v>
      </c>
      <c r="N102" s="747"/>
      <c r="O102" s="713" t="s">
        <v>67</v>
      </c>
      <c r="P102" s="713"/>
      <c r="Q102" s="713" t="s">
        <v>67</v>
      </c>
      <c r="R102" s="713"/>
      <c r="S102" s="713" t="s">
        <v>67</v>
      </c>
      <c r="T102" s="713"/>
      <c r="U102" s="713" t="s">
        <v>67</v>
      </c>
      <c r="V102" s="713"/>
      <c r="W102" s="713" t="s">
        <v>67</v>
      </c>
      <c r="X102" s="713"/>
      <c r="Y102" s="713" t="s">
        <v>67</v>
      </c>
      <c r="Z102" s="713"/>
      <c r="AA102" s="713" t="s">
        <v>67</v>
      </c>
      <c r="AB102" s="732"/>
    </row>
    <row r="103" spans="1:28" x14ac:dyDescent="0.25">
      <c r="A103" s="740"/>
      <c r="B103" s="741"/>
      <c r="C103" s="752"/>
      <c r="D103" s="753"/>
      <c r="E103" s="728" t="s">
        <v>67</v>
      </c>
      <c r="F103" s="713"/>
      <c r="G103" s="713" t="s">
        <v>67</v>
      </c>
      <c r="H103" s="713"/>
      <c r="I103" s="713" t="s">
        <v>67</v>
      </c>
      <c r="J103" s="713"/>
      <c r="K103" s="713" t="s">
        <v>67</v>
      </c>
      <c r="L103" s="713"/>
      <c r="M103" s="713" t="s">
        <v>67</v>
      </c>
      <c r="N103" s="713"/>
      <c r="O103" s="713" t="s">
        <v>67</v>
      </c>
      <c r="P103" s="713"/>
      <c r="Q103" s="713" t="s">
        <v>67</v>
      </c>
      <c r="R103" s="713"/>
      <c r="S103" s="713" t="s">
        <v>67</v>
      </c>
      <c r="T103" s="713"/>
      <c r="U103" s="713" t="s">
        <v>67</v>
      </c>
      <c r="V103" s="713"/>
      <c r="W103" s="713" t="s">
        <v>67</v>
      </c>
      <c r="X103" s="713"/>
      <c r="Y103" s="713" t="s">
        <v>67</v>
      </c>
      <c r="Z103" s="713"/>
      <c r="AA103" s="733" t="s">
        <v>81</v>
      </c>
      <c r="AB103" s="747"/>
    </row>
    <row r="104" spans="1:28" x14ac:dyDescent="0.25">
      <c r="A104" s="740"/>
      <c r="B104" s="741"/>
      <c r="C104" s="750"/>
      <c r="D104" s="751"/>
      <c r="E104" s="728" t="s">
        <v>67</v>
      </c>
      <c r="F104" s="713"/>
      <c r="G104" s="713" t="s">
        <v>67</v>
      </c>
      <c r="H104" s="713"/>
      <c r="I104" s="713" t="s">
        <v>67</v>
      </c>
      <c r="J104" s="713"/>
      <c r="K104" s="713" t="s">
        <v>67</v>
      </c>
      <c r="L104" s="713"/>
      <c r="M104" s="713" t="s">
        <v>67</v>
      </c>
      <c r="N104" s="713"/>
      <c r="O104" s="713" t="s">
        <v>67</v>
      </c>
      <c r="P104" s="713"/>
      <c r="Q104" s="713" t="s">
        <v>67</v>
      </c>
      <c r="R104" s="713"/>
      <c r="S104" s="713" t="s">
        <v>67</v>
      </c>
      <c r="T104" s="713"/>
      <c r="U104" s="713" t="s">
        <v>67</v>
      </c>
      <c r="V104" s="713"/>
      <c r="W104" s="713" t="s">
        <v>67</v>
      </c>
      <c r="X104" s="713"/>
      <c r="Y104" s="713" t="s">
        <v>67</v>
      </c>
      <c r="Z104" s="713"/>
      <c r="AA104" s="713" t="s">
        <v>67</v>
      </c>
      <c r="AB104" s="732"/>
    </row>
    <row r="105" spans="1:28" x14ac:dyDescent="0.25">
      <c r="A105" s="740"/>
      <c r="B105" s="741"/>
      <c r="C105" s="750"/>
      <c r="D105" s="751"/>
      <c r="E105" s="728" t="s">
        <v>67</v>
      </c>
      <c r="F105" s="713"/>
      <c r="G105" s="713" t="s">
        <v>67</v>
      </c>
      <c r="H105" s="713"/>
      <c r="I105" s="713" t="s">
        <v>67</v>
      </c>
      <c r="J105" s="713"/>
      <c r="K105" s="713" t="s">
        <v>67</v>
      </c>
      <c r="L105" s="713"/>
      <c r="M105" s="713" t="s">
        <v>67</v>
      </c>
      <c r="N105" s="713"/>
      <c r="O105" s="713" t="s">
        <v>67</v>
      </c>
      <c r="P105" s="713"/>
      <c r="Q105" s="713" t="s">
        <v>67</v>
      </c>
      <c r="R105" s="713"/>
      <c r="S105" s="713" t="s">
        <v>67</v>
      </c>
      <c r="T105" s="713"/>
      <c r="U105" s="713" t="s">
        <v>67</v>
      </c>
      <c r="V105" s="713"/>
      <c r="W105" s="713" t="s">
        <v>67</v>
      </c>
      <c r="X105" s="713"/>
      <c r="Y105" s="713" t="s">
        <v>67</v>
      </c>
      <c r="Z105" s="713"/>
      <c r="AA105" s="713" t="s">
        <v>67</v>
      </c>
      <c r="AB105" s="732"/>
    </row>
    <row r="106" spans="1:28" x14ac:dyDescent="0.25">
      <c r="A106" s="740"/>
      <c r="B106" s="741"/>
      <c r="C106" s="750"/>
      <c r="D106" s="751"/>
      <c r="E106" s="728" t="s">
        <v>67</v>
      </c>
      <c r="F106" s="713"/>
      <c r="G106" s="713" t="s">
        <v>67</v>
      </c>
      <c r="H106" s="713"/>
      <c r="I106" s="713" t="s">
        <v>67</v>
      </c>
      <c r="J106" s="713"/>
      <c r="K106" s="713" t="s">
        <v>67</v>
      </c>
      <c r="L106" s="713"/>
      <c r="M106" s="713" t="s">
        <v>67</v>
      </c>
      <c r="N106" s="713"/>
      <c r="O106" s="713" t="s">
        <v>67</v>
      </c>
      <c r="P106" s="713"/>
      <c r="Q106" s="713" t="s">
        <v>67</v>
      </c>
      <c r="R106" s="713"/>
      <c r="S106" s="713" t="s">
        <v>67</v>
      </c>
      <c r="T106" s="713"/>
      <c r="U106" s="713" t="s">
        <v>67</v>
      </c>
      <c r="V106" s="713"/>
      <c r="W106" s="713" t="s">
        <v>67</v>
      </c>
      <c r="X106" s="713"/>
      <c r="Y106" s="713" t="s">
        <v>67</v>
      </c>
      <c r="Z106" s="713"/>
      <c r="AA106" s="713" t="s">
        <v>67</v>
      </c>
      <c r="AB106" s="732"/>
    </row>
    <row r="107" spans="1:28" x14ac:dyDescent="0.25">
      <c r="A107" s="740"/>
      <c r="B107" s="741"/>
      <c r="C107" s="750"/>
      <c r="D107" s="751"/>
      <c r="E107" s="728" t="s">
        <v>67</v>
      </c>
      <c r="F107" s="713"/>
      <c r="G107" s="713" t="s">
        <v>67</v>
      </c>
      <c r="H107" s="713"/>
      <c r="I107" s="713" t="s">
        <v>67</v>
      </c>
      <c r="J107" s="713"/>
      <c r="K107" s="713" t="s">
        <v>67</v>
      </c>
      <c r="L107" s="713"/>
      <c r="M107" s="713" t="s">
        <v>67</v>
      </c>
      <c r="N107" s="713"/>
      <c r="O107" s="713" t="s">
        <v>67</v>
      </c>
      <c r="P107" s="713"/>
      <c r="Q107" s="713" t="s">
        <v>67</v>
      </c>
      <c r="R107" s="713"/>
      <c r="S107" s="713" t="s">
        <v>67</v>
      </c>
      <c r="T107" s="713"/>
      <c r="U107" s="713" t="s">
        <v>67</v>
      </c>
      <c r="V107" s="713"/>
      <c r="W107" s="713" t="s">
        <v>67</v>
      </c>
      <c r="X107" s="713"/>
      <c r="Y107" s="713" t="s">
        <v>67</v>
      </c>
      <c r="Z107" s="713"/>
      <c r="AA107" s="713" t="s">
        <v>67</v>
      </c>
      <c r="AB107" s="732"/>
    </row>
    <row r="108" spans="1:28" x14ac:dyDescent="0.25">
      <c r="A108" s="740"/>
      <c r="B108" s="741"/>
      <c r="C108" s="750"/>
      <c r="D108" s="751"/>
      <c r="E108" s="728" t="s">
        <v>67</v>
      </c>
      <c r="F108" s="713"/>
      <c r="G108" s="713" t="s">
        <v>67</v>
      </c>
      <c r="H108" s="713"/>
      <c r="I108" s="713" t="s">
        <v>67</v>
      </c>
      <c r="J108" s="713"/>
      <c r="K108" s="713" t="s">
        <v>67</v>
      </c>
      <c r="L108" s="713"/>
      <c r="M108" s="713" t="s">
        <v>67</v>
      </c>
      <c r="N108" s="713"/>
      <c r="O108" s="713" t="s">
        <v>67</v>
      </c>
      <c r="P108" s="713"/>
      <c r="Q108" s="713" t="s">
        <v>67</v>
      </c>
      <c r="R108" s="713"/>
      <c r="S108" s="713" t="s">
        <v>67</v>
      </c>
      <c r="T108" s="713"/>
      <c r="U108" s="713" t="s">
        <v>67</v>
      </c>
      <c r="V108" s="713"/>
      <c r="W108" s="713" t="s">
        <v>67</v>
      </c>
      <c r="X108" s="713"/>
      <c r="Y108" s="713" t="s">
        <v>67</v>
      </c>
      <c r="Z108" s="713"/>
      <c r="AA108" s="713" t="s">
        <v>67</v>
      </c>
      <c r="AB108" s="732"/>
    </row>
    <row r="109" spans="1:28" x14ac:dyDescent="0.25">
      <c r="A109" s="740"/>
      <c r="B109" s="741"/>
      <c r="C109" s="750"/>
      <c r="D109" s="751"/>
      <c r="E109" s="728" t="s">
        <v>67</v>
      </c>
      <c r="F109" s="713"/>
      <c r="G109" s="713" t="s">
        <v>67</v>
      </c>
      <c r="H109" s="713"/>
      <c r="I109" s="713" t="s">
        <v>67</v>
      </c>
      <c r="J109" s="713"/>
      <c r="K109" s="713" t="s">
        <v>67</v>
      </c>
      <c r="L109" s="713"/>
      <c r="M109" s="713" t="s">
        <v>67</v>
      </c>
      <c r="N109" s="713"/>
      <c r="O109" s="713" t="s">
        <v>67</v>
      </c>
      <c r="P109" s="713"/>
      <c r="Q109" s="713" t="s">
        <v>67</v>
      </c>
      <c r="R109" s="713"/>
      <c r="S109" s="713" t="s">
        <v>67</v>
      </c>
      <c r="T109" s="713"/>
      <c r="U109" s="713" t="s">
        <v>67</v>
      </c>
      <c r="V109" s="713"/>
      <c r="W109" s="713" t="s">
        <v>67</v>
      </c>
      <c r="X109" s="713"/>
      <c r="Y109" s="713" t="s">
        <v>67</v>
      </c>
      <c r="Z109" s="713"/>
      <c r="AA109" s="713" t="s">
        <v>67</v>
      </c>
      <c r="AB109" s="732"/>
    </row>
    <row r="110" spans="1:28" x14ac:dyDescent="0.25">
      <c r="A110" s="740"/>
      <c r="B110" s="741"/>
      <c r="C110" s="750"/>
      <c r="D110" s="751"/>
      <c r="E110" s="728" t="s">
        <v>67</v>
      </c>
      <c r="F110" s="713"/>
      <c r="G110" s="713" t="s">
        <v>67</v>
      </c>
      <c r="H110" s="713"/>
      <c r="I110" s="713" t="s">
        <v>67</v>
      </c>
      <c r="J110" s="713"/>
      <c r="K110" s="713" t="s">
        <v>67</v>
      </c>
      <c r="L110" s="713"/>
      <c r="M110" s="713" t="s">
        <v>67</v>
      </c>
      <c r="N110" s="713"/>
      <c r="O110" s="713" t="s">
        <v>67</v>
      </c>
      <c r="P110" s="713"/>
      <c r="Q110" s="713" t="s">
        <v>67</v>
      </c>
      <c r="R110" s="713"/>
      <c r="S110" s="713" t="s">
        <v>67</v>
      </c>
      <c r="T110" s="713"/>
      <c r="U110" s="713" t="s">
        <v>67</v>
      </c>
      <c r="V110" s="713"/>
      <c r="W110" s="713" t="s">
        <v>67</v>
      </c>
      <c r="X110" s="713"/>
      <c r="Y110" s="713" t="s">
        <v>67</v>
      </c>
      <c r="Z110" s="713"/>
      <c r="AA110" s="713" t="s">
        <v>67</v>
      </c>
      <c r="AB110" s="732"/>
    </row>
    <row r="111" spans="1:28" x14ac:dyDescent="0.25">
      <c r="A111" s="740"/>
      <c r="B111" s="741"/>
      <c r="C111" s="752"/>
      <c r="D111" s="753"/>
      <c r="E111" s="728" t="s">
        <v>67</v>
      </c>
      <c r="F111" s="713"/>
      <c r="G111" s="713" t="s">
        <v>67</v>
      </c>
      <c r="H111" s="713"/>
      <c r="I111" s="713" t="s">
        <v>67</v>
      </c>
      <c r="J111" s="713"/>
      <c r="K111" s="713" t="s">
        <v>67</v>
      </c>
      <c r="L111" s="713"/>
      <c r="M111" s="713" t="s">
        <v>67</v>
      </c>
      <c r="N111" s="713"/>
      <c r="O111" s="713" t="s">
        <v>67</v>
      </c>
      <c r="P111" s="713"/>
      <c r="Q111" s="713" t="s">
        <v>67</v>
      </c>
      <c r="R111" s="713"/>
      <c r="S111" s="713" t="s">
        <v>67</v>
      </c>
      <c r="T111" s="713"/>
      <c r="U111" s="713" t="s">
        <v>67</v>
      </c>
      <c r="V111" s="713"/>
      <c r="W111" s="713" t="s">
        <v>67</v>
      </c>
      <c r="X111" s="713"/>
      <c r="Y111" s="713" t="s">
        <v>67</v>
      </c>
      <c r="Z111" s="713"/>
      <c r="AA111" s="733" t="s">
        <v>91</v>
      </c>
      <c r="AB111" s="733"/>
    </row>
    <row r="112" spans="1:28" x14ac:dyDescent="0.25">
      <c r="A112" s="740"/>
      <c r="B112" s="741"/>
      <c r="C112" s="750"/>
      <c r="D112" s="751"/>
      <c r="E112" s="728" t="s">
        <v>67</v>
      </c>
      <c r="F112" s="713"/>
      <c r="G112" s="713" t="s">
        <v>67</v>
      </c>
      <c r="H112" s="713"/>
      <c r="I112" s="713" t="s">
        <v>67</v>
      </c>
      <c r="J112" s="713"/>
      <c r="K112" s="713" t="s">
        <v>67</v>
      </c>
      <c r="L112" s="713"/>
      <c r="M112" s="713" t="s">
        <v>67</v>
      </c>
      <c r="N112" s="713"/>
      <c r="O112" s="713" t="s">
        <v>67</v>
      </c>
      <c r="P112" s="713"/>
      <c r="Q112" s="713" t="s">
        <v>67</v>
      </c>
      <c r="R112" s="713"/>
      <c r="S112" s="713" t="s">
        <v>67</v>
      </c>
      <c r="T112" s="713"/>
      <c r="U112" s="713" t="s">
        <v>67</v>
      </c>
      <c r="V112" s="713"/>
      <c r="W112" s="713" t="s">
        <v>67</v>
      </c>
      <c r="X112" s="713"/>
      <c r="Y112" s="713" t="s">
        <v>67</v>
      </c>
      <c r="Z112" s="713"/>
      <c r="AA112" s="713" t="s">
        <v>67</v>
      </c>
      <c r="AB112" s="732"/>
    </row>
    <row r="113" spans="1:43" ht="15.75" thickBot="1" x14ac:dyDescent="0.3">
      <c r="A113" s="742"/>
      <c r="B113" s="743"/>
      <c r="C113" s="760"/>
      <c r="D113" s="761"/>
      <c r="E113" s="729" t="s">
        <v>67</v>
      </c>
      <c r="F113" s="730"/>
      <c r="G113" s="730" t="s">
        <v>67</v>
      </c>
      <c r="H113" s="730"/>
      <c r="I113" s="730" t="s">
        <v>67</v>
      </c>
      <c r="J113" s="730"/>
      <c r="K113" s="730" t="s">
        <v>67</v>
      </c>
      <c r="L113" s="730"/>
      <c r="M113" s="730" t="s">
        <v>67</v>
      </c>
      <c r="N113" s="730"/>
      <c r="O113" s="730" t="s">
        <v>67</v>
      </c>
      <c r="P113" s="730"/>
      <c r="Q113" s="730" t="s">
        <v>67</v>
      </c>
      <c r="R113" s="730"/>
      <c r="S113" s="730" t="s">
        <v>67</v>
      </c>
      <c r="T113" s="730"/>
      <c r="U113" s="730" t="s">
        <v>67</v>
      </c>
      <c r="V113" s="730"/>
      <c r="W113" s="730" t="s">
        <v>67</v>
      </c>
      <c r="X113" s="730"/>
      <c r="Y113" s="730" t="s">
        <v>67</v>
      </c>
      <c r="Z113" s="730"/>
      <c r="AA113" s="730" t="s">
        <v>67</v>
      </c>
      <c r="AB113" s="744"/>
    </row>
    <row r="114" spans="1:43" x14ac:dyDescent="0.25">
      <c r="A114" s="718" t="s">
        <v>68</v>
      </c>
      <c r="B114" s="719"/>
      <c r="C114" s="762"/>
      <c r="D114" s="763"/>
      <c r="E114" s="728" t="s">
        <v>67</v>
      </c>
      <c r="F114" s="713"/>
      <c r="G114" s="714" t="s">
        <v>67</v>
      </c>
      <c r="H114" s="714"/>
      <c r="I114" s="714" t="s">
        <v>67</v>
      </c>
      <c r="J114" s="714"/>
      <c r="K114" s="714" t="s">
        <v>67</v>
      </c>
      <c r="L114" s="714"/>
      <c r="M114" s="733" t="s">
        <v>82</v>
      </c>
      <c r="N114" s="733"/>
      <c r="O114" s="714" t="s">
        <v>67</v>
      </c>
      <c r="P114" s="714"/>
      <c r="Q114" s="714" t="s">
        <v>67</v>
      </c>
      <c r="R114" s="714"/>
      <c r="S114" s="714" t="s">
        <v>67</v>
      </c>
      <c r="T114" s="714"/>
      <c r="U114" s="714" t="s">
        <v>67</v>
      </c>
      <c r="V114" s="714"/>
      <c r="W114" s="714" t="s">
        <v>67</v>
      </c>
      <c r="X114" s="714"/>
      <c r="Y114" s="714" t="s">
        <v>67</v>
      </c>
      <c r="Z114" s="714"/>
      <c r="AA114" s="714" t="s">
        <v>67</v>
      </c>
      <c r="AB114" s="731"/>
    </row>
    <row r="115" spans="1:43" x14ac:dyDescent="0.25">
      <c r="A115" s="720"/>
      <c r="B115" s="721"/>
      <c r="C115" s="752"/>
      <c r="D115" s="753"/>
      <c r="E115" s="728" t="s">
        <v>67</v>
      </c>
      <c r="F115" s="713"/>
      <c r="G115" s="713" t="s">
        <v>67</v>
      </c>
      <c r="H115" s="713"/>
      <c r="I115" s="713" t="s">
        <v>67</v>
      </c>
      <c r="J115" s="713"/>
      <c r="K115" s="713" t="s">
        <v>67</v>
      </c>
      <c r="L115" s="713"/>
      <c r="M115" s="713" t="s">
        <v>67</v>
      </c>
      <c r="N115" s="713"/>
      <c r="O115" s="713" t="s">
        <v>67</v>
      </c>
      <c r="P115" s="713"/>
      <c r="Q115" s="713" t="s">
        <v>67</v>
      </c>
      <c r="R115" s="713"/>
      <c r="S115" s="713" t="s">
        <v>67</v>
      </c>
      <c r="T115" s="713"/>
      <c r="U115" s="713" t="s">
        <v>67</v>
      </c>
      <c r="V115" s="713"/>
      <c r="W115" s="713" t="s">
        <v>67</v>
      </c>
      <c r="X115" s="713"/>
      <c r="Y115" s="713" t="s">
        <v>67</v>
      </c>
      <c r="Z115" s="713"/>
      <c r="AA115" s="733" t="s">
        <v>94</v>
      </c>
      <c r="AB115" s="733"/>
    </row>
    <row r="116" spans="1:43" x14ac:dyDescent="0.25">
      <c r="A116" s="720"/>
      <c r="B116" s="721"/>
      <c r="C116" s="752"/>
      <c r="D116" s="753"/>
      <c r="E116" s="728" t="s">
        <v>67</v>
      </c>
      <c r="F116" s="713"/>
      <c r="G116" s="713" t="s">
        <v>67</v>
      </c>
      <c r="H116" s="713"/>
      <c r="I116" s="713" t="s">
        <v>67</v>
      </c>
      <c r="J116" s="713"/>
      <c r="K116" s="713" t="s">
        <v>67</v>
      </c>
      <c r="L116" s="713"/>
      <c r="M116" s="733" t="s">
        <v>83</v>
      </c>
      <c r="N116" s="733"/>
      <c r="O116" s="713" t="s">
        <v>67</v>
      </c>
      <c r="P116" s="713"/>
      <c r="Q116" s="713" t="s">
        <v>67</v>
      </c>
      <c r="R116" s="713"/>
      <c r="S116" s="713" t="s">
        <v>67</v>
      </c>
      <c r="T116" s="713"/>
      <c r="U116" s="713" t="s">
        <v>67</v>
      </c>
      <c r="V116" s="713"/>
      <c r="W116" s="713" t="s">
        <v>67</v>
      </c>
      <c r="X116" s="713"/>
      <c r="Y116" s="713" t="s">
        <v>67</v>
      </c>
      <c r="Z116" s="713"/>
      <c r="AA116" s="713" t="s">
        <v>67</v>
      </c>
      <c r="AB116" s="732"/>
    </row>
    <row r="117" spans="1:43" x14ac:dyDescent="0.25">
      <c r="A117" s="720"/>
      <c r="B117" s="721"/>
      <c r="C117" s="750"/>
      <c r="D117" s="751"/>
      <c r="E117" s="728" t="s">
        <v>67</v>
      </c>
      <c r="F117" s="713"/>
      <c r="G117" s="713" t="s">
        <v>67</v>
      </c>
      <c r="H117" s="713"/>
      <c r="I117" s="713" t="s">
        <v>67</v>
      </c>
      <c r="J117" s="713"/>
      <c r="K117" s="713" t="s">
        <v>67</v>
      </c>
      <c r="L117" s="713"/>
      <c r="M117" s="713" t="s">
        <v>67</v>
      </c>
      <c r="N117" s="713"/>
      <c r="O117" s="713" t="s">
        <v>67</v>
      </c>
      <c r="P117" s="713"/>
      <c r="Q117" s="713" t="s">
        <v>67</v>
      </c>
      <c r="R117" s="713"/>
      <c r="S117" s="713" t="s">
        <v>67</v>
      </c>
      <c r="T117" s="713"/>
      <c r="U117" s="713" t="s">
        <v>67</v>
      </c>
      <c r="V117" s="713"/>
      <c r="W117" s="713" t="s">
        <v>67</v>
      </c>
      <c r="X117" s="713"/>
      <c r="Y117" s="713" t="s">
        <v>67</v>
      </c>
      <c r="Z117" s="713"/>
      <c r="AA117" s="713" t="s">
        <v>67</v>
      </c>
      <c r="AB117" s="732"/>
    </row>
    <row r="118" spans="1:43" x14ac:dyDescent="0.25">
      <c r="A118" s="720"/>
      <c r="B118" s="721"/>
      <c r="C118" s="752"/>
      <c r="D118" s="753"/>
      <c r="E118" s="728" t="s">
        <v>67</v>
      </c>
      <c r="F118" s="713"/>
      <c r="G118" s="713" t="s">
        <v>67</v>
      </c>
      <c r="H118" s="713"/>
      <c r="I118" s="713" t="s">
        <v>67</v>
      </c>
      <c r="J118" s="713"/>
      <c r="K118" s="713" t="s">
        <v>67</v>
      </c>
      <c r="L118" s="713"/>
      <c r="M118" s="733" t="s">
        <v>84</v>
      </c>
      <c r="N118" s="733"/>
      <c r="O118" s="713" t="s">
        <v>67</v>
      </c>
      <c r="P118" s="713"/>
      <c r="Q118" s="713" t="s">
        <v>67</v>
      </c>
      <c r="R118" s="713"/>
      <c r="S118" s="713" t="s">
        <v>67</v>
      </c>
      <c r="T118" s="713"/>
      <c r="U118" s="713" t="s">
        <v>67</v>
      </c>
      <c r="V118" s="713"/>
      <c r="W118" s="713" t="s">
        <v>67</v>
      </c>
      <c r="X118" s="713"/>
      <c r="Y118" s="713" t="s">
        <v>67</v>
      </c>
      <c r="Z118" s="713"/>
      <c r="AA118" s="713" t="s">
        <v>67</v>
      </c>
      <c r="AB118" s="732"/>
    </row>
    <row r="119" spans="1:43" x14ac:dyDescent="0.25">
      <c r="A119" s="720"/>
      <c r="B119" s="721"/>
      <c r="C119" s="750"/>
      <c r="D119" s="751"/>
      <c r="E119" s="728" t="s">
        <v>67</v>
      </c>
      <c r="F119" s="713"/>
      <c r="G119" s="713" t="s">
        <v>67</v>
      </c>
      <c r="H119" s="713"/>
      <c r="I119" s="713" t="s">
        <v>67</v>
      </c>
      <c r="J119" s="713"/>
      <c r="K119" s="713" t="s">
        <v>67</v>
      </c>
      <c r="L119" s="713"/>
      <c r="M119" s="713" t="s">
        <v>67</v>
      </c>
      <c r="N119" s="713"/>
      <c r="O119" s="713" t="s">
        <v>67</v>
      </c>
      <c r="P119" s="713"/>
      <c r="Q119" s="713" t="s">
        <v>67</v>
      </c>
      <c r="R119" s="713"/>
      <c r="S119" s="713" t="s">
        <v>67</v>
      </c>
      <c r="T119" s="713"/>
      <c r="U119" s="713" t="s">
        <v>67</v>
      </c>
      <c r="V119" s="713"/>
      <c r="W119" s="713" t="s">
        <v>67</v>
      </c>
      <c r="X119" s="713"/>
      <c r="Y119" s="713" t="s">
        <v>67</v>
      </c>
      <c r="Z119" s="713"/>
      <c r="AA119" s="748" t="s">
        <v>67</v>
      </c>
      <c r="AB119" s="749"/>
    </row>
    <row r="120" spans="1:43" x14ac:dyDescent="0.25">
      <c r="A120" s="720"/>
      <c r="B120" s="721"/>
      <c r="C120" s="752"/>
      <c r="D120" s="753"/>
      <c r="E120" s="728" t="s">
        <v>67</v>
      </c>
      <c r="F120" s="713"/>
      <c r="G120" s="713" t="s">
        <v>67</v>
      </c>
      <c r="H120" s="713"/>
      <c r="I120" s="713" t="s">
        <v>67</v>
      </c>
      <c r="J120" s="713"/>
      <c r="K120" s="713" t="s">
        <v>67</v>
      </c>
      <c r="L120" s="713"/>
      <c r="M120" s="733" t="s">
        <v>85</v>
      </c>
      <c r="N120" s="733"/>
      <c r="O120" s="713" t="s">
        <v>67</v>
      </c>
      <c r="P120" s="713"/>
      <c r="Q120" s="713" t="s">
        <v>67</v>
      </c>
      <c r="R120" s="713"/>
      <c r="S120" s="713" t="s">
        <v>67</v>
      </c>
      <c r="T120" s="713"/>
      <c r="U120" s="713" t="s">
        <v>67</v>
      </c>
      <c r="V120" s="713"/>
      <c r="W120" s="713" t="s">
        <v>67</v>
      </c>
      <c r="X120" s="713"/>
      <c r="Y120" s="713" t="s">
        <v>67</v>
      </c>
      <c r="Z120" s="713"/>
      <c r="AA120" s="733" t="s">
        <v>144</v>
      </c>
      <c r="AB120" s="747"/>
    </row>
    <row r="121" spans="1:43" x14ac:dyDescent="0.25">
      <c r="A121" s="720"/>
      <c r="B121" s="721"/>
      <c r="C121" s="752"/>
      <c r="D121" s="753"/>
      <c r="E121" s="728" t="s">
        <v>67</v>
      </c>
      <c r="F121" s="713"/>
      <c r="G121" s="713" t="s">
        <v>67</v>
      </c>
      <c r="H121" s="713"/>
      <c r="I121" s="713" t="s">
        <v>67</v>
      </c>
      <c r="J121" s="713"/>
      <c r="K121" s="713" t="s">
        <v>67</v>
      </c>
      <c r="L121" s="713"/>
      <c r="M121" s="733" t="s">
        <v>86</v>
      </c>
      <c r="N121" s="733"/>
      <c r="O121" s="713" t="s">
        <v>67</v>
      </c>
      <c r="P121" s="713"/>
      <c r="Q121" s="713" t="s">
        <v>67</v>
      </c>
      <c r="R121" s="713"/>
      <c r="S121" s="713" t="s">
        <v>67</v>
      </c>
      <c r="T121" s="713"/>
      <c r="U121" s="713" t="s">
        <v>67</v>
      </c>
      <c r="V121" s="713"/>
      <c r="W121" s="713" t="s">
        <v>67</v>
      </c>
      <c r="X121" s="713"/>
      <c r="Y121" s="713" t="s">
        <v>67</v>
      </c>
      <c r="Z121" s="713"/>
      <c r="AA121" s="713" t="s">
        <v>67</v>
      </c>
      <c r="AB121" s="732"/>
    </row>
    <row r="122" spans="1:43" x14ac:dyDescent="0.25">
      <c r="A122" s="720"/>
      <c r="B122" s="721"/>
      <c r="C122" s="752"/>
      <c r="D122" s="753"/>
      <c r="E122" s="728" t="s">
        <v>67</v>
      </c>
      <c r="F122" s="713"/>
      <c r="G122" s="713" t="s">
        <v>67</v>
      </c>
      <c r="H122" s="713"/>
      <c r="I122" s="713" t="s">
        <v>67</v>
      </c>
      <c r="J122" s="713"/>
      <c r="K122" s="713" t="s">
        <v>67</v>
      </c>
      <c r="L122" s="713"/>
      <c r="M122" s="713" t="s">
        <v>67</v>
      </c>
      <c r="N122" s="713"/>
      <c r="O122" s="713" t="s">
        <v>67</v>
      </c>
      <c r="P122" s="713"/>
      <c r="Q122" s="733" t="s">
        <v>252</v>
      </c>
      <c r="R122" s="733"/>
      <c r="S122" s="713" t="s">
        <v>67</v>
      </c>
      <c r="T122" s="713"/>
      <c r="U122" s="713" t="s">
        <v>67</v>
      </c>
      <c r="V122" s="713"/>
      <c r="W122" s="713" t="s">
        <v>67</v>
      </c>
      <c r="X122" s="713"/>
      <c r="Y122" s="713" t="s">
        <v>67</v>
      </c>
      <c r="Z122" s="713"/>
      <c r="AA122" s="713" t="s">
        <v>67</v>
      </c>
      <c r="AB122" s="732"/>
    </row>
    <row r="123" spans="1:43" x14ac:dyDescent="0.25">
      <c r="A123" s="720"/>
      <c r="B123" s="721"/>
      <c r="C123" s="752"/>
      <c r="D123" s="753"/>
      <c r="E123" s="728" t="s">
        <v>67</v>
      </c>
      <c r="F123" s="713"/>
      <c r="G123" s="713" t="s">
        <v>67</v>
      </c>
      <c r="H123" s="713"/>
      <c r="I123" s="713" t="s">
        <v>67</v>
      </c>
      <c r="J123" s="713"/>
      <c r="K123" s="713" t="s">
        <v>67</v>
      </c>
      <c r="L123" s="713"/>
      <c r="M123" s="713" t="s">
        <v>67</v>
      </c>
      <c r="N123" s="713"/>
      <c r="O123" s="713" t="s">
        <v>67</v>
      </c>
      <c r="P123" s="713"/>
      <c r="Q123" s="733" t="s">
        <v>251</v>
      </c>
      <c r="R123" s="733"/>
      <c r="S123" s="713" t="s">
        <v>67</v>
      </c>
      <c r="T123" s="713"/>
      <c r="U123" s="713" t="s">
        <v>67</v>
      </c>
      <c r="V123" s="713"/>
      <c r="W123" s="713" t="s">
        <v>67</v>
      </c>
      <c r="X123" s="713"/>
      <c r="Y123" s="713" t="s">
        <v>67</v>
      </c>
      <c r="Z123" s="713"/>
      <c r="AA123" s="713" t="s">
        <v>67</v>
      </c>
      <c r="AB123" s="732"/>
    </row>
    <row r="124" spans="1:43" ht="15.75" thickBot="1" x14ac:dyDescent="0.3">
      <c r="A124" s="720"/>
      <c r="B124" s="721"/>
      <c r="C124" s="750"/>
      <c r="D124" s="751"/>
      <c r="E124" s="728" t="s">
        <v>67</v>
      </c>
      <c r="F124" s="713"/>
      <c r="G124" s="713" t="s">
        <v>67</v>
      </c>
      <c r="H124" s="713"/>
      <c r="I124" s="713" t="s">
        <v>67</v>
      </c>
      <c r="J124" s="713"/>
      <c r="K124" s="713" t="s">
        <v>67</v>
      </c>
      <c r="L124" s="713"/>
      <c r="M124" s="713" t="s">
        <v>67</v>
      </c>
      <c r="N124" s="713"/>
      <c r="O124" s="713" t="s">
        <v>67</v>
      </c>
      <c r="P124" s="713"/>
      <c r="Q124" s="713" t="s">
        <v>67</v>
      </c>
      <c r="R124" s="713"/>
      <c r="S124" s="713" t="s">
        <v>67</v>
      </c>
      <c r="T124" s="713"/>
      <c r="U124" s="713" t="s">
        <v>67</v>
      </c>
      <c r="V124" s="713"/>
      <c r="W124" s="713" t="s">
        <v>67</v>
      </c>
      <c r="X124" s="713"/>
      <c r="Y124" s="713" t="s">
        <v>67</v>
      </c>
      <c r="Z124" s="713"/>
      <c r="AA124" s="713" t="s">
        <v>67</v>
      </c>
      <c r="AB124" s="732"/>
    </row>
    <row r="125" spans="1:43" x14ac:dyDescent="0.25">
      <c r="A125" s="718" t="s">
        <v>69</v>
      </c>
      <c r="B125" s="719"/>
      <c r="C125" s="758"/>
      <c r="D125" s="759"/>
      <c r="E125" s="724" t="s">
        <v>67</v>
      </c>
      <c r="F125" s="714"/>
      <c r="G125" s="714" t="s">
        <v>67</v>
      </c>
      <c r="H125" s="714"/>
      <c r="I125" s="714" t="s">
        <v>67</v>
      </c>
      <c r="J125" s="714"/>
      <c r="K125" s="714" t="s">
        <v>67</v>
      </c>
      <c r="L125" s="714"/>
      <c r="M125" s="714" t="s">
        <v>67</v>
      </c>
      <c r="N125" s="714"/>
      <c r="O125" s="714" t="s">
        <v>67</v>
      </c>
      <c r="P125" s="714"/>
      <c r="Q125" s="714" t="s">
        <v>67</v>
      </c>
      <c r="R125" s="714"/>
      <c r="S125" s="714" t="s">
        <v>67</v>
      </c>
      <c r="T125" s="714"/>
      <c r="U125" s="714" t="s">
        <v>67</v>
      </c>
      <c r="V125" s="714"/>
      <c r="W125" s="714" t="s">
        <v>67</v>
      </c>
      <c r="X125" s="714"/>
      <c r="Y125" s="714" t="s">
        <v>67</v>
      </c>
      <c r="Z125" s="714"/>
      <c r="AA125" s="714" t="s">
        <v>67</v>
      </c>
      <c r="AB125" s="731"/>
    </row>
    <row r="126" spans="1:43" ht="15.75" thickBot="1" x14ac:dyDescent="0.3">
      <c r="A126" s="722"/>
      <c r="B126" s="723"/>
      <c r="C126" s="760"/>
      <c r="D126" s="761"/>
      <c r="E126" s="729" t="s">
        <v>67</v>
      </c>
      <c r="F126" s="730"/>
      <c r="G126" s="730" t="s">
        <v>67</v>
      </c>
      <c r="H126" s="730"/>
      <c r="I126" s="730" t="s">
        <v>67</v>
      </c>
      <c r="J126" s="730"/>
      <c r="K126" s="730" t="s">
        <v>67</v>
      </c>
      <c r="L126" s="730"/>
      <c r="M126" s="730" t="s">
        <v>67</v>
      </c>
      <c r="N126" s="730"/>
      <c r="O126" s="730" t="s">
        <v>67</v>
      </c>
      <c r="P126" s="730"/>
      <c r="Q126" s="730" t="s">
        <v>67</v>
      </c>
      <c r="R126" s="730"/>
      <c r="S126" s="730" t="s">
        <v>67</v>
      </c>
      <c r="T126" s="730"/>
      <c r="U126" s="730" t="s">
        <v>67</v>
      </c>
      <c r="V126" s="730"/>
      <c r="W126" s="730" t="s">
        <v>67</v>
      </c>
      <c r="X126" s="730"/>
      <c r="Y126" s="730" t="s">
        <v>67</v>
      </c>
      <c r="Z126" s="730"/>
      <c r="AA126" s="730" t="s">
        <v>67</v>
      </c>
      <c r="AB126" s="744"/>
    </row>
    <row r="127" spans="1:43" ht="26.25" x14ac:dyDescent="0.25">
      <c r="A127" s="138"/>
      <c r="B127" s="138"/>
      <c r="C127" s="139"/>
      <c r="D127" s="42"/>
      <c r="E127" s="140"/>
      <c r="F127" s="140"/>
      <c r="G127" s="140"/>
      <c r="H127" s="140"/>
      <c r="I127" s="140"/>
      <c r="J127" s="140"/>
      <c r="K127" s="140"/>
      <c r="L127" s="140"/>
      <c r="M127" s="140"/>
      <c r="N127" s="140"/>
      <c r="O127" s="140"/>
      <c r="P127" s="140"/>
      <c r="Q127" s="140"/>
      <c r="R127" s="140"/>
      <c r="S127" s="140"/>
      <c r="T127" s="140"/>
      <c r="U127" s="140"/>
      <c r="V127" s="140"/>
      <c r="W127" s="140"/>
      <c r="X127" s="140"/>
      <c r="Y127" s="140"/>
      <c r="Z127" s="140"/>
      <c r="AA127" s="140"/>
      <c r="AB127" s="140"/>
      <c r="AC127" s="124"/>
    </row>
    <row r="128" spans="1:43" ht="6.75" customHeight="1" x14ac:dyDescent="0.25">
      <c r="A128" s="195"/>
      <c r="B128" s="195"/>
      <c r="C128" s="200"/>
      <c r="D128" s="197"/>
      <c r="E128" s="198"/>
      <c r="F128" s="198"/>
      <c r="G128" s="198"/>
      <c r="H128" s="198"/>
      <c r="I128" s="198"/>
      <c r="J128" s="198"/>
      <c r="K128" s="198"/>
      <c r="L128" s="198"/>
      <c r="M128" s="198"/>
      <c r="N128" s="198"/>
      <c r="O128" s="198"/>
      <c r="P128" s="198"/>
      <c r="Q128" s="198"/>
      <c r="R128" s="198"/>
      <c r="S128" s="198"/>
      <c r="T128" s="198"/>
      <c r="U128" s="198"/>
      <c r="V128" s="198"/>
      <c r="W128" s="198"/>
      <c r="X128" s="198"/>
      <c r="Y128" s="198"/>
      <c r="Z128" s="198"/>
      <c r="AA128" s="198"/>
      <c r="AB128" s="198"/>
      <c r="AC128" s="196"/>
      <c r="AD128" s="199"/>
      <c r="AE128" s="199"/>
      <c r="AF128" s="199"/>
      <c r="AG128" s="199"/>
      <c r="AH128" s="199"/>
      <c r="AI128" s="199"/>
      <c r="AJ128" s="199"/>
      <c r="AK128" s="199"/>
      <c r="AL128" s="199"/>
      <c r="AM128" s="199"/>
      <c r="AN128" s="199"/>
      <c r="AO128" s="199"/>
      <c r="AP128" s="199"/>
      <c r="AQ128" s="199"/>
    </row>
    <row r="129" spans="1:29" ht="15" customHeight="1" thickBot="1" x14ac:dyDescent="0.3">
      <c r="A129" s="138"/>
      <c r="B129" s="138"/>
      <c r="C129" s="139"/>
      <c r="D129" s="42"/>
      <c r="E129" s="140"/>
      <c r="F129" s="140"/>
      <c r="G129" s="140"/>
      <c r="H129" s="140"/>
      <c r="I129" s="140"/>
      <c r="J129" s="140"/>
      <c r="K129" s="140"/>
      <c r="L129" s="140"/>
      <c r="M129" s="140"/>
      <c r="N129" s="140"/>
      <c r="O129" s="140"/>
      <c r="P129" s="140"/>
      <c r="Q129" s="140"/>
      <c r="R129" s="140"/>
      <c r="S129" s="140"/>
      <c r="T129" s="140"/>
      <c r="U129" s="140"/>
      <c r="V129" s="140"/>
      <c r="W129" s="140"/>
      <c r="X129" s="140"/>
      <c r="Y129" s="140"/>
      <c r="Z129" s="140"/>
      <c r="AA129" s="140"/>
      <c r="AB129" s="140"/>
      <c r="AC129" s="124"/>
    </row>
    <row r="130" spans="1:29" ht="27" thickBot="1" x14ac:dyDescent="0.45">
      <c r="A130" s="663" t="s">
        <v>53</v>
      </c>
      <c r="B130" s="664"/>
      <c r="C130" s="664"/>
      <c r="D130" s="664"/>
      <c r="E130" s="664"/>
      <c r="F130" s="664"/>
      <c r="G130" s="664"/>
      <c r="H130" s="664"/>
      <c r="I130" s="664"/>
      <c r="J130" s="664"/>
      <c r="K130" s="664"/>
      <c r="L130" s="664"/>
      <c r="M130" s="664"/>
      <c r="N130" s="664"/>
      <c r="O130" s="664"/>
      <c r="P130" s="664"/>
      <c r="Q130" s="664"/>
      <c r="R130" s="664"/>
      <c r="S130" s="664"/>
      <c r="T130" s="664"/>
      <c r="U130" s="664"/>
      <c r="V130" s="664"/>
      <c r="W130" s="664"/>
      <c r="X130" s="664"/>
      <c r="Y130" s="664"/>
      <c r="Z130" s="664"/>
      <c r="AA130" s="664"/>
      <c r="AB130" s="665"/>
    </row>
    <row r="131" spans="1:29" x14ac:dyDescent="0.25">
      <c r="A131" s="699" t="s">
        <v>31</v>
      </c>
      <c r="B131" s="702" t="s">
        <v>32</v>
      </c>
      <c r="C131" s="699" t="s">
        <v>61</v>
      </c>
      <c r="D131" s="705"/>
      <c r="E131" s="710" t="s">
        <v>40</v>
      </c>
      <c r="F131" s="676"/>
      <c r="G131" s="675" t="s">
        <v>41</v>
      </c>
      <c r="H131" s="676"/>
      <c r="I131" s="675" t="s">
        <v>42</v>
      </c>
      <c r="J131" s="676"/>
      <c r="K131" s="675" t="s">
        <v>43</v>
      </c>
      <c r="L131" s="676"/>
      <c r="M131" s="675" t="s">
        <v>44</v>
      </c>
      <c r="N131" s="676"/>
      <c r="O131" s="675" t="s">
        <v>45</v>
      </c>
      <c r="P131" s="676"/>
      <c r="Q131" s="675" t="s">
        <v>46</v>
      </c>
      <c r="R131" s="676"/>
      <c r="S131" s="675" t="s">
        <v>47</v>
      </c>
      <c r="T131" s="676"/>
      <c r="U131" s="675" t="s">
        <v>48</v>
      </c>
      <c r="V131" s="676"/>
      <c r="W131" s="675" t="s">
        <v>49</v>
      </c>
      <c r="X131" s="676"/>
      <c r="Y131" s="675" t="s">
        <v>50</v>
      </c>
      <c r="Z131" s="676"/>
      <c r="AA131" s="675" t="s">
        <v>51</v>
      </c>
      <c r="AB131" s="676"/>
    </row>
    <row r="132" spans="1:29" x14ac:dyDescent="0.25">
      <c r="A132" s="700"/>
      <c r="B132" s="703"/>
      <c r="C132" s="706" t="s">
        <v>60</v>
      </c>
      <c r="D132" s="708" t="s">
        <v>39</v>
      </c>
      <c r="E132" s="677">
        <v>0.11</v>
      </c>
      <c r="F132" s="678"/>
      <c r="G132" s="677">
        <v>0.09</v>
      </c>
      <c r="H132" s="678"/>
      <c r="I132" s="677">
        <v>0.08</v>
      </c>
      <c r="J132" s="678"/>
      <c r="K132" s="677">
        <v>0.06</v>
      </c>
      <c r="L132" s="678"/>
      <c r="M132" s="677">
        <v>0.06</v>
      </c>
      <c r="N132" s="678"/>
      <c r="O132" s="677">
        <v>0.05</v>
      </c>
      <c r="P132" s="678"/>
      <c r="Q132" s="677">
        <v>0.1</v>
      </c>
      <c r="R132" s="678"/>
      <c r="S132" s="677">
        <v>0.05</v>
      </c>
      <c r="T132" s="678"/>
      <c r="U132" s="677">
        <v>0.08</v>
      </c>
      <c r="V132" s="678"/>
      <c r="W132" s="677">
        <v>0.1</v>
      </c>
      <c r="X132" s="678"/>
      <c r="Y132" s="677">
        <v>0.1</v>
      </c>
      <c r="Z132" s="678"/>
      <c r="AA132" s="677">
        <v>0.12</v>
      </c>
      <c r="AB132" s="678"/>
    </row>
    <row r="133" spans="1:29" ht="15.75" thickBot="1" x14ac:dyDescent="0.3">
      <c r="A133" s="701"/>
      <c r="B133" s="704"/>
      <c r="C133" s="707"/>
      <c r="D133" s="709"/>
      <c r="E133" s="101" t="s">
        <v>60</v>
      </c>
      <c r="F133" s="102" t="s">
        <v>39</v>
      </c>
      <c r="G133" s="101" t="s">
        <v>60</v>
      </c>
      <c r="H133" s="102" t="s">
        <v>39</v>
      </c>
      <c r="I133" s="101" t="s">
        <v>60</v>
      </c>
      <c r="J133" s="102" t="s">
        <v>39</v>
      </c>
      <c r="K133" s="101" t="s">
        <v>60</v>
      </c>
      <c r="L133" s="102" t="s">
        <v>39</v>
      </c>
      <c r="M133" s="101" t="s">
        <v>60</v>
      </c>
      <c r="N133" s="102" t="s">
        <v>39</v>
      </c>
      <c r="O133" s="101" t="s">
        <v>60</v>
      </c>
      <c r="P133" s="102" t="s">
        <v>39</v>
      </c>
      <c r="Q133" s="101" t="s">
        <v>60</v>
      </c>
      <c r="R133" s="102" t="s">
        <v>39</v>
      </c>
      <c r="S133" s="81" t="s">
        <v>60</v>
      </c>
      <c r="T133" s="82" t="s">
        <v>39</v>
      </c>
      <c r="U133" s="81" t="s">
        <v>60</v>
      </c>
      <c r="V133" s="82" t="s">
        <v>39</v>
      </c>
      <c r="W133" s="81" t="s">
        <v>60</v>
      </c>
      <c r="X133" s="82" t="s">
        <v>39</v>
      </c>
      <c r="Y133" s="81" t="s">
        <v>60</v>
      </c>
      <c r="Z133" s="82" t="s">
        <v>39</v>
      </c>
      <c r="AA133" s="81" t="s">
        <v>60</v>
      </c>
      <c r="AB133" s="82" t="s">
        <v>39</v>
      </c>
    </row>
    <row r="134" spans="1:29" ht="15.75" x14ac:dyDescent="0.25">
      <c r="A134" s="53"/>
      <c r="B134" s="54">
        <f>Hipótesis!C49</f>
        <v>1300</v>
      </c>
      <c r="C134" s="55">
        <v>1850</v>
      </c>
      <c r="D134" s="56">
        <f>B134*C134</f>
        <v>2405000</v>
      </c>
      <c r="E134" s="83">
        <f>C134*$E$132</f>
        <v>203.5</v>
      </c>
      <c r="F134" s="56">
        <f>D134*$E$17</f>
        <v>192400</v>
      </c>
      <c r="G134" s="83">
        <f>C134*$G$132</f>
        <v>166.5</v>
      </c>
      <c r="H134" s="56">
        <f>D134*$G$17</f>
        <v>240500</v>
      </c>
      <c r="I134" s="83">
        <f>C134*$I$132</f>
        <v>148</v>
      </c>
      <c r="J134" s="56">
        <f>D134*$I$17</f>
        <v>192400</v>
      </c>
      <c r="K134" s="83">
        <f>C134*$K$132</f>
        <v>111</v>
      </c>
      <c r="L134" s="56">
        <f>D134*$K$17</f>
        <v>168350.00000000003</v>
      </c>
      <c r="M134" s="83">
        <f>C134*$M$132</f>
        <v>111</v>
      </c>
      <c r="N134" s="56">
        <f>D134*$M$17</f>
        <v>144300</v>
      </c>
      <c r="O134" s="83">
        <f>C134*$O$132</f>
        <v>92.5</v>
      </c>
      <c r="P134" s="56">
        <f>D134*$O$17</f>
        <v>96200</v>
      </c>
      <c r="Q134" s="83">
        <f>C134*$Q$132</f>
        <v>185</v>
      </c>
      <c r="R134" s="56">
        <f>D134*$Q$17</f>
        <v>216450</v>
      </c>
      <c r="S134" s="83">
        <f>C134*$S$132</f>
        <v>92.5</v>
      </c>
      <c r="T134" s="56">
        <f>D134*$S$17</f>
        <v>120250</v>
      </c>
      <c r="U134" s="83">
        <f>C134*$U$132</f>
        <v>148</v>
      </c>
      <c r="V134" s="56">
        <f>D134*$U$17</f>
        <v>216450</v>
      </c>
      <c r="W134" s="83">
        <f>C134*$W$132</f>
        <v>185</v>
      </c>
      <c r="X134" s="56">
        <f>D134*$W$17</f>
        <v>240500</v>
      </c>
      <c r="Y134" s="83">
        <f>C134*$Y$132</f>
        <v>185</v>
      </c>
      <c r="Z134" s="92">
        <f>D134*$Y$17</f>
        <v>264550</v>
      </c>
      <c r="AA134" s="83">
        <f>C134*$AA$132</f>
        <v>222</v>
      </c>
      <c r="AB134" s="56">
        <f>D134*$AA$17</f>
        <v>312650</v>
      </c>
    </row>
    <row r="135" spans="1:29" ht="15.75" x14ac:dyDescent="0.25">
      <c r="A135" s="57"/>
      <c r="B135" s="44">
        <f>Hipótesis!C50</f>
        <v>0</v>
      </c>
      <c r="C135" s="47">
        <v>1450</v>
      </c>
      <c r="D135" s="48">
        <f t="shared" ref="D135:D146" si="26">B135*C135</f>
        <v>0</v>
      </c>
      <c r="E135" s="84">
        <f t="shared" ref="E135:E146" si="27">C135*$E$132</f>
        <v>159.5</v>
      </c>
      <c r="F135" s="48">
        <f>D135*$E$17</f>
        <v>0</v>
      </c>
      <c r="G135" s="84">
        <f t="shared" ref="G135:G146" si="28">C135*$G$132</f>
        <v>130.5</v>
      </c>
      <c r="H135" s="48">
        <f>D135*$G$17</f>
        <v>0</v>
      </c>
      <c r="I135" s="84">
        <f t="shared" ref="I135:I146" si="29">C135*$I$132</f>
        <v>116</v>
      </c>
      <c r="J135" s="48">
        <f>D135*$I$17</f>
        <v>0</v>
      </c>
      <c r="K135" s="84">
        <f t="shared" ref="K135:K146" si="30">C135*$K$132</f>
        <v>87</v>
      </c>
      <c r="L135" s="48">
        <f>D135*$K$17</f>
        <v>0</v>
      </c>
      <c r="M135" s="84">
        <f t="shared" ref="M135:M146" si="31">C135*$M$132</f>
        <v>87</v>
      </c>
      <c r="N135" s="48">
        <f>D135*$M$17</f>
        <v>0</v>
      </c>
      <c r="O135" s="84">
        <f t="shared" ref="O135:O146" si="32">C135*$O$132</f>
        <v>72.5</v>
      </c>
      <c r="P135" s="48">
        <f>D135*$O$17</f>
        <v>0</v>
      </c>
      <c r="Q135" s="84">
        <f t="shared" ref="Q135:Q146" si="33">C135*$Q$132</f>
        <v>145</v>
      </c>
      <c r="R135" s="48">
        <f>D135*$Q$17</f>
        <v>0</v>
      </c>
      <c r="S135" s="84">
        <f t="shared" ref="S135:S146" si="34">C135*$S$132</f>
        <v>72.5</v>
      </c>
      <c r="T135" s="48">
        <f>D135*$S$17</f>
        <v>0</v>
      </c>
      <c r="U135" s="84">
        <f t="shared" ref="U135:U146" si="35">C135*$U$132</f>
        <v>116</v>
      </c>
      <c r="V135" s="48">
        <f>D135*$U$17</f>
        <v>0</v>
      </c>
      <c r="W135" s="84">
        <f t="shared" ref="W135:W146" si="36">C135*$W$132</f>
        <v>145</v>
      </c>
      <c r="X135" s="48">
        <f>D135*$W$17</f>
        <v>0</v>
      </c>
      <c r="Y135" s="84">
        <f t="shared" ref="Y135:Y146" si="37">C135*$Y$132</f>
        <v>145</v>
      </c>
      <c r="Z135" s="93">
        <f>D135*$Y$17</f>
        <v>0</v>
      </c>
      <c r="AA135" s="84">
        <f t="shared" ref="AA135:AA146" si="38">C135*$AA$132</f>
        <v>174</v>
      </c>
      <c r="AB135" s="48">
        <f>D135*$AA$17</f>
        <v>0</v>
      </c>
    </row>
    <row r="136" spans="1:29" ht="16.5" thickBot="1" x14ac:dyDescent="0.3">
      <c r="A136" s="58"/>
      <c r="B136" s="59">
        <f>Hipótesis!C51</f>
        <v>0</v>
      </c>
      <c r="C136" s="60">
        <v>630</v>
      </c>
      <c r="D136" s="61">
        <f t="shared" si="26"/>
        <v>0</v>
      </c>
      <c r="E136" s="85">
        <f t="shared" si="27"/>
        <v>69.3</v>
      </c>
      <c r="F136" s="61">
        <f>D136*$E$17</f>
        <v>0</v>
      </c>
      <c r="G136" s="85">
        <f t="shared" si="28"/>
        <v>56.699999999999996</v>
      </c>
      <c r="H136" s="61">
        <f>D136*$G$17</f>
        <v>0</v>
      </c>
      <c r="I136" s="85">
        <f t="shared" si="29"/>
        <v>50.4</v>
      </c>
      <c r="J136" s="61">
        <f>D136*$I$17</f>
        <v>0</v>
      </c>
      <c r="K136" s="85">
        <f t="shared" si="30"/>
        <v>37.799999999999997</v>
      </c>
      <c r="L136" s="61">
        <f>D136*$K$17</f>
        <v>0</v>
      </c>
      <c r="M136" s="85">
        <f t="shared" si="31"/>
        <v>37.799999999999997</v>
      </c>
      <c r="N136" s="61">
        <f>D136*$M$17</f>
        <v>0</v>
      </c>
      <c r="O136" s="85">
        <f t="shared" si="32"/>
        <v>31.5</v>
      </c>
      <c r="P136" s="61">
        <f>D136*$O$17</f>
        <v>0</v>
      </c>
      <c r="Q136" s="85">
        <f t="shared" si="33"/>
        <v>63</v>
      </c>
      <c r="R136" s="61">
        <f>D136*$Q$17</f>
        <v>0</v>
      </c>
      <c r="S136" s="85">
        <f t="shared" si="34"/>
        <v>31.5</v>
      </c>
      <c r="T136" s="61">
        <f>D136*$S$17</f>
        <v>0</v>
      </c>
      <c r="U136" s="85">
        <f t="shared" si="35"/>
        <v>50.4</v>
      </c>
      <c r="V136" s="61">
        <f>D136*$U$17</f>
        <v>0</v>
      </c>
      <c r="W136" s="85">
        <f t="shared" si="36"/>
        <v>63</v>
      </c>
      <c r="X136" s="61">
        <f>D136*$W$17</f>
        <v>0</v>
      </c>
      <c r="Y136" s="85">
        <f t="shared" si="37"/>
        <v>63</v>
      </c>
      <c r="Z136" s="94">
        <f>D136*$Y$17</f>
        <v>0</v>
      </c>
      <c r="AA136" s="85">
        <f t="shared" si="38"/>
        <v>75.599999999999994</v>
      </c>
      <c r="AB136" s="61">
        <f>D136*$AA$17</f>
        <v>0</v>
      </c>
    </row>
    <row r="137" spans="1:29" ht="15.75" x14ac:dyDescent="0.25">
      <c r="A137" s="62"/>
      <c r="B137" s="63">
        <f>Hipótesis!C52</f>
        <v>2500</v>
      </c>
      <c r="C137" s="64">
        <v>3793</v>
      </c>
      <c r="D137" s="65">
        <f t="shared" si="26"/>
        <v>9482500</v>
      </c>
      <c r="E137" s="86">
        <f t="shared" si="27"/>
        <v>417.23</v>
      </c>
      <c r="F137" s="65">
        <f>D137*$E$17</f>
        <v>758600</v>
      </c>
      <c r="G137" s="86">
        <f t="shared" si="28"/>
        <v>341.37</v>
      </c>
      <c r="H137" s="65">
        <f>D137*$G$17</f>
        <v>948250</v>
      </c>
      <c r="I137" s="86">
        <f t="shared" si="29"/>
        <v>303.44</v>
      </c>
      <c r="J137" s="65">
        <f>D137*$I$17</f>
        <v>758600</v>
      </c>
      <c r="K137" s="86">
        <f t="shared" si="30"/>
        <v>227.57999999999998</v>
      </c>
      <c r="L137" s="65">
        <f>D137*$K$17</f>
        <v>663775.00000000012</v>
      </c>
      <c r="M137" s="86">
        <f t="shared" si="31"/>
        <v>227.57999999999998</v>
      </c>
      <c r="N137" s="65">
        <f>D137*$M$17</f>
        <v>568950</v>
      </c>
      <c r="O137" s="86">
        <f t="shared" si="32"/>
        <v>189.65</v>
      </c>
      <c r="P137" s="65">
        <f>D137*$O$17</f>
        <v>379300</v>
      </c>
      <c r="Q137" s="86">
        <f t="shared" si="33"/>
        <v>379.3</v>
      </c>
      <c r="R137" s="65">
        <f>D137*$Q$17</f>
        <v>853425</v>
      </c>
      <c r="S137" s="86">
        <f t="shared" si="34"/>
        <v>189.65</v>
      </c>
      <c r="T137" s="65">
        <f>D137*$S$17</f>
        <v>474125</v>
      </c>
      <c r="U137" s="86">
        <f t="shared" si="35"/>
        <v>303.44</v>
      </c>
      <c r="V137" s="65">
        <f>D137*$U$17</f>
        <v>853425</v>
      </c>
      <c r="W137" s="86">
        <f t="shared" si="36"/>
        <v>379.3</v>
      </c>
      <c r="X137" s="65">
        <f>D137*$W$17</f>
        <v>948250</v>
      </c>
      <c r="Y137" s="86">
        <f t="shared" si="37"/>
        <v>379.3</v>
      </c>
      <c r="Z137" s="95">
        <f>D137*$Y$17</f>
        <v>1043075</v>
      </c>
      <c r="AA137" s="86">
        <f t="shared" si="38"/>
        <v>455.15999999999997</v>
      </c>
      <c r="AB137" s="65">
        <f>D137*$AA$17</f>
        <v>1232725</v>
      </c>
    </row>
    <row r="138" spans="1:29" ht="15.75" x14ac:dyDescent="0.25">
      <c r="A138" s="66"/>
      <c r="B138" s="45">
        <f>Hipótesis!C53</f>
        <v>0</v>
      </c>
      <c r="C138" s="49">
        <v>3760</v>
      </c>
      <c r="D138" s="50">
        <f t="shared" si="26"/>
        <v>0</v>
      </c>
      <c r="E138" s="87">
        <f t="shared" si="27"/>
        <v>413.6</v>
      </c>
      <c r="F138" s="50">
        <f>D138*$E$17</f>
        <v>0</v>
      </c>
      <c r="G138" s="87">
        <f t="shared" si="28"/>
        <v>338.4</v>
      </c>
      <c r="H138" s="50">
        <f>D138*$G$17</f>
        <v>0</v>
      </c>
      <c r="I138" s="87">
        <f t="shared" si="29"/>
        <v>300.8</v>
      </c>
      <c r="J138" s="50">
        <f>D138*$I$17</f>
        <v>0</v>
      </c>
      <c r="K138" s="87">
        <f t="shared" si="30"/>
        <v>225.6</v>
      </c>
      <c r="L138" s="50">
        <f>D138*$K$17</f>
        <v>0</v>
      </c>
      <c r="M138" s="87">
        <f t="shared" si="31"/>
        <v>225.6</v>
      </c>
      <c r="N138" s="50">
        <f>D138*$M$17</f>
        <v>0</v>
      </c>
      <c r="O138" s="87">
        <f t="shared" si="32"/>
        <v>188</v>
      </c>
      <c r="P138" s="50">
        <f>D138*$O$17</f>
        <v>0</v>
      </c>
      <c r="Q138" s="87">
        <f t="shared" si="33"/>
        <v>376</v>
      </c>
      <c r="R138" s="50">
        <f>D138*$Q$17</f>
        <v>0</v>
      </c>
      <c r="S138" s="87">
        <f t="shared" si="34"/>
        <v>188</v>
      </c>
      <c r="T138" s="50">
        <f>D138*$S$17</f>
        <v>0</v>
      </c>
      <c r="U138" s="87">
        <f t="shared" si="35"/>
        <v>300.8</v>
      </c>
      <c r="V138" s="50">
        <f>D138*$U$17</f>
        <v>0</v>
      </c>
      <c r="W138" s="87">
        <f t="shared" si="36"/>
        <v>376</v>
      </c>
      <c r="X138" s="50">
        <f>D138*$W$17</f>
        <v>0</v>
      </c>
      <c r="Y138" s="87">
        <f t="shared" si="37"/>
        <v>376</v>
      </c>
      <c r="Z138" s="96">
        <f>D138*$Y$17</f>
        <v>0</v>
      </c>
      <c r="AA138" s="87">
        <f t="shared" si="38"/>
        <v>451.2</v>
      </c>
      <c r="AB138" s="50">
        <f>D138*$AA$17</f>
        <v>0</v>
      </c>
    </row>
    <row r="139" spans="1:29" ht="15.75" x14ac:dyDescent="0.25">
      <c r="A139" s="67"/>
      <c r="B139" s="45">
        <f>Hipótesis!C54</f>
        <v>0</v>
      </c>
      <c r="C139" s="49">
        <v>1700</v>
      </c>
      <c r="D139" s="50">
        <f t="shared" si="26"/>
        <v>0</v>
      </c>
      <c r="E139" s="87">
        <f t="shared" si="27"/>
        <v>187</v>
      </c>
      <c r="F139" s="50">
        <f>D139*$E$17</f>
        <v>0</v>
      </c>
      <c r="G139" s="87">
        <f t="shared" si="28"/>
        <v>153</v>
      </c>
      <c r="H139" s="50">
        <f>D139*$G$17</f>
        <v>0</v>
      </c>
      <c r="I139" s="87">
        <f t="shared" si="29"/>
        <v>136</v>
      </c>
      <c r="J139" s="50">
        <f>D139*$I$17</f>
        <v>0</v>
      </c>
      <c r="K139" s="87">
        <f t="shared" si="30"/>
        <v>102</v>
      </c>
      <c r="L139" s="50">
        <f>D139*$K$17</f>
        <v>0</v>
      </c>
      <c r="M139" s="87">
        <f t="shared" si="31"/>
        <v>102</v>
      </c>
      <c r="N139" s="50">
        <f>D139*$M$17</f>
        <v>0</v>
      </c>
      <c r="O139" s="87">
        <f t="shared" si="32"/>
        <v>85</v>
      </c>
      <c r="P139" s="50">
        <f>D139*$O$17</f>
        <v>0</v>
      </c>
      <c r="Q139" s="87">
        <f t="shared" si="33"/>
        <v>170</v>
      </c>
      <c r="R139" s="50">
        <f>D139*$Q$17</f>
        <v>0</v>
      </c>
      <c r="S139" s="87">
        <f t="shared" si="34"/>
        <v>85</v>
      </c>
      <c r="T139" s="50">
        <f>D139*$S$17</f>
        <v>0</v>
      </c>
      <c r="U139" s="87">
        <f t="shared" si="35"/>
        <v>136</v>
      </c>
      <c r="V139" s="50">
        <f>D139*$U$17</f>
        <v>0</v>
      </c>
      <c r="W139" s="87">
        <f t="shared" si="36"/>
        <v>170</v>
      </c>
      <c r="X139" s="50">
        <f>D139*$W$17</f>
        <v>0</v>
      </c>
      <c r="Y139" s="87">
        <f t="shared" si="37"/>
        <v>170</v>
      </c>
      <c r="Z139" s="96">
        <f>D139*$Y$17</f>
        <v>0</v>
      </c>
      <c r="AA139" s="87">
        <f t="shared" si="38"/>
        <v>204</v>
      </c>
      <c r="AB139" s="50">
        <f>D139*$AA$17</f>
        <v>0</v>
      </c>
    </row>
    <row r="140" spans="1:29" ht="16.5" thickBot="1" x14ac:dyDescent="0.3">
      <c r="A140" s="68"/>
      <c r="B140" s="69" t="e">
        <f>Hipótesis!#REF!</f>
        <v>#REF!</v>
      </c>
      <c r="C140" s="70">
        <v>3200</v>
      </c>
      <c r="D140" s="71" t="e">
        <f t="shared" si="26"/>
        <v>#REF!</v>
      </c>
      <c r="E140" s="88">
        <f t="shared" si="27"/>
        <v>352</v>
      </c>
      <c r="F140" s="71" t="e">
        <f>D140*$E$17</f>
        <v>#REF!</v>
      </c>
      <c r="G140" s="88">
        <f t="shared" si="28"/>
        <v>288</v>
      </c>
      <c r="H140" s="71" t="e">
        <f>D140*$G$17</f>
        <v>#REF!</v>
      </c>
      <c r="I140" s="88">
        <f t="shared" si="29"/>
        <v>256</v>
      </c>
      <c r="J140" s="71" t="e">
        <f>D140*$I$17</f>
        <v>#REF!</v>
      </c>
      <c r="K140" s="88">
        <f t="shared" si="30"/>
        <v>192</v>
      </c>
      <c r="L140" s="71" t="e">
        <f>D140*$K$17</f>
        <v>#REF!</v>
      </c>
      <c r="M140" s="88">
        <f t="shared" si="31"/>
        <v>192</v>
      </c>
      <c r="N140" s="71" t="e">
        <f>D140*$M$17</f>
        <v>#REF!</v>
      </c>
      <c r="O140" s="88">
        <f t="shared" si="32"/>
        <v>160</v>
      </c>
      <c r="P140" s="71" t="e">
        <f>D140*$O$17</f>
        <v>#REF!</v>
      </c>
      <c r="Q140" s="88">
        <f t="shared" si="33"/>
        <v>320</v>
      </c>
      <c r="R140" s="71" t="e">
        <f>D140*$Q$17</f>
        <v>#REF!</v>
      </c>
      <c r="S140" s="88">
        <f t="shared" si="34"/>
        <v>160</v>
      </c>
      <c r="T140" s="71" t="e">
        <f>D140*$S$17</f>
        <v>#REF!</v>
      </c>
      <c r="U140" s="88">
        <f t="shared" si="35"/>
        <v>256</v>
      </c>
      <c r="V140" s="71" t="e">
        <f>D140*$U$17</f>
        <v>#REF!</v>
      </c>
      <c r="W140" s="88">
        <f t="shared" si="36"/>
        <v>320</v>
      </c>
      <c r="X140" s="71" t="e">
        <f>D140*$W$17</f>
        <v>#REF!</v>
      </c>
      <c r="Y140" s="88">
        <f t="shared" si="37"/>
        <v>320</v>
      </c>
      <c r="Z140" s="97" t="e">
        <f>D140*$Y$17</f>
        <v>#REF!</v>
      </c>
      <c r="AA140" s="88">
        <f t="shared" si="38"/>
        <v>384</v>
      </c>
      <c r="AB140" s="71" t="e">
        <f>D140*$AA$17</f>
        <v>#REF!</v>
      </c>
    </row>
    <row r="141" spans="1:29" ht="15.75" x14ac:dyDescent="0.25">
      <c r="A141" s="72"/>
      <c r="B141" s="73">
        <f>Hipótesis!C55</f>
        <v>4000</v>
      </c>
      <c r="C141" s="74">
        <v>1000</v>
      </c>
      <c r="D141" s="75">
        <f t="shared" si="26"/>
        <v>4000000</v>
      </c>
      <c r="E141" s="89">
        <f t="shared" si="27"/>
        <v>110</v>
      </c>
      <c r="F141" s="75">
        <f>D141*$E$17</f>
        <v>320000</v>
      </c>
      <c r="G141" s="89">
        <f t="shared" si="28"/>
        <v>90</v>
      </c>
      <c r="H141" s="75">
        <f>D141*$G$17</f>
        <v>400000</v>
      </c>
      <c r="I141" s="89">
        <f t="shared" si="29"/>
        <v>80</v>
      </c>
      <c r="J141" s="75">
        <f>D141*$I$17</f>
        <v>320000</v>
      </c>
      <c r="K141" s="89">
        <f t="shared" si="30"/>
        <v>60</v>
      </c>
      <c r="L141" s="75">
        <f>D141*$K$17</f>
        <v>280000</v>
      </c>
      <c r="M141" s="89">
        <f t="shared" si="31"/>
        <v>60</v>
      </c>
      <c r="N141" s="75">
        <f>D141*$M$17</f>
        <v>240000</v>
      </c>
      <c r="O141" s="89">
        <f t="shared" si="32"/>
        <v>50</v>
      </c>
      <c r="P141" s="75">
        <f>D141*$O$17</f>
        <v>160000</v>
      </c>
      <c r="Q141" s="89">
        <f t="shared" si="33"/>
        <v>100</v>
      </c>
      <c r="R141" s="75">
        <f>D141*$Q$17</f>
        <v>360000</v>
      </c>
      <c r="S141" s="89">
        <f t="shared" si="34"/>
        <v>50</v>
      </c>
      <c r="T141" s="75">
        <f>D141*$S$17</f>
        <v>200000</v>
      </c>
      <c r="U141" s="89">
        <f t="shared" si="35"/>
        <v>80</v>
      </c>
      <c r="V141" s="75">
        <f>D141*$U$17</f>
        <v>360000</v>
      </c>
      <c r="W141" s="89">
        <f t="shared" si="36"/>
        <v>100</v>
      </c>
      <c r="X141" s="75">
        <f>D141*$W$17</f>
        <v>400000</v>
      </c>
      <c r="Y141" s="89">
        <f t="shared" si="37"/>
        <v>100</v>
      </c>
      <c r="Z141" s="98">
        <f>D141*$Y$17</f>
        <v>440000</v>
      </c>
      <c r="AA141" s="89">
        <f t="shared" si="38"/>
        <v>120</v>
      </c>
      <c r="AB141" s="75">
        <f>D141*$AA$17</f>
        <v>520000</v>
      </c>
    </row>
    <row r="142" spans="1:29" ht="15.75" x14ac:dyDescent="0.25">
      <c r="A142" s="76"/>
      <c r="B142" s="46">
        <f>Hipótesis!C56</f>
        <v>0</v>
      </c>
      <c r="C142" s="51">
        <v>900</v>
      </c>
      <c r="D142" s="52">
        <f t="shared" si="26"/>
        <v>0</v>
      </c>
      <c r="E142" s="90">
        <f t="shared" si="27"/>
        <v>99</v>
      </c>
      <c r="F142" s="52">
        <f>D142*$E$17</f>
        <v>0</v>
      </c>
      <c r="G142" s="90">
        <f t="shared" si="28"/>
        <v>81</v>
      </c>
      <c r="H142" s="52">
        <f>D142*$G$17</f>
        <v>0</v>
      </c>
      <c r="I142" s="90">
        <f t="shared" si="29"/>
        <v>72</v>
      </c>
      <c r="J142" s="52">
        <f>D142*$I$17</f>
        <v>0</v>
      </c>
      <c r="K142" s="90">
        <f t="shared" si="30"/>
        <v>54</v>
      </c>
      <c r="L142" s="52">
        <f>D142*$K$17</f>
        <v>0</v>
      </c>
      <c r="M142" s="90">
        <f t="shared" si="31"/>
        <v>54</v>
      </c>
      <c r="N142" s="52">
        <f>D142*$M$17</f>
        <v>0</v>
      </c>
      <c r="O142" s="90">
        <f t="shared" si="32"/>
        <v>45</v>
      </c>
      <c r="P142" s="52">
        <f>D142*$O$17</f>
        <v>0</v>
      </c>
      <c r="Q142" s="90">
        <f t="shared" si="33"/>
        <v>90</v>
      </c>
      <c r="R142" s="52">
        <f>D142*$Q$17</f>
        <v>0</v>
      </c>
      <c r="S142" s="90">
        <f t="shared" si="34"/>
        <v>45</v>
      </c>
      <c r="T142" s="52">
        <f>D142*$S$17</f>
        <v>0</v>
      </c>
      <c r="U142" s="90">
        <f t="shared" si="35"/>
        <v>72</v>
      </c>
      <c r="V142" s="52">
        <f>D142*$U$17</f>
        <v>0</v>
      </c>
      <c r="W142" s="90">
        <f t="shared" si="36"/>
        <v>90</v>
      </c>
      <c r="X142" s="52">
        <f>D142*$W$17</f>
        <v>0</v>
      </c>
      <c r="Y142" s="90">
        <f t="shared" si="37"/>
        <v>90</v>
      </c>
      <c r="Z142" s="99">
        <f>D142*$Y$17</f>
        <v>0</v>
      </c>
      <c r="AA142" s="90">
        <f t="shared" si="38"/>
        <v>108</v>
      </c>
      <c r="AB142" s="52">
        <f>D142*$AA$17</f>
        <v>0</v>
      </c>
    </row>
    <row r="143" spans="1:29" ht="15.75" x14ac:dyDescent="0.25">
      <c r="A143" s="76"/>
      <c r="B143" s="46">
        <f>Hipótesis!C57</f>
        <v>0</v>
      </c>
      <c r="C143" s="51">
        <v>900</v>
      </c>
      <c r="D143" s="52">
        <f t="shared" si="26"/>
        <v>0</v>
      </c>
      <c r="E143" s="90">
        <f t="shared" si="27"/>
        <v>99</v>
      </c>
      <c r="F143" s="52">
        <f>D143*$E$17</f>
        <v>0</v>
      </c>
      <c r="G143" s="90">
        <f t="shared" si="28"/>
        <v>81</v>
      </c>
      <c r="H143" s="52">
        <f>D143*$G$17</f>
        <v>0</v>
      </c>
      <c r="I143" s="90">
        <f t="shared" si="29"/>
        <v>72</v>
      </c>
      <c r="J143" s="52">
        <f>D143*$I$17</f>
        <v>0</v>
      </c>
      <c r="K143" s="90">
        <f t="shared" si="30"/>
        <v>54</v>
      </c>
      <c r="L143" s="52">
        <f>D143*$K$17</f>
        <v>0</v>
      </c>
      <c r="M143" s="90">
        <f t="shared" si="31"/>
        <v>54</v>
      </c>
      <c r="N143" s="52">
        <f>D143*$M$17</f>
        <v>0</v>
      </c>
      <c r="O143" s="90">
        <f t="shared" si="32"/>
        <v>45</v>
      </c>
      <c r="P143" s="52">
        <f>D143*$O$17</f>
        <v>0</v>
      </c>
      <c r="Q143" s="90">
        <f t="shared" si="33"/>
        <v>90</v>
      </c>
      <c r="R143" s="52">
        <f>D143*$Q$17</f>
        <v>0</v>
      </c>
      <c r="S143" s="90">
        <f t="shared" si="34"/>
        <v>45</v>
      </c>
      <c r="T143" s="52">
        <f>D143*$S$17</f>
        <v>0</v>
      </c>
      <c r="U143" s="90">
        <f t="shared" si="35"/>
        <v>72</v>
      </c>
      <c r="V143" s="52">
        <f>D143*$U$17</f>
        <v>0</v>
      </c>
      <c r="W143" s="90">
        <f t="shared" si="36"/>
        <v>90</v>
      </c>
      <c r="X143" s="52">
        <f>D143*$W$17</f>
        <v>0</v>
      </c>
      <c r="Y143" s="90">
        <f t="shared" si="37"/>
        <v>90</v>
      </c>
      <c r="Z143" s="99">
        <f>D143*$Y$17</f>
        <v>0</v>
      </c>
      <c r="AA143" s="90">
        <f t="shared" si="38"/>
        <v>108</v>
      </c>
      <c r="AB143" s="52">
        <f>D143*$AA$17</f>
        <v>0</v>
      </c>
    </row>
    <row r="144" spans="1:29" ht="15.75" x14ac:dyDescent="0.25">
      <c r="A144" s="76"/>
      <c r="B144" s="46" t="e">
        <f>Hipótesis!#REF!</f>
        <v>#REF!</v>
      </c>
      <c r="C144" s="51">
        <v>900</v>
      </c>
      <c r="D144" s="52" t="e">
        <f t="shared" si="26"/>
        <v>#REF!</v>
      </c>
      <c r="E144" s="90">
        <f t="shared" si="27"/>
        <v>99</v>
      </c>
      <c r="F144" s="52" t="e">
        <f>D144*$E$17</f>
        <v>#REF!</v>
      </c>
      <c r="G144" s="90">
        <f t="shared" si="28"/>
        <v>81</v>
      </c>
      <c r="H144" s="52" t="e">
        <f>D144*$G$17</f>
        <v>#REF!</v>
      </c>
      <c r="I144" s="90">
        <f t="shared" si="29"/>
        <v>72</v>
      </c>
      <c r="J144" s="52" t="e">
        <f>D144*$I$17</f>
        <v>#REF!</v>
      </c>
      <c r="K144" s="90">
        <f t="shared" si="30"/>
        <v>54</v>
      </c>
      <c r="L144" s="52" t="e">
        <f>D144*$K$17</f>
        <v>#REF!</v>
      </c>
      <c r="M144" s="90">
        <f t="shared" si="31"/>
        <v>54</v>
      </c>
      <c r="N144" s="52" t="e">
        <f>D144*$M$17</f>
        <v>#REF!</v>
      </c>
      <c r="O144" s="90">
        <f t="shared" si="32"/>
        <v>45</v>
      </c>
      <c r="P144" s="52" t="e">
        <f>D144*$O$17</f>
        <v>#REF!</v>
      </c>
      <c r="Q144" s="90">
        <f t="shared" si="33"/>
        <v>90</v>
      </c>
      <c r="R144" s="52" t="e">
        <f>D144*$Q$17</f>
        <v>#REF!</v>
      </c>
      <c r="S144" s="90">
        <f t="shared" si="34"/>
        <v>45</v>
      </c>
      <c r="T144" s="52" t="e">
        <f>D144*$S$17</f>
        <v>#REF!</v>
      </c>
      <c r="U144" s="90">
        <f t="shared" si="35"/>
        <v>72</v>
      </c>
      <c r="V144" s="52" t="e">
        <f>D144*$U$17</f>
        <v>#REF!</v>
      </c>
      <c r="W144" s="90">
        <f t="shared" si="36"/>
        <v>90</v>
      </c>
      <c r="X144" s="52" t="e">
        <f>D144*$W$17</f>
        <v>#REF!</v>
      </c>
      <c r="Y144" s="90">
        <f t="shared" si="37"/>
        <v>90</v>
      </c>
      <c r="Z144" s="99" t="e">
        <f>D144*$Y$17</f>
        <v>#REF!</v>
      </c>
      <c r="AA144" s="90">
        <f t="shared" si="38"/>
        <v>108</v>
      </c>
      <c r="AB144" s="52" t="e">
        <f>D144*$AA$17</f>
        <v>#REF!</v>
      </c>
    </row>
    <row r="145" spans="1:28" ht="16.5" thickBot="1" x14ac:dyDescent="0.3">
      <c r="A145" s="77"/>
      <c r="B145" s="78" t="e">
        <f>Hipótesis!#REF!</f>
        <v>#REF!</v>
      </c>
      <c r="C145" s="79">
        <v>1950</v>
      </c>
      <c r="D145" s="80" t="e">
        <f t="shared" si="26"/>
        <v>#REF!</v>
      </c>
      <c r="E145" s="91">
        <f t="shared" si="27"/>
        <v>214.5</v>
      </c>
      <c r="F145" s="80" t="e">
        <f>D145*$E$17</f>
        <v>#REF!</v>
      </c>
      <c r="G145" s="91">
        <f t="shared" si="28"/>
        <v>175.5</v>
      </c>
      <c r="H145" s="80" t="e">
        <f>D145*$G$17</f>
        <v>#REF!</v>
      </c>
      <c r="I145" s="91">
        <f t="shared" si="29"/>
        <v>156</v>
      </c>
      <c r="J145" s="80" t="e">
        <f>D145*$I$17</f>
        <v>#REF!</v>
      </c>
      <c r="K145" s="91">
        <f t="shared" si="30"/>
        <v>117</v>
      </c>
      <c r="L145" s="80" t="e">
        <f>D145*$K$17</f>
        <v>#REF!</v>
      </c>
      <c r="M145" s="91">
        <f t="shared" si="31"/>
        <v>117</v>
      </c>
      <c r="N145" s="80" t="e">
        <f>D145*$M$17</f>
        <v>#REF!</v>
      </c>
      <c r="O145" s="91">
        <f t="shared" si="32"/>
        <v>97.5</v>
      </c>
      <c r="P145" s="80" t="e">
        <f>D145*$O$17</f>
        <v>#REF!</v>
      </c>
      <c r="Q145" s="91">
        <f t="shared" si="33"/>
        <v>195</v>
      </c>
      <c r="R145" s="80" t="e">
        <f>D145*$Q$17</f>
        <v>#REF!</v>
      </c>
      <c r="S145" s="91">
        <f t="shared" si="34"/>
        <v>97.5</v>
      </c>
      <c r="T145" s="80" t="e">
        <f>D145*$S$17</f>
        <v>#REF!</v>
      </c>
      <c r="U145" s="91">
        <f t="shared" si="35"/>
        <v>156</v>
      </c>
      <c r="V145" s="80" t="e">
        <f>D145*$U$17</f>
        <v>#REF!</v>
      </c>
      <c r="W145" s="91">
        <f t="shared" si="36"/>
        <v>195</v>
      </c>
      <c r="X145" s="80" t="e">
        <f>D145*$W$17</f>
        <v>#REF!</v>
      </c>
      <c r="Y145" s="91">
        <f t="shared" si="37"/>
        <v>195</v>
      </c>
      <c r="Z145" s="100" t="e">
        <f>D145*$Y$17</f>
        <v>#REF!</v>
      </c>
      <c r="AA145" s="91">
        <f t="shared" si="38"/>
        <v>234</v>
      </c>
      <c r="AB145" s="80" t="e">
        <f>D145*$AA$17</f>
        <v>#REF!</v>
      </c>
    </row>
    <row r="146" spans="1:28" ht="16.5" thickBot="1" x14ac:dyDescent="0.3">
      <c r="A146" s="234"/>
      <c r="B146" s="235" t="e">
        <f>Hipótesis!#REF!</f>
        <v>#REF!</v>
      </c>
      <c r="C146" s="125">
        <v>2000</v>
      </c>
      <c r="D146" s="126" t="e">
        <f t="shared" si="26"/>
        <v>#REF!</v>
      </c>
      <c r="E146" s="127">
        <f t="shared" si="27"/>
        <v>220</v>
      </c>
      <c r="F146" s="126" t="e">
        <f>D146*$E$17</f>
        <v>#REF!</v>
      </c>
      <c r="G146" s="127">
        <f t="shared" si="28"/>
        <v>180</v>
      </c>
      <c r="H146" s="126" t="e">
        <f>D146*$G$17</f>
        <v>#REF!</v>
      </c>
      <c r="I146" s="127">
        <f t="shared" si="29"/>
        <v>160</v>
      </c>
      <c r="J146" s="126" t="e">
        <f>D146*$I$17</f>
        <v>#REF!</v>
      </c>
      <c r="K146" s="127">
        <f t="shared" si="30"/>
        <v>120</v>
      </c>
      <c r="L146" s="126" t="e">
        <f>D146*$K$17</f>
        <v>#REF!</v>
      </c>
      <c r="M146" s="127">
        <f t="shared" si="31"/>
        <v>120</v>
      </c>
      <c r="N146" s="126" t="e">
        <f>D146*$M$17</f>
        <v>#REF!</v>
      </c>
      <c r="O146" s="127">
        <f t="shared" si="32"/>
        <v>100</v>
      </c>
      <c r="P146" s="126" t="e">
        <f>D146*$O$17</f>
        <v>#REF!</v>
      </c>
      <c r="Q146" s="127">
        <f t="shared" si="33"/>
        <v>200</v>
      </c>
      <c r="R146" s="126" t="e">
        <f>D146*$Q$17</f>
        <v>#REF!</v>
      </c>
      <c r="S146" s="127">
        <f t="shared" si="34"/>
        <v>100</v>
      </c>
      <c r="T146" s="126" t="e">
        <f>D146*$S$17</f>
        <v>#REF!</v>
      </c>
      <c r="U146" s="127">
        <f t="shared" si="35"/>
        <v>160</v>
      </c>
      <c r="V146" s="126" t="e">
        <f>D146*$U$17</f>
        <v>#REF!</v>
      </c>
      <c r="W146" s="127">
        <f t="shared" si="36"/>
        <v>200</v>
      </c>
      <c r="X146" s="126" t="e">
        <f>D146*$W$17</f>
        <v>#REF!</v>
      </c>
      <c r="Y146" s="127">
        <f t="shared" si="37"/>
        <v>200</v>
      </c>
      <c r="Z146" s="128" t="e">
        <f>D146*$Y$17</f>
        <v>#REF!</v>
      </c>
      <c r="AA146" s="127">
        <f t="shared" si="38"/>
        <v>240</v>
      </c>
      <c r="AB146" s="126" t="e">
        <f>D146*$AA$17</f>
        <v>#REF!</v>
      </c>
    </row>
    <row r="147" spans="1:28" ht="15.75" thickBot="1" x14ac:dyDescent="0.3">
      <c r="A147" s="775" t="s">
        <v>104</v>
      </c>
      <c r="B147" s="776"/>
      <c r="C147" s="199"/>
      <c r="D147" s="202" t="e">
        <f>SUM(D134:D146)</f>
        <v>#REF!</v>
      </c>
      <c r="E147" s="203"/>
      <c r="F147" s="204" t="e">
        <f t="shared" ref="F147" si="39">SUM(F134:F146)</f>
        <v>#REF!</v>
      </c>
      <c r="G147" s="203"/>
      <c r="H147" s="204" t="e">
        <f t="shared" ref="H147" si="40">SUM(H134:H146)</f>
        <v>#REF!</v>
      </c>
      <c r="I147" s="203"/>
      <c r="J147" s="204" t="e">
        <f t="shared" ref="J147" si="41">SUM(J134:J146)</f>
        <v>#REF!</v>
      </c>
      <c r="K147" s="203"/>
      <c r="L147" s="204" t="e">
        <f t="shared" ref="L147" si="42">SUM(L134:L146)</f>
        <v>#REF!</v>
      </c>
      <c r="M147" s="203"/>
      <c r="N147" s="204" t="e">
        <f t="shared" ref="N147" si="43">SUM(N134:N146)</f>
        <v>#REF!</v>
      </c>
      <c r="O147" s="203"/>
      <c r="P147" s="204" t="e">
        <f t="shared" ref="P147" si="44">SUM(P134:P146)</f>
        <v>#REF!</v>
      </c>
      <c r="Q147" s="203"/>
      <c r="R147" s="204" t="e">
        <f t="shared" ref="R147" si="45">SUM(R134:R146)</f>
        <v>#REF!</v>
      </c>
      <c r="S147" s="203"/>
      <c r="T147" s="204" t="e">
        <f t="shared" ref="T147" si="46">SUM(T134:T146)</f>
        <v>#REF!</v>
      </c>
      <c r="U147" s="203"/>
      <c r="V147" s="204" t="e">
        <f t="shared" ref="V147" si="47">SUM(V134:V146)</f>
        <v>#REF!</v>
      </c>
      <c r="W147" s="203"/>
      <c r="X147" s="204" t="e">
        <f t="shared" ref="X147" si="48">SUM(X134:X146)</f>
        <v>#REF!</v>
      </c>
      <c r="Y147" s="203"/>
      <c r="Z147" s="204" t="e">
        <f t="shared" ref="Z147" si="49">SUM(Z134:Z146)</f>
        <v>#REF!</v>
      </c>
      <c r="AA147" s="203"/>
      <c r="AB147" s="204" t="e">
        <f t="shared" ref="AB147" si="50">SUM(AB134:AB146)</f>
        <v>#REF!</v>
      </c>
    </row>
    <row r="148" spans="1:28" ht="15.75" x14ac:dyDescent="0.25">
      <c r="A148" s="769" t="s">
        <v>361</v>
      </c>
      <c r="B148" s="770"/>
      <c r="C148" s="228">
        <f>C134</f>
        <v>1850</v>
      </c>
      <c r="D148" s="210"/>
      <c r="E148" s="221">
        <f>E134</f>
        <v>203.5</v>
      </c>
      <c r="F148" s="210"/>
      <c r="G148" s="221">
        <f>G134</f>
        <v>166.5</v>
      </c>
      <c r="H148" s="210"/>
      <c r="I148" s="221">
        <f>I134</f>
        <v>148</v>
      </c>
      <c r="J148" s="210"/>
      <c r="K148" s="221">
        <f>K134</f>
        <v>111</v>
      </c>
      <c r="L148" s="210"/>
      <c r="M148" s="221">
        <f>M134</f>
        <v>111</v>
      </c>
      <c r="N148" s="210"/>
      <c r="O148" s="221">
        <f>O134</f>
        <v>92.5</v>
      </c>
      <c r="P148" s="210"/>
      <c r="Q148" s="221">
        <f>Q134</f>
        <v>185</v>
      </c>
      <c r="R148" s="210"/>
      <c r="S148" s="221">
        <f>S134</f>
        <v>92.5</v>
      </c>
      <c r="T148" s="210"/>
      <c r="U148" s="221">
        <f>U134</f>
        <v>148</v>
      </c>
      <c r="V148" s="210"/>
      <c r="W148" s="221">
        <f>W134</f>
        <v>185</v>
      </c>
      <c r="X148" s="210"/>
      <c r="Y148" s="221">
        <f>Y134</f>
        <v>185</v>
      </c>
      <c r="Z148" s="210"/>
      <c r="AA148" s="221">
        <f>AA134</f>
        <v>222</v>
      </c>
      <c r="AB148" s="211"/>
    </row>
    <row r="149" spans="1:28" ht="15.75" x14ac:dyDescent="0.25">
      <c r="A149" s="767" t="s">
        <v>100</v>
      </c>
      <c r="B149" s="768"/>
      <c r="C149" s="229">
        <f>C135</f>
        <v>1450</v>
      </c>
      <c r="D149" s="206"/>
      <c r="E149" s="222">
        <f>E135</f>
        <v>159.5</v>
      </c>
      <c r="F149" s="206"/>
      <c r="G149" s="222">
        <f>G135</f>
        <v>130.5</v>
      </c>
      <c r="H149" s="206"/>
      <c r="I149" s="222">
        <f>I135</f>
        <v>116</v>
      </c>
      <c r="J149" s="206"/>
      <c r="K149" s="222">
        <f>K135</f>
        <v>87</v>
      </c>
      <c r="L149" s="206"/>
      <c r="M149" s="222">
        <f>M135</f>
        <v>87</v>
      </c>
      <c r="N149" s="206"/>
      <c r="O149" s="222">
        <f>O135</f>
        <v>72.5</v>
      </c>
      <c r="P149" s="206"/>
      <c r="Q149" s="222">
        <f>Q135</f>
        <v>145</v>
      </c>
      <c r="R149" s="206"/>
      <c r="S149" s="222">
        <f>S135</f>
        <v>72.5</v>
      </c>
      <c r="T149" s="206"/>
      <c r="U149" s="222">
        <f>U135</f>
        <v>116</v>
      </c>
      <c r="V149" s="206"/>
      <c r="W149" s="222">
        <f>W135</f>
        <v>145</v>
      </c>
      <c r="X149" s="206"/>
      <c r="Y149" s="222">
        <f>Y135</f>
        <v>145</v>
      </c>
      <c r="Z149" s="206"/>
      <c r="AA149" s="222">
        <f>AA135</f>
        <v>174</v>
      </c>
      <c r="AB149" s="212"/>
    </row>
    <row r="150" spans="1:28" ht="16.5" thickBot="1" x14ac:dyDescent="0.3">
      <c r="A150" s="765" t="s">
        <v>101</v>
      </c>
      <c r="B150" s="766"/>
      <c r="C150" s="230">
        <f>C136</f>
        <v>630</v>
      </c>
      <c r="D150" s="213"/>
      <c r="E150" s="223">
        <f>E136</f>
        <v>69.3</v>
      </c>
      <c r="F150" s="213"/>
      <c r="G150" s="223">
        <f>G136</f>
        <v>56.699999999999996</v>
      </c>
      <c r="H150" s="213"/>
      <c r="I150" s="223">
        <f>I136</f>
        <v>50.4</v>
      </c>
      <c r="J150" s="213"/>
      <c r="K150" s="223">
        <f>K136</f>
        <v>37.799999999999997</v>
      </c>
      <c r="L150" s="213"/>
      <c r="M150" s="223">
        <f>M136</f>
        <v>37.799999999999997</v>
      </c>
      <c r="N150" s="213"/>
      <c r="O150" s="223">
        <f>O136</f>
        <v>31.5</v>
      </c>
      <c r="P150" s="213"/>
      <c r="Q150" s="223">
        <f>Q136</f>
        <v>63</v>
      </c>
      <c r="R150" s="213"/>
      <c r="S150" s="223">
        <f>S136</f>
        <v>31.5</v>
      </c>
      <c r="T150" s="213"/>
      <c r="U150" s="223">
        <f>U136</f>
        <v>50.4</v>
      </c>
      <c r="V150" s="213"/>
      <c r="W150" s="223">
        <f>W136</f>
        <v>63</v>
      </c>
      <c r="X150" s="213"/>
      <c r="Y150" s="223">
        <f>Y136</f>
        <v>63</v>
      </c>
      <c r="Z150" s="213"/>
      <c r="AA150" s="223">
        <f>AA136</f>
        <v>75.599999999999994</v>
      </c>
      <c r="AB150" s="214"/>
    </row>
    <row r="151" spans="1:28" ht="16.5" thickBot="1" x14ac:dyDescent="0.3">
      <c r="A151" s="777" t="s">
        <v>102</v>
      </c>
      <c r="B151" s="778"/>
      <c r="C151" s="231">
        <f>SUM(C137:C140)</f>
        <v>12453</v>
      </c>
      <c r="D151" s="209"/>
      <c r="E151" s="224">
        <f>SUM(E137:E140)</f>
        <v>1369.83</v>
      </c>
      <c r="F151" s="215"/>
      <c r="G151" s="224">
        <f>SUM(G137:G140)</f>
        <v>1120.77</v>
      </c>
      <c r="H151" s="215"/>
      <c r="I151" s="224">
        <f>SUM(I137:I140)</f>
        <v>996.24</v>
      </c>
      <c r="J151" s="215"/>
      <c r="K151" s="224">
        <f>SUM(K137:K140)</f>
        <v>747.18</v>
      </c>
      <c r="L151" s="215"/>
      <c r="M151" s="224">
        <f>SUM(M137:M140)</f>
        <v>747.18</v>
      </c>
      <c r="N151" s="215"/>
      <c r="O151" s="224">
        <f>SUM(O137:O140)</f>
        <v>622.65</v>
      </c>
      <c r="P151" s="215"/>
      <c r="Q151" s="224">
        <f>SUM(Q137:Q140)</f>
        <v>1245.3</v>
      </c>
      <c r="R151" s="215"/>
      <c r="S151" s="224">
        <f>SUM(S137:S140)</f>
        <v>622.65</v>
      </c>
      <c r="T151" s="215"/>
      <c r="U151" s="224">
        <f>SUM(U137:U140)</f>
        <v>996.24</v>
      </c>
      <c r="V151" s="215"/>
      <c r="W151" s="224">
        <f>SUM(W137:W140)</f>
        <v>1245.3</v>
      </c>
      <c r="X151" s="215"/>
      <c r="Y151" s="224">
        <f>SUM(Y137:Y140)</f>
        <v>1245.3</v>
      </c>
      <c r="Z151" s="215"/>
      <c r="AA151" s="224">
        <f>SUM(AA137:AA140)</f>
        <v>1494.36</v>
      </c>
      <c r="AB151" s="218"/>
    </row>
    <row r="152" spans="1:28" ht="16.5" thickBot="1" x14ac:dyDescent="0.3">
      <c r="A152" s="779" t="s">
        <v>103</v>
      </c>
      <c r="B152" s="780"/>
      <c r="C152" s="232">
        <f>SUM(C141:C145)</f>
        <v>5650</v>
      </c>
      <c r="D152" s="208"/>
      <c r="E152" s="225">
        <f>SUM(E141:E145)</f>
        <v>621.5</v>
      </c>
      <c r="F152" s="216"/>
      <c r="G152" s="225">
        <f>SUM(G141:G145)</f>
        <v>508.5</v>
      </c>
      <c r="H152" s="216"/>
      <c r="I152" s="225">
        <f>SUM(I141:I145)</f>
        <v>452</v>
      </c>
      <c r="J152" s="216"/>
      <c r="K152" s="225">
        <f>SUM(K141:K145)</f>
        <v>339</v>
      </c>
      <c r="L152" s="216"/>
      <c r="M152" s="225">
        <f>SUM(M141:M145)</f>
        <v>339</v>
      </c>
      <c r="N152" s="216"/>
      <c r="O152" s="225">
        <f>SUM(O141:O145)</f>
        <v>282.5</v>
      </c>
      <c r="P152" s="216"/>
      <c r="Q152" s="225">
        <f>SUM(Q141:Q145)</f>
        <v>565</v>
      </c>
      <c r="R152" s="216"/>
      <c r="S152" s="225">
        <f>SUM(S141:S145)</f>
        <v>282.5</v>
      </c>
      <c r="T152" s="216"/>
      <c r="U152" s="225">
        <f>SUM(U141:U145)</f>
        <v>452</v>
      </c>
      <c r="V152" s="216"/>
      <c r="W152" s="225">
        <f>SUM(W141:W145)</f>
        <v>565</v>
      </c>
      <c r="X152" s="216"/>
      <c r="Y152" s="225">
        <f>SUM(Y141:Y145)</f>
        <v>565</v>
      </c>
      <c r="Z152" s="216"/>
      <c r="AA152" s="225">
        <f>SUM(AA141:AA145)</f>
        <v>678</v>
      </c>
      <c r="AB152" s="219"/>
    </row>
    <row r="153" spans="1:28" ht="16.5" thickBot="1" x14ac:dyDescent="0.3">
      <c r="A153" s="781" t="s">
        <v>105</v>
      </c>
      <c r="B153" s="782"/>
      <c r="C153" s="233">
        <f>C146</f>
        <v>2000</v>
      </c>
      <c r="D153" s="207"/>
      <c r="E153" s="226">
        <f>E146</f>
        <v>220</v>
      </c>
      <c r="F153" s="217"/>
      <c r="G153" s="226">
        <f>G146</f>
        <v>180</v>
      </c>
      <c r="H153" s="217"/>
      <c r="I153" s="226">
        <f>I146</f>
        <v>160</v>
      </c>
      <c r="J153" s="217"/>
      <c r="K153" s="226">
        <f>K146</f>
        <v>120</v>
      </c>
      <c r="L153" s="217"/>
      <c r="M153" s="226">
        <f>M146</f>
        <v>120</v>
      </c>
      <c r="N153" s="217"/>
      <c r="O153" s="226">
        <f>O146</f>
        <v>100</v>
      </c>
      <c r="P153" s="217"/>
      <c r="Q153" s="226">
        <f>Q146</f>
        <v>200</v>
      </c>
      <c r="R153" s="217"/>
      <c r="S153" s="226">
        <f>S146</f>
        <v>100</v>
      </c>
      <c r="T153" s="217"/>
      <c r="U153" s="226">
        <f>U146</f>
        <v>160</v>
      </c>
      <c r="V153" s="217"/>
      <c r="W153" s="226">
        <f>W146</f>
        <v>200</v>
      </c>
      <c r="X153" s="217"/>
      <c r="Y153" s="226">
        <f>Y146</f>
        <v>200</v>
      </c>
      <c r="Z153" s="217"/>
      <c r="AA153" s="226">
        <f>AA146</f>
        <v>240</v>
      </c>
      <c r="AB153" s="220"/>
    </row>
    <row r="154" spans="1:28" ht="15.75" thickBot="1" x14ac:dyDescent="0.3">
      <c r="D154" s="542"/>
      <c r="E154" s="43"/>
      <c r="F154" s="43"/>
    </row>
    <row r="155" spans="1:28" ht="27" thickBot="1" x14ac:dyDescent="0.45">
      <c r="A155" s="691" t="s">
        <v>71</v>
      </c>
      <c r="B155" s="692"/>
      <c r="C155" s="692"/>
      <c r="D155" s="692"/>
      <c r="E155" s="692"/>
      <c r="F155" s="692"/>
      <c r="G155" s="692"/>
      <c r="H155" s="692"/>
      <c r="I155" s="692"/>
      <c r="J155" s="692"/>
      <c r="K155" s="692"/>
      <c r="L155" s="692"/>
      <c r="M155" s="692"/>
      <c r="N155" s="692"/>
      <c r="O155" s="692"/>
      <c r="P155" s="692"/>
      <c r="Q155" s="692"/>
      <c r="R155" s="692"/>
      <c r="S155" s="692"/>
      <c r="T155" s="692"/>
      <c r="U155" s="692"/>
      <c r="V155" s="692"/>
      <c r="W155" s="692"/>
      <c r="X155" s="692"/>
      <c r="Y155" s="692"/>
      <c r="Z155" s="692"/>
      <c r="AA155" s="692"/>
      <c r="AB155" s="693"/>
    </row>
    <row r="156" spans="1:28" ht="87.75" customHeight="1" thickBot="1" x14ac:dyDescent="0.3">
      <c r="A156" s="158" t="s">
        <v>73</v>
      </c>
      <c r="B156" s="679" t="s">
        <v>261</v>
      </c>
      <c r="C156" s="680"/>
      <c r="D156" s="680"/>
      <c r="E156" s="680"/>
      <c r="F156" s="680"/>
      <c r="G156" s="680"/>
      <c r="H156" s="680"/>
      <c r="I156" s="680"/>
      <c r="J156" s="680"/>
      <c r="K156" s="680"/>
      <c r="L156" s="680"/>
      <c r="M156" s="680"/>
      <c r="N156" s="680"/>
      <c r="O156" s="680"/>
      <c r="P156" s="680"/>
      <c r="Q156" s="680"/>
      <c r="R156" s="680"/>
      <c r="S156" s="680"/>
      <c r="T156" s="680"/>
      <c r="U156" s="680"/>
      <c r="V156" s="680"/>
      <c r="W156" s="680"/>
      <c r="X156" s="680"/>
      <c r="Y156" s="680"/>
      <c r="Z156" s="680"/>
      <c r="AA156" s="680"/>
      <c r="AB156" s="681"/>
    </row>
    <row r="157" spans="1:28" ht="21.75" thickBot="1" x14ac:dyDescent="0.3">
      <c r="A157" s="694"/>
      <c r="B157" s="695"/>
      <c r="C157" s="756" t="s">
        <v>64</v>
      </c>
      <c r="D157" s="757"/>
      <c r="E157" s="696" t="s">
        <v>40</v>
      </c>
      <c r="F157" s="697"/>
      <c r="G157" s="698" t="s">
        <v>41</v>
      </c>
      <c r="H157" s="697"/>
      <c r="I157" s="698" t="s">
        <v>42</v>
      </c>
      <c r="J157" s="697"/>
      <c r="K157" s="698" t="s">
        <v>43</v>
      </c>
      <c r="L157" s="697"/>
      <c r="M157" s="698" t="s">
        <v>44</v>
      </c>
      <c r="N157" s="697"/>
      <c r="O157" s="698" t="s">
        <v>45</v>
      </c>
      <c r="P157" s="697"/>
      <c r="Q157" s="698" t="s">
        <v>46</v>
      </c>
      <c r="R157" s="697"/>
      <c r="S157" s="698" t="s">
        <v>47</v>
      </c>
      <c r="T157" s="697"/>
      <c r="U157" s="698" t="s">
        <v>48</v>
      </c>
      <c r="V157" s="697"/>
      <c r="W157" s="698" t="s">
        <v>49</v>
      </c>
      <c r="X157" s="697"/>
      <c r="Y157" s="698" t="s">
        <v>50</v>
      </c>
      <c r="Z157" s="697"/>
      <c r="AA157" s="698" t="s">
        <v>51</v>
      </c>
      <c r="AB157" s="697"/>
    </row>
    <row r="158" spans="1:28" x14ac:dyDescent="0.25">
      <c r="A158" s="738" t="s">
        <v>63</v>
      </c>
      <c r="B158" s="739"/>
      <c r="C158" s="754"/>
      <c r="D158" s="755"/>
      <c r="E158" s="745" t="s">
        <v>67</v>
      </c>
      <c r="F158" s="724"/>
      <c r="G158" s="746" t="s">
        <v>67</v>
      </c>
      <c r="H158" s="724"/>
      <c r="I158" s="746" t="s">
        <v>67</v>
      </c>
      <c r="J158" s="724"/>
      <c r="K158" s="746" t="s">
        <v>67</v>
      </c>
      <c r="L158" s="724"/>
      <c r="M158" s="746" t="s">
        <v>67</v>
      </c>
      <c r="N158" s="724"/>
      <c r="O158" s="746" t="s">
        <v>67</v>
      </c>
      <c r="P158" s="724"/>
      <c r="Q158" s="746" t="s">
        <v>67</v>
      </c>
      <c r="R158" s="724"/>
      <c r="S158" s="746" t="s">
        <v>67</v>
      </c>
      <c r="T158" s="724"/>
      <c r="U158" s="714" t="s">
        <v>67</v>
      </c>
      <c r="V158" s="714"/>
      <c r="W158" s="714" t="s">
        <v>67</v>
      </c>
      <c r="X158" s="714"/>
      <c r="Y158" s="714" t="s">
        <v>67</v>
      </c>
      <c r="Z158" s="714"/>
      <c r="AA158" s="714" t="s">
        <v>67</v>
      </c>
      <c r="AB158" s="731"/>
    </row>
    <row r="159" spans="1:28" x14ac:dyDescent="0.25">
      <c r="A159" s="740"/>
      <c r="B159" s="741"/>
      <c r="C159" s="750"/>
      <c r="D159" s="751"/>
      <c r="E159" s="728" t="s">
        <v>67</v>
      </c>
      <c r="F159" s="713"/>
      <c r="G159" s="713" t="s">
        <v>67</v>
      </c>
      <c r="H159" s="713"/>
      <c r="I159" s="713" t="s">
        <v>67</v>
      </c>
      <c r="J159" s="713"/>
      <c r="K159" s="713" t="s">
        <v>67</v>
      </c>
      <c r="L159" s="713"/>
      <c r="M159" s="713" t="s">
        <v>67</v>
      </c>
      <c r="N159" s="713"/>
      <c r="O159" s="713" t="s">
        <v>67</v>
      </c>
      <c r="P159" s="713"/>
      <c r="Q159" s="713" t="s">
        <v>67</v>
      </c>
      <c r="R159" s="713"/>
      <c r="S159" s="713" t="s">
        <v>67</v>
      </c>
      <c r="T159" s="713"/>
      <c r="U159" s="713" t="s">
        <v>67</v>
      </c>
      <c r="V159" s="713"/>
      <c r="W159" s="713" t="s">
        <v>67</v>
      </c>
      <c r="X159" s="713"/>
      <c r="Y159" s="713" t="s">
        <v>67</v>
      </c>
      <c r="Z159" s="713"/>
      <c r="AA159" s="713" t="s">
        <v>67</v>
      </c>
      <c r="AB159" s="732"/>
    </row>
    <row r="160" spans="1:28" x14ac:dyDescent="0.25">
      <c r="A160" s="740"/>
      <c r="B160" s="741"/>
      <c r="C160" s="750"/>
      <c r="D160" s="751"/>
      <c r="E160" s="728" t="s">
        <v>67</v>
      </c>
      <c r="F160" s="713"/>
      <c r="G160" s="713" t="s">
        <v>67</v>
      </c>
      <c r="H160" s="713"/>
      <c r="I160" s="713" t="s">
        <v>67</v>
      </c>
      <c r="J160" s="713"/>
      <c r="K160" s="713" t="s">
        <v>67</v>
      </c>
      <c r="L160" s="713"/>
      <c r="M160" s="713" t="s">
        <v>67</v>
      </c>
      <c r="N160" s="713"/>
      <c r="O160" s="713" t="s">
        <v>67</v>
      </c>
      <c r="P160" s="713"/>
      <c r="Q160" s="713" t="s">
        <v>67</v>
      </c>
      <c r="R160" s="713"/>
      <c r="S160" s="713" t="s">
        <v>67</v>
      </c>
      <c r="T160" s="713"/>
      <c r="U160" s="713" t="s">
        <v>67</v>
      </c>
      <c r="V160" s="713"/>
      <c r="W160" s="713" t="s">
        <v>67</v>
      </c>
      <c r="X160" s="713"/>
      <c r="Y160" s="713" t="s">
        <v>67</v>
      </c>
      <c r="Z160" s="713"/>
      <c r="AA160" s="713" t="s">
        <v>67</v>
      </c>
      <c r="AB160" s="732"/>
    </row>
    <row r="161" spans="1:28" x14ac:dyDescent="0.25">
      <c r="A161" s="740"/>
      <c r="B161" s="741"/>
      <c r="C161" s="750"/>
      <c r="D161" s="751"/>
      <c r="E161" s="728" t="s">
        <v>67</v>
      </c>
      <c r="F161" s="713"/>
      <c r="G161" s="713" t="s">
        <v>67</v>
      </c>
      <c r="H161" s="713"/>
      <c r="I161" s="713" t="s">
        <v>67</v>
      </c>
      <c r="J161" s="713"/>
      <c r="K161" s="713" t="s">
        <v>67</v>
      </c>
      <c r="L161" s="713"/>
      <c r="M161" s="713" t="s">
        <v>67</v>
      </c>
      <c r="N161" s="713"/>
      <c r="O161" s="713" t="s">
        <v>67</v>
      </c>
      <c r="P161" s="713"/>
      <c r="Q161" s="713" t="s">
        <v>67</v>
      </c>
      <c r="R161" s="713"/>
      <c r="S161" s="713" t="s">
        <v>67</v>
      </c>
      <c r="T161" s="713"/>
      <c r="U161" s="713" t="s">
        <v>67</v>
      </c>
      <c r="V161" s="713"/>
      <c r="W161" s="713" t="s">
        <v>67</v>
      </c>
      <c r="X161" s="713"/>
      <c r="Y161" s="713" t="s">
        <v>67</v>
      </c>
      <c r="Z161" s="713"/>
      <c r="AA161" s="713" t="s">
        <v>67</v>
      </c>
      <c r="AB161" s="732"/>
    </row>
    <row r="162" spans="1:28" x14ac:dyDescent="0.25">
      <c r="A162" s="740"/>
      <c r="B162" s="741"/>
      <c r="C162" s="750"/>
      <c r="D162" s="751"/>
      <c r="E162" s="728" t="s">
        <v>67</v>
      </c>
      <c r="F162" s="713"/>
      <c r="G162" s="713" t="s">
        <v>67</v>
      </c>
      <c r="H162" s="713"/>
      <c r="I162" s="713" t="s">
        <v>67</v>
      </c>
      <c r="J162" s="713"/>
      <c r="K162" s="713" t="s">
        <v>67</v>
      </c>
      <c r="L162" s="713"/>
      <c r="M162" s="713" t="s">
        <v>67</v>
      </c>
      <c r="N162" s="713"/>
      <c r="O162" s="713" t="s">
        <v>67</v>
      </c>
      <c r="P162" s="713"/>
      <c r="Q162" s="713" t="s">
        <v>67</v>
      </c>
      <c r="R162" s="713"/>
      <c r="S162" s="713" t="s">
        <v>67</v>
      </c>
      <c r="T162" s="713"/>
      <c r="U162" s="713" t="s">
        <v>67</v>
      </c>
      <c r="V162" s="713"/>
      <c r="W162" s="713" t="s">
        <v>67</v>
      </c>
      <c r="X162" s="713"/>
      <c r="Y162" s="713" t="s">
        <v>67</v>
      </c>
      <c r="Z162" s="713"/>
      <c r="AA162" s="713" t="s">
        <v>67</v>
      </c>
      <c r="AB162" s="732"/>
    </row>
    <row r="163" spans="1:28" x14ac:dyDescent="0.25">
      <c r="A163" s="740"/>
      <c r="B163" s="741"/>
      <c r="C163" s="750"/>
      <c r="D163" s="751"/>
      <c r="E163" s="728" t="s">
        <v>67</v>
      </c>
      <c r="F163" s="713"/>
      <c r="G163" s="713" t="s">
        <v>67</v>
      </c>
      <c r="H163" s="713"/>
      <c r="I163" s="713" t="s">
        <v>67</v>
      </c>
      <c r="J163" s="713"/>
      <c r="K163" s="713" t="s">
        <v>67</v>
      </c>
      <c r="L163" s="713"/>
      <c r="M163" s="713" t="s">
        <v>67</v>
      </c>
      <c r="N163" s="713"/>
      <c r="O163" s="713" t="s">
        <v>67</v>
      </c>
      <c r="P163" s="713"/>
      <c r="Q163" s="713" t="s">
        <v>67</v>
      </c>
      <c r="R163" s="713"/>
      <c r="S163" s="713" t="s">
        <v>67</v>
      </c>
      <c r="T163" s="713"/>
      <c r="U163" s="713" t="s">
        <v>67</v>
      </c>
      <c r="V163" s="713"/>
      <c r="W163" s="713" t="s">
        <v>67</v>
      </c>
      <c r="X163" s="713"/>
      <c r="Y163" s="713" t="s">
        <v>67</v>
      </c>
      <c r="Z163" s="713"/>
      <c r="AA163" s="713" t="s">
        <v>67</v>
      </c>
      <c r="AB163" s="732"/>
    </row>
    <row r="164" spans="1:28" x14ac:dyDescent="0.25">
      <c r="A164" s="740"/>
      <c r="B164" s="741"/>
      <c r="C164" s="750"/>
      <c r="D164" s="751"/>
      <c r="E164" s="728" t="s">
        <v>67</v>
      </c>
      <c r="F164" s="713"/>
      <c r="G164" s="713" t="s">
        <v>67</v>
      </c>
      <c r="H164" s="713"/>
      <c r="I164" s="713" t="s">
        <v>67</v>
      </c>
      <c r="J164" s="713"/>
      <c r="K164" s="713" t="s">
        <v>67</v>
      </c>
      <c r="L164" s="713"/>
      <c r="M164" s="713" t="s">
        <v>67</v>
      </c>
      <c r="N164" s="713"/>
      <c r="O164" s="713" t="s">
        <v>67</v>
      </c>
      <c r="P164" s="713"/>
      <c r="Q164" s="713" t="s">
        <v>67</v>
      </c>
      <c r="R164" s="713"/>
      <c r="S164" s="713" t="s">
        <v>67</v>
      </c>
      <c r="T164" s="713"/>
      <c r="U164" s="713" t="s">
        <v>67</v>
      </c>
      <c r="V164" s="713"/>
      <c r="W164" s="713" t="s">
        <v>67</v>
      </c>
      <c r="X164" s="713"/>
      <c r="Y164" s="713" t="s">
        <v>67</v>
      </c>
      <c r="Z164" s="713"/>
      <c r="AA164" s="713" t="s">
        <v>67</v>
      </c>
      <c r="AB164" s="732"/>
    </row>
    <row r="165" spans="1:28" x14ac:dyDescent="0.25">
      <c r="A165" s="740"/>
      <c r="B165" s="741"/>
      <c r="C165" s="750"/>
      <c r="D165" s="751"/>
      <c r="E165" s="728" t="s">
        <v>67</v>
      </c>
      <c r="F165" s="713"/>
      <c r="G165" s="713" t="s">
        <v>67</v>
      </c>
      <c r="H165" s="713"/>
      <c r="I165" s="713" t="s">
        <v>67</v>
      </c>
      <c r="J165" s="713"/>
      <c r="K165" s="713" t="s">
        <v>67</v>
      </c>
      <c r="L165" s="713"/>
      <c r="M165" s="713" t="s">
        <v>67</v>
      </c>
      <c r="N165" s="713"/>
      <c r="O165" s="713" t="s">
        <v>67</v>
      </c>
      <c r="P165" s="713"/>
      <c r="Q165" s="713" t="s">
        <v>67</v>
      </c>
      <c r="R165" s="713"/>
      <c r="S165" s="713" t="s">
        <v>67</v>
      </c>
      <c r="T165" s="713"/>
      <c r="U165" s="713" t="s">
        <v>67</v>
      </c>
      <c r="V165" s="713"/>
      <c r="W165" s="713" t="s">
        <v>67</v>
      </c>
      <c r="X165" s="713"/>
      <c r="Y165" s="713" t="s">
        <v>67</v>
      </c>
      <c r="Z165" s="713"/>
      <c r="AA165" s="713" t="s">
        <v>67</v>
      </c>
      <c r="AB165" s="732"/>
    </row>
    <row r="166" spans="1:28" x14ac:dyDescent="0.25">
      <c r="A166" s="740"/>
      <c r="B166" s="741"/>
      <c r="C166" s="750"/>
      <c r="D166" s="751"/>
      <c r="E166" s="728" t="s">
        <v>67</v>
      </c>
      <c r="F166" s="713"/>
      <c r="G166" s="713" t="s">
        <v>67</v>
      </c>
      <c r="H166" s="713"/>
      <c r="I166" s="713" t="s">
        <v>67</v>
      </c>
      <c r="J166" s="713"/>
      <c r="K166" s="713" t="s">
        <v>67</v>
      </c>
      <c r="L166" s="713"/>
      <c r="M166" s="713" t="s">
        <v>67</v>
      </c>
      <c r="N166" s="713"/>
      <c r="O166" s="713" t="s">
        <v>67</v>
      </c>
      <c r="P166" s="713"/>
      <c r="Q166" s="713" t="s">
        <v>67</v>
      </c>
      <c r="R166" s="713"/>
      <c r="S166" s="713" t="s">
        <v>67</v>
      </c>
      <c r="T166" s="713"/>
      <c r="U166" s="713" t="s">
        <v>67</v>
      </c>
      <c r="V166" s="713"/>
      <c r="W166" s="713" t="s">
        <v>67</v>
      </c>
      <c r="X166" s="713"/>
      <c r="Y166" s="713" t="s">
        <v>67</v>
      </c>
      <c r="Z166" s="713"/>
      <c r="AA166" s="713" t="s">
        <v>67</v>
      </c>
      <c r="AB166" s="732"/>
    </row>
    <row r="167" spans="1:28" x14ac:dyDescent="0.25">
      <c r="A167" s="740"/>
      <c r="B167" s="741"/>
      <c r="C167" s="750"/>
      <c r="D167" s="751"/>
      <c r="E167" s="728" t="s">
        <v>67</v>
      </c>
      <c r="F167" s="713"/>
      <c r="G167" s="713" t="s">
        <v>67</v>
      </c>
      <c r="H167" s="713"/>
      <c r="I167" s="713" t="s">
        <v>67</v>
      </c>
      <c r="J167" s="713"/>
      <c r="K167" s="713" t="s">
        <v>67</v>
      </c>
      <c r="L167" s="713"/>
      <c r="M167" s="713" t="s">
        <v>67</v>
      </c>
      <c r="N167" s="713"/>
      <c r="O167" s="713" t="s">
        <v>67</v>
      </c>
      <c r="P167" s="713"/>
      <c r="Q167" s="713" t="s">
        <v>67</v>
      </c>
      <c r="R167" s="713"/>
      <c r="S167" s="713" t="s">
        <v>67</v>
      </c>
      <c r="T167" s="713"/>
      <c r="U167" s="713" t="s">
        <v>67</v>
      </c>
      <c r="V167" s="713"/>
      <c r="W167" s="713" t="s">
        <v>67</v>
      </c>
      <c r="X167" s="713"/>
      <c r="Y167" s="713" t="s">
        <v>67</v>
      </c>
      <c r="Z167" s="713"/>
      <c r="AA167" s="713" t="s">
        <v>67</v>
      </c>
      <c r="AB167" s="732"/>
    </row>
    <row r="168" spans="1:28" x14ac:dyDescent="0.25">
      <c r="A168" s="740"/>
      <c r="B168" s="741"/>
      <c r="C168" s="750"/>
      <c r="D168" s="751"/>
      <c r="E168" s="728" t="s">
        <v>67</v>
      </c>
      <c r="F168" s="713"/>
      <c r="G168" s="713" t="s">
        <v>67</v>
      </c>
      <c r="H168" s="713"/>
      <c r="I168" s="713" t="s">
        <v>67</v>
      </c>
      <c r="J168" s="713"/>
      <c r="K168" s="713" t="s">
        <v>67</v>
      </c>
      <c r="L168" s="713"/>
      <c r="M168" s="713" t="s">
        <v>67</v>
      </c>
      <c r="N168" s="713"/>
      <c r="O168" s="713" t="s">
        <v>67</v>
      </c>
      <c r="P168" s="713"/>
      <c r="Q168" s="713" t="s">
        <v>67</v>
      </c>
      <c r="R168" s="713"/>
      <c r="S168" s="713" t="s">
        <v>67</v>
      </c>
      <c r="T168" s="713"/>
      <c r="U168" s="713" t="s">
        <v>67</v>
      </c>
      <c r="V168" s="713"/>
      <c r="W168" s="713" t="s">
        <v>67</v>
      </c>
      <c r="X168" s="713"/>
      <c r="Y168" s="713" t="s">
        <v>67</v>
      </c>
      <c r="Z168" s="713"/>
      <c r="AA168" s="713" t="s">
        <v>67</v>
      </c>
      <c r="AB168" s="732"/>
    </row>
    <row r="169" spans="1:28" x14ac:dyDescent="0.25">
      <c r="A169" s="740"/>
      <c r="B169" s="741"/>
      <c r="C169" s="750"/>
      <c r="D169" s="751"/>
      <c r="E169" s="728" t="s">
        <v>67</v>
      </c>
      <c r="F169" s="713"/>
      <c r="G169" s="713" t="s">
        <v>67</v>
      </c>
      <c r="H169" s="713"/>
      <c r="I169" s="713" t="s">
        <v>67</v>
      </c>
      <c r="J169" s="713"/>
      <c r="K169" s="713" t="s">
        <v>67</v>
      </c>
      <c r="L169" s="713"/>
      <c r="M169" s="713" t="s">
        <v>67</v>
      </c>
      <c r="N169" s="713"/>
      <c r="O169" s="713" t="s">
        <v>67</v>
      </c>
      <c r="P169" s="713"/>
      <c r="Q169" s="713" t="s">
        <v>67</v>
      </c>
      <c r="R169" s="713"/>
      <c r="S169" s="713" t="s">
        <v>67</v>
      </c>
      <c r="T169" s="713"/>
      <c r="U169" s="713" t="s">
        <v>67</v>
      </c>
      <c r="V169" s="713"/>
      <c r="W169" s="713" t="s">
        <v>67</v>
      </c>
      <c r="X169" s="713"/>
      <c r="Y169" s="713" t="s">
        <v>67</v>
      </c>
      <c r="Z169" s="713"/>
      <c r="AA169" s="713" t="s">
        <v>67</v>
      </c>
      <c r="AB169" s="732"/>
    </row>
    <row r="170" spans="1:28" x14ac:dyDescent="0.25">
      <c r="A170" s="740"/>
      <c r="B170" s="741"/>
      <c r="C170" s="752"/>
      <c r="D170" s="753"/>
      <c r="E170" s="728" t="s">
        <v>67</v>
      </c>
      <c r="F170" s="713"/>
      <c r="G170" s="733" t="s">
        <v>88</v>
      </c>
      <c r="H170" s="733"/>
      <c r="I170" s="713" t="s">
        <v>67</v>
      </c>
      <c r="J170" s="713"/>
      <c r="K170" s="713" t="s">
        <v>67</v>
      </c>
      <c r="L170" s="713"/>
      <c r="M170" s="713" t="s">
        <v>67</v>
      </c>
      <c r="N170" s="713"/>
      <c r="O170" s="713" t="s">
        <v>67</v>
      </c>
      <c r="P170" s="713"/>
      <c r="Q170" s="713" t="s">
        <v>67</v>
      </c>
      <c r="R170" s="713"/>
      <c r="S170" s="713" t="s">
        <v>67</v>
      </c>
      <c r="T170" s="713"/>
      <c r="U170" s="713" t="s">
        <v>67</v>
      </c>
      <c r="V170" s="713"/>
      <c r="W170" s="713" t="s">
        <v>67</v>
      </c>
      <c r="X170" s="713"/>
      <c r="Y170" s="713" t="s">
        <v>67</v>
      </c>
      <c r="Z170" s="713"/>
      <c r="AA170" s="713" t="s">
        <v>67</v>
      </c>
      <c r="AB170" s="732"/>
    </row>
    <row r="171" spans="1:28" x14ac:dyDescent="0.25">
      <c r="A171" s="740"/>
      <c r="B171" s="741"/>
      <c r="C171" s="750"/>
      <c r="D171" s="751"/>
      <c r="E171" s="728" t="s">
        <v>67</v>
      </c>
      <c r="F171" s="713"/>
      <c r="G171" s="713" t="s">
        <v>67</v>
      </c>
      <c r="H171" s="713"/>
      <c r="I171" s="713" t="s">
        <v>67</v>
      </c>
      <c r="J171" s="713"/>
      <c r="K171" s="713" t="s">
        <v>67</v>
      </c>
      <c r="L171" s="713"/>
      <c r="M171" s="713" t="s">
        <v>67</v>
      </c>
      <c r="N171" s="713"/>
      <c r="O171" s="713" t="s">
        <v>67</v>
      </c>
      <c r="P171" s="713"/>
      <c r="Q171" s="713" t="s">
        <v>67</v>
      </c>
      <c r="R171" s="713"/>
      <c r="S171" s="713" t="s">
        <v>67</v>
      </c>
      <c r="T171" s="713"/>
      <c r="U171" s="713" t="s">
        <v>67</v>
      </c>
      <c r="V171" s="713"/>
      <c r="W171" s="713" t="s">
        <v>67</v>
      </c>
      <c r="X171" s="713"/>
      <c r="Y171" s="713" t="s">
        <v>67</v>
      </c>
      <c r="Z171" s="713"/>
      <c r="AA171" s="713" t="s">
        <v>67</v>
      </c>
      <c r="AB171" s="732"/>
    </row>
    <row r="172" spans="1:28" x14ac:dyDescent="0.25">
      <c r="A172" s="740"/>
      <c r="B172" s="741"/>
      <c r="C172" s="750"/>
      <c r="D172" s="751"/>
      <c r="E172" s="728" t="s">
        <v>67</v>
      </c>
      <c r="F172" s="713"/>
      <c r="G172" s="713" t="s">
        <v>67</v>
      </c>
      <c r="H172" s="713"/>
      <c r="I172" s="713" t="s">
        <v>67</v>
      </c>
      <c r="J172" s="713"/>
      <c r="K172" s="713" t="s">
        <v>67</v>
      </c>
      <c r="L172" s="713"/>
      <c r="M172" s="713" t="s">
        <v>67</v>
      </c>
      <c r="N172" s="713"/>
      <c r="O172" s="713" t="s">
        <v>67</v>
      </c>
      <c r="P172" s="713"/>
      <c r="Q172" s="713" t="s">
        <v>67</v>
      </c>
      <c r="R172" s="713"/>
      <c r="S172" s="713" t="s">
        <v>67</v>
      </c>
      <c r="T172" s="713"/>
      <c r="U172" s="713" t="s">
        <v>67</v>
      </c>
      <c r="V172" s="713"/>
      <c r="W172" s="713" t="s">
        <v>67</v>
      </c>
      <c r="X172" s="713"/>
      <c r="Y172" s="713" t="s">
        <v>67</v>
      </c>
      <c r="Z172" s="713"/>
      <c r="AA172" s="713" t="s">
        <v>67</v>
      </c>
      <c r="AB172" s="732"/>
    </row>
    <row r="173" spans="1:28" x14ac:dyDescent="0.25">
      <c r="A173" s="740"/>
      <c r="B173" s="741"/>
      <c r="C173" s="752"/>
      <c r="D173" s="753"/>
      <c r="E173" s="733" t="s">
        <v>91</v>
      </c>
      <c r="F173" s="733"/>
      <c r="G173" s="713" t="s">
        <v>67</v>
      </c>
      <c r="H173" s="713"/>
      <c r="I173" s="713" t="s">
        <v>67</v>
      </c>
      <c r="J173" s="713"/>
      <c r="K173" s="713" t="s">
        <v>67</v>
      </c>
      <c r="L173" s="713"/>
      <c r="M173" s="713" t="s">
        <v>67</v>
      </c>
      <c r="N173" s="713"/>
      <c r="O173" s="713" t="s">
        <v>67</v>
      </c>
      <c r="P173" s="713"/>
      <c r="Q173" s="713" t="s">
        <v>67</v>
      </c>
      <c r="R173" s="713"/>
      <c r="S173" s="713" t="s">
        <v>67</v>
      </c>
      <c r="T173" s="713"/>
      <c r="U173" s="713" t="s">
        <v>67</v>
      </c>
      <c r="V173" s="713"/>
      <c r="W173" s="713" t="s">
        <v>67</v>
      </c>
      <c r="X173" s="713"/>
      <c r="Y173" s="713" t="s">
        <v>67</v>
      </c>
      <c r="Z173" s="713"/>
      <c r="AA173" s="713" t="s">
        <v>67</v>
      </c>
      <c r="AB173" s="732"/>
    </row>
    <row r="174" spans="1:28" x14ac:dyDescent="0.25">
      <c r="A174" s="740"/>
      <c r="B174" s="741"/>
      <c r="C174" s="752"/>
      <c r="D174" s="753"/>
      <c r="E174" s="728" t="s">
        <v>67</v>
      </c>
      <c r="F174" s="713"/>
      <c r="G174" s="713" t="s">
        <v>67</v>
      </c>
      <c r="H174" s="713"/>
      <c r="I174" s="713" t="s">
        <v>67</v>
      </c>
      <c r="J174" s="713"/>
      <c r="K174" s="713" t="s">
        <v>67</v>
      </c>
      <c r="L174" s="713"/>
      <c r="M174" s="713" t="s">
        <v>67</v>
      </c>
      <c r="N174" s="713"/>
      <c r="O174" s="713" t="s">
        <v>67</v>
      </c>
      <c r="P174" s="713"/>
      <c r="Q174" s="713" t="s">
        <v>67</v>
      </c>
      <c r="R174" s="713"/>
      <c r="S174" s="713" t="s">
        <v>67</v>
      </c>
      <c r="T174" s="713"/>
      <c r="U174" s="733" t="s">
        <v>92</v>
      </c>
      <c r="V174" s="733"/>
      <c r="W174" s="713" t="s">
        <v>67</v>
      </c>
      <c r="X174" s="713"/>
      <c r="Y174" s="713" t="s">
        <v>67</v>
      </c>
      <c r="Z174" s="713"/>
      <c r="AA174" s="713" t="s">
        <v>67</v>
      </c>
      <c r="AB174" s="732"/>
    </row>
    <row r="175" spans="1:28" ht="15.75" thickBot="1" x14ac:dyDescent="0.3">
      <c r="A175" s="742"/>
      <c r="B175" s="743"/>
      <c r="C175" s="752"/>
      <c r="D175" s="753"/>
      <c r="E175" s="729" t="s">
        <v>67</v>
      </c>
      <c r="F175" s="730"/>
      <c r="G175" s="730" t="s">
        <v>67</v>
      </c>
      <c r="H175" s="730"/>
      <c r="I175" s="730" t="s">
        <v>67</v>
      </c>
      <c r="J175" s="730"/>
      <c r="K175" s="730" t="s">
        <v>67</v>
      </c>
      <c r="L175" s="730"/>
      <c r="M175" s="730" t="s">
        <v>67</v>
      </c>
      <c r="N175" s="730"/>
      <c r="O175" s="730" t="s">
        <v>67</v>
      </c>
      <c r="P175" s="730"/>
      <c r="Q175" s="730" t="s">
        <v>67</v>
      </c>
      <c r="R175" s="730"/>
      <c r="S175" s="730" t="s">
        <v>67</v>
      </c>
      <c r="T175" s="730"/>
      <c r="U175" s="733" t="s">
        <v>285</v>
      </c>
      <c r="V175" s="733"/>
      <c r="W175" s="730"/>
      <c r="X175" s="730"/>
      <c r="Y175" s="730" t="s">
        <v>67</v>
      </c>
      <c r="Z175" s="730"/>
      <c r="AA175" s="730" t="s">
        <v>67</v>
      </c>
      <c r="AB175" s="744"/>
    </row>
    <row r="176" spans="1:28" x14ac:dyDescent="0.25">
      <c r="A176" s="718" t="s">
        <v>68</v>
      </c>
      <c r="B176" s="719"/>
      <c r="C176" s="762"/>
      <c r="D176" s="763"/>
      <c r="E176" s="724" t="s">
        <v>67</v>
      </c>
      <c r="F176" s="714"/>
      <c r="G176" s="733" t="s">
        <v>90</v>
      </c>
      <c r="H176" s="733"/>
      <c r="I176" s="714" t="s">
        <v>67</v>
      </c>
      <c r="J176" s="714"/>
      <c r="K176" s="714" t="s">
        <v>67</v>
      </c>
      <c r="L176" s="714"/>
      <c r="M176" s="714" t="s">
        <v>67</v>
      </c>
      <c r="N176" s="714"/>
      <c r="O176" s="714" t="s">
        <v>67</v>
      </c>
      <c r="P176" s="714"/>
      <c r="Q176" s="714" t="s">
        <v>67</v>
      </c>
      <c r="R176" s="714"/>
      <c r="S176" s="714" t="s">
        <v>67</v>
      </c>
      <c r="T176" s="714"/>
      <c r="U176" s="733" t="s">
        <v>93</v>
      </c>
      <c r="V176" s="733"/>
      <c r="W176" s="714" t="s">
        <v>67</v>
      </c>
      <c r="X176" s="714"/>
      <c r="Y176" s="714" t="s">
        <v>67</v>
      </c>
      <c r="Z176" s="714"/>
      <c r="AA176" s="714" t="s">
        <v>67</v>
      </c>
      <c r="AB176" s="731"/>
    </row>
    <row r="177" spans="1:28" x14ac:dyDescent="0.25">
      <c r="A177" s="720"/>
      <c r="B177" s="721"/>
      <c r="C177" s="752"/>
      <c r="D177" s="753"/>
      <c r="E177" s="733" t="s">
        <v>94</v>
      </c>
      <c r="F177" s="733"/>
      <c r="G177" s="713" t="s">
        <v>67</v>
      </c>
      <c r="H177" s="713"/>
      <c r="I177" s="713" t="s">
        <v>67</v>
      </c>
      <c r="J177" s="713"/>
      <c r="K177" s="713" t="s">
        <v>67</v>
      </c>
      <c r="L177" s="713"/>
      <c r="M177" s="713" t="s">
        <v>67</v>
      </c>
      <c r="N177" s="713"/>
      <c r="O177" s="713" t="s">
        <v>67</v>
      </c>
      <c r="P177" s="713"/>
      <c r="Q177" s="713" t="s">
        <v>67</v>
      </c>
      <c r="R177" s="713"/>
      <c r="S177" s="713" t="s">
        <v>67</v>
      </c>
      <c r="T177" s="713"/>
      <c r="U177" s="713" t="s">
        <v>67</v>
      </c>
      <c r="V177" s="713"/>
      <c r="W177" s="713" t="s">
        <v>67</v>
      </c>
      <c r="X177" s="713"/>
      <c r="Y177" s="713" t="s">
        <v>67</v>
      </c>
      <c r="Z177" s="713"/>
      <c r="AA177" s="713" t="s">
        <v>67</v>
      </c>
      <c r="AB177" s="732"/>
    </row>
    <row r="178" spans="1:28" x14ac:dyDescent="0.25">
      <c r="A178" s="720"/>
      <c r="B178" s="721"/>
      <c r="C178" s="752"/>
      <c r="D178" s="753"/>
      <c r="E178" s="728" t="s">
        <v>67</v>
      </c>
      <c r="F178" s="713"/>
      <c r="G178" s="713" t="s">
        <v>67</v>
      </c>
      <c r="H178" s="713"/>
      <c r="I178" s="713" t="s">
        <v>67</v>
      </c>
      <c r="J178" s="713"/>
      <c r="K178" s="713" t="s">
        <v>67</v>
      </c>
      <c r="L178" s="713"/>
      <c r="M178" s="713" t="s">
        <v>67</v>
      </c>
      <c r="N178" s="713"/>
      <c r="O178" s="713" t="s">
        <v>67</v>
      </c>
      <c r="P178" s="713"/>
      <c r="Q178" s="713" t="s">
        <v>67</v>
      </c>
      <c r="R178" s="713"/>
      <c r="S178" s="713" t="s">
        <v>67</v>
      </c>
      <c r="T178" s="713"/>
      <c r="U178" s="733" t="s">
        <v>95</v>
      </c>
      <c r="V178" s="733"/>
      <c r="W178" s="713" t="s">
        <v>67</v>
      </c>
      <c r="X178" s="713"/>
      <c r="Y178" s="713" t="s">
        <v>67</v>
      </c>
      <c r="Z178" s="713"/>
      <c r="AA178" s="713" t="s">
        <v>67</v>
      </c>
      <c r="AB178" s="732"/>
    </row>
    <row r="179" spans="1:28" x14ac:dyDescent="0.25">
      <c r="A179" s="720"/>
      <c r="B179" s="721"/>
      <c r="C179" s="752"/>
      <c r="D179" s="753"/>
      <c r="E179" s="728" t="s">
        <v>67</v>
      </c>
      <c r="F179" s="713"/>
      <c r="G179" s="733" t="s">
        <v>89</v>
      </c>
      <c r="H179" s="733"/>
      <c r="I179" s="713" t="s">
        <v>67</v>
      </c>
      <c r="J179" s="713"/>
      <c r="K179" s="713" t="s">
        <v>67</v>
      </c>
      <c r="L179" s="713"/>
      <c r="M179" s="713" t="s">
        <v>67</v>
      </c>
      <c r="N179" s="713"/>
      <c r="O179" s="713" t="s">
        <v>67</v>
      </c>
      <c r="P179" s="713"/>
      <c r="Q179" s="713" t="s">
        <v>67</v>
      </c>
      <c r="R179" s="713"/>
      <c r="S179" s="713" t="s">
        <v>67</v>
      </c>
      <c r="T179" s="713"/>
      <c r="U179" s="713" t="s">
        <v>67</v>
      </c>
      <c r="V179" s="713"/>
      <c r="W179" s="713" t="s">
        <v>67</v>
      </c>
      <c r="X179" s="713"/>
      <c r="Y179" s="713" t="s">
        <v>67</v>
      </c>
      <c r="Z179" s="713"/>
      <c r="AA179" s="713" t="s">
        <v>67</v>
      </c>
      <c r="AB179" s="732"/>
    </row>
    <row r="180" spans="1:28" x14ac:dyDescent="0.25">
      <c r="A180" s="720"/>
      <c r="B180" s="721"/>
      <c r="C180" s="750"/>
      <c r="D180" s="751"/>
      <c r="E180" s="728" t="s">
        <v>67</v>
      </c>
      <c r="F180" s="713"/>
      <c r="G180" s="713" t="s">
        <v>67</v>
      </c>
      <c r="H180" s="713"/>
      <c r="I180" s="713" t="s">
        <v>67</v>
      </c>
      <c r="J180" s="713"/>
      <c r="K180" s="713" t="s">
        <v>67</v>
      </c>
      <c r="L180" s="713"/>
      <c r="M180" s="713" t="s">
        <v>67</v>
      </c>
      <c r="N180" s="713"/>
      <c r="O180" s="713" t="s">
        <v>67</v>
      </c>
      <c r="P180" s="713"/>
      <c r="Q180" s="713" t="s">
        <v>67</v>
      </c>
      <c r="R180" s="713"/>
      <c r="S180" s="713" t="s">
        <v>67</v>
      </c>
      <c r="T180" s="713"/>
      <c r="U180" s="713" t="s">
        <v>67</v>
      </c>
      <c r="V180" s="713"/>
      <c r="W180" s="713" t="s">
        <v>67</v>
      </c>
      <c r="X180" s="713"/>
      <c r="Y180" s="713" t="s">
        <v>67</v>
      </c>
      <c r="Z180" s="713"/>
      <c r="AA180" s="713" t="s">
        <v>67</v>
      </c>
      <c r="AB180" s="732"/>
    </row>
    <row r="181" spans="1:28" x14ac:dyDescent="0.25">
      <c r="A181" s="720"/>
      <c r="B181" s="721"/>
      <c r="C181" s="750"/>
      <c r="D181" s="751"/>
      <c r="E181" s="728" t="s">
        <v>67</v>
      </c>
      <c r="F181" s="713"/>
      <c r="G181" s="713" t="s">
        <v>67</v>
      </c>
      <c r="H181" s="713"/>
      <c r="I181" s="713" t="s">
        <v>67</v>
      </c>
      <c r="J181" s="713"/>
      <c r="K181" s="713" t="s">
        <v>67</v>
      </c>
      <c r="L181" s="713"/>
      <c r="M181" s="713" t="s">
        <v>67</v>
      </c>
      <c r="N181" s="713"/>
      <c r="O181" s="713" t="s">
        <v>67</v>
      </c>
      <c r="P181" s="713"/>
      <c r="Q181" s="713" t="s">
        <v>67</v>
      </c>
      <c r="R181" s="713"/>
      <c r="S181" s="713" t="s">
        <v>67</v>
      </c>
      <c r="T181" s="713"/>
      <c r="U181" s="713" t="s">
        <v>67</v>
      </c>
      <c r="V181" s="713"/>
      <c r="W181" s="713" t="s">
        <v>67</v>
      </c>
      <c r="X181" s="713"/>
      <c r="Y181" s="713" t="s">
        <v>67</v>
      </c>
      <c r="Z181" s="713"/>
      <c r="AA181" s="713" t="s">
        <v>67</v>
      </c>
      <c r="AB181" s="732"/>
    </row>
    <row r="182" spans="1:28" x14ac:dyDescent="0.25">
      <c r="A182" s="720"/>
      <c r="B182" s="721"/>
      <c r="C182" s="752"/>
      <c r="D182" s="753"/>
      <c r="E182" s="733" t="s">
        <v>284</v>
      </c>
      <c r="F182" s="733"/>
      <c r="G182" s="733" t="s">
        <v>85</v>
      </c>
      <c r="H182" s="733"/>
      <c r="I182" s="713" t="s">
        <v>67</v>
      </c>
      <c r="J182" s="713"/>
      <c r="K182" s="713" t="s">
        <v>67</v>
      </c>
      <c r="L182" s="713"/>
      <c r="M182" s="713" t="s">
        <v>67</v>
      </c>
      <c r="N182" s="713"/>
      <c r="O182" s="713" t="s">
        <v>67</v>
      </c>
      <c r="P182" s="713"/>
      <c r="Q182" s="713" t="s">
        <v>67</v>
      </c>
      <c r="R182" s="713"/>
      <c r="S182" s="713" t="s">
        <v>67</v>
      </c>
      <c r="T182" s="713"/>
      <c r="U182" s="733" t="s">
        <v>284</v>
      </c>
      <c r="V182" s="733"/>
      <c r="W182" s="713" t="s">
        <v>67</v>
      </c>
      <c r="X182" s="713"/>
      <c r="Y182" s="713" t="s">
        <v>67</v>
      </c>
      <c r="Z182" s="713"/>
      <c r="AA182" s="713" t="s">
        <v>67</v>
      </c>
      <c r="AB182" s="732"/>
    </row>
    <row r="183" spans="1:28" x14ac:dyDescent="0.25">
      <c r="A183" s="720"/>
      <c r="B183" s="721"/>
      <c r="C183" s="752"/>
      <c r="D183" s="753"/>
      <c r="E183" s="733" t="s">
        <v>283</v>
      </c>
      <c r="F183" s="733"/>
      <c r="G183" s="733" t="s">
        <v>86</v>
      </c>
      <c r="H183" s="733"/>
      <c r="I183" s="713" t="s">
        <v>67</v>
      </c>
      <c r="J183" s="713"/>
      <c r="K183" s="713" t="s">
        <v>67</v>
      </c>
      <c r="L183" s="713"/>
      <c r="M183" s="713" t="s">
        <v>67</v>
      </c>
      <c r="N183" s="713"/>
      <c r="O183" s="713" t="s">
        <v>67</v>
      </c>
      <c r="P183" s="713"/>
      <c r="Q183" s="713" t="s">
        <v>67</v>
      </c>
      <c r="R183" s="713"/>
      <c r="S183" s="713" t="s">
        <v>67</v>
      </c>
      <c r="T183" s="713"/>
      <c r="U183" s="733" t="s">
        <v>283</v>
      </c>
      <c r="V183" s="733"/>
      <c r="W183" s="713" t="s">
        <v>67</v>
      </c>
      <c r="X183" s="713"/>
      <c r="Y183" s="713" t="s">
        <v>67</v>
      </c>
      <c r="Z183" s="713"/>
      <c r="AA183" s="713" t="s">
        <v>67</v>
      </c>
      <c r="AB183" s="732"/>
    </row>
    <row r="184" spans="1:28" x14ac:dyDescent="0.25">
      <c r="A184" s="720"/>
      <c r="B184" s="721"/>
      <c r="C184" s="750"/>
      <c r="D184" s="751"/>
      <c r="E184" s="728" t="s">
        <v>67</v>
      </c>
      <c r="F184" s="713"/>
      <c r="G184" s="713" t="s">
        <v>67</v>
      </c>
      <c r="H184" s="713"/>
      <c r="I184" s="713" t="s">
        <v>67</v>
      </c>
      <c r="J184" s="713"/>
      <c r="K184" s="713" t="s">
        <v>67</v>
      </c>
      <c r="L184" s="713"/>
      <c r="M184" s="713" t="s">
        <v>67</v>
      </c>
      <c r="N184" s="713"/>
      <c r="O184" s="713" t="s">
        <v>67</v>
      </c>
      <c r="P184" s="713"/>
      <c r="Q184" s="713" t="s">
        <v>67</v>
      </c>
      <c r="R184" s="713"/>
      <c r="S184" s="713" t="s">
        <v>67</v>
      </c>
      <c r="T184" s="713"/>
      <c r="U184" s="713" t="s">
        <v>67</v>
      </c>
      <c r="V184" s="713"/>
      <c r="W184" s="713" t="s">
        <v>67</v>
      </c>
      <c r="X184" s="713"/>
      <c r="Y184" s="713" t="s">
        <v>67</v>
      </c>
      <c r="Z184" s="713"/>
      <c r="AA184" s="713" t="s">
        <v>67</v>
      </c>
      <c r="AB184" s="732"/>
    </row>
    <row r="185" spans="1:28" x14ac:dyDescent="0.25">
      <c r="A185" s="720"/>
      <c r="B185" s="721"/>
      <c r="C185" s="750"/>
      <c r="D185" s="751"/>
      <c r="E185" s="728" t="s">
        <v>67</v>
      </c>
      <c r="F185" s="713"/>
      <c r="G185" s="713" t="s">
        <v>67</v>
      </c>
      <c r="H185" s="713"/>
      <c r="I185" s="713" t="s">
        <v>67</v>
      </c>
      <c r="J185" s="713"/>
      <c r="K185" s="713" t="s">
        <v>67</v>
      </c>
      <c r="L185" s="713"/>
      <c r="M185" s="713" t="s">
        <v>67</v>
      </c>
      <c r="N185" s="713"/>
      <c r="O185" s="713" t="s">
        <v>67</v>
      </c>
      <c r="P185" s="713"/>
      <c r="Q185" s="713" t="s">
        <v>67</v>
      </c>
      <c r="R185" s="713"/>
      <c r="S185" s="713" t="s">
        <v>67</v>
      </c>
      <c r="T185" s="713"/>
      <c r="U185" s="748" t="s">
        <v>67</v>
      </c>
      <c r="V185" s="728"/>
      <c r="W185" s="713" t="s">
        <v>67</v>
      </c>
      <c r="X185" s="713"/>
      <c r="Y185" s="713" t="s">
        <v>67</v>
      </c>
      <c r="Z185" s="713"/>
      <c r="AA185" s="713" t="s">
        <v>67</v>
      </c>
      <c r="AB185" s="732"/>
    </row>
    <row r="186" spans="1:28" ht="15.75" thickBot="1" x14ac:dyDescent="0.3">
      <c r="A186" s="720"/>
      <c r="B186" s="721"/>
      <c r="C186" s="752"/>
      <c r="D186" s="753"/>
      <c r="E186" s="728" t="s">
        <v>67</v>
      </c>
      <c r="F186" s="713"/>
      <c r="G186" s="713" t="s">
        <v>67</v>
      </c>
      <c r="H186" s="713"/>
      <c r="I186" s="713" t="s">
        <v>67</v>
      </c>
      <c r="J186" s="713"/>
      <c r="K186" s="713" t="s">
        <v>67</v>
      </c>
      <c r="L186" s="713"/>
      <c r="M186" s="713" t="s">
        <v>67</v>
      </c>
      <c r="N186" s="713"/>
      <c r="O186" s="713" t="s">
        <v>67</v>
      </c>
      <c r="P186" s="713"/>
      <c r="Q186" s="713" t="s">
        <v>67</v>
      </c>
      <c r="R186" s="713"/>
      <c r="S186" s="713" t="s">
        <v>67</v>
      </c>
      <c r="T186" s="713"/>
      <c r="U186" s="733" t="s">
        <v>260</v>
      </c>
      <c r="V186" s="747"/>
      <c r="W186" s="713" t="s">
        <v>67</v>
      </c>
      <c r="X186" s="713"/>
      <c r="Y186" s="713" t="s">
        <v>67</v>
      </c>
      <c r="Z186" s="713"/>
      <c r="AA186" s="713" t="s">
        <v>67</v>
      </c>
      <c r="AB186" s="732"/>
    </row>
    <row r="187" spans="1:28" x14ac:dyDescent="0.25">
      <c r="A187" s="718" t="s">
        <v>69</v>
      </c>
      <c r="B187" s="719"/>
      <c r="C187" s="758"/>
      <c r="D187" s="759"/>
      <c r="E187" s="724" t="s">
        <v>67</v>
      </c>
      <c r="F187" s="714"/>
      <c r="G187" s="714" t="s">
        <v>67</v>
      </c>
      <c r="H187" s="714"/>
      <c r="I187" s="714" t="s">
        <v>67</v>
      </c>
      <c r="J187" s="714"/>
      <c r="K187" s="714" t="s">
        <v>67</v>
      </c>
      <c r="L187" s="714"/>
      <c r="M187" s="714" t="s">
        <v>67</v>
      </c>
      <c r="N187" s="714"/>
      <c r="O187" s="714" t="s">
        <v>67</v>
      </c>
      <c r="P187" s="714"/>
      <c r="Q187" s="714" t="s">
        <v>67</v>
      </c>
      <c r="R187" s="714"/>
      <c r="S187" s="714" t="s">
        <v>67</v>
      </c>
      <c r="T187" s="714"/>
      <c r="U187" s="714" t="s">
        <v>67</v>
      </c>
      <c r="V187" s="714"/>
      <c r="W187" s="714" t="s">
        <v>67</v>
      </c>
      <c r="X187" s="714"/>
      <c r="Y187" s="714" t="s">
        <v>67</v>
      </c>
      <c r="Z187" s="714"/>
      <c r="AA187" s="714" t="s">
        <v>67</v>
      </c>
      <c r="AB187" s="731"/>
    </row>
    <row r="188" spans="1:28" ht="15.75" thickBot="1" x14ac:dyDescent="0.3">
      <c r="A188" s="722"/>
      <c r="B188" s="723"/>
      <c r="C188" s="760"/>
      <c r="D188" s="761"/>
      <c r="E188" s="729" t="s">
        <v>67</v>
      </c>
      <c r="F188" s="730"/>
      <c r="G188" s="730" t="s">
        <v>67</v>
      </c>
      <c r="H188" s="730"/>
      <c r="I188" s="730" t="s">
        <v>67</v>
      </c>
      <c r="J188" s="730"/>
      <c r="K188" s="730" t="s">
        <v>67</v>
      </c>
      <c r="L188" s="730"/>
      <c r="M188" s="730" t="s">
        <v>67</v>
      </c>
      <c r="N188" s="730"/>
      <c r="O188" s="730" t="s">
        <v>67</v>
      </c>
      <c r="P188" s="730"/>
      <c r="Q188" s="730" t="s">
        <v>67</v>
      </c>
      <c r="R188" s="730"/>
      <c r="S188" s="730" t="s">
        <v>67</v>
      </c>
      <c r="T188" s="730"/>
      <c r="U188" s="764" t="s">
        <v>67</v>
      </c>
      <c r="V188" s="729"/>
      <c r="W188" s="730" t="s">
        <v>67</v>
      </c>
      <c r="X188" s="730"/>
      <c r="Y188" s="730" t="s">
        <v>67</v>
      </c>
      <c r="Z188" s="730"/>
      <c r="AA188" s="730" t="s">
        <v>67</v>
      </c>
      <c r="AB188" s="744"/>
    </row>
  </sheetData>
  <mergeCells count="1428">
    <mergeCell ref="AB25:AB27"/>
    <mergeCell ref="C22:C24"/>
    <mergeCell ref="C25:C27"/>
    <mergeCell ref="D22:D24"/>
    <mergeCell ref="D25:D27"/>
    <mergeCell ref="E22:E24"/>
    <mergeCell ref="E25:E27"/>
    <mergeCell ref="F22:F24"/>
    <mergeCell ref="F25:F27"/>
    <mergeCell ref="G22:G24"/>
    <mergeCell ref="G25:G27"/>
    <mergeCell ref="H22:H24"/>
    <mergeCell ref="H25:H27"/>
    <mergeCell ref="I22:I24"/>
    <mergeCell ref="I25:I27"/>
    <mergeCell ref="J22:J24"/>
    <mergeCell ref="J25:J27"/>
    <mergeCell ref="K22:K24"/>
    <mergeCell ref="K25:K27"/>
    <mergeCell ref="L22:L24"/>
    <mergeCell ref="L25:L27"/>
    <mergeCell ref="A25:A27"/>
    <mergeCell ref="B25:B27"/>
    <mergeCell ref="M25:M27"/>
    <mergeCell ref="N25:N27"/>
    <mergeCell ref="O25:O27"/>
    <mergeCell ref="P25:P27"/>
    <mergeCell ref="Q25:Q27"/>
    <mergeCell ref="R25:R27"/>
    <mergeCell ref="S25:S27"/>
    <mergeCell ref="T25:T27"/>
    <mergeCell ref="U25:U27"/>
    <mergeCell ref="V25:V27"/>
    <mergeCell ref="W25:W27"/>
    <mergeCell ref="X25:X27"/>
    <mergeCell ref="Y25:Y27"/>
    <mergeCell ref="Z25:Z27"/>
    <mergeCell ref="AA25:AA27"/>
    <mergeCell ref="R19:R21"/>
    <mergeCell ref="S19:S21"/>
    <mergeCell ref="T19:T21"/>
    <mergeCell ref="U19:U21"/>
    <mergeCell ref="V19:V21"/>
    <mergeCell ref="W19:W21"/>
    <mergeCell ref="X19:X21"/>
    <mergeCell ref="Y19:Y21"/>
    <mergeCell ref="Z19:Z21"/>
    <mergeCell ref="AA19:AA21"/>
    <mergeCell ref="AB19:AB21"/>
    <mergeCell ref="D17:D18"/>
    <mergeCell ref="C17:C18"/>
    <mergeCell ref="A22:A24"/>
    <mergeCell ref="B22:B24"/>
    <mergeCell ref="M22:M24"/>
    <mergeCell ref="N22:N24"/>
    <mergeCell ref="O22:O24"/>
    <mergeCell ref="P22:P24"/>
    <mergeCell ref="Q22:Q24"/>
    <mergeCell ref="R22:R24"/>
    <mergeCell ref="S22:S24"/>
    <mergeCell ref="T22:T24"/>
    <mergeCell ref="U22:U24"/>
    <mergeCell ref="V22:V24"/>
    <mergeCell ref="W22:W24"/>
    <mergeCell ref="X22:X24"/>
    <mergeCell ref="Y22:Y24"/>
    <mergeCell ref="Z22:Z24"/>
    <mergeCell ref="AA22:AA24"/>
    <mergeCell ref="AB22:AB24"/>
    <mergeCell ref="A19:A21"/>
    <mergeCell ref="B19:B21"/>
    <mergeCell ref="C19:C21"/>
    <mergeCell ref="D19:D21"/>
    <mergeCell ref="E19:E21"/>
    <mergeCell ref="F19:F21"/>
    <mergeCell ref="G19:G21"/>
    <mergeCell ref="H19:H21"/>
    <mergeCell ref="I19:I21"/>
    <mergeCell ref="J19:J21"/>
    <mergeCell ref="K19:K21"/>
    <mergeCell ref="L19:L21"/>
    <mergeCell ref="M19:M21"/>
    <mergeCell ref="N19:N21"/>
    <mergeCell ref="O19:O21"/>
    <mergeCell ref="P19:P21"/>
    <mergeCell ref="Q19:Q21"/>
    <mergeCell ref="A88:B88"/>
    <mergeCell ref="A87:B87"/>
    <mergeCell ref="A86:B86"/>
    <mergeCell ref="A85:B85"/>
    <mergeCell ref="A28:B28"/>
    <mergeCell ref="O188:P188"/>
    <mergeCell ref="Q188:R188"/>
    <mergeCell ref="S188:T188"/>
    <mergeCell ref="W188:X188"/>
    <mergeCell ref="Y188:Z188"/>
    <mergeCell ref="K187:L187"/>
    <mergeCell ref="M187:N187"/>
    <mergeCell ref="A148:B148"/>
    <mergeCell ref="A149:B149"/>
    <mergeCell ref="A147:B147"/>
    <mergeCell ref="A150:B150"/>
    <mergeCell ref="A151:B151"/>
    <mergeCell ref="A152:B152"/>
    <mergeCell ref="A153:B153"/>
    <mergeCell ref="A91:B91"/>
    <mergeCell ref="A90:B90"/>
    <mergeCell ref="A89:B89"/>
    <mergeCell ref="Y186:Z186"/>
    <mergeCell ref="S175:T175"/>
    <mergeCell ref="U175:V175"/>
    <mergeCell ref="C175:D175"/>
    <mergeCell ref="AA186:AB186"/>
    <mergeCell ref="C186:D186"/>
    <mergeCell ref="U186:V186"/>
    <mergeCell ref="M186:N186"/>
    <mergeCell ref="O186:P186"/>
    <mergeCell ref="Q186:R186"/>
    <mergeCell ref="S186:T186"/>
    <mergeCell ref="E186:F186"/>
    <mergeCell ref="G186:H186"/>
    <mergeCell ref="I186:J186"/>
    <mergeCell ref="K186:L186"/>
    <mergeCell ref="O187:P187"/>
    <mergeCell ref="Q187:R187"/>
    <mergeCell ref="S187:T187"/>
    <mergeCell ref="A187:B188"/>
    <mergeCell ref="C187:D187"/>
    <mergeCell ref="E187:F187"/>
    <mergeCell ref="G187:H187"/>
    <mergeCell ref="I187:J187"/>
    <mergeCell ref="AA188:AB188"/>
    <mergeCell ref="U188:V188"/>
    <mergeCell ref="U187:V187"/>
    <mergeCell ref="W187:X187"/>
    <mergeCell ref="Y187:Z187"/>
    <mergeCell ref="AA187:AB187"/>
    <mergeCell ref="C188:D188"/>
    <mergeCell ref="E188:F188"/>
    <mergeCell ref="G188:H188"/>
    <mergeCell ref="I188:J188"/>
    <mergeCell ref="K188:L188"/>
    <mergeCell ref="M188:N188"/>
    <mergeCell ref="A176:B186"/>
    <mergeCell ref="AA184:AB184"/>
    <mergeCell ref="C185:D185"/>
    <mergeCell ref="E185:F185"/>
    <mergeCell ref="G185:H185"/>
    <mergeCell ref="I185:J185"/>
    <mergeCell ref="K185:L185"/>
    <mergeCell ref="M185:N185"/>
    <mergeCell ref="O185:P185"/>
    <mergeCell ref="Q185:R185"/>
    <mergeCell ref="S185:T185"/>
    <mergeCell ref="U185:V185"/>
    <mergeCell ref="W185:X185"/>
    <mergeCell ref="Y185:Z185"/>
    <mergeCell ref="AA185:AB185"/>
    <mergeCell ref="M184:N184"/>
    <mergeCell ref="O184:P184"/>
    <mergeCell ref="Q184:R184"/>
    <mergeCell ref="S184:T184"/>
    <mergeCell ref="U184:V184"/>
    <mergeCell ref="C184:D184"/>
    <mergeCell ref="E184:F184"/>
    <mergeCell ref="G184:H184"/>
    <mergeCell ref="I184:J184"/>
    <mergeCell ref="K184:L184"/>
    <mergeCell ref="AA182:AB182"/>
    <mergeCell ref="C183:D183"/>
    <mergeCell ref="E183:F183"/>
    <mergeCell ref="G183:H183"/>
    <mergeCell ref="I183:J183"/>
    <mergeCell ref="K183:L183"/>
    <mergeCell ref="M183:N183"/>
    <mergeCell ref="O183:P183"/>
    <mergeCell ref="Q183:R183"/>
    <mergeCell ref="S183:T183"/>
    <mergeCell ref="U183:V183"/>
    <mergeCell ref="W183:X183"/>
    <mergeCell ref="Y183:Z183"/>
    <mergeCell ref="AA183:AB183"/>
    <mergeCell ref="M182:N182"/>
    <mergeCell ref="O182:P182"/>
    <mergeCell ref="Q182:R182"/>
    <mergeCell ref="S182:T182"/>
    <mergeCell ref="U182:V182"/>
    <mergeCell ref="C182:D182"/>
    <mergeCell ref="E182:F182"/>
    <mergeCell ref="G182:H182"/>
    <mergeCell ref="I182:J182"/>
    <mergeCell ref="K182:L182"/>
    <mergeCell ref="AA180:AB180"/>
    <mergeCell ref="C181:D181"/>
    <mergeCell ref="E181:F181"/>
    <mergeCell ref="G181:H181"/>
    <mergeCell ref="I181:J181"/>
    <mergeCell ref="K181:L181"/>
    <mergeCell ref="M181:N181"/>
    <mergeCell ref="O181:P181"/>
    <mergeCell ref="Q181:R181"/>
    <mergeCell ref="S181:T181"/>
    <mergeCell ref="U181:V181"/>
    <mergeCell ref="W181:X181"/>
    <mergeCell ref="Y181:Z181"/>
    <mergeCell ref="AA181:AB181"/>
    <mergeCell ref="M180:N180"/>
    <mergeCell ref="O180:P180"/>
    <mergeCell ref="Q180:R180"/>
    <mergeCell ref="S180:T180"/>
    <mergeCell ref="U180:V180"/>
    <mergeCell ref="C180:D180"/>
    <mergeCell ref="E180:F180"/>
    <mergeCell ref="G180:H180"/>
    <mergeCell ref="I180:J180"/>
    <mergeCell ref="K180:L180"/>
    <mergeCell ref="AA178:AB178"/>
    <mergeCell ref="C179:D179"/>
    <mergeCell ref="E179:F179"/>
    <mergeCell ref="G179:H179"/>
    <mergeCell ref="I179:J179"/>
    <mergeCell ref="K179:L179"/>
    <mergeCell ref="M179:N179"/>
    <mergeCell ref="O179:P179"/>
    <mergeCell ref="Q179:R179"/>
    <mergeCell ref="S179:T179"/>
    <mergeCell ref="U179:V179"/>
    <mergeCell ref="W179:X179"/>
    <mergeCell ref="Y179:Z179"/>
    <mergeCell ref="AA179:AB179"/>
    <mergeCell ref="M178:N178"/>
    <mergeCell ref="O178:P178"/>
    <mergeCell ref="Q178:R178"/>
    <mergeCell ref="S178:T178"/>
    <mergeCell ref="U178:V178"/>
    <mergeCell ref="C178:D178"/>
    <mergeCell ref="E178:F178"/>
    <mergeCell ref="G178:H178"/>
    <mergeCell ref="I178:J178"/>
    <mergeCell ref="K178:L178"/>
    <mergeCell ref="AA176:AB176"/>
    <mergeCell ref="C177:D177"/>
    <mergeCell ref="E177:F177"/>
    <mergeCell ref="G177:H177"/>
    <mergeCell ref="I177:J177"/>
    <mergeCell ref="K177:L177"/>
    <mergeCell ref="M177:N177"/>
    <mergeCell ref="O177:P177"/>
    <mergeCell ref="Q177:R177"/>
    <mergeCell ref="S177:T177"/>
    <mergeCell ref="U177:V177"/>
    <mergeCell ref="W177:X177"/>
    <mergeCell ref="Y177:Z177"/>
    <mergeCell ref="AA177:AB177"/>
    <mergeCell ref="W175:X175"/>
    <mergeCell ref="Y175:Z175"/>
    <mergeCell ref="AA175:AB175"/>
    <mergeCell ref="C176:D176"/>
    <mergeCell ref="E176:F176"/>
    <mergeCell ref="G176:H176"/>
    <mergeCell ref="I176:J176"/>
    <mergeCell ref="K176:L176"/>
    <mergeCell ref="M176:N176"/>
    <mergeCell ref="O176:P176"/>
    <mergeCell ref="Q176:R176"/>
    <mergeCell ref="S176:T176"/>
    <mergeCell ref="U176:V176"/>
    <mergeCell ref="W176:X176"/>
    <mergeCell ref="Y176:Z176"/>
    <mergeCell ref="M175:N175"/>
    <mergeCell ref="O175:P175"/>
    <mergeCell ref="Q175:R175"/>
    <mergeCell ref="E175:F175"/>
    <mergeCell ref="G175:H175"/>
    <mergeCell ref="I175:J175"/>
    <mergeCell ref="K175:L175"/>
    <mergeCell ref="W178:X178"/>
    <mergeCell ref="Y178:Z178"/>
    <mergeCell ref="W180:X180"/>
    <mergeCell ref="Y180:Z180"/>
    <mergeCell ref="W182:X182"/>
    <mergeCell ref="Y182:Z182"/>
    <mergeCell ref="W184:X184"/>
    <mergeCell ref="Y184:Z184"/>
    <mergeCell ref="W186:X186"/>
    <mergeCell ref="W173:X173"/>
    <mergeCell ref="Y173:Z173"/>
    <mergeCell ref="AA173:AB173"/>
    <mergeCell ref="C174:D174"/>
    <mergeCell ref="E174:F174"/>
    <mergeCell ref="G174:H174"/>
    <mergeCell ref="I174:J174"/>
    <mergeCell ref="K174:L174"/>
    <mergeCell ref="M174:N174"/>
    <mergeCell ref="O174:P174"/>
    <mergeCell ref="Q174:R174"/>
    <mergeCell ref="S174:T174"/>
    <mergeCell ref="U174:V174"/>
    <mergeCell ref="W174:X174"/>
    <mergeCell ref="Y174:Z174"/>
    <mergeCell ref="AA174:AB174"/>
    <mergeCell ref="M173:N173"/>
    <mergeCell ref="O173:P173"/>
    <mergeCell ref="Q173:R173"/>
    <mergeCell ref="S173:T173"/>
    <mergeCell ref="U173:V173"/>
    <mergeCell ref="C173:D173"/>
    <mergeCell ref="E173:F173"/>
    <mergeCell ref="G173:H173"/>
    <mergeCell ref="I173:J173"/>
    <mergeCell ref="K173:L173"/>
    <mergeCell ref="W171:X171"/>
    <mergeCell ref="Y171:Z171"/>
    <mergeCell ref="AA171:AB171"/>
    <mergeCell ref="C172:D172"/>
    <mergeCell ref="E172:F172"/>
    <mergeCell ref="G172:H172"/>
    <mergeCell ref="I172:J172"/>
    <mergeCell ref="K172:L172"/>
    <mergeCell ref="M172:N172"/>
    <mergeCell ref="O172:P172"/>
    <mergeCell ref="Q172:R172"/>
    <mergeCell ref="S172:T172"/>
    <mergeCell ref="U172:V172"/>
    <mergeCell ref="W172:X172"/>
    <mergeCell ref="Y172:Z172"/>
    <mergeCell ref="AA172:AB172"/>
    <mergeCell ref="M171:N171"/>
    <mergeCell ref="O171:P171"/>
    <mergeCell ref="Q171:R171"/>
    <mergeCell ref="S171:T171"/>
    <mergeCell ref="U171:V171"/>
    <mergeCell ref="C171:D171"/>
    <mergeCell ref="E171:F171"/>
    <mergeCell ref="G171:H171"/>
    <mergeCell ref="I171:J171"/>
    <mergeCell ref="K171:L171"/>
    <mergeCell ref="W169:X169"/>
    <mergeCell ref="Y169:Z169"/>
    <mergeCell ref="AA169:AB169"/>
    <mergeCell ref="C170:D170"/>
    <mergeCell ref="E170:F170"/>
    <mergeCell ref="G170:H170"/>
    <mergeCell ref="I170:J170"/>
    <mergeCell ref="K170:L170"/>
    <mergeCell ref="M170:N170"/>
    <mergeCell ref="O170:P170"/>
    <mergeCell ref="Q170:R170"/>
    <mergeCell ref="S170:T170"/>
    <mergeCell ref="U170:V170"/>
    <mergeCell ref="W170:X170"/>
    <mergeCell ref="Y170:Z170"/>
    <mergeCell ref="AA170:AB170"/>
    <mergeCell ref="M169:N169"/>
    <mergeCell ref="O169:P169"/>
    <mergeCell ref="Q169:R169"/>
    <mergeCell ref="S169:T169"/>
    <mergeCell ref="U169:V169"/>
    <mergeCell ref="C169:D169"/>
    <mergeCell ref="E169:F169"/>
    <mergeCell ref="G169:H169"/>
    <mergeCell ref="I169:J169"/>
    <mergeCell ref="K169:L169"/>
    <mergeCell ref="W167:X167"/>
    <mergeCell ref="Y167:Z167"/>
    <mergeCell ref="AA167:AB167"/>
    <mergeCell ref="C168:D168"/>
    <mergeCell ref="E168:F168"/>
    <mergeCell ref="G168:H168"/>
    <mergeCell ref="I168:J168"/>
    <mergeCell ref="K168:L168"/>
    <mergeCell ref="M168:N168"/>
    <mergeCell ref="O168:P168"/>
    <mergeCell ref="Q168:R168"/>
    <mergeCell ref="S168:T168"/>
    <mergeCell ref="U168:V168"/>
    <mergeCell ref="W168:X168"/>
    <mergeCell ref="Y168:Z168"/>
    <mergeCell ref="AA168:AB168"/>
    <mergeCell ref="M167:N167"/>
    <mergeCell ref="O167:P167"/>
    <mergeCell ref="Q167:R167"/>
    <mergeCell ref="S167:T167"/>
    <mergeCell ref="U167:V167"/>
    <mergeCell ref="C167:D167"/>
    <mergeCell ref="E167:F167"/>
    <mergeCell ref="G167:H167"/>
    <mergeCell ref="I167:J167"/>
    <mergeCell ref="K167:L167"/>
    <mergeCell ref="W165:X165"/>
    <mergeCell ref="Y165:Z165"/>
    <mergeCell ref="AA165:AB165"/>
    <mergeCell ref="C166:D166"/>
    <mergeCell ref="E166:F166"/>
    <mergeCell ref="G166:H166"/>
    <mergeCell ref="I166:J166"/>
    <mergeCell ref="K166:L166"/>
    <mergeCell ref="M166:N166"/>
    <mergeCell ref="O166:P166"/>
    <mergeCell ref="Q166:R166"/>
    <mergeCell ref="S166:T166"/>
    <mergeCell ref="U166:V166"/>
    <mergeCell ref="W166:X166"/>
    <mergeCell ref="Y166:Z166"/>
    <mergeCell ref="AA166:AB166"/>
    <mergeCell ref="M165:N165"/>
    <mergeCell ref="O165:P165"/>
    <mergeCell ref="Q165:R165"/>
    <mergeCell ref="S165:T165"/>
    <mergeCell ref="U165:V165"/>
    <mergeCell ref="C165:D165"/>
    <mergeCell ref="E165:F165"/>
    <mergeCell ref="G165:H165"/>
    <mergeCell ref="I165:J165"/>
    <mergeCell ref="K165:L165"/>
    <mergeCell ref="W163:X163"/>
    <mergeCell ref="Y163:Z163"/>
    <mergeCell ref="AA163:AB163"/>
    <mergeCell ref="C164:D164"/>
    <mergeCell ref="E164:F164"/>
    <mergeCell ref="G164:H164"/>
    <mergeCell ref="I164:J164"/>
    <mergeCell ref="K164:L164"/>
    <mergeCell ref="M164:N164"/>
    <mergeCell ref="O164:P164"/>
    <mergeCell ref="Q164:R164"/>
    <mergeCell ref="S164:T164"/>
    <mergeCell ref="U164:V164"/>
    <mergeCell ref="W164:X164"/>
    <mergeCell ref="Y164:Z164"/>
    <mergeCell ref="AA164:AB164"/>
    <mergeCell ref="M163:N163"/>
    <mergeCell ref="O163:P163"/>
    <mergeCell ref="Q163:R163"/>
    <mergeCell ref="S163:T163"/>
    <mergeCell ref="U163:V163"/>
    <mergeCell ref="C163:D163"/>
    <mergeCell ref="E163:F163"/>
    <mergeCell ref="G163:H163"/>
    <mergeCell ref="I163:J163"/>
    <mergeCell ref="K163:L163"/>
    <mergeCell ref="W161:X161"/>
    <mergeCell ref="Y161:Z161"/>
    <mergeCell ref="AA161:AB161"/>
    <mergeCell ref="C162:D162"/>
    <mergeCell ref="E162:F162"/>
    <mergeCell ref="G162:H162"/>
    <mergeCell ref="I162:J162"/>
    <mergeCell ref="K162:L162"/>
    <mergeCell ref="M162:N162"/>
    <mergeCell ref="O162:P162"/>
    <mergeCell ref="Q162:R162"/>
    <mergeCell ref="S162:T162"/>
    <mergeCell ref="U162:V162"/>
    <mergeCell ref="W162:X162"/>
    <mergeCell ref="Y162:Z162"/>
    <mergeCell ref="AA162:AB162"/>
    <mergeCell ref="M161:N161"/>
    <mergeCell ref="O161:P161"/>
    <mergeCell ref="Q161:R161"/>
    <mergeCell ref="S161:T161"/>
    <mergeCell ref="U161:V161"/>
    <mergeCell ref="C161:D161"/>
    <mergeCell ref="E161:F161"/>
    <mergeCell ref="G161:H161"/>
    <mergeCell ref="I161:J161"/>
    <mergeCell ref="K161:L161"/>
    <mergeCell ref="C160:D160"/>
    <mergeCell ref="E160:F160"/>
    <mergeCell ref="G160:H160"/>
    <mergeCell ref="I160:J160"/>
    <mergeCell ref="K160:L160"/>
    <mergeCell ref="M160:N160"/>
    <mergeCell ref="O160:P160"/>
    <mergeCell ref="Q160:R160"/>
    <mergeCell ref="S160:T160"/>
    <mergeCell ref="U160:V160"/>
    <mergeCell ref="W160:X160"/>
    <mergeCell ref="Y160:Z160"/>
    <mergeCell ref="AA160:AB160"/>
    <mergeCell ref="O159:P159"/>
    <mergeCell ref="Q159:R159"/>
    <mergeCell ref="S159:T159"/>
    <mergeCell ref="U159:V159"/>
    <mergeCell ref="W159:X159"/>
    <mergeCell ref="E159:F159"/>
    <mergeCell ref="G159:H159"/>
    <mergeCell ref="I159:J159"/>
    <mergeCell ref="K159:L159"/>
    <mergeCell ref="M159:N159"/>
    <mergeCell ref="AA157:AB157"/>
    <mergeCell ref="A158:B175"/>
    <mergeCell ref="C158:D158"/>
    <mergeCell ref="E158:F158"/>
    <mergeCell ref="G158:H158"/>
    <mergeCell ref="I158:J158"/>
    <mergeCell ref="K158:L158"/>
    <mergeCell ref="M158:N158"/>
    <mergeCell ref="O158:P158"/>
    <mergeCell ref="Q158:R158"/>
    <mergeCell ref="S158:T158"/>
    <mergeCell ref="U158:V158"/>
    <mergeCell ref="W158:X158"/>
    <mergeCell ref="Y158:Z158"/>
    <mergeCell ref="AA158:AB158"/>
    <mergeCell ref="C159:D159"/>
    <mergeCell ref="A155:AB155"/>
    <mergeCell ref="A157:B157"/>
    <mergeCell ref="C157:D157"/>
    <mergeCell ref="E157:F157"/>
    <mergeCell ref="G157:H157"/>
    <mergeCell ref="I157:J157"/>
    <mergeCell ref="K157:L157"/>
    <mergeCell ref="M157:N157"/>
    <mergeCell ref="O157:P157"/>
    <mergeCell ref="Q157:R157"/>
    <mergeCell ref="S157:T157"/>
    <mergeCell ref="U157:V157"/>
    <mergeCell ref="W157:X157"/>
    <mergeCell ref="Y157:Z157"/>
    <mergeCell ref="Y159:Z159"/>
    <mergeCell ref="AA159:AB159"/>
    <mergeCell ref="C96:D96"/>
    <mergeCell ref="C95:D95"/>
    <mergeCell ref="C97:D97"/>
    <mergeCell ref="C98:D98"/>
    <mergeCell ref="C99:D99"/>
    <mergeCell ref="A130:AB130"/>
    <mergeCell ref="C125:D125"/>
    <mergeCell ref="C126:D126"/>
    <mergeCell ref="C120:D120"/>
    <mergeCell ref="C121:D121"/>
    <mergeCell ref="C122:D122"/>
    <mergeCell ref="C123:D123"/>
    <mergeCell ref="C124:D124"/>
    <mergeCell ref="C115:D115"/>
    <mergeCell ref="C116:D116"/>
    <mergeCell ref="C117:D117"/>
    <mergeCell ref="C118:D118"/>
    <mergeCell ref="C119:D119"/>
    <mergeCell ref="AA126:AB126"/>
    <mergeCell ref="Q126:R126"/>
    <mergeCell ref="S126:T126"/>
    <mergeCell ref="AA125:AB125"/>
    <mergeCell ref="E126:F126"/>
    <mergeCell ref="C110:D110"/>
    <mergeCell ref="C111:D111"/>
    <mergeCell ref="C112:D112"/>
    <mergeCell ref="C113:D113"/>
    <mergeCell ref="C114:D114"/>
    <mergeCell ref="C105:D105"/>
    <mergeCell ref="C106:D106"/>
    <mergeCell ref="C107:D107"/>
    <mergeCell ref="C108:D108"/>
    <mergeCell ref="C109:D109"/>
    <mergeCell ref="C100:D100"/>
    <mergeCell ref="C101:D101"/>
    <mergeCell ref="C102:D102"/>
    <mergeCell ref="C103:D103"/>
    <mergeCell ref="C104:D104"/>
    <mergeCell ref="U126:V126"/>
    <mergeCell ref="W126:X126"/>
    <mergeCell ref="Y126:Z126"/>
    <mergeCell ref="G126:H126"/>
    <mergeCell ref="I126:J126"/>
    <mergeCell ref="K126:L126"/>
    <mergeCell ref="M126:N126"/>
    <mergeCell ref="O126:P126"/>
    <mergeCell ref="A125:B126"/>
    <mergeCell ref="E125:F125"/>
    <mergeCell ref="G125:H125"/>
    <mergeCell ref="I125:J125"/>
    <mergeCell ref="K125:L125"/>
    <mergeCell ref="M125:N125"/>
    <mergeCell ref="O125:P125"/>
    <mergeCell ref="Q125:R125"/>
    <mergeCell ref="S125:T125"/>
    <mergeCell ref="U125:V125"/>
    <mergeCell ref="W125:X125"/>
    <mergeCell ref="Y125:Z125"/>
    <mergeCell ref="Y123:Z123"/>
    <mergeCell ref="Y121:Z121"/>
    <mergeCell ref="Y119:Z119"/>
    <mergeCell ref="Y117:Z117"/>
    <mergeCell ref="O116:P116"/>
    <mergeCell ref="Q116:R116"/>
    <mergeCell ref="AA123:AB123"/>
    <mergeCell ref="E124:F124"/>
    <mergeCell ref="G124:H124"/>
    <mergeCell ref="I124:J124"/>
    <mergeCell ref="K124:L124"/>
    <mergeCell ref="M124:N124"/>
    <mergeCell ref="O124:P124"/>
    <mergeCell ref="Q124:R124"/>
    <mergeCell ref="S124:T124"/>
    <mergeCell ref="U124:V124"/>
    <mergeCell ref="W124:X124"/>
    <mergeCell ref="Y124:Z124"/>
    <mergeCell ref="AA124:AB124"/>
    <mergeCell ref="O123:P123"/>
    <mergeCell ref="Q123:R123"/>
    <mergeCell ref="S123:T123"/>
    <mergeCell ref="U123:V123"/>
    <mergeCell ref="W123:X123"/>
    <mergeCell ref="E123:F123"/>
    <mergeCell ref="G123:H123"/>
    <mergeCell ref="I123:J123"/>
    <mergeCell ref="K123:L123"/>
    <mergeCell ref="M123:N123"/>
    <mergeCell ref="AA121:AB121"/>
    <mergeCell ref="E122:F122"/>
    <mergeCell ref="G122:H122"/>
    <mergeCell ref="I122:J122"/>
    <mergeCell ref="K122:L122"/>
    <mergeCell ref="M122:N122"/>
    <mergeCell ref="O122:P122"/>
    <mergeCell ref="Q122:R122"/>
    <mergeCell ref="S122:T122"/>
    <mergeCell ref="U122:V122"/>
    <mergeCell ref="W122:X122"/>
    <mergeCell ref="Y122:Z122"/>
    <mergeCell ref="AA122:AB122"/>
    <mergeCell ref="O121:P121"/>
    <mergeCell ref="Q121:R121"/>
    <mergeCell ref="S121:T121"/>
    <mergeCell ref="U121:V121"/>
    <mergeCell ref="W121:X121"/>
    <mergeCell ref="E121:F121"/>
    <mergeCell ref="G121:H121"/>
    <mergeCell ref="I121:J121"/>
    <mergeCell ref="K121:L121"/>
    <mergeCell ref="M121:N121"/>
    <mergeCell ref="W117:X117"/>
    <mergeCell ref="E117:F117"/>
    <mergeCell ref="G117:H117"/>
    <mergeCell ref="I117:J117"/>
    <mergeCell ref="K117:L117"/>
    <mergeCell ref="M117:N117"/>
    <mergeCell ref="AA119:AB119"/>
    <mergeCell ref="E120:F120"/>
    <mergeCell ref="G120:H120"/>
    <mergeCell ref="I120:J120"/>
    <mergeCell ref="K120:L120"/>
    <mergeCell ref="M120:N120"/>
    <mergeCell ref="O120:P120"/>
    <mergeCell ref="Q120:R120"/>
    <mergeCell ref="S120:T120"/>
    <mergeCell ref="U120:V120"/>
    <mergeCell ref="W120:X120"/>
    <mergeCell ref="Y120:Z120"/>
    <mergeCell ref="AA120:AB120"/>
    <mergeCell ref="O119:P119"/>
    <mergeCell ref="Q119:R119"/>
    <mergeCell ref="S119:T119"/>
    <mergeCell ref="U119:V119"/>
    <mergeCell ref="W119:X119"/>
    <mergeCell ref="E119:F119"/>
    <mergeCell ref="G119:H119"/>
    <mergeCell ref="I119:J119"/>
    <mergeCell ref="K119:L119"/>
    <mergeCell ref="M119:N119"/>
    <mergeCell ref="W116:X116"/>
    <mergeCell ref="Y116:Z116"/>
    <mergeCell ref="AA116:AB116"/>
    <mergeCell ref="Q115:R115"/>
    <mergeCell ref="S115:T115"/>
    <mergeCell ref="U115:V115"/>
    <mergeCell ref="W115:X115"/>
    <mergeCell ref="Y115:Z115"/>
    <mergeCell ref="G115:H115"/>
    <mergeCell ref="I115:J115"/>
    <mergeCell ref="K115:L115"/>
    <mergeCell ref="M115:N115"/>
    <mergeCell ref="O115:P115"/>
    <mergeCell ref="Y113:Z113"/>
    <mergeCell ref="AA113:AB113"/>
    <mergeCell ref="AA117:AB117"/>
    <mergeCell ref="E118:F118"/>
    <mergeCell ref="G118:H118"/>
    <mergeCell ref="I118:J118"/>
    <mergeCell ref="K118:L118"/>
    <mergeCell ref="M118:N118"/>
    <mergeCell ref="O118:P118"/>
    <mergeCell ref="Q118:R118"/>
    <mergeCell ref="S118:T118"/>
    <mergeCell ref="U118:V118"/>
    <mergeCell ref="W118:X118"/>
    <mergeCell ref="Y118:Z118"/>
    <mergeCell ref="AA118:AB118"/>
    <mergeCell ref="O117:P117"/>
    <mergeCell ref="Q117:R117"/>
    <mergeCell ref="S117:T117"/>
    <mergeCell ref="U117:V117"/>
    <mergeCell ref="A114:B124"/>
    <mergeCell ref="E114:F114"/>
    <mergeCell ref="G114:H114"/>
    <mergeCell ref="I114:J114"/>
    <mergeCell ref="K114:L114"/>
    <mergeCell ref="M114:N114"/>
    <mergeCell ref="O114:P114"/>
    <mergeCell ref="Q114:R114"/>
    <mergeCell ref="S114:T114"/>
    <mergeCell ref="U114:V114"/>
    <mergeCell ref="W114:X114"/>
    <mergeCell ref="Y114:Z114"/>
    <mergeCell ref="AA114:AB114"/>
    <mergeCell ref="E115:F115"/>
    <mergeCell ref="O113:P113"/>
    <mergeCell ref="Q113:R113"/>
    <mergeCell ref="S113:T113"/>
    <mergeCell ref="U113:V113"/>
    <mergeCell ref="W113:X113"/>
    <mergeCell ref="E113:F113"/>
    <mergeCell ref="G113:H113"/>
    <mergeCell ref="I113:J113"/>
    <mergeCell ref="K113:L113"/>
    <mergeCell ref="M113:N113"/>
    <mergeCell ref="AA115:AB115"/>
    <mergeCell ref="E116:F116"/>
    <mergeCell ref="G116:H116"/>
    <mergeCell ref="I116:J116"/>
    <mergeCell ref="K116:L116"/>
    <mergeCell ref="M116:N116"/>
    <mergeCell ref="S116:T116"/>
    <mergeCell ref="U116:V116"/>
    <mergeCell ref="Y111:Z111"/>
    <mergeCell ref="AA111:AB111"/>
    <mergeCell ref="E112:F112"/>
    <mergeCell ref="G112:H112"/>
    <mergeCell ref="I112:J112"/>
    <mergeCell ref="K112:L112"/>
    <mergeCell ref="M112:N112"/>
    <mergeCell ref="O112:P112"/>
    <mergeCell ref="Q112:R112"/>
    <mergeCell ref="S112:T112"/>
    <mergeCell ref="U112:V112"/>
    <mergeCell ref="W112:X112"/>
    <mergeCell ref="Y112:Z112"/>
    <mergeCell ref="AA112:AB112"/>
    <mergeCell ref="O111:P111"/>
    <mergeCell ref="Q111:R111"/>
    <mergeCell ref="S111:T111"/>
    <mergeCell ref="U111:V111"/>
    <mergeCell ref="W111:X111"/>
    <mergeCell ref="E111:F111"/>
    <mergeCell ref="G111:H111"/>
    <mergeCell ref="I111:J111"/>
    <mergeCell ref="K111:L111"/>
    <mergeCell ref="M111:N111"/>
    <mergeCell ref="Y109:Z109"/>
    <mergeCell ref="AA109:AB109"/>
    <mergeCell ref="E110:F110"/>
    <mergeCell ref="G110:H110"/>
    <mergeCell ref="I110:J110"/>
    <mergeCell ref="K110:L110"/>
    <mergeCell ref="M110:N110"/>
    <mergeCell ref="O110:P110"/>
    <mergeCell ref="Q110:R110"/>
    <mergeCell ref="S110:T110"/>
    <mergeCell ref="U110:V110"/>
    <mergeCell ref="W110:X110"/>
    <mergeCell ref="Y110:Z110"/>
    <mergeCell ref="AA110:AB110"/>
    <mergeCell ref="O109:P109"/>
    <mergeCell ref="Q109:R109"/>
    <mergeCell ref="S109:T109"/>
    <mergeCell ref="U109:V109"/>
    <mergeCell ref="W109:X109"/>
    <mergeCell ref="E109:F109"/>
    <mergeCell ref="G109:H109"/>
    <mergeCell ref="I109:J109"/>
    <mergeCell ref="K109:L109"/>
    <mergeCell ref="M109:N109"/>
    <mergeCell ref="Y107:Z107"/>
    <mergeCell ref="AA107:AB107"/>
    <mergeCell ref="E108:F108"/>
    <mergeCell ref="G108:H108"/>
    <mergeCell ref="I108:J108"/>
    <mergeCell ref="K108:L108"/>
    <mergeCell ref="M108:N108"/>
    <mergeCell ref="O108:P108"/>
    <mergeCell ref="Q108:R108"/>
    <mergeCell ref="S108:T108"/>
    <mergeCell ref="U108:V108"/>
    <mergeCell ref="W108:X108"/>
    <mergeCell ref="Y108:Z108"/>
    <mergeCell ref="AA108:AB108"/>
    <mergeCell ref="O107:P107"/>
    <mergeCell ref="Q107:R107"/>
    <mergeCell ref="S107:T107"/>
    <mergeCell ref="U107:V107"/>
    <mergeCell ref="W107:X107"/>
    <mergeCell ref="E107:F107"/>
    <mergeCell ref="G107:H107"/>
    <mergeCell ref="I107:J107"/>
    <mergeCell ref="K107:L107"/>
    <mergeCell ref="M107:N107"/>
    <mergeCell ref="Y105:Z105"/>
    <mergeCell ref="AA105:AB105"/>
    <mergeCell ref="E106:F106"/>
    <mergeCell ref="G106:H106"/>
    <mergeCell ref="I106:J106"/>
    <mergeCell ref="K106:L106"/>
    <mergeCell ref="M106:N106"/>
    <mergeCell ref="O106:P106"/>
    <mergeCell ref="Q106:R106"/>
    <mergeCell ref="S106:T106"/>
    <mergeCell ref="U106:V106"/>
    <mergeCell ref="W106:X106"/>
    <mergeCell ref="Y106:Z106"/>
    <mergeCell ref="AA106:AB106"/>
    <mergeCell ref="O105:P105"/>
    <mergeCell ref="Q105:R105"/>
    <mergeCell ref="S105:T105"/>
    <mergeCell ref="U105:V105"/>
    <mergeCell ref="W105:X105"/>
    <mergeCell ref="E105:F105"/>
    <mergeCell ref="G105:H105"/>
    <mergeCell ref="I105:J105"/>
    <mergeCell ref="K105:L105"/>
    <mergeCell ref="M105:N105"/>
    <mergeCell ref="Y103:Z103"/>
    <mergeCell ref="AA103:AB103"/>
    <mergeCell ref="E104:F104"/>
    <mergeCell ref="G104:H104"/>
    <mergeCell ref="I104:J104"/>
    <mergeCell ref="K104:L104"/>
    <mergeCell ref="M104:N104"/>
    <mergeCell ref="O104:P104"/>
    <mergeCell ref="Q104:R104"/>
    <mergeCell ref="S104:T104"/>
    <mergeCell ref="U104:V104"/>
    <mergeCell ref="W104:X104"/>
    <mergeCell ref="Y104:Z104"/>
    <mergeCell ref="AA104:AB104"/>
    <mergeCell ref="O103:P103"/>
    <mergeCell ref="Q103:R103"/>
    <mergeCell ref="S103:T103"/>
    <mergeCell ref="U103:V103"/>
    <mergeCell ref="W103:X103"/>
    <mergeCell ref="E103:F103"/>
    <mergeCell ref="G103:H103"/>
    <mergeCell ref="I103:J103"/>
    <mergeCell ref="K103:L103"/>
    <mergeCell ref="M103:N103"/>
    <mergeCell ref="E99:F99"/>
    <mergeCell ref="G99:H99"/>
    <mergeCell ref="I99:J99"/>
    <mergeCell ref="K99:L99"/>
    <mergeCell ref="M99:N99"/>
    <mergeCell ref="Y101:Z101"/>
    <mergeCell ref="AA101:AB101"/>
    <mergeCell ref="E102:F102"/>
    <mergeCell ref="G102:H102"/>
    <mergeCell ref="I102:J102"/>
    <mergeCell ref="K102:L102"/>
    <mergeCell ref="M102:N102"/>
    <mergeCell ref="O102:P102"/>
    <mergeCell ref="Q102:R102"/>
    <mergeCell ref="S102:T102"/>
    <mergeCell ref="U102:V102"/>
    <mergeCell ref="W102:X102"/>
    <mergeCell ref="Y102:Z102"/>
    <mergeCell ref="AA102:AB102"/>
    <mergeCell ref="O101:P101"/>
    <mergeCell ref="Q101:R101"/>
    <mergeCell ref="S101:T101"/>
    <mergeCell ref="U101:V101"/>
    <mergeCell ref="W101:X101"/>
    <mergeCell ref="E101:F101"/>
    <mergeCell ref="G101:H101"/>
    <mergeCell ref="I101:J101"/>
    <mergeCell ref="K101:L101"/>
    <mergeCell ref="M101:N101"/>
    <mergeCell ref="W98:X98"/>
    <mergeCell ref="Y98:Z98"/>
    <mergeCell ref="AA98:AB98"/>
    <mergeCell ref="O97:P97"/>
    <mergeCell ref="Q97:R97"/>
    <mergeCell ref="S97:T97"/>
    <mergeCell ref="U97:V97"/>
    <mergeCell ref="W97:X97"/>
    <mergeCell ref="E97:F97"/>
    <mergeCell ref="G97:H97"/>
    <mergeCell ref="I97:J97"/>
    <mergeCell ref="K97:L97"/>
    <mergeCell ref="M97:N97"/>
    <mergeCell ref="Y99:Z99"/>
    <mergeCell ref="AA99:AB99"/>
    <mergeCell ref="E100:F100"/>
    <mergeCell ref="G100:H100"/>
    <mergeCell ref="I100:J100"/>
    <mergeCell ref="K100:L100"/>
    <mergeCell ref="M100:N100"/>
    <mergeCell ref="O100:P100"/>
    <mergeCell ref="Q100:R100"/>
    <mergeCell ref="S100:T100"/>
    <mergeCell ref="U100:V100"/>
    <mergeCell ref="W100:X100"/>
    <mergeCell ref="Y100:Z100"/>
    <mergeCell ref="AA100:AB100"/>
    <mergeCell ref="O99:P99"/>
    <mergeCell ref="Q99:R99"/>
    <mergeCell ref="S99:T99"/>
    <mergeCell ref="U99:V99"/>
    <mergeCell ref="W99:X99"/>
    <mergeCell ref="W95:X95"/>
    <mergeCell ref="Y95:Z95"/>
    <mergeCell ref="AA95:AB95"/>
    <mergeCell ref="A96:B113"/>
    <mergeCell ref="E96:F96"/>
    <mergeCell ref="G96:H96"/>
    <mergeCell ref="I96:J96"/>
    <mergeCell ref="K96:L96"/>
    <mergeCell ref="M96:N96"/>
    <mergeCell ref="O96:P96"/>
    <mergeCell ref="Q96:R96"/>
    <mergeCell ref="S96:T96"/>
    <mergeCell ref="U96:V96"/>
    <mergeCell ref="W96:X96"/>
    <mergeCell ref="Y96:Z96"/>
    <mergeCell ref="AA96:AB96"/>
    <mergeCell ref="M95:N95"/>
    <mergeCell ref="O95:P95"/>
    <mergeCell ref="Q95:R95"/>
    <mergeCell ref="S95:T95"/>
    <mergeCell ref="U95:V95"/>
    <mergeCell ref="Y97:Z97"/>
    <mergeCell ref="AA97:AB97"/>
    <mergeCell ref="E98:F98"/>
    <mergeCell ref="G98:H98"/>
    <mergeCell ref="I98:J98"/>
    <mergeCell ref="K98:L98"/>
    <mergeCell ref="M98:N98"/>
    <mergeCell ref="O98:P98"/>
    <mergeCell ref="Q98:R98"/>
    <mergeCell ref="S98:T98"/>
    <mergeCell ref="U98:V98"/>
    <mergeCell ref="E64:F64"/>
    <mergeCell ref="G64:H64"/>
    <mergeCell ref="I64:J64"/>
    <mergeCell ref="K64:L64"/>
    <mergeCell ref="M64:N64"/>
    <mergeCell ref="O64:P64"/>
    <mergeCell ref="Q64:R64"/>
    <mergeCell ref="S64:T64"/>
    <mergeCell ref="U64:V64"/>
    <mergeCell ref="W64:X64"/>
    <mergeCell ref="Y64:Z64"/>
    <mergeCell ref="AA64:AB64"/>
    <mergeCell ref="O63:P63"/>
    <mergeCell ref="Q63:R63"/>
    <mergeCell ref="S63:T63"/>
    <mergeCell ref="U63:V63"/>
    <mergeCell ref="W63:X63"/>
    <mergeCell ref="E63:F63"/>
    <mergeCell ref="Y62:Z62"/>
    <mergeCell ref="AA62:AB62"/>
    <mergeCell ref="O62:P62"/>
    <mergeCell ref="Q62:R62"/>
    <mergeCell ref="S62:T62"/>
    <mergeCell ref="U62:V62"/>
    <mergeCell ref="W62:X62"/>
    <mergeCell ref="E62:F62"/>
    <mergeCell ref="G62:H62"/>
    <mergeCell ref="I62:J62"/>
    <mergeCell ref="K62:L62"/>
    <mergeCell ref="M62:N62"/>
    <mergeCell ref="G63:H63"/>
    <mergeCell ref="I63:J63"/>
    <mergeCell ref="K63:L63"/>
    <mergeCell ref="M63:N63"/>
    <mergeCell ref="Y63:Z63"/>
    <mergeCell ref="AA63:AB63"/>
    <mergeCell ref="Y60:Z60"/>
    <mergeCell ref="AA60:AB60"/>
    <mergeCell ref="E61:F61"/>
    <mergeCell ref="G61:H61"/>
    <mergeCell ref="I61:J61"/>
    <mergeCell ref="K61:L61"/>
    <mergeCell ref="M61:N61"/>
    <mergeCell ref="O61:P61"/>
    <mergeCell ref="Q61:R61"/>
    <mergeCell ref="S61:T61"/>
    <mergeCell ref="U61:V61"/>
    <mergeCell ref="W61:X61"/>
    <mergeCell ref="Y61:Z61"/>
    <mergeCell ref="AA61:AB61"/>
    <mergeCell ref="O60:P60"/>
    <mergeCell ref="Q60:R60"/>
    <mergeCell ref="S60:T60"/>
    <mergeCell ref="U60:V60"/>
    <mergeCell ref="W60:X60"/>
    <mergeCell ref="E60:F60"/>
    <mergeCell ref="G60:H60"/>
    <mergeCell ref="I60:J60"/>
    <mergeCell ref="K60:L60"/>
    <mergeCell ref="M60:N60"/>
    <mergeCell ref="Y58:Z58"/>
    <mergeCell ref="AA58:AB58"/>
    <mergeCell ref="E59:F59"/>
    <mergeCell ref="G59:H59"/>
    <mergeCell ref="I59:J59"/>
    <mergeCell ref="K59:L59"/>
    <mergeCell ref="M59:N59"/>
    <mergeCell ref="O59:P59"/>
    <mergeCell ref="Q59:R59"/>
    <mergeCell ref="S59:T59"/>
    <mergeCell ref="U59:V59"/>
    <mergeCell ref="W59:X59"/>
    <mergeCell ref="Y59:Z59"/>
    <mergeCell ref="AA59:AB59"/>
    <mergeCell ref="O58:P58"/>
    <mergeCell ref="Q58:R58"/>
    <mergeCell ref="S58:T58"/>
    <mergeCell ref="U58:V58"/>
    <mergeCell ref="W58:X58"/>
    <mergeCell ref="E58:F58"/>
    <mergeCell ref="G58:H58"/>
    <mergeCell ref="I58:J58"/>
    <mergeCell ref="K58:L58"/>
    <mergeCell ref="M58:N58"/>
    <mergeCell ref="Y56:Z56"/>
    <mergeCell ref="AA56:AB56"/>
    <mergeCell ref="E57:F57"/>
    <mergeCell ref="G57:H57"/>
    <mergeCell ref="I57:J57"/>
    <mergeCell ref="K57:L57"/>
    <mergeCell ref="M57:N57"/>
    <mergeCell ref="O57:P57"/>
    <mergeCell ref="Q57:R57"/>
    <mergeCell ref="S57:T57"/>
    <mergeCell ref="U57:V57"/>
    <mergeCell ref="W57:X57"/>
    <mergeCell ref="Y57:Z57"/>
    <mergeCell ref="AA57:AB57"/>
    <mergeCell ref="O56:P56"/>
    <mergeCell ref="Q56:R56"/>
    <mergeCell ref="S56:T56"/>
    <mergeCell ref="U56:V56"/>
    <mergeCell ref="W56:X56"/>
    <mergeCell ref="E56:F56"/>
    <mergeCell ref="G56:H56"/>
    <mergeCell ref="I56:J56"/>
    <mergeCell ref="K56:L56"/>
    <mergeCell ref="M56:N56"/>
    <mergeCell ref="Y54:Z54"/>
    <mergeCell ref="AA54:AB54"/>
    <mergeCell ref="E55:F55"/>
    <mergeCell ref="G55:H55"/>
    <mergeCell ref="I55:J55"/>
    <mergeCell ref="K55:L55"/>
    <mergeCell ref="M55:N55"/>
    <mergeCell ref="O55:P55"/>
    <mergeCell ref="Q55:R55"/>
    <mergeCell ref="S55:T55"/>
    <mergeCell ref="U55:V55"/>
    <mergeCell ref="W55:X55"/>
    <mergeCell ref="Y55:Z55"/>
    <mergeCell ref="AA55:AB55"/>
    <mergeCell ref="O54:P54"/>
    <mergeCell ref="Q54:R54"/>
    <mergeCell ref="S54:T54"/>
    <mergeCell ref="U54:V54"/>
    <mergeCell ref="W54:X54"/>
    <mergeCell ref="E54:F54"/>
    <mergeCell ref="G54:H54"/>
    <mergeCell ref="I54:J54"/>
    <mergeCell ref="K54:L54"/>
    <mergeCell ref="M54:N54"/>
    <mergeCell ref="E32:AB32"/>
    <mergeCell ref="A30:AB30"/>
    <mergeCell ref="A32:B33"/>
    <mergeCell ref="A34:B51"/>
    <mergeCell ref="AA52:AB52"/>
    <mergeCell ref="E53:F53"/>
    <mergeCell ref="G53:H53"/>
    <mergeCell ref="I53:J53"/>
    <mergeCell ref="K53:L53"/>
    <mergeCell ref="M53:N53"/>
    <mergeCell ref="O53:P53"/>
    <mergeCell ref="Q53:R53"/>
    <mergeCell ref="S53:T53"/>
    <mergeCell ref="U53:V53"/>
    <mergeCell ref="W53:X53"/>
    <mergeCell ref="Y53:Z53"/>
    <mergeCell ref="AA53:AB53"/>
    <mergeCell ref="Q52:R52"/>
    <mergeCell ref="S52:T52"/>
    <mergeCell ref="U52:V52"/>
    <mergeCell ref="W52:X52"/>
    <mergeCell ref="Y52:Z52"/>
    <mergeCell ref="G52:H52"/>
    <mergeCell ref="I52:J52"/>
    <mergeCell ref="K52:L52"/>
    <mergeCell ref="M52:N52"/>
    <mergeCell ref="O52:P52"/>
    <mergeCell ref="S51:T51"/>
    <mergeCell ref="U51:V51"/>
    <mergeCell ref="W51:X51"/>
    <mergeCell ref="Y51:Z51"/>
    <mergeCell ref="AA51:AB51"/>
    <mergeCell ref="I51:J51"/>
    <mergeCell ref="K51:L51"/>
    <mergeCell ref="M51:N51"/>
    <mergeCell ref="O51:P51"/>
    <mergeCell ref="Q51:R51"/>
    <mergeCell ref="S50:T50"/>
    <mergeCell ref="U50:V50"/>
    <mergeCell ref="W50:X50"/>
    <mergeCell ref="Y50:Z50"/>
    <mergeCell ref="AA50:AB50"/>
    <mergeCell ref="I50:J50"/>
    <mergeCell ref="K50:L50"/>
    <mergeCell ref="M50:N50"/>
    <mergeCell ref="O50:P50"/>
    <mergeCell ref="Q50:R50"/>
    <mergeCell ref="S49:T49"/>
    <mergeCell ref="U49:V49"/>
    <mergeCell ref="W49:X49"/>
    <mergeCell ref="Y49:Z49"/>
    <mergeCell ref="AA49:AB49"/>
    <mergeCell ref="I49:J49"/>
    <mergeCell ref="K49:L49"/>
    <mergeCell ref="M49:N49"/>
    <mergeCell ref="O49:P49"/>
    <mergeCell ref="Q49:R49"/>
    <mergeCell ref="S48:T48"/>
    <mergeCell ref="U48:V48"/>
    <mergeCell ref="W48:X48"/>
    <mergeCell ref="Y48:Z48"/>
    <mergeCell ref="AA48:AB48"/>
    <mergeCell ref="I48:J48"/>
    <mergeCell ref="K48:L48"/>
    <mergeCell ref="M48:N48"/>
    <mergeCell ref="O48:P48"/>
    <mergeCell ref="Q48:R48"/>
    <mergeCell ref="S47:T47"/>
    <mergeCell ref="U47:V47"/>
    <mergeCell ref="W47:X47"/>
    <mergeCell ref="Y47:Z47"/>
    <mergeCell ref="AA47:AB47"/>
    <mergeCell ref="I47:J47"/>
    <mergeCell ref="K47:L47"/>
    <mergeCell ref="M47:N47"/>
    <mergeCell ref="O47:P47"/>
    <mergeCell ref="Q47:R47"/>
    <mergeCell ref="S46:T46"/>
    <mergeCell ref="U46:V46"/>
    <mergeCell ref="W46:X46"/>
    <mergeCell ref="Y46:Z46"/>
    <mergeCell ref="AA46:AB46"/>
    <mergeCell ref="I46:J46"/>
    <mergeCell ref="K46:L46"/>
    <mergeCell ref="M46:N46"/>
    <mergeCell ref="O46:P46"/>
    <mergeCell ref="Q46:R46"/>
    <mergeCell ref="S45:T45"/>
    <mergeCell ref="U45:V45"/>
    <mergeCell ref="W45:X45"/>
    <mergeCell ref="Y45:Z45"/>
    <mergeCell ref="AA45:AB45"/>
    <mergeCell ref="I45:J45"/>
    <mergeCell ref="K45:L45"/>
    <mergeCell ref="M45:N45"/>
    <mergeCell ref="O45:P45"/>
    <mergeCell ref="Q45:R45"/>
    <mergeCell ref="S44:T44"/>
    <mergeCell ref="U44:V44"/>
    <mergeCell ref="W44:X44"/>
    <mergeCell ref="Y44:Z44"/>
    <mergeCell ref="AA44:AB44"/>
    <mergeCell ref="I44:J44"/>
    <mergeCell ref="K44:L44"/>
    <mergeCell ref="M44:N44"/>
    <mergeCell ref="O44:P44"/>
    <mergeCell ref="Q44:R44"/>
    <mergeCell ref="S43:T43"/>
    <mergeCell ref="U43:V43"/>
    <mergeCell ref="W43:X43"/>
    <mergeCell ref="Y43:Z43"/>
    <mergeCell ref="AA43:AB43"/>
    <mergeCell ref="I43:J43"/>
    <mergeCell ref="K43:L43"/>
    <mergeCell ref="M43:N43"/>
    <mergeCell ref="O43:P43"/>
    <mergeCell ref="Q43:R43"/>
    <mergeCell ref="S42:T42"/>
    <mergeCell ref="U42:V42"/>
    <mergeCell ref="W42:X42"/>
    <mergeCell ref="Y42:Z42"/>
    <mergeCell ref="AA42:AB42"/>
    <mergeCell ref="I42:J42"/>
    <mergeCell ref="K42:L42"/>
    <mergeCell ref="M42:N42"/>
    <mergeCell ref="O42:P42"/>
    <mergeCell ref="Q42:R42"/>
    <mergeCell ref="S41:T41"/>
    <mergeCell ref="U41:V41"/>
    <mergeCell ref="W41:X41"/>
    <mergeCell ref="Y41:Z41"/>
    <mergeCell ref="AA41:AB41"/>
    <mergeCell ref="I41:J41"/>
    <mergeCell ref="K41:L41"/>
    <mergeCell ref="M41:N41"/>
    <mergeCell ref="O41:P41"/>
    <mergeCell ref="Q41:R41"/>
    <mergeCell ref="Q38:R38"/>
    <mergeCell ref="S37:T37"/>
    <mergeCell ref="U37:V37"/>
    <mergeCell ref="W37:X37"/>
    <mergeCell ref="Y37:Z37"/>
    <mergeCell ref="AA37:AB37"/>
    <mergeCell ref="I37:J37"/>
    <mergeCell ref="K37:L37"/>
    <mergeCell ref="M37:N37"/>
    <mergeCell ref="O37:P37"/>
    <mergeCell ref="Q37:R37"/>
    <mergeCell ref="S40:T40"/>
    <mergeCell ref="U40:V40"/>
    <mergeCell ref="W40:X40"/>
    <mergeCell ref="Y40:Z40"/>
    <mergeCell ref="AA40:AB40"/>
    <mergeCell ref="I40:J40"/>
    <mergeCell ref="K40:L40"/>
    <mergeCell ref="M40:N40"/>
    <mergeCell ref="O40:P40"/>
    <mergeCell ref="Q40:R40"/>
    <mergeCell ref="S39:T39"/>
    <mergeCell ref="U39:V39"/>
    <mergeCell ref="W39:X39"/>
    <mergeCell ref="Y39:Z39"/>
    <mergeCell ref="AA39:AB39"/>
    <mergeCell ref="I39:J39"/>
    <mergeCell ref="K39:L39"/>
    <mergeCell ref="M39:N39"/>
    <mergeCell ref="O39:P39"/>
    <mergeCell ref="Q39:R39"/>
    <mergeCell ref="G36:H36"/>
    <mergeCell ref="G37:H37"/>
    <mergeCell ref="G38:H38"/>
    <mergeCell ref="S36:T36"/>
    <mergeCell ref="U36:V36"/>
    <mergeCell ref="W36:X36"/>
    <mergeCell ref="Y36:Z36"/>
    <mergeCell ref="AA36:AB36"/>
    <mergeCell ref="I36:J36"/>
    <mergeCell ref="K36:L36"/>
    <mergeCell ref="M36:N36"/>
    <mergeCell ref="O36:P36"/>
    <mergeCell ref="Q36:R36"/>
    <mergeCell ref="S35:T35"/>
    <mergeCell ref="U35:V35"/>
    <mergeCell ref="W35:X35"/>
    <mergeCell ref="Y35:Z35"/>
    <mergeCell ref="AA35:AB35"/>
    <mergeCell ref="I35:J35"/>
    <mergeCell ref="K35:L35"/>
    <mergeCell ref="M35:N35"/>
    <mergeCell ref="O35:P35"/>
    <mergeCell ref="Q35:R35"/>
    <mergeCell ref="S38:T38"/>
    <mergeCell ref="U38:V38"/>
    <mergeCell ref="W38:X38"/>
    <mergeCell ref="Y38:Z38"/>
    <mergeCell ref="AA38:AB38"/>
    <mergeCell ref="I38:J38"/>
    <mergeCell ref="K38:L38"/>
    <mergeCell ref="M38:N38"/>
    <mergeCell ref="O38:P38"/>
    <mergeCell ref="AA17:AB17"/>
    <mergeCell ref="E50:F50"/>
    <mergeCell ref="E51:F51"/>
    <mergeCell ref="E52:F52"/>
    <mergeCell ref="E45:F45"/>
    <mergeCell ref="E46:F46"/>
    <mergeCell ref="E47:F47"/>
    <mergeCell ref="E48:F48"/>
    <mergeCell ref="E49:F49"/>
    <mergeCell ref="E40:F40"/>
    <mergeCell ref="E41:F41"/>
    <mergeCell ref="E42:F42"/>
    <mergeCell ref="E43:F43"/>
    <mergeCell ref="E44:F44"/>
    <mergeCell ref="E35:F35"/>
    <mergeCell ref="E36:F36"/>
    <mergeCell ref="E37:F37"/>
    <mergeCell ref="E38:F38"/>
    <mergeCell ref="E39:F39"/>
    <mergeCell ref="S34:T34"/>
    <mergeCell ref="U34:V34"/>
    <mergeCell ref="W34:X34"/>
    <mergeCell ref="Y34:Z34"/>
    <mergeCell ref="AA34:AB34"/>
    <mergeCell ref="I34:J34"/>
    <mergeCell ref="K34:L34"/>
    <mergeCell ref="M34:N34"/>
    <mergeCell ref="O34:P34"/>
    <mergeCell ref="Q34:R34"/>
    <mergeCell ref="G49:H49"/>
    <mergeCell ref="G50:H50"/>
    <mergeCell ref="G51:H51"/>
    <mergeCell ref="A69:A71"/>
    <mergeCell ref="B69:B71"/>
    <mergeCell ref="C69:D69"/>
    <mergeCell ref="C70:C71"/>
    <mergeCell ref="D70:D71"/>
    <mergeCell ref="C32:D32"/>
    <mergeCell ref="A52:B62"/>
    <mergeCell ref="A63:B64"/>
    <mergeCell ref="E34:F34"/>
    <mergeCell ref="AA33:AB33"/>
    <mergeCell ref="Q33:R33"/>
    <mergeCell ref="S33:T33"/>
    <mergeCell ref="U33:V33"/>
    <mergeCell ref="W33:X33"/>
    <mergeCell ref="Y33:Z33"/>
    <mergeCell ref="B5:D5"/>
    <mergeCell ref="A15:AB15"/>
    <mergeCell ref="A68:AB68"/>
    <mergeCell ref="A16:A18"/>
    <mergeCell ref="B16:B18"/>
    <mergeCell ref="E33:F33"/>
    <mergeCell ref="G33:H33"/>
    <mergeCell ref="I33:J33"/>
    <mergeCell ref="K33:L33"/>
    <mergeCell ref="M33:N33"/>
    <mergeCell ref="O33:P33"/>
    <mergeCell ref="E16:F16"/>
    <mergeCell ref="E17:F17"/>
    <mergeCell ref="AA16:AB16"/>
    <mergeCell ref="Y16:Z16"/>
    <mergeCell ref="W16:X16"/>
    <mergeCell ref="U16:V16"/>
    <mergeCell ref="Y131:Z131"/>
    <mergeCell ref="S16:T16"/>
    <mergeCell ref="S17:T17"/>
    <mergeCell ref="Q16:R16"/>
    <mergeCell ref="Q17:R17"/>
    <mergeCell ref="O16:P16"/>
    <mergeCell ref="O17:P17"/>
    <mergeCell ref="G16:H16"/>
    <mergeCell ref="I16:J16"/>
    <mergeCell ref="G17:H17"/>
    <mergeCell ref="I17:J17"/>
    <mergeCell ref="K16:L16"/>
    <mergeCell ref="K17:L17"/>
    <mergeCell ref="M16:N16"/>
    <mergeCell ref="M17:N17"/>
    <mergeCell ref="U17:V17"/>
    <mergeCell ref="W17:X17"/>
    <mergeCell ref="Y17:Z17"/>
    <mergeCell ref="G44:H44"/>
    <mergeCell ref="G45:H45"/>
    <mergeCell ref="G46:H46"/>
    <mergeCell ref="G47:H47"/>
    <mergeCell ref="G48:H48"/>
    <mergeCell ref="G39:H39"/>
    <mergeCell ref="G40:H40"/>
    <mergeCell ref="G41:H41"/>
    <mergeCell ref="G42:H42"/>
    <mergeCell ref="G43:H43"/>
    <mergeCell ref="G34:H34"/>
    <mergeCell ref="G35:H35"/>
    <mergeCell ref="G5:L5"/>
    <mergeCell ref="A131:A133"/>
    <mergeCell ref="B131:B133"/>
    <mergeCell ref="C131:D131"/>
    <mergeCell ref="C132:C133"/>
    <mergeCell ref="D132:D133"/>
    <mergeCell ref="E131:F131"/>
    <mergeCell ref="G131:H131"/>
    <mergeCell ref="I131:J131"/>
    <mergeCell ref="K131:L131"/>
    <mergeCell ref="E69:F69"/>
    <mergeCell ref="G69:H69"/>
    <mergeCell ref="I69:J69"/>
    <mergeCell ref="K69:L69"/>
    <mergeCell ref="C16:D16"/>
    <mergeCell ref="U131:V131"/>
    <mergeCell ref="AA69:AB69"/>
    <mergeCell ref="E70:F70"/>
    <mergeCell ref="G70:H70"/>
    <mergeCell ref="I70:J70"/>
    <mergeCell ref="K70:L70"/>
    <mergeCell ref="M70:N70"/>
    <mergeCell ref="O70:P70"/>
    <mergeCell ref="Q70:R70"/>
    <mergeCell ref="S70:T70"/>
    <mergeCell ref="U70:V70"/>
    <mergeCell ref="W70:X70"/>
    <mergeCell ref="Y70:Z70"/>
    <mergeCell ref="AA70:AB70"/>
    <mergeCell ref="O69:P69"/>
    <mergeCell ref="Q69:R69"/>
    <mergeCell ref="S69:T69"/>
    <mergeCell ref="AA131:AB131"/>
    <mergeCell ref="E132:F132"/>
    <mergeCell ref="G132:H132"/>
    <mergeCell ref="I132:J132"/>
    <mergeCell ref="K132:L132"/>
    <mergeCell ref="M132:N132"/>
    <mergeCell ref="O132:P132"/>
    <mergeCell ref="Q132:R132"/>
    <mergeCell ref="S132:T132"/>
    <mergeCell ref="U132:V132"/>
    <mergeCell ref="W132:X132"/>
    <mergeCell ref="Y132:Z132"/>
    <mergeCell ref="AA132:AB132"/>
    <mergeCell ref="B31:AB31"/>
    <mergeCell ref="B94:AB94"/>
    <mergeCell ref="B156:AB156"/>
    <mergeCell ref="G6:L12"/>
    <mergeCell ref="M131:N131"/>
    <mergeCell ref="O131:P131"/>
    <mergeCell ref="Q131:R131"/>
    <mergeCell ref="S131:T131"/>
    <mergeCell ref="Y69:Z69"/>
    <mergeCell ref="U69:V69"/>
    <mergeCell ref="W69:X69"/>
    <mergeCell ref="M69:N69"/>
    <mergeCell ref="A93:AB93"/>
    <mergeCell ref="A95:B95"/>
    <mergeCell ref="E95:F95"/>
    <mergeCell ref="G95:H95"/>
    <mergeCell ref="I95:J95"/>
    <mergeCell ref="K95:L95"/>
    <mergeCell ref="W131:X131"/>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99"/>
  <sheetViews>
    <sheetView zoomScale="60" zoomScaleNormal="60" workbookViewId="0">
      <pane ySplit="1" topLeftCell="A2" activePane="bottomLeft" state="frozen"/>
      <selection pane="bottomLeft" sqref="A1:O1"/>
    </sheetView>
  </sheetViews>
  <sheetFormatPr baseColWidth="10" defaultColWidth="11.42578125" defaultRowHeight="15" x14ac:dyDescent="0.25"/>
  <cols>
    <col min="1" max="1" width="28.28515625" style="1" bestFit="1" customWidth="1"/>
    <col min="2" max="2" width="36.140625" style="240" customWidth="1"/>
    <col min="3" max="3" width="25.140625" style="1" customWidth="1"/>
    <col min="4" max="4" width="47.28515625" style="1" customWidth="1"/>
    <col min="5" max="5" width="33.42578125" style="1" customWidth="1"/>
    <col min="6" max="6" width="15.7109375" style="1" customWidth="1"/>
    <col min="7" max="7" width="14.5703125" style="1" customWidth="1"/>
    <col min="8" max="8" width="15.85546875" style="1" customWidth="1"/>
    <col min="9" max="9" width="17.42578125" style="1" customWidth="1"/>
    <col min="10" max="10" width="16.5703125" style="1" customWidth="1"/>
    <col min="11" max="11" width="18" style="1" customWidth="1"/>
    <col min="12" max="12" width="15.5703125" style="1" customWidth="1"/>
    <col min="13" max="13" width="16.85546875" style="1" customWidth="1"/>
    <col min="14" max="14" width="15.42578125" style="1" customWidth="1"/>
    <col min="15" max="15" width="15.5703125" style="1" customWidth="1"/>
    <col min="16" max="16" width="13.42578125" style="1" customWidth="1"/>
    <col min="17" max="17" width="16.140625" style="1" customWidth="1"/>
    <col min="18" max="18" width="14" style="1" customWidth="1"/>
    <col min="19" max="19" width="16" style="1" customWidth="1"/>
    <col min="20" max="20" width="17.140625" style="1" customWidth="1"/>
    <col min="21" max="21" width="15.140625" style="1" customWidth="1"/>
    <col min="22" max="22" width="14.140625" style="1" customWidth="1"/>
    <col min="23" max="23" width="14.28515625" style="1" customWidth="1"/>
    <col min="24" max="25" width="14.7109375" style="1" customWidth="1"/>
    <col min="26" max="26" width="14.28515625" style="1" customWidth="1"/>
    <col min="27" max="16384" width="11.42578125" style="1"/>
  </cols>
  <sheetData>
    <row r="1" spans="1:15" s="654" customFormat="1" ht="58.5" customHeight="1" x14ac:dyDescent="0.25">
      <c r="A1" s="656"/>
      <c r="B1" s="661"/>
      <c r="C1" s="659" t="s">
        <v>106</v>
      </c>
      <c r="D1" s="656"/>
      <c r="E1" s="659"/>
      <c r="F1" s="656"/>
      <c r="G1" s="656"/>
      <c r="H1" s="656"/>
      <c r="I1" s="656"/>
      <c r="J1" s="656"/>
      <c r="K1" s="656"/>
      <c r="L1" s="656"/>
      <c r="M1" s="656"/>
      <c r="N1" s="656"/>
      <c r="O1" s="656"/>
    </row>
    <row r="2" spans="1:15" ht="15.75" thickBot="1" x14ac:dyDescent="0.3"/>
    <row r="3" spans="1:15" ht="27" thickBot="1" x14ac:dyDescent="0.45">
      <c r="A3" s="788" t="s">
        <v>362</v>
      </c>
      <c r="B3" s="789"/>
      <c r="C3" s="789"/>
      <c r="D3" s="789"/>
      <c r="E3" s="790"/>
    </row>
    <row r="4" spans="1:15" ht="39.75" customHeight="1" thickBot="1" x14ac:dyDescent="0.3">
      <c r="A4" s="808"/>
      <c r="B4" s="809"/>
      <c r="C4" s="809"/>
      <c r="D4" s="809"/>
      <c r="E4" s="810"/>
    </row>
    <row r="5" spans="1:15" ht="15.75" thickBot="1" x14ac:dyDescent="0.3"/>
    <row r="6" spans="1:15" ht="27" thickBot="1" x14ac:dyDescent="0.45">
      <c r="A6" s="788" t="s">
        <v>136</v>
      </c>
      <c r="B6" s="789"/>
      <c r="C6" s="790"/>
      <c r="D6" s="256"/>
      <c r="E6" s="256"/>
    </row>
    <row r="7" spans="1:15" x14ac:dyDescent="0.25">
      <c r="A7" s="243" t="s">
        <v>115</v>
      </c>
      <c r="B7" s="244">
        <v>52</v>
      </c>
      <c r="C7" s="205" t="s">
        <v>117</v>
      </c>
    </row>
    <row r="8" spans="1:15" ht="30" x14ac:dyDescent="0.25">
      <c r="A8" s="243" t="s">
        <v>119</v>
      </c>
      <c r="B8" s="244">
        <v>2</v>
      </c>
      <c r="C8" s="205" t="s">
        <v>117</v>
      </c>
      <c r="D8" s="1" t="s">
        <v>128</v>
      </c>
    </row>
    <row r="9" spans="1:15" x14ac:dyDescent="0.25">
      <c r="A9" s="243" t="s">
        <v>116</v>
      </c>
      <c r="B9" s="244">
        <v>14</v>
      </c>
      <c r="C9" s="205" t="s">
        <v>118</v>
      </c>
    </row>
    <row r="10" spans="1:15" x14ac:dyDescent="0.25">
      <c r="A10" s="243" t="s">
        <v>129</v>
      </c>
      <c r="B10" s="244">
        <f>(B7-B8)*5 -B9</f>
        <v>236</v>
      </c>
      <c r="C10" s="205" t="s">
        <v>118</v>
      </c>
    </row>
    <row r="11" spans="1:15" x14ac:dyDescent="0.25">
      <c r="A11" s="243" t="s">
        <v>113</v>
      </c>
      <c r="B11" s="244">
        <v>8</v>
      </c>
      <c r="C11" s="205" t="s">
        <v>114</v>
      </c>
    </row>
    <row r="12" spans="1:15" ht="30.75" thickBot="1" x14ac:dyDescent="0.3">
      <c r="A12" s="257" t="s">
        <v>123</v>
      </c>
      <c r="B12" s="258">
        <f>B10*B11</f>
        <v>1888</v>
      </c>
      <c r="C12" s="259" t="s">
        <v>114</v>
      </c>
    </row>
    <row r="13" spans="1:15" ht="49.5" customHeight="1" thickBot="1" x14ac:dyDescent="0.3">
      <c r="A13" s="794" t="s">
        <v>120</v>
      </c>
      <c r="B13" s="260">
        <v>1800</v>
      </c>
      <c r="C13" s="288" t="s">
        <v>124</v>
      </c>
    </row>
    <row r="14" spans="1:15" ht="69" customHeight="1" thickBot="1" x14ac:dyDescent="0.3">
      <c r="A14" s="795"/>
      <c r="B14" s="261">
        <f>B13/12</f>
        <v>150</v>
      </c>
      <c r="C14" s="289" t="s">
        <v>125</v>
      </c>
    </row>
    <row r="15" spans="1:15" x14ac:dyDescent="0.25">
      <c r="A15" s="249"/>
      <c r="B15" s="253"/>
      <c r="C15" s="250"/>
    </row>
    <row r="16" spans="1:15" ht="3.75" customHeight="1" x14ac:dyDescent="0.25">
      <c r="A16" s="251"/>
      <c r="B16" s="254"/>
      <c r="C16" s="252"/>
      <c r="D16" s="199"/>
      <c r="E16" s="199"/>
      <c r="F16" s="199"/>
      <c r="G16" s="199"/>
      <c r="H16" s="199"/>
      <c r="I16" s="199"/>
      <c r="J16" s="199"/>
      <c r="K16" s="199"/>
      <c r="L16" s="199"/>
      <c r="M16" s="199"/>
      <c r="N16" s="199"/>
    </row>
    <row r="17" spans="1:14" ht="15.75" thickBot="1" x14ac:dyDescent="0.3">
      <c r="C17" s="227"/>
      <c r="D17" s="227"/>
      <c r="E17" s="227"/>
      <c r="F17" s="227"/>
    </row>
    <row r="18" spans="1:14" ht="27.75" customHeight="1" thickBot="1" x14ac:dyDescent="0.45">
      <c r="A18" s="788" t="s">
        <v>363</v>
      </c>
      <c r="B18" s="789"/>
      <c r="C18" s="789"/>
      <c r="D18" s="789"/>
      <c r="E18" s="790"/>
      <c r="F18" s="241"/>
    </row>
    <row r="19" spans="1:14" ht="67.5" customHeight="1" thickBot="1" x14ac:dyDescent="0.3">
      <c r="A19" s="273" t="s">
        <v>111</v>
      </c>
      <c r="B19" s="268" t="s">
        <v>122</v>
      </c>
      <c r="C19" s="268" t="s">
        <v>121</v>
      </c>
      <c r="D19" s="268" t="s">
        <v>131</v>
      </c>
      <c r="E19" s="269" t="s">
        <v>132</v>
      </c>
      <c r="F19" s="241"/>
    </row>
    <row r="20" spans="1:14" ht="35.25" customHeight="1" x14ac:dyDescent="0.25">
      <c r="A20" s="278">
        <v>1</v>
      </c>
      <c r="B20" s="262" t="s">
        <v>108</v>
      </c>
      <c r="C20" s="270">
        <v>12</v>
      </c>
      <c r="D20" s="263">
        <v>2</v>
      </c>
      <c r="E20" s="275">
        <f>D20/C20</f>
        <v>0.16666666666666666</v>
      </c>
    </row>
    <row r="21" spans="1:14" x14ac:dyDescent="0.25">
      <c r="A21" s="279">
        <v>2</v>
      </c>
      <c r="B21" s="264" t="s">
        <v>110</v>
      </c>
      <c r="C21" s="271">
        <v>25</v>
      </c>
      <c r="D21" s="265">
        <v>2</v>
      </c>
      <c r="E21" s="276">
        <f t="shared" ref="E21:E22" si="0">D21/C21</f>
        <v>0.08</v>
      </c>
    </row>
    <row r="22" spans="1:14" ht="15.75" thickBot="1" x14ac:dyDescent="0.3">
      <c r="A22" s="280">
        <v>3</v>
      </c>
      <c r="B22" s="266" t="s">
        <v>126</v>
      </c>
      <c r="C22" s="272">
        <v>10</v>
      </c>
      <c r="D22" s="267">
        <v>1</v>
      </c>
      <c r="E22" s="277">
        <f t="shared" si="0"/>
        <v>0.1</v>
      </c>
    </row>
    <row r="23" spans="1:14" ht="52.5" customHeight="1" thickBot="1" x14ac:dyDescent="0.3">
      <c r="A23" s="796" t="s">
        <v>130</v>
      </c>
      <c r="B23" s="797"/>
      <c r="C23" s="798"/>
      <c r="D23" s="273" t="s">
        <v>133</v>
      </c>
      <c r="E23" s="290">
        <f>SUM(E20:E22)</f>
        <v>0.34666666666666668</v>
      </c>
    </row>
    <row r="24" spans="1:14" ht="69.75" customHeight="1" thickBot="1" x14ac:dyDescent="0.3">
      <c r="A24" s="799"/>
      <c r="B24" s="800"/>
      <c r="C24" s="801"/>
      <c r="D24" s="261" t="s">
        <v>134</v>
      </c>
      <c r="E24" s="274">
        <f>$B$14/E23</f>
        <v>432.69230769230768</v>
      </c>
      <c r="F24" s="282" t="s">
        <v>135</v>
      </c>
    </row>
    <row r="25" spans="1:14" x14ac:dyDescent="0.25">
      <c r="C25" s="245"/>
      <c r="D25" s="245"/>
      <c r="E25" s="246"/>
    </row>
    <row r="26" spans="1:14" ht="4.5" customHeight="1" x14ac:dyDescent="0.25">
      <c r="A26" s="199"/>
      <c r="B26" s="255"/>
      <c r="C26" s="247"/>
      <c r="D26" s="247"/>
      <c r="E26" s="248"/>
      <c r="F26" s="199"/>
      <c r="G26" s="199"/>
      <c r="H26" s="199"/>
      <c r="I26" s="199"/>
      <c r="J26" s="199"/>
      <c r="K26" s="199"/>
      <c r="L26" s="199"/>
      <c r="M26" s="199"/>
      <c r="N26" s="199"/>
    </row>
    <row r="27" spans="1:14" ht="15.75" thickBot="1" x14ac:dyDescent="0.3"/>
    <row r="28" spans="1:14" ht="27" thickBot="1" x14ac:dyDescent="0.45">
      <c r="A28" s="788" t="s">
        <v>363</v>
      </c>
      <c r="B28" s="789"/>
      <c r="C28" s="789"/>
      <c r="D28" s="789"/>
      <c r="E28" s="790"/>
    </row>
    <row r="29" spans="1:14" ht="62.25" customHeight="1" thickBot="1" x14ac:dyDescent="0.3">
      <c r="A29" s="273" t="s">
        <v>111</v>
      </c>
      <c r="B29" s="268" t="s">
        <v>122</v>
      </c>
      <c r="C29" s="268" t="s">
        <v>121</v>
      </c>
      <c r="D29" s="268" t="s">
        <v>131</v>
      </c>
      <c r="E29" s="269" t="s">
        <v>132</v>
      </c>
    </row>
    <row r="30" spans="1:14" ht="38.25" customHeight="1" x14ac:dyDescent="0.25">
      <c r="A30" s="278">
        <v>1</v>
      </c>
      <c r="B30" s="262" t="s">
        <v>108</v>
      </c>
      <c r="C30" s="263">
        <v>12</v>
      </c>
      <c r="D30" s="263">
        <v>4</v>
      </c>
      <c r="E30" s="275">
        <f>D30/C30</f>
        <v>0.33333333333333331</v>
      </c>
    </row>
    <row r="31" spans="1:14" ht="30" x14ac:dyDescent="0.25">
      <c r="A31" s="279">
        <v>2</v>
      </c>
      <c r="B31" s="264" t="s">
        <v>109</v>
      </c>
      <c r="C31" s="265">
        <v>12</v>
      </c>
      <c r="D31" s="265">
        <v>8</v>
      </c>
      <c r="E31" s="276">
        <f t="shared" ref="E31:E34" si="1">D31/C31</f>
        <v>0.66666666666666663</v>
      </c>
    </row>
    <row r="32" spans="1:14" ht="30" x14ac:dyDescent="0.25">
      <c r="A32" s="279">
        <v>3</v>
      </c>
      <c r="B32" s="264" t="s">
        <v>127</v>
      </c>
      <c r="C32" s="265">
        <v>18</v>
      </c>
      <c r="D32" s="265">
        <v>8</v>
      </c>
      <c r="E32" s="276">
        <f t="shared" si="1"/>
        <v>0.44444444444444442</v>
      </c>
    </row>
    <row r="33" spans="1:14" x14ac:dyDescent="0.25">
      <c r="A33" s="279">
        <v>4</v>
      </c>
      <c r="B33" s="264" t="s">
        <v>110</v>
      </c>
      <c r="C33" s="265">
        <v>30</v>
      </c>
      <c r="D33" s="265">
        <v>4</v>
      </c>
      <c r="E33" s="276">
        <f t="shared" si="1"/>
        <v>0.13333333333333333</v>
      </c>
    </row>
    <row r="34" spans="1:14" ht="15.75" thickBot="1" x14ac:dyDescent="0.3">
      <c r="A34" s="280">
        <v>5</v>
      </c>
      <c r="B34" s="266" t="s">
        <v>112</v>
      </c>
      <c r="C34" s="267">
        <v>8</v>
      </c>
      <c r="D34" s="267">
        <v>1</v>
      </c>
      <c r="E34" s="277">
        <f t="shared" si="1"/>
        <v>0.125</v>
      </c>
    </row>
    <row r="35" spans="1:14" ht="57" customHeight="1" thickBot="1" x14ac:dyDescent="0.3">
      <c r="A35" s="802"/>
      <c r="B35" s="803"/>
      <c r="C35" s="804"/>
      <c r="D35" s="273" t="s">
        <v>133</v>
      </c>
      <c r="E35" s="291">
        <f>SUM(E30:E34)</f>
        <v>1.7027777777777777</v>
      </c>
    </row>
    <row r="36" spans="1:14" ht="45" customHeight="1" thickBot="1" x14ac:dyDescent="0.3">
      <c r="A36" s="805"/>
      <c r="B36" s="806"/>
      <c r="C36" s="807"/>
      <c r="D36" s="261" t="s">
        <v>134</v>
      </c>
      <c r="E36" s="274">
        <f>$B$14/E35</f>
        <v>88.091353996737354</v>
      </c>
      <c r="F36" s="282" t="s">
        <v>135</v>
      </c>
    </row>
    <row r="38" spans="1:14" ht="5.25" customHeight="1" x14ac:dyDescent="0.25">
      <c r="A38" s="199"/>
      <c r="B38" s="255"/>
      <c r="C38" s="199"/>
      <c r="D38" s="199"/>
      <c r="E38" s="199"/>
      <c r="F38" s="199"/>
      <c r="G38" s="199"/>
      <c r="H38" s="199"/>
      <c r="I38" s="199"/>
      <c r="J38" s="199"/>
      <c r="K38" s="199"/>
      <c r="L38" s="199"/>
      <c r="M38" s="199"/>
      <c r="N38" s="199"/>
    </row>
    <row r="39" spans="1:14" ht="15.75" thickBot="1" x14ac:dyDescent="0.3"/>
    <row r="40" spans="1:14" ht="27" thickBot="1" x14ac:dyDescent="0.45">
      <c r="A40" s="788" t="s">
        <v>364</v>
      </c>
      <c r="B40" s="789"/>
      <c r="C40" s="789"/>
      <c r="D40" s="789"/>
      <c r="E40" s="790"/>
    </row>
    <row r="41" spans="1:14" ht="46.5" customHeight="1" thickBot="1" x14ac:dyDescent="0.3">
      <c r="A41" s="273" t="s">
        <v>111</v>
      </c>
      <c r="B41" s="268" t="s">
        <v>122</v>
      </c>
      <c r="C41" s="268" t="s">
        <v>121</v>
      </c>
      <c r="D41" s="268" t="s">
        <v>131</v>
      </c>
      <c r="E41" s="269" t="s">
        <v>132</v>
      </c>
    </row>
    <row r="42" spans="1:14" ht="31.5" customHeight="1" x14ac:dyDescent="0.25">
      <c r="A42" s="278">
        <v>1</v>
      </c>
      <c r="B42" s="262" t="s">
        <v>108</v>
      </c>
      <c r="C42" s="263">
        <v>12</v>
      </c>
      <c r="D42" s="263">
        <v>8</v>
      </c>
      <c r="E42" s="275">
        <f>D42/C42</f>
        <v>0.66666666666666663</v>
      </c>
    </row>
    <row r="43" spans="1:14" ht="30" x14ac:dyDescent="0.25">
      <c r="A43" s="279">
        <v>2</v>
      </c>
      <c r="B43" s="264" t="s">
        <v>109</v>
      </c>
      <c r="C43" s="265">
        <v>16</v>
      </c>
      <c r="D43" s="265">
        <v>16</v>
      </c>
      <c r="E43" s="276">
        <f t="shared" ref="E43:E46" si="2">D43/C43</f>
        <v>1</v>
      </c>
    </row>
    <row r="44" spans="1:14" ht="30" x14ac:dyDescent="0.25">
      <c r="A44" s="279">
        <v>3</v>
      </c>
      <c r="B44" s="264" t="s">
        <v>127</v>
      </c>
      <c r="C44" s="265">
        <v>20</v>
      </c>
      <c r="D44" s="265">
        <v>16</v>
      </c>
      <c r="E44" s="276">
        <f t="shared" si="2"/>
        <v>0.8</v>
      </c>
    </row>
    <row r="45" spans="1:14" x14ac:dyDescent="0.25">
      <c r="A45" s="279">
        <v>4</v>
      </c>
      <c r="B45" s="264" t="s">
        <v>110</v>
      </c>
      <c r="C45" s="265">
        <v>30</v>
      </c>
      <c r="D45" s="265">
        <v>8</v>
      </c>
      <c r="E45" s="276">
        <f t="shared" si="2"/>
        <v>0.26666666666666666</v>
      </c>
    </row>
    <row r="46" spans="1:14" ht="15.75" thickBot="1" x14ac:dyDescent="0.3">
      <c r="A46" s="280">
        <v>5</v>
      </c>
      <c r="B46" s="266" t="s">
        <v>112</v>
      </c>
      <c r="C46" s="267">
        <v>5</v>
      </c>
      <c r="D46" s="267">
        <v>1</v>
      </c>
      <c r="E46" s="277">
        <f t="shared" si="2"/>
        <v>0.2</v>
      </c>
    </row>
    <row r="47" spans="1:14" ht="45.75" thickBot="1" x14ac:dyDescent="0.3">
      <c r="A47" s="802"/>
      <c r="B47" s="803"/>
      <c r="C47" s="804"/>
      <c r="D47" s="273" t="s">
        <v>133</v>
      </c>
      <c r="E47" s="291">
        <f>SUM(E42:E46)</f>
        <v>2.9333333333333336</v>
      </c>
    </row>
    <row r="48" spans="1:14" ht="66.75" customHeight="1" thickBot="1" x14ac:dyDescent="0.3">
      <c r="A48" s="805"/>
      <c r="B48" s="806"/>
      <c r="C48" s="807"/>
      <c r="D48" s="261" t="s">
        <v>134</v>
      </c>
      <c r="E48" s="274">
        <f>$B$14/E47</f>
        <v>51.136363636363633</v>
      </c>
      <c r="F48" s="282" t="s">
        <v>135</v>
      </c>
    </row>
    <row r="49" spans="1:26" ht="39.75" customHeight="1" x14ac:dyDescent="0.25">
      <c r="A49" s="249"/>
      <c r="B49" s="249"/>
      <c r="C49" s="249"/>
      <c r="D49" s="253"/>
      <c r="E49" s="281"/>
    </row>
    <row r="50" spans="1:26" ht="3.75" customHeight="1" x14ac:dyDescent="0.25">
      <c r="A50" s="199"/>
      <c r="B50" s="255"/>
      <c r="C50" s="199"/>
      <c r="D50" s="199"/>
      <c r="E50" s="199"/>
      <c r="F50" s="199"/>
      <c r="G50" s="199"/>
      <c r="H50" s="199"/>
      <c r="I50" s="199"/>
      <c r="J50" s="199"/>
      <c r="K50" s="199"/>
      <c r="L50" s="199"/>
      <c r="M50" s="199"/>
      <c r="N50" s="199"/>
    </row>
    <row r="51" spans="1:26" ht="9" customHeight="1" x14ac:dyDescent="0.25"/>
    <row r="52" spans="1:26" ht="9" customHeight="1" thickBot="1" x14ac:dyDescent="0.3"/>
    <row r="53" spans="1:26" ht="32.25" customHeight="1" thickBot="1" x14ac:dyDescent="0.45">
      <c r="A53" s="788" t="s">
        <v>143</v>
      </c>
      <c r="B53" s="789"/>
      <c r="C53" s="789"/>
      <c r="D53" s="789"/>
      <c r="E53" s="790"/>
    </row>
    <row r="54" spans="1:26" x14ac:dyDescent="0.25">
      <c r="A54" s="793" t="s">
        <v>140</v>
      </c>
      <c r="B54" s="793"/>
      <c r="C54" s="792" t="s">
        <v>40</v>
      </c>
      <c r="D54" s="792"/>
      <c r="E54" s="792" t="s">
        <v>41</v>
      </c>
      <c r="F54" s="792"/>
      <c r="G54" s="792" t="s">
        <v>42</v>
      </c>
      <c r="H54" s="792"/>
      <c r="I54" s="792" t="s">
        <v>43</v>
      </c>
      <c r="J54" s="792"/>
      <c r="K54" s="792" t="s">
        <v>44</v>
      </c>
      <c r="L54" s="792"/>
      <c r="M54" s="792" t="s">
        <v>45</v>
      </c>
      <c r="N54" s="792"/>
      <c r="O54" s="792" t="s">
        <v>46</v>
      </c>
      <c r="P54" s="792"/>
      <c r="Q54" s="792" t="s">
        <v>47</v>
      </c>
      <c r="R54" s="792"/>
      <c r="S54" s="792" t="s">
        <v>48</v>
      </c>
      <c r="T54" s="792"/>
      <c r="U54" s="792" t="s">
        <v>49</v>
      </c>
      <c r="V54" s="792"/>
      <c r="W54" s="792" t="s">
        <v>50</v>
      </c>
      <c r="X54" s="792"/>
      <c r="Y54" s="792" t="s">
        <v>51</v>
      </c>
      <c r="Z54" s="792"/>
    </row>
    <row r="55" spans="1:26" ht="45" x14ac:dyDescent="0.25">
      <c r="A55" s="793"/>
      <c r="B55" s="793"/>
      <c r="C55" s="286" t="s">
        <v>137</v>
      </c>
      <c r="D55" s="286" t="s">
        <v>139</v>
      </c>
      <c r="E55" s="286" t="s">
        <v>137</v>
      </c>
      <c r="F55" s="286" t="s">
        <v>138</v>
      </c>
      <c r="G55" s="286" t="s">
        <v>137</v>
      </c>
      <c r="H55" s="286" t="s">
        <v>139</v>
      </c>
      <c r="I55" s="286" t="s">
        <v>137</v>
      </c>
      <c r="J55" s="286" t="s">
        <v>138</v>
      </c>
      <c r="K55" s="286" t="s">
        <v>137</v>
      </c>
      <c r="L55" s="286" t="s">
        <v>139</v>
      </c>
      <c r="M55" s="286" t="s">
        <v>137</v>
      </c>
      <c r="N55" s="286" t="s">
        <v>139</v>
      </c>
      <c r="O55" s="286" t="s">
        <v>137</v>
      </c>
      <c r="P55" s="286" t="s">
        <v>139</v>
      </c>
      <c r="Q55" s="286" t="s">
        <v>137</v>
      </c>
      <c r="R55" s="286" t="s">
        <v>139</v>
      </c>
      <c r="S55" s="286" t="s">
        <v>137</v>
      </c>
      <c r="T55" s="286" t="s">
        <v>139</v>
      </c>
      <c r="U55" s="286" t="s">
        <v>137</v>
      </c>
      <c r="V55" s="286" t="s">
        <v>139</v>
      </c>
      <c r="W55" s="286" t="s">
        <v>137</v>
      </c>
      <c r="X55" s="286" t="s">
        <v>139</v>
      </c>
      <c r="Y55" s="286" t="s">
        <v>137</v>
      </c>
      <c r="Z55" s="286" t="s">
        <v>139</v>
      </c>
    </row>
    <row r="56" spans="1:26" ht="15.75" x14ac:dyDescent="0.25">
      <c r="A56" s="285"/>
      <c r="B56" s="285"/>
      <c r="C56" s="205" t="e">
        <f>'Proy. ventas'!#REF!</f>
        <v>#REF!</v>
      </c>
      <c r="D56" s="205" t="e">
        <f>C56*$E$23</f>
        <v>#REF!</v>
      </c>
      <c r="E56" s="284" t="e">
        <f>'Proy. ventas'!#REF!</f>
        <v>#REF!</v>
      </c>
      <c r="F56" s="205" t="e">
        <f>E56*$E$23</f>
        <v>#REF!</v>
      </c>
      <c r="G56" s="284" t="e">
        <f>'Proy. ventas'!#REF!</f>
        <v>#REF!</v>
      </c>
      <c r="H56" s="205" t="e">
        <f>G56*$E$23</f>
        <v>#REF!</v>
      </c>
      <c r="I56" s="284" t="e">
        <f>'Proy. ventas'!#REF!</f>
        <v>#REF!</v>
      </c>
      <c r="J56" s="205" t="e">
        <f>I56*$E$23</f>
        <v>#REF!</v>
      </c>
      <c r="K56" s="284" t="e">
        <f>'Proy. ventas'!#REF!</f>
        <v>#REF!</v>
      </c>
      <c r="L56" s="205" t="e">
        <f>K56*$E$23</f>
        <v>#REF!</v>
      </c>
      <c r="M56" s="284" t="e">
        <f>'Proy. ventas'!#REF!</f>
        <v>#REF!</v>
      </c>
      <c r="N56" s="205" t="e">
        <f>M56*$E$23</f>
        <v>#REF!</v>
      </c>
      <c r="O56" s="284" t="e">
        <f>'Proy. ventas'!#REF!</f>
        <v>#REF!</v>
      </c>
      <c r="P56" s="205" t="e">
        <f>O56*$E$23</f>
        <v>#REF!</v>
      </c>
      <c r="Q56" s="284" t="e">
        <f>'Proy. ventas'!#REF!</f>
        <v>#REF!</v>
      </c>
      <c r="R56" s="205" t="e">
        <f>Q56*$E$23</f>
        <v>#REF!</v>
      </c>
      <c r="S56" s="284" t="e">
        <f>'Proy. ventas'!#REF!</f>
        <v>#REF!</v>
      </c>
      <c r="T56" s="205" t="e">
        <f>S56*$E$23</f>
        <v>#REF!</v>
      </c>
      <c r="U56" s="284" t="e">
        <f>'Proy. ventas'!#REF!</f>
        <v>#REF!</v>
      </c>
      <c r="V56" s="205" t="e">
        <f>U56*$E$23</f>
        <v>#REF!</v>
      </c>
      <c r="W56" s="284" t="e">
        <f>'Proy. ventas'!#REF!</f>
        <v>#REF!</v>
      </c>
      <c r="X56" s="205" t="e">
        <f>W56*$E$23</f>
        <v>#REF!</v>
      </c>
      <c r="Y56" s="284" t="e">
        <f>'Proy. ventas'!#REF!</f>
        <v>#REF!</v>
      </c>
      <c r="Z56" s="205" t="e">
        <f>Y56*$E$23</f>
        <v>#REF!</v>
      </c>
    </row>
    <row r="57" spans="1:26" ht="15.75" x14ac:dyDescent="0.25">
      <c r="A57" s="285"/>
      <c r="B57" s="285"/>
      <c r="C57" s="205" t="e">
        <f>'Proy. ventas'!#REF!</f>
        <v>#REF!</v>
      </c>
      <c r="D57" s="205" t="e">
        <f>C57*$E$35</f>
        <v>#REF!</v>
      </c>
      <c r="E57" s="284" t="e">
        <f>'Proy. ventas'!#REF!</f>
        <v>#REF!</v>
      </c>
      <c r="F57" s="205" t="e">
        <f>E57*$E$35</f>
        <v>#REF!</v>
      </c>
      <c r="G57" s="284" t="e">
        <f>'Proy. ventas'!#REF!</f>
        <v>#REF!</v>
      </c>
      <c r="H57" s="205" t="e">
        <f>G57*$E$35</f>
        <v>#REF!</v>
      </c>
      <c r="I57" s="284" t="e">
        <f>'Proy. ventas'!#REF!</f>
        <v>#REF!</v>
      </c>
      <c r="J57" s="205" t="e">
        <f>I57*$E$35</f>
        <v>#REF!</v>
      </c>
      <c r="K57" s="284" t="e">
        <f>'Proy. ventas'!#REF!</f>
        <v>#REF!</v>
      </c>
      <c r="L57" s="205" t="e">
        <f>K57*$E$35</f>
        <v>#REF!</v>
      </c>
      <c r="M57" s="284" t="e">
        <f>'Proy. ventas'!#REF!</f>
        <v>#REF!</v>
      </c>
      <c r="N57" s="205" t="e">
        <f>M57*$E$35</f>
        <v>#REF!</v>
      </c>
      <c r="O57" s="284" t="e">
        <f>'Proy. ventas'!#REF!</f>
        <v>#REF!</v>
      </c>
      <c r="P57" s="205" t="e">
        <f>O57*$E$35</f>
        <v>#REF!</v>
      </c>
      <c r="Q57" s="284" t="e">
        <f>'Proy. ventas'!#REF!</f>
        <v>#REF!</v>
      </c>
      <c r="R57" s="205" t="e">
        <f>Q57*$E$35</f>
        <v>#REF!</v>
      </c>
      <c r="S57" s="284" t="e">
        <f>'Proy. ventas'!#REF!</f>
        <v>#REF!</v>
      </c>
      <c r="T57" s="205" t="e">
        <f>S57*$E$35</f>
        <v>#REF!</v>
      </c>
      <c r="U57" s="284" t="e">
        <f>'Proy. ventas'!#REF!</f>
        <v>#REF!</v>
      </c>
      <c r="V57" s="205" t="e">
        <f>U57*$E$35</f>
        <v>#REF!</v>
      </c>
      <c r="W57" s="284" t="e">
        <f>'Proy. ventas'!#REF!</f>
        <v>#REF!</v>
      </c>
      <c r="X57" s="205" t="e">
        <f>W57*$E$35</f>
        <v>#REF!</v>
      </c>
      <c r="Y57" s="284" t="e">
        <f>'Proy. ventas'!#REF!</f>
        <v>#REF!</v>
      </c>
      <c r="Z57" s="205" t="e">
        <f>Y57*$E$35</f>
        <v>#REF!</v>
      </c>
    </row>
    <row r="58" spans="1:26" ht="15.75" x14ac:dyDescent="0.25">
      <c r="A58" s="285"/>
      <c r="B58" s="285"/>
      <c r="C58" s="284" t="e">
        <f>'Proy. ventas'!#REF!</f>
        <v>#REF!</v>
      </c>
      <c r="D58" s="205" t="e">
        <f>C58*$E$47</f>
        <v>#REF!</v>
      </c>
      <c r="E58" s="284" t="e">
        <f>'Proy. ventas'!#REF!</f>
        <v>#REF!</v>
      </c>
      <c r="F58" s="205" t="e">
        <f>E58*$E$47</f>
        <v>#REF!</v>
      </c>
      <c r="G58" s="284" t="e">
        <f>'Proy. ventas'!#REF!</f>
        <v>#REF!</v>
      </c>
      <c r="H58" s="205" t="e">
        <f>G58*$E$47</f>
        <v>#REF!</v>
      </c>
      <c r="I58" s="284" t="e">
        <f>'Proy. ventas'!#REF!</f>
        <v>#REF!</v>
      </c>
      <c r="J58" s="205" t="e">
        <f>I58*$E$47</f>
        <v>#REF!</v>
      </c>
      <c r="K58" s="284" t="e">
        <f>'Proy. ventas'!#REF!</f>
        <v>#REF!</v>
      </c>
      <c r="L58" s="205" t="e">
        <f>K58*$E$47</f>
        <v>#REF!</v>
      </c>
      <c r="M58" s="284" t="e">
        <f>'Proy. ventas'!#REF!</f>
        <v>#REF!</v>
      </c>
      <c r="N58" s="205" t="e">
        <f>M58*$E$47</f>
        <v>#REF!</v>
      </c>
      <c r="O58" s="284" t="e">
        <f>'Proy. ventas'!#REF!</f>
        <v>#REF!</v>
      </c>
      <c r="P58" s="205" t="e">
        <f>O58*$E$47</f>
        <v>#REF!</v>
      </c>
      <c r="Q58" s="284" t="e">
        <f>'Proy. ventas'!#REF!</f>
        <v>#REF!</v>
      </c>
      <c r="R58" s="205" t="e">
        <f>Q58*$E$47</f>
        <v>#REF!</v>
      </c>
      <c r="S58" s="284" t="e">
        <f>'Proy. ventas'!#REF!</f>
        <v>#REF!</v>
      </c>
      <c r="T58" s="205" t="e">
        <f>S58*$E$47</f>
        <v>#REF!</v>
      </c>
      <c r="U58" s="284" t="e">
        <f>'Proy. ventas'!#REF!</f>
        <v>#REF!</v>
      </c>
      <c r="V58" s="205" t="e">
        <f>U58*$E$47</f>
        <v>#REF!</v>
      </c>
      <c r="W58" s="284" t="e">
        <f>'Proy. ventas'!#REF!</f>
        <v>#REF!</v>
      </c>
      <c r="X58" s="205" t="e">
        <f>W58*$E$47</f>
        <v>#REF!</v>
      </c>
      <c r="Y58" s="284" t="e">
        <f>'Proy. ventas'!#REF!</f>
        <v>#REF!</v>
      </c>
      <c r="Z58" s="205" t="e">
        <f>Y58*$E$47</f>
        <v>#REF!</v>
      </c>
    </row>
    <row r="59" spans="1:26" x14ac:dyDescent="0.25">
      <c r="A59" s="787" t="s">
        <v>58</v>
      </c>
      <c r="B59" s="787"/>
      <c r="C59" s="284" t="e">
        <f t="shared" ref="C59:Z59" si="3">SUM(C56:C58)</f>
        <v>#REF!</v>
      </c>
      <c r="D59" s="287" t="e">
        <f t="shared" si="3"/>
        <v>#REF!</v>
      </c>
      <c r="E59" s="284" t="e">
        <f t="shared" si="3"/>
        <v>#REF!</v>
      </c>
      <c r="F59" s="287" t="e">
        <f t="shared" si="3"/>
        <v>#REF!</v>
      </c>
      <c r="G59" s="284" t="e">
        <f t="shared" si="3"/>
        <v>#REF!</v>
      </c>
      <c r="H59" s="287" t="e">
        <f t="shared" si="3"/>
        <v>#REF!</v>
      </c>
      <c r="I59" s="284" t="e">
        <f t="shared" si="3"/>
        <v>#REF!</v>
      </c>
      <c r="J59" s="287" t="e">
        <f t="shared" si="3"/>
        <v>#REF!</v>
      </c>
      <c r="K59" s="284" t="e">
        <f t="shared" si="3"/>
        <v>#REF!</v>
      </c>
      <c r="L59" s="287" t="e">
        <f t="shared" si="3"/>
        <v>#REF!</v>
      </c>
      <c r="M59" s="284" t="e">
        <f t="shared" si="3"/>
        <v>#REF!</v>
      </c>
      <c r="N59" s="287" t="e">
        <f t="shared" si="3"/>
        <v>#REF!</v>
      </c>
      <c r="O59" s="284" t="e">
        <f t="shared" si="3"/>
        <v>#REF!</v>
      </c>
      <c r="P59" s="287" t="e">
        <f t="shared" si="3"/>
        <v>#REF!</v>
      </c>
      <c r="Q59" s="284" t="e">
        <f t="shared" si="3"/>
        <v>#REF!</v>
      </c>
      <c r="R59" s="287" t="e">
        <f t="shared" si="3"/>
        <v>#REF!</v>
      </c>
      <c r="S59" s="284" t="e">
        <f t="shared" si="3"/>
        <v>#REF!</v>
      </c>
      <c r="T59" s="287" t="e">
        <f t="shared" si="3"/>
        <v>#REF!</v>
      </c>
      <c r="U59" s="284" t="e">
        <f t="shared" si="3"/>
        <v>#REF!</v>
      </c>
      <c r="V59" s="287" t="e">
        <f t="shared" si="3"/>
        <v>#REF!</v>
      </c>
      <c r="W59" s="284" t="e">
        <f t="shared" si="3"/>
        <v>#REF!</v>
      </c>
      <c r="X59" s="287" t="e">
        <f t="shared" si="3"/>
        <v>#REF!</v>
      </c>
      <c r="Y59" s="284" t="e">
        <f t="shared" si="3"/>
        <v>#REF!</v>
      </c>
      <c r="Z59" s="287" t="e">
        <f t="shared" si="3"/>
        <v>#REF!</v>
      </c>
    </row>
    <row r="60" spans="1:26" ht="9.75" customHeight="1" x14ac:dyDescent="0.25"/>
    <row r="61" spans="1:26" ht="9.75" customHeight="1" x14ac:dyDescent="0.25"/>
    <row r="62" spans="1:26" x14ac:dyDescent="0.25">
      <c r="A62" s="793" t="s">
        <v>141</v>
      </c>
      <c r="B62" s="793"/>
      <c r="C62" s="792" t="s">
        <v>40</v>
      </c>
      <c r="D62" s="792"/>
      <c r="E62" s="792" t="s">
        <v>41</v>
      </c>
      <c r="F62" s="792"/>
      <c r="G62" s="792" t="s">
        <v>42</v>
      </c>
      <c r="H62" s="792"/>
      <c r="I62" s="792" t="s">
        <v>43</v>
      </c>
      <c r="J62" s="792"/>
      <c r="K62" s="792" t="s">
        <v>44</v>
      </c>
      <c r="L62" s="792"/>
      <c r="M62" s="792" t="s">
        <v>45</v>
      </c>
      <c r="N62" s="792"/>
      <c r="O62" s="792" t="s">
        <v>46</v>
      </c>
      <c r="P62" s="792"/>
      <c r="Q62" s="792" t="s">
        <v>47</v>
      </c>
      <c r="R62" s="792"/>
      <c r="S62" s="792" t="s">
        <v>48</v>
      </c>
      <c r="T62" s="792"/>
      <c r="U62" s="792" t="s">
        <v>49</v>
      </c>
      <c r="V62" s="792"/>
      <c r="W62" s="792" t="s">
        <v>50</v>
      </c>
      <c r="X62" s="792"/>
      <c r="Y62" s="792" t="s">
        <v>51</v>
      </c>
      <c r="Z62" s="792"/>
    </row>
    <row r="63" spans="1:26" ht="45" x14ac:dyDescent="0.25">
      <c r="A63" s="793"/>
      <c r="B63" s="793"/>
      <c r="C63" s="286" t="s">
        <v>137</v>
      </c>
      <c r="D63" s="286" t="s">
        <v>139</v>
      </c>
      <c r="E63" s="286" t="s">
        <v>137</v>
      </c>
      <c r="F63" s="286" t="s">
        <v>138</v>
      </c>
      <c r="G63" s="286" t="s">
        <v>137</v>
      </c>
      <c r="H63" s="286" t="s">
        <v>139</v>
      </c>
      <c r="I63" s="286" t="s">
        <v>137</v>
      </c>
      <c r="J63" s="286" t="s">
        <v>138</v>
      </c>
      <c r="K63" s="286" t="s">
        <v>137</v>
      </c>
      <c r="L63" s="286" t="s">
        <v>139</v>
      </c>
      <c r="M63" s="286" t="s">
        <v>137</v>
      </c>
      <c r="N63" s="286" t="s">
        <v>139</v>
      </c>
      <c r="O63" s="286" t="s">
        <v>137</v>
      </c>
      <c r="P63" s="286" t="s">
        <v>139</v>
      </c>
      <c r="Q63" s="286" t="s">
        <v>137</v>
      </c>
      <c r="R63" s="286" t="s">
        <v>139</v>
      </c>
      <c r="S63" s="286" t="s">
        <v>137</v>
      </c>
      <c r="T63" s="286" t="s">
        <v>139</v>
      </c>
      <c r="U63" s="286" t="s">
        <v>137</v>
      </c>
      <c r="V63" s="286" t="s">
        <v>139</v>
      </c>
      <c r="W63" s="286" t="s">
        <v>137</v>
      </c>
      <c r="X63" s="286" t="s">
        <v>139</v>
      </c>
      <c r="Y63" s="286" t="s">
        <v>137</v>
      </c>
      <c r="Z63" s="286" t="s">
        <v>139</v>
      </c>
    </row>
    <row r="64" spans="1:26" ht="15.75" x14ac:dyDescent="0.25">
      <c r="A64" s="285"/>
      <c r="B64" s="285"/>
      <c r="C64" s="205">
        <f>'Proy. ventas'!E86</f>
        <v>132</v>
      </c>
      <c r="D64" s="205">
        <f>C64*$E$23</f>
        <v>45.760000000000005</v>
      </c>
      <c r="E64" s="284">
        <f>'Proy. ventas'!G72</f>
        <v>120</v>
      </c>
      <c r="F64" s="205">
        <f>E64*$E$23</f>
        <v>41.6</v>
      </c>
      <c r="G64" s="284">
        <f>'Proy. ventas'!I72</f>
        <v>84.000000000000014</v>
      </c>
      <c r="H64" s="205">
        <f>G64*$E$23</f>
        <v>29.120000000000005</v>
      </c>
      <c r="I64" s="284">
        <f>'Proy. ventas'!K72</f>
        <v>72</v>
      </c>
      <c r="J64" s="205">
        <f>I64*$E$23</f>
        <v>24.96</v>
      </c>
      <c r="K64" s="284">
        <f>'Proy. ventas'!M72</f>
        <v>72</v>
      </c>
      <c r="L64" s="205">
        <f>K64*$E$23</f>
        <v>24.96</v>
      </c>
      <c r="M64" s="284">
        <f>'Proy. ventas'!O72</f>
        <v>48</v>
      </c>
      <c r="N64" s="205">
        <f>M64*$E$23</f>
        <v>16.64</v>
      </c>
      <c r="O64" s="284">
        <f>'Proy. ventas'!Q72</f>
        <v>108</v>
      </c>
      <c r="P64" s="205">
        <f>O64*$E$23</f>
        <v>37.44</v>
      </c>
      <c r="Q64" s="284">
        <f>'Proy. ventas'!S72</f>
        <v>60</v>
      </c>
      <c r="R64" s="205">
        <f>Q64*$E$23</f>
        <v>20.8</v>
      </c>
      <c r="S64" s="284">
        <f>'Proy. ventas'!U72</f>
        <v>108</v>
      </c>
      <c r="T64" s="205">
        <f>S64*$E$23</f>
        <v>37.44</v>
      </c>
      <c r="U64" s="284">
        <f>'Proy. ventas'!W72</f>
        <v>120</v>
      </c>
      <c r="V64" s="205">
        <f>U64*$E$23</f>
        <v>41.6</v>
      </c>
      <c r="W64" s="284">
        <f>'Proy. ventas'!Y72</f>
        <v>132</v>
      </c>
      <c r="X64" s="205">
        <f>W64*$E$23</f>
        <v>45.760000000000005</v>
      </c>
      <c r="Y64" s="284">
        <f>'Proy. ventas'!AA72</f>
        <v>144</v>
      </c>
      <c r="Z64" s="205">
        <f>Y64*$E$23</f>
        <v>49.92</v>
      </c>
    </row>
    <row r="65" spans="1:26" ht="15.75" x14ac:dyDescent="0.25">
      <c r="A65" s="285"/>
      <c r="B65" s="285"/>
      <c r="C65" s="284">
        <f>'Proy. ventas'!E73</f>
        <v>92.95</v>
      </c>
      <c r="D65" s="205">
        <f>C65*$E$35</f>
        <v>158.27319444444444</v>
      </c>
      <c r="E65" s="284">
        <f>'Proy. ventas'!G73</f>
        <v>84.5</v>
      </c>
      <c r="F65" s="205">
        <f>E65*$E$35</f>
        <v>143.88472222222222</v>
      </c>
      <c r="G65" s="284">
        <f>'Proy. ventas'!I73</f>
        <v>59.150000000000006</v>
      </c>
      <c r="H65" s="205">
        <f>G65*$E$35</f>
        <v>100.71930555555556</v>
      </c>
      <c r="I65" s="284">
        <f>'Proy. ventas'!K73</f>
        <v>50.699999999999996</v>
      </c>
      <c r="J65" s="205">
        <f>I65*$E$35</f>
        <v>86.330833333333317</v>
      </c>
      <c r="K65" s="284">
        <f>'Proy. ventas'!M73</f>
        <v>50.699999999999996</v>
      </c>
      <c r="L65" s="205">
        <f>K65*$E$35</f>
        <v>86.330833333333317</v>
      </c>
      <c r="M65" s="284">
        <f>'Proy. ventas'!O73</f>
        <v>33.799999999999997</v>
      </c>
      <c r="N65" s="205">
        <f>M65*$E$35</f>
        <v>57.553888888888885</v>
      </c>
      <c r="O65" s="284">
        <f>'Proy. ventas'!Q73</f>
        <v>76.05</v>
      </c>
      <c r="P65" s="205">
        <f>O65*$E$35</f>
        <v>129.49625</v>
      </c>
      <c r="Q65" s="284">
        <f>'Proy. ventas'!S73</f>
        <v>42.25</v>
      </c>
      <c r="R65" s="205">
        <f>Q65*$E$35</f>
        <v>71.942361111111111</v>
      </c>
      <c r="S65" s="284">
        <f>'Proy. ventas'!U73</f>
        <v>76.05</v>
      </c>
      <c r="T65" s="205">
        <f>S65*$E$35</f>
        <v>129.49625</v>
      </c>
      <c r="U65" s="284">
        <f>'Proy. ventas'!W73</f>
        <v>84.5</v>
      </c>
      <c r="V65" s="205">
        <f>U65*$E$35</f>
        <v>143.88472222222222</v>
      </c>
      <c r="W65" s="284">
        <f>'Proy. ventas'!Y73</f>
        <v>92.95</v>
      </c>
      <c r="X65" s="205">
        <f>W65*$E$35</f>
        <v>158.27319444444444</v>
      </c>
      <c r="Y65" s="284">
        <f>'Proy. ventas'!AA73</f>
        <v>101.39999999999999</v>
      </c>
      <c r="Z65" s="205">
        <f>Y65*$E$35</f>
        <v>172.66166666666663</v>
      </c>
    </row>
    <row r="66" spans="1:26" ht="15.75" x14ac:dyDescent="0.25">
      <c r="A66" s="285"/>
      <c r="B66" s="285"/>
      <c r="C66" s="284">
        <f>'Proy. ventas'!E74</f>
        <v>26.95</v>
      </c>
      <c r="D66" s="205">
        <f>C66*$E$47</f>
        <v>79.053333333333342</v>
      </c>
      <c r="E66" s="284">
        <f>'Proy. ventas'!G74</f>
        <v>24.5</v>
      </c>
      <c r="F66" s="205">
        <f>E66*$E$47</f>
        <v>71.866666666666674</v>
      </c>
      <c r="G66" s="284">
        <f>'Proy. ventas'!I74</f>
        <v>17.150000000000002</v>
      </c>
      <c r="H66" s="205">
        <f>G66*$E$47</f>
        <v>50.306666666666679</v>
      </c>
      <c r="I66" s="284">
        <f>'Proy. ventas'!K74</f>
        <v>14.7</v>
      </c>
      <c r="J66" s="205">
        <f>I66*$E$47</f>
        <v>43.120000000000005</v>
      </c>
      <c r="K66" s="284">
        <f>'Proy. ventas'!M74</f>
        <v>14.7</v>
      </c>
      <c r="L66" s="205">
        <f>K66*$E$47</f>
        <v>43.120000000000005</v>
      </c>
      <c r="M66" s="284">
        <f>'Proy. ventas'!O74</f>
        <v>9.8000000000000007</v>
      </c>
      <c r="N66" s="205">
        <f>M66*$E$47</f>
        <v>28.74666666666667</v>
      </c>
      <c r="O66" s="284">
        <f>'Proy. ventas'!Q74</f>
        <v>22.05</v>
      </c>
      <c r="P66" s="205">
        <f>O66*$E$47</f>
        <v>64.680000000000007</v>
      </c>
      <c r="Q66" s="284">
        <f>'Proy. ventas'!S74</f>
        <v>12.25</v>
      </c>
      <c r="R66" s="205">
        <f>Q66*$E$47</f>
        <v>35.933333333333337</v>
      </c>
      <c r="S66" s="284">
        <f>'Proy. ventas'!U74</f>
        <v>22.05</v>
      </c>
      <c r="T66" s="205">
        <f>S66*$E$47</f>
        <v>64.680000000000007</v>
      </c>
      <c r="U66" s="284">
        <f>'Proy. ventas'!W74</f>
        <v>24.5</v>
      </c>
      <c r="V66" s="205">
        <f>U66*$E$47</f>
        <v>71.866666666666674</v>
      </c>
      <c r="W66" s="284">
        <f>'Proy. ventas'!Y74</f>
        <v>26.95</v>
      </c>
      <c r="X66" s="205">
        <f>W66*$E$47</f>
        <v>79.053333333333342</v>
      </c>
      <c r="Y66" s="284">
        <f>'Proy. ventas'!AA74</f>
        <v>29.4</v>
      </c>
      <c r="Z66" s="205">
        <f>Y66*$E$47</f>
        <v>86.240000000000009</v>
      </c>
    </row>
    <row r="67" spans="1:26" x14ac:dyDescent="0.25">
      <c r="A67" s="787" t="s">
        <v>58</v>
      </c>
      <c r="B67" s="787"/>
      <c r="C67" s="284">
        <f t="shared" ref="C67" si="4">SUM(C64:C66)</f>
        <v>251.89999999999998</v>
      </c>
      <c r="D67" s="287">
        <f t="shared" ref="D67" si="5">SUM(D64:D66)</f>
        <v>283.0865277777778</v>
      </c>
      <c r="E67" s="284">
        <f t="shared" ref="E67" si="6">SUM(E64:E66)</f>
        <v>229</v>
      </c>
      <c r="F67" s="287">
        <f t="shared" ref="F67" si="7">SUM(F64:F66)</f>
        <v>257.35138888888889</v>
      </c>
      <c r="G67" s="284">
        <f t="shared" ref="G67" si="8">SUM(G64:G66)</f>
        <v>160.30000000000004</v>
      </c>
      <c r="H67" s="287">
        <f t="shared" ref="H67" si="9">SUM(H64:H66)</f>
        <v>180.14597222222224</v>
      </c>
      <c r="I67" s="284">
        <f t="shared" ref="I67" si="10">SUM(I64:I66)</f>
        <v>137.39999999999998</v>
      </c>
      <c r="J67" s="287">
        <f t="shared" ref="J67" si="11">SUM(J64:J66)</f>
        <v>154.41083333333333</v>
      </c>
      <c r="K67" s="284">
        <f t="shared" ref="K67" si="12">SUM(K64:K66)</f>
        <v>137.39999999999998</v>
      </c>
      <c r="L67" s="287">
        <f t="shared" ref="L67" si="13">SUM(L64:L66)</f>
        <v>154.41083333333333</v>
      </c>
      <c r="M67" s="284">
        <f t="shared" ref="M67" si="14">SUM(M64:M66)</f>
        <v>91.6</v>
      </c>
      <c r="N67" s="287">
        <f t="shared" ref="N67" si="15">SUM(N64:N66)</f>
        <v>102.94055555555556</v>
      </c>
      <c r="O67" s="284">
        <f t="shared" ref="O67" si="16">SUM(O64:O66)</f>
        <v>206.10000000000002</v>
      </c>
      <c r="P67" s="287">
        <f t="shared" ref="P67" si="17">SUM(P64:P66)</f>
        <v>231.61625000000001</v>
      </c>
      <c r="Q67" s="284">
        <f t="shared" ref="Q67" si="18">SUM(Q64:Q66)</f>
        <v>114.5</v>
      </c>
      <c r="R67" s="287">
        <f t="shared" ref="R67" si="19">SUM(R64:R66)</f>
        <v>128.67569444444445</v>
      </c>
      <c r="S67" s="284">
        <f t="shared" ref="S67" si="20">SUM(S64:S66)</f>
        <v>206.10000000000002</v>
      </c>
      <c r="T67" s="287">
        <f t="shared" ref="T67" si="21">SUM(T64:T66)</f>
        <v>231.61625000000001</v>
      </c>
      <c r="U67" s="284">
        <f t="shared" ref="U67" si="22">SUM(U64:U66)</f>
        <v>229</v>
      </c>
      <c r="V67" s="287">
        <f t="shared" ref="V67" si="23">SUM(V64:V66)</f>
        <v>257.35138888888889</v>
      </c>
      <c r="W67" s="284">
        <f t="shared" ref="W67" si="24">SUM(W64:W66)</f>
        <v>251.89999999999998</v>
      </c>
      <c r="X67" s="287">
        <f t="shared" ref="X67" si="25">SUM(X64:X66)</f>
        <v>283.0865277777778</v>
      </c>
      <c r="Y67" s="284">
        <f t="shared" ref="Y67" si="26">SUM(Y64:Y66)</f>
        <v>274.79999999999995</v>
      </c>
      <c r="Z67" s="287">
        <f t="shared" ref="Z67" si="27">SUM(Z64:Z66)</f>
        <v>308.82166666666666</v>
      </c>
    </row>
    <row r="68" spans="1:26" ht="9.75" customHeight="1" x14ac:dyDescent="0.25"/>
    <row r="69" spans="1:26" ht="9.75" customHeight="1" x14ac:dyDescent="0.25"/>
    <row r="70" spans="1:26" x14ac:dyDescent="0.25">
      <c r="A70" s="793" t="s">
        <v>142</v>
      </c>
      <c r="B70" s="793"/>
      <c r="C70" s="792" t="s">
        <v>40</v>
      </c>
      <c r="D70" s="792"/>
      <c r="E70" s="792" t="s">
        <v>41</v>
      </c>
      <c r="F70" s="792"/>
      <c r="G70" s="792" t="s">
        <v>42</v>
      </c>
      <c r="H70" s="792"/>
      <c r="I70" s="792" t="s">
        <v>43</v>
      </c>
      <c r="J70" s="792"/>
      <c r="K70" s="792" t="s">
        <v>44</v>
      </c>
      <c r="L70" s="792"/>
      <c r="M70" s="792" t="s">
        <v>45</v>
      </c>
      <c r="N70" s="792"/>
      <c r="O70" s="792" t="s">
        <v>46</v>
      </c>
      <c r="P70" s="792"/>
      <c r="Q70" s="792" t="s">
        <v>47</v>
      </c>
      <c r="R70" s="792"/>
      <c r="S70" s="792" t="s">
        <v>48</v>
      </c>
      <c r="T70" s="792"/>
      <c r="U70" s="792" t="s">
        <v>49</v>
      </c>
      <c r="V70" s="792"/>
      <c r="W70" s="792" t="s">
        <v>50</v>
      </c>
      <c r="X70" s="792"/>
      <c r="Y70" s="792" t="s">
        <v>51</v>
      </c>
      <c r="Z70" s="792"/>
    </row>
    <row r="71" spans="1:26" ht="45" x14ac:dyDescent="0.25">
      <c r="A71" s="793"/>
      <c r="B71" s="793"/>
      <c r="C71" s="286" t="s">
        <v>137</v>
      </c>
      <c r="D71" s="286" t="s">
        <v>139</v>
      </c>
      <c r="E71" s="286" t="s">
        <v>137</v>
      </c>
      <c r="F71" s="286" t="s">
        <v>138</v>
      </c>
      <c r="G71" s="286" t="s">
        <v>137</v>
      </c>
      <c r="H71" s="286" t="s">
        <v>139</v>
      </c>
      <c r="I71" s="286" t="s">
        <v>137</v>
      </c>
      <c r="J71" s="286" t="s">
        <v>138</v>
      </c>
      <c r="K71" s="286" t="s">
        <v>137</v>
      </c>
      <c r="L71" s="286" t="s">
        <v>139</v>
      </c>
      <c r="M71" s="286" t="s">
        <v>137</v>
      </c>
      <c r="N71" s="286" t="s">
        <v>139</v>
      </c>
      <c r="O71" s="286" t="s">
        <v>137</v>
      </c>
      <c r="P71" s="286" t="s">
        <v>139</v>
      </c>
      <c r="Q71" s="286" t="s">
        <v>137</v>
      </c>
      <c r="R71" s="286" t="s">
        <v>139</v>
      </c>
      <c r="S71" s="286" t="s">
        <v>137</v>
      </c>
      <c r="T71" s="286" t="s">
        <v>139</v>
      </c>
      <c r="U71" s="286" t="s">
        <v>137</v>
      </c>
      <c r="V71" s="286" t="s">
        <v>139</v>
      </c>
      <c r="W71" s="286" t="s">
        <v>137</v>
      </c>
      <c r="X71" s="286" t="s">
        <v>139</v>
      </c>
      <c r="Y71" s="286" t="s">
        <v>137</v>
      </c>
      <c r="Z71" s="286" t="s">
        <v>139</v>
      </c>
    </row>
    <row r="72" spans="1:26" ht="15.75" x14ac:dyDescent="0.25">
      <c r="A72" s="285"/>
      <c r="B72" s="285"/>
      <c r="C72" s="284">
        <f>'Proy. ventas'!E134</f>
        <v>203.5</v>
      </c>
      <c r="D72" s="205">
        <f>C72*$E$23</f>
        <v>70.546666666666667</v>
      </c>
      <c r="E72" s="284">
        <f>'Proy. ventas'!G134</f>
        <v>166.5</v>
      </c>
      <c r="F72" s="205">
        <f>E72*$E$23</f>
        <v>57.72</v>
      </c>
      <c r="G72" s="284">
        <f>'Proy. ventas'!I134</f>
        <v>148</v>
      </c>
      <c r="H72" s="205">
        <f>G72*$E$23</f>
        <v>51.306666666666672</v>
      </c>
      <c r="I72" s="284">
        <f>'Proy. ventas'!K134</f>
        <v>111</v>
      </c>
      <c r="J72" s="205">
        <f>I72*$E$23</f>
        <v>38.480000000000004</v>
      </c>
      <c r="K72" s="284">
        <f>'Proy. ventas'!M134</f>
        <v>111</v>
      </c>
      <c r="L72" s="205">
        <f>K72*$E$23</f>
        <v>38.480000000000004</v>
      </c>
      <c r="M72" s="284">
        <f>'Proy. ventas'!O134</f>
        <v>92.5</v>
      </c>
      <c r="N72" s="205">
        <f>M72*$E$23</f>
        <v>32.06666666666667</v>
      </c>
      <c r="O72" s="284">
        <f>'Proy. ventas'!Q134</f>
        <v>185</v>
      </c>
      <c r="P72" s="205">
        <f>O72*$E$23</f>
        <v>64.13333333333334</v>
      </c>
      <c r="Q72" s="284">
        <f>'Proy. ventas'!S134</f>
        <v>92.5</v>
      </c>
      <c r="R72" s="205">
        <f>Q72*$E$23</f>
        <v>32.06666666666667</v>
      </c>
      <c r="S72" s="284">
        <f>'Proy. ventas'!U134</f>
        <v>148</v>
      </c>
      <c r="T72" s="205">
        <f>S72*$E$23</f>
        <v>51.306666666666672</v>
      </c>
      <c r="U72" s="284">
        <f>'Proy. ventas'!W134</f>
        <v>185</v>
      </c>
      <c r="V72" s="205">
        <f>U72*$E$23</f>
        <v>64.13333333333334</v>
      </c>
      <c r="W72" s="284">
        <f>'Proy. ventas'!Y134</f>
        <v>185</v>
      </c>
      <c r="X72" s="205">
        <f>W72*$E$23</f>
        <v>64.13333333333334</v>
      </c>
      <c r="Y72" s="284">
        <f>'Proy. ventas'!AA134</f>
        <v>222</v>
      </c>
      <c r="Z72" s="205">
        <f>Y72*$E$23</f>
        <v>76.960000000000008</v>
      </c>
    </row>
    <row r="73" spans="1:26" ht="15.75" x14ac:dyDescent="0.25">
      <c r="A73" s="285"/>
      <c r="B73" s="285"/>
      <c r="C73" s="284">
        <f>'Proy. ventas'!E135</f>
        <v>159.5</v>
      </c>
      <c r="D73" s="205">
        <f>C73*$E$35</f>
        <v>271.59305555555557</v>
      </c>
      <c r="E73" s="284">
        <f>'Proy. ventas'!G135</f>
        <v>130.5</v>
      </c>
      <c r="F73" s="205">
        <f>E73*$E$35</f>
        <v>222.21250000000001</v>
      </c>
      <c r="G73" s="284">
        <f>'Proy. ventas'!I135</f>
        <v>116</v>
      </c>
      <c r="H73" s="205">
        <f>G73*$E$35</f>
        <v>197.52222222222221</v>
      </c>
      <c r="I73" s="284">
        <f>'Proy. ventas'!K135</f>
        <v>87</v>
      </c>
      <c r="J73" s="205">
        <f>I73*$E$35</f>
        <v>148.14166666666665</v>
      </c>
      <c r="K73" s="284">
        <f>'Proy. ventas'!M135</f>
        <v>87</v>
      </c>
      <c r="L73" s="205">
        <f>K73*$E$35</f>
        <v>148.14166666666665</v>
      </c>
      <c r="M73" s="284">
        <f>'Proy. ventas'!O135</f>
        <v>72.5</v>
      </c>
      <c r="N73" s="205">
        <f>M73*$E$35</f>
        <v>123.45138888888889</v>
      </c>
      <c r="O73" s="284">
        <f>'Proy. ventas'!Q135</f>
        <v>145</v>
      </c>
      <c r="P73" s="205">
        <f>O73*$E$35</f>
        <v>246.90277777777777</v>
      </c>
      <c r="Q73" s="284">
        <f>'Proy. ventas'!S135</f>
        <v>72.5</v>
      </c>
      <c r="R73" s="205">
        <f>Q73*$E$35</f>
        <v>123.45138888888889</v>
      </c>
      <c r="S73" s="284">
        <f>'Proy. ventas'!U135</f>
        <v>116</v>
      </c>
      <c r="T73" s="205">
        <f>S73*$E$35</f>
        <v>197.52222222222221</v>
      </c>
      <c r="U73" s="284">
        <f>'Proy. ventas'!W135</f>
        <v>145</v>
      </c>
      <c r="V73" s="205">
        <f>U73*$E$35</f>
        <v>246.90277777777777</v>
      </c>
      <c r="W73" s="284">
        <f>'Proy. ventas'!Y135</f>
        <v>145</v>
      </c>
      <c r="X73" s="205">
        <f>W73*$E$35</f>
        <v>246.90277777777777</v>
      </c>
      <c r="Y73" s="284">
        <f>'Proy. ventas'!AA135</f>
        <v>174</v>
      </c>
      <c r="Z73" s="205">
        <f>Y73*$E$35</f>
        <v>296.2833333333333</v>
      </c>
    </row>
    <row r="74" spans="1:26" ht="15.75" x14ac:dyDescent="0.25">
      <c r="A74" s="285"/>
      <c r="B74" s="285"/>
      <c r="C74" s="284">
        <f>'Proy. ventas'!E136</f>
        <v>69.3</v>
      </c>
      <c r="D74" s="205">
        <f>C74*$E$47</f>
        <v>203.28</v>
      </c>
      <c r="E74" s="284">
        <f>'Proy. ventas'!G136</f>
        <v>56.699999999999996</v>
      </c>
      <c r="F74" s="205">
        <f>E74*$E$47</f>
        <v>166.32</v>
      </c>
      <c r="G74" s="284">
        <f>'Proy. ventas'!I136</f>
        <v>50.4</v>
      </c>
      <c r="H74" s="205">
        <f>G74*$E$47</f>
        <v>147.84</v>
      </c>
      <c r="I74" s="284">
        <f>'Proy. ventas'!K136</f>
        <v>37.799999999999997</v>
      </c>
      <c r="J74" s="205">
        <f>I74*$E$47</f>
        <v>110.88</v>
      </c>
      <c r="K74" s="284">
        <f>'Proy. ventas'!M136</f>
        <v>37.799999999999997</v>
      </c>
      <c r="L74" s="205">
        <f>K74*$E$47</f>
        <v>110.88</v>
      </c>
      <c r="M74" s="284">
        <f>'Proy. ventas'!O136</f>
        <v>31.5</v>
      </c>
      <c r="N74" s="205">
        <f>M74*$E$47</f>
        <v>92.4</v>
      </c>
      <c r="O74" s="284">
        <f>'Proy. ventas'!Q136</f>
        <v>63</v>
      </c>
      <c r="P74" s="205">
        <f>O74*$E$47</f>
        <v>184.8</v>
      </c>
      <c r="Q74" s="284">
        <f>'Proy. ventas'!S136</f>
        <v>31.5</v>
      </c>
      <c r="R74" s="205">
        <f>Q74*$E$47</f>
        <v>92.4</v>
      </c>
      <c r="S74" s="284">
        <f>'Proy. ventas'!U136</f>
        <v>50.4</v>
      </c>
      <c r="T74" s="205">
        <f>S74*$E$47</f>
        <v>147.84</v>
      </c>
      <c r="U74" s="284">
        <f>'Proy. ventas'!W136</f>
        <v>63</v>
      </c>
      <c r="V74" s="205">
        <f>U74*$E$47</f>
        <v>184.8</v>
      </c>
      <c r="W74" s="284">
        <f>'Proy. ventas'!Y136</f>
        <v>63</v>
      </c>
      <c r="X74" s="205">
        <f>W74*$E$47</f>
        <v>184.8</v>
      </c>
      <c r="Y74" s="284">
        <f>'Proy. ventas'!AA136</f>
        <v>75.599999999999994</v>
      </c>
      <c r="Z74" s="205">
        <f>Y74*$E$47</f>
        <v>221.76</v>
      </c>
    </row>
    <row r="75" spans="1:26" x14ac:dyDescent="0.25">
      <c r="A75" s="787" t="s">
        <v>58</v>
      </c>
      <c r="B75" s="787"/>
      <c r="C75" s="284">
        <f t="shared" ref="C75" si="28">SUM(C72:C74)</f>
        <v>432.3</v>
      </c>
      <c r="D75" s="287">
        <f t="shared" ref="D75" si="29">SUM(D72:D74)</f>
        <v>545.41972222222228</v>
      </c>
      <c r="E75" s="284">
        <f t="shared" ref="E75" si="30">SUM(E72:E74)</f>
        <v>353.7</v>
      </c>
      <c r="F75" s="287">
        <f t="shared" ref="F75" si="31">SUM(F72:F74)</f>
        <v>446.2525</v>
      </c>
      <c r="G75" s="284">
        <f t="shared" ref="G75" si="32">SUM(G72:G74)</f>
        <v>314.39999999999998</v>
      </c>
      <c r="H75" s="287">
        <f t="shared" ref="H75" si="33">SUM(H72:H74)</f>
        <v>396.66888888888889</v>
      </c>
      <c r="I75" s="284">
        <f t="shared" ref="I75" si="34">SUM(I72:I74)</f>
        <v>235.8</v>
      </c>
      <c r="J75" s="287">
        <f t="shared" ref="J75" si="35">SUM(J72:J74)</f>
        <v>297.50166666666667</v>
      </c>
      <c r="K75" s="284">
        <f t="shared" ref="K75" si="36">SUM(K72:K74)</f>
        <v>235.8</v>
      </c>
      <c r="L75" s="287">
        <f t="shared" ref="L75" si="37">SUM(L72:L74)</f>
        <v>297.50166666666667</v>
      </c>
      <c r="M75" s="284">
        <f t="shared" ref="M75" si="38">SUM(M72:M74)</f>
        <v>196.5</v>
      </c>
      <c r="N75" s="287">
        <f t="shared" ref="N75" si="39">SUM(N72:N74)</f>
        <v>247.91805555555555</v>
      </c>
      <c r="O75" s="284">
        <f t="shared" ref="O75" si="40">SUM(O72:O74)</f>
        <v>393</v>
      </c>
      <c r="P75" s="287">
        <f t="shared" ref="P75" si="41">SUM(P72:P74)</f>
        <v>495.83611111111111</v>
      </c>
      <c r="Q75" s="284">
        <f t="shared" ref="Q75" si="42">SUM(Q72:Q74)</f>
        <v>196.5</v>
      </c>
      <c r="R75" s="287">
        <f t="shared" ref="R75" si="43">SUM(R72:R74)</f>
        <v>247.91805555555555</v>
      </c>
      <c r="S75" s="284">
        <f t="shared" ref="S75" si="44">SUM(S72:S74)</f>
        <v>314.39999999999998</v>
      </c>
      <c r="T75" s="287">
        <f t="shared" ref="T75" si="45">SUM(T72:T74)</f>
        <v>396.66888888888889</v>
      </c>
      <c r="U75" s="284">
        <f t="shared" ref="U75" si="46">SUM(U72:U74)</f>
        <v>393</v>
      </c>
      <c r="V75" s="287">
        <f t="shared" ref="V75" si="47">SUM(V72:V74)</f>
        <v>495.83611111111111</v>
      </c>
      <c r="W75" s="284">
        <f t="shared" ref="W75" si="48">SUM(W72:W74)</f>
        <v>393</v>
      </c>
      <c r="X75" s="287">
        <f t="shared" ref="X75" si="49">SUM(X72:X74)</f>
        <v>495.83611111111111</v>
      </c>
      <c r="Y75" s="284">
        <f t="shared" ref="Y75" si="50">SUM(Y72:Y74)</f>
        <v>471.6</v>
      </c>
      <c r="Z75" s="287">
        <f t="shared" ref="Z75" si="51">SUM(Z72:Z74)</f>
        <v>595.00333333333333</v>
      </c>
    </row>
    <row r="76" spans="1:26" ht="9.75" customHeight="1" thickBot="1" x14ac:dyDescent="0.3"/>
    <row r="77" spans="1:26" ht="22.5" customHeight="1" thickBot="1" x14ac:dyDescent="0.45">
      <c r="A77" s="788" t="s">
        <v>145</v>
      </c>
      <c r="B77" s="789"/>
      <c r="C77" s="789"/>
      <c r="D77" s="789"/>
      <c r="E77" s="790"/>
    </row>
    <row r="78" spans="1:26" ht="52.5" customHeight="1" x14ac:dyDescent="0.25">
      <c r="A78" s="791" t="s">
        <v>146</v>
      </c>
      <c r="B78" s="791"/>
      <c r="C78" s="791"/>
      <c r="D78" s="791"/>
      <c r="E78" s="791"/>
      <c r="F78" s="283"/>
      <c r="G78" s="283"/>
      <c r="H78" s="283"/>
      <c r="I78" s="283"/>
      <c r="J78" s="283"/>
    </row>
    <row r="79" spans="1:26" ht="9.75" customHeight="1" x14ac:dyDescent="0.25"/>
    <row r="80" spans="1:26" ht="9.75" customHeight="1" x14ac:dyDescent="0.25"/>
    <row r="81" spans="1:10" ht="9.75" customHeight="1" x14ac:dyDescent="0.25"/>
    <row r="82" spans="1:10" ht="9.75" customHeight="1" x14ac:dyDescent="0.25"/>
    <row r="83" spans="1:10" ht="9.75" customHeight="1" x14ac:dyDescent="0.25"/>
    <row r="84" spans="1:10" ht="9.75" customHeight="1" x14ac:dyDescent="0.25"/>
    <row r="85" spans="1:10" ht="9.75" customHeight="1" x14ac:dyDescent="0.25"/>
    <row r="86" spans="1:10" ht="9.75" customHeight="1" x14ac:dyDescent="0.25"/>
    <row r="87" spans="1:10" ht="9.75" customHeight="1" x14ac:dyDescent="0.25"/>
    <row r="88" spans="1:10" ht="9.75" customHeight="1" x14ac:dyDescent="0.25"/>
    <row r="89" spans="1:10" ht="9.75" customHeight="1" x14ac:dyDescent="0.25"/>
    <row r="90" spans="1:10" ht="9" customHeight="1" x14ac:dyDescent="0.25"/>
    <row r="91" spans="1:10" ht="15" customHeight="1" x14ac:dyDescent="0.25"/>
    <row r="92" spans="1:10" ht="9" customHeight="1" x14ac:dyDescent="0.25"/>
    <row r="93" spans="1:10" ht="9" customHeight="1" x14ac:dyDescent="0.25"/>
    <row r="94" spans="1:10" ht="17.25" customHeight="1" x14ac:dyDescent="0.25"/>
    <row r="95" spans="1:10" ht="12.75" customHeight="1" x14ac:dyDescent="0.25">
      <c r="A95"/>
      <c r="B95" s="1"/>
      <c r="C95" s="240"/>
    </row>
    <row r="96" spans="1:10" x14ac:dyDescent="0.25">
      <c r="B96" s="1"/>
      <c r="C96" s="240"/>
      <c r="D96" s="242"/>
      <c r="E96" s="242"/>
      <c r="F96" s="242"/>
      <c r="G96" s="242"/>
      <c r="H96" s="242"/>
      <c r="I96" s="242"/>
      <c r="J96" s="242"/>
    </row>
    <row r="99" ht="14.25" customHeight="1" x14ac:dyDescent="0.25"/>
  </sheetData>
  <mergeCells count="55">
    <mergeCell ref="A13:A14"/>
    <mergeCell ref="A23:C24"/>
    <mergeCell ref="A35:C36"/>
    <mergeCell ref="A47:C48"/>
    <mergeCell ref="A3:E3"/>
    <mergeCell ref="A4:E4"/>
    <mergeCell ref="A6:C6"/>
    <mergeCell ref="A18:E18"/>
    <mergeCell ref="U54:V54"/>
    <mergeCell ref="W54:X54"/>
    <mergeCell ref="Y54:Z54"/>
    <mergeCell ref="A28:E28"/>
    <mergeCell ref="A40:E40"/>
    <mergeCell ref="K54:L54"/>
    <mergeCell ref="M54:N54"/>
    <mergeCell ref="O54:P54"/>
    <mergeCell ref="Q54:R54"/>
    <mergeCell ref="S54:T54"/>
    <mergeCell ref="A62:B63"/>
    <mergeCell ref="C54:D54"/>
    <mergeCell ref="E54:F54"/>
    <mergeCell ref="G54:H54"/>
    <mergeCell ref="I54:J54"/>
    <mergeCell ref="Y62:Z62"/>
    <mergeCell ref="A67:B67"/>
    <mergeCell ref="A70:B71"/>
    <mergeCell ref="C70:D70"/>
    <mergeCell ref="E70:F70"/>
    <mergeCell ref="G70:H70"/>
    <mergeCell ref="I70:J70"/>
    <mergeCell ref="K70:L70"/>
    <mergeCell ref="M70:N70"/>
    <mergeCell ref="O70:P70"/>
    <mergeCell ref="Q70:R70"/>
    <mergeCell ref="S70:T70"/>
    <mergeCell ref="U70:V70"/>
    <mergeCell ref="W70:X70"/>
    <mergeCell ref="Y70:Z70"/>
    <mergeCell ref="M62:N62"/>
    <mergeCell ref="A75:B75"/>
    <mergeCell ref="A53:E53"/>
    <mergeCell ref="A77:E77"/>
    <mergeCell ref="A78:E78"/>
    <mergeCell ref="W62:X62"/>
    <mergeCell ref="O62:P62"/>
    <mergeCell ref="Q62:R62"/>
    <mergeCell ref="S62:T62"/>
    <mergeCell ref="U62:V62"/>
    <mergeCell ref="C62:D62"/>
    <mergeCell ref="E62:F62"/>
    <mergeCell ref="G62:H62"/>
    <mergeCell ref="I62:J62"/>
    <mergeCell ref="K62:L62"/>
    <mergeCell ref="A54:B55"/>
    <mergeCell ref="A59:B59"/>
  </mergeCells>
  <phoneticPr fontId="26" type="noConversion"/>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X30"/>
  <sheetViews>
    <sheetView zoomScale="70" zoomScaleNormal="70" workbookViewId="0">
      <pane ySplit="1" topLeftCell="A2" activePane="bottomLeft" state="frozen"/>
      <selection pane="bottomLeft" activeCell="B10" sqref="B10"/>
    </sheetView>
  </sheetViews>
  <sheetFormatPr baseColWidth="10" defaultColWidth="11.42578125" defaultRowHeight="15" x14ac:dyDescent="0.25"/>
  <cols>
    <col min="1" max="1" width="11.42578125" style="1"/>
    <col min="2" max="2" width="29.42578125" style="1" customWidth="1"/>
    <col min="3" max="3" width="22.85546875" style="1" bestFit="1" customWidth="1"/>
    <col min="4" max="4" width="27.7109375" style="1" customWidth="1"/>
    <col min="5" max="5" width="23.140625" style="1" bestFit="1" customWidth="1"/>
    <col min="6" max="7" width="11.42578125" style="1"/>
    <col min="8" max="8" width="15.5703125" style="1" customWidth="1"/>
    <col min="9" max="16384" width="11.42578125" style="1"/>
  </cols>
  <sheetData>
    <row r="1" spans="1:24" s="654" customFormat="1" ht="58.5" customHeight="1" x14ac:dyDescent="0.25">
      <c r="A1" s="656"/>
      <c r="B1" s="656"/>
      <c r="C1" s="656"/>
      <c r="D1" s="656"/>
      <c r="E1" s="659" t="s">
        <v>3</v>
      </c>
      <c r="F1" s="656"/>
      <c r="G1" s="660"/>
      <c r="H1" s="660"/>
      <c r="I1" s="656"/>
      <c r="J1" s="656"/>
      <c r="K1" s="656"/>
      <c r="L1" s="656"/>
      <c r="M1" s="656"/>
      <c r="N1" s="656"/>
      <c r="O1" s="656"/>
      <c r="P1" s="656"/>
      <c r="Q1" s="656"/>
      <c r="R1" s="656"/>
      <c r="S1" s="656"/>
      <c r="T1" s="656"/>
      <c r="U1" s="656"/>
      <c r="V1" s="656"/>
      <c r="W1" s="656"/>
      <c r="X1" s="656"/>
    </row>
    <row r="6" spans="1:24" ht="15.75" thickBot="1" x14ac:dyDescent="0.3"/>
    <row r="7" spans="1:24" ht="27" thickBot="1" x14ac:dyDescent="0.45">
      <c r="B7" s="663" t="s">
        <v>35</v>
      </c>
      <c r="C7" s="664"/>
      <c r="D7" s="665"/>
    </row>
    <row r="8" spans="1:24" x14ac:dyDescent="0.25">
      <c r="B8" s="34">
        <v>2019</v>
      </c>
      <c r="C8" s="34">
        <v>2020</v>
      </c>
      <c r="D8" s="34">
        <v>2021</v>
      </c>
    </row>
    <row r="9" spans="1:24" x14ac:dyDescent="0.25">
      <c r="B9" s="40">
        <f>Hipótesis!C24</f>
        <v>4.9599999999999998E-2</v>
      </c>
      <c r="C9" s="40">
        <f>Hipótesis!C25</f>
        <v>0.1078904648</v>
      </c>
      <c r="D9" s="40">
        <f>Hipótesis!C26</f>
        <v>0.17066814759999999</v>
      </c>
    </row>
    <row r="10" spans="1:24" x14ac:dyDescent="0.25">
      <c r="B10" s="33">
        <f>Hipótesis!D24</f>
        <v>301216832</v>
      </c>
      <c r="C10" s="33">
        <f>Hipótesis!D25</f>
        <v>655210161.49321604</v>
      </c>
      <c r="D10" s="33">
        <f>Hipótesis!D26</f>
        <v>1036454006.9229919</v>
      </c>
    </row>
    <row r="14" spans="1:24" ht="15.75" thickBot="1" x14ac:dyDescent="0.3"/>
    <row r="15" spans="1:24" ht="27" thickBot="1" x14ac:dyDescent="0.45">
      <c r="B15" s="811" t="s">
        <v>59</v>
      </c>
      <c r="C15" s="812"/>
      <c r="D15" s="812"/>
      <c r="E15" s="813"/>
    </row>
    <row r="16" spans="1:24" ht="16.5" thickBot="1" x14ac:dyDescent="0.3">
      <c r="B16" s="160" t="s">
        <v>31</v>
      </c>
      <c r="C16" s="159" t="s">
        <v>55</v>
      </c>
      <c r="D16" s="159" t="s">
        <v>56</v>
      </c>
      <c r="E16" s="161" t="s">
        <v>57</v>
      </c>
    </row>
    <row r="17" spans="2:5" ht="15.75" x14ac:dyDescent="0.25">
      <c r="B17" s="165"/>
      <c r="C17" s="166">
        <f>'Proy. ventas'!D19</f>
        <v>1170000</v>
      </c>
      <c r="D17" s="166">
        <f>'Proy. ventas'!D72</f>
        <v>1560000</v>
      </c>
      <c r="E17" s="167">
        <f>'Proy. ventas'!D134</f>
        <v>2405000</v>
      </c>
    </row>
    <row r="18" spans="2:5" ht="15.75" x14ac:dyDescent="0.25">
      <c r="B18" s="168"/>
      <c r="C18" s="169">
        <f>'Proy. ventas'!D20</f>
        <v>0</v>
      </c>
      <c r="D18" s="169">
        <f>'Proy. ventas'!D73</f>
        <v>0</v>
      </c>
      <c r="E18" s="170">
        <f>'Proy. ventas'!D135</f>
        <v>0</v>
      </c>
    </row>
    <row r="19" spans="2:5" ht="16.5" thickBot="1" x14ac:dyDescent="0.3">
      <c r="B19" s="171"/>
      <c r="C19" s="172">
        <f>'Proy. ventas'!D21</f>
        <v>0</v>
      </c>
      <c r="D19" s="172">
        <f>'Proy. ventas'!D74</f>
        <v>0</v>
      </c>
      <c r="E19" s="173">
        <f>'Proy. ventas'!D136</f>
        <v>0</v>
      </c>
    </row>
    <row r="20" spans="2:5" ht="15.75" x14ac:dyDescent="0.25">
      <c r="B20" s="174"/>
      <c r="C20" s="175">
        <f>'Proy. ventas'!D22</f>
        <v>1375000</v>
      </c>
      <c r="D20" s="175">
        <f>'Proy. ventas'!D75</f>
        <v>4500000</v>
      </c>
      <c r="E20" s="176">
        <f>'Proy. ventas'!D137</f>
        <v>9482500</v>
      </c>
    </row>
    <row r="21" spans="2:5" ht="15.75" x14ac:dyDescent="0.25">
      <c r="B21" s="177"/>
      <c r="C21" s="178">
        <f>'Proy. ventas'!D23</f>
        <v>0</v>
      </c>
      <c r="D21" s="178">
        <f>'Proy. ventas'!D76</f>
        <v>0</v>
      </c>
      <c r="E21" s="179">
        <f>'Proy. ventas'!D138</f>
        <v>0</v>
      </c>
    </row>
    <row r="22" spans="2:5" ht="15.75" x14ac:dyDescent="0.25">
      <c r="B22" s="177"/>
      <c r="C22" s="178" t="e">
        <f>'Proy. ventas'!#REF!</f>
        <v>#REF!</v>
      </c>
      <c r="D22" s="178">
        <f>'Proy. ventas'!D77</f>
        <v>0</v>
      </c>
      <c r="E22" s="179">
        <f>'Proy. ventas'!D139</f>
        <v>0</v>
      </c>
    </row>
    <row r="23" spans="2:5" ht="16.5" thickBot="1" x14ac:dyDescent="0.3">
      <c r="B23" s="180"/>
      <c r="C23" s="181">
        <f>'Proy. ventas'!D24</f>
        <v>0</v>
      </c>
      <c r="D23" s="181" t="e">
        <f>'Proy. ventas'!D78</f>
        <v>#REF!</v>
      </c>
      <c r="E23" s="182" t="e">
        <f>'Proy. ventas'!D140</f>
        <v>#REF!</v>
      </c>
    </row>
    <row r="24" spans="2:5" ht="15.75" x14ac:dyDescent="0.25">
      <c r="B24" s="183"/>
      <c r="C24" s="184">
        <f>'Proy. ventas'!D25</f>
        <v>3080000</v>
      </c>
      <c r="D24" s="184">
        <f>'Proy. ventas'!D79</f>
        <v>3600000</v>
      </c>
      <c r="E24" s="185">
        <f>'Proy. ventas'!D141</f>
        <v>4000000</v>
      </c>
    </row>
    <row r="25" spans="2:5" ht="15.75" x14ac:dyDescent="0.25">
      <c r="B25" s="186"/>
      <c r="C25" s="187">
        <f>'Proy. ventas'!D26</f>
        <v>0</v>
      </c>
      <c r="D25" s="187">
        <f>'Proy. ventas'!D80</f>
        <v>0</v>
      </c>
      <c r="E25" s="188">
        <f>'Proy. ventas'!D142</f>
        <v>0</v>
      </c>
    </row>
    <row r="26" spans="2:5" ht="15.75" x14ac:dyDescent="0.25">
      <c r="B26" s="186"/>
      <c r="C26" s="187">
        <f>'Proy. ventas'!D27</f>
        <v>0</v>
      </c>
      <c r="D26" s="187">
        <f>'Proy. ventas'!D81</f>
        <v>0</v>
      </c>
      <c r="E26" s="188">
        <f>'Proy. ventas'!D143</f>
        <v>0</v>
      </c>
    </row>
    <row r="27" spans="2:5" ht="15.75" x14ac:dyDescent="0.25">
      <c r="B27" s="186"/>
      <c r="C27" s="187" t="e">
        <f>'Proy. ventas'!#REF!</f>
        <v>#REF!</v>
      </c>
      <c r="D27" s="187" t="e">
        <f>'Proy. ventas'!D82</f>
        <v>#REF!</v>
      </c>
      <c r="E27" s="188" t="e">
        <f>'Proy. ventas'!D144</f>
        <v>#REF!</v>
      </c>
    </row>
    <row r="28" spans="2:5" ht="16.5" thickBot="1" x14ac:dyDescent="0.3">
      <c r="B28" s="189"/>
      <c r="C28" s="190" t="e">
        <f>'Proy. ventas'!#REF!</f>
        <v>#REF!</v>
      </c>
      <c r="D28" s="190" t="e">
        <f>'Proy. ventas'!D83</f>
        <v>#REF!</v>
      </c>
      <c r="E28" s="191" t="e">
        <f>'Proy. ventas'!D145</f>
        <v>#REF!</v>
      </c>
    </row>
    <row r="29" spans="2:5" ht="15.75" x14ac:dyDescent="0.25">
      <c r="B29" s="192"/>
      <c r="C29" s="193" t="e">
        <f>'Proy. ventas'!#REF!</f>
        <v>#REF!</v>
      </c>
      <c r="D29" s="193" t="e">
        <f>'Proy. ventas'!D84</f>
        <v>#REF!</v>
      </c>
      <c r="E29" s="194" t="e">
        <f>'Proy. ventas'!D146</f>
        <v>#REF!</v>
      </c>
    </row>
    <row r="30" spans="2:5" ht="15.75" thickBot="1" x14ac:dyDescent="0.3">
      <c r="B30" s="162" t="s">
        <v>58</v>
      </c>
      <c r="C30" s="163" t="e">
        <f t="shared" ref="C30:E30" si="0">SUM(C17:C29)</f>
        <v>#REF!</v>
      </c>
      <c r="D30" s="163" t="e">
        <f t="shared" si="0"/>
        <v>#REF!</v>
      </c>
      <c r="E30" s="164" t="e">
        <f t="shared" si="0"/>
        <v>#REF!</v>
      </c>
    </row>
  </sheetData>
  <mergeCells count="2">
    <mergeCell ref="B7:D7"/>
    <mergeCell ref="B15:E15"/>
  </mergeCell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Q61"/>
  <sheetViews>
    <sheetView zoomScale="70" zoomScaleNormal="70" workbookViewId="0">
      <pane ySplit="1" topLeftCell="A47" activePane="bottomLeft" state="frozen"/>
      <selection pane="bottomLeft" activeCell="Q1" sqref="A1:Q1"/>
    </sheetView>
  </sheetViews>
  <sheetFormatPr baseColWidth="10" defaultColWidth="11.42578125" defaultRowHeight="15" x14ac:dyDescent="0.25"/>
  <cols>
    <col min="1" max="1" width="11.42578125" style="1"/>
    <col min="2" max="2" width="15.140625" style="1" customWidth="1"/>
    <col min="3" max="3" width="66.5703125" style="1" customWidth="1"/>
    <col min="4" max="5" width="19.28515625" style="1" bestFit="1" customWidth="1"/>
    <col min="6" max="6" width="25.5703125" style="1" customWidth="1"/>
    <col min="7" max="7" width="19.28515625" style="1" bestFit="1" customWidth="1"/>
    <col min="8" max="8" width="18.85546875" style="1" bestFit="1" customWidth="1"/>
    <col min="9" max="9" width="19.28515625" style="1" bestFit="1" customWidth="1"/>
    <col min="10" max="10" width="22.7109375" style="1" customWidth="1"/>
    <col min="11" max="11" width="18.85546875" style="1" bestFit="1" customWidth="1"/>
    <col min="12" max="12" width="18.5703125" style="1" bestFit="1" customWidth="1"/>
    <col min="13" max="13" width="19.28515625" style="1" bestFit="1" customWidth="1"/>
    <col min="14" max="15" width="18.85546875" style="1" bestFit="1" customWidth="1"/>
    <col min="16" max="16" width="21.7109375" style="1" bestFit="1" customWidth="1"/>
    <col min="17" max="17" width="105.28515625" style="1" customWidth="1"/>
    <col min="18" max="16384" width="11.42578125" style="1"/>
  </cols>
  <sheetData>
    <row r="1" spans="1:17" s="654" customFormat="1" ht="58.5" customHeight="1" x14ac:dyDescent="0.25">
      <c r="A1" s="656"/>
      <c r="B1" s="656"/>
      <c r="C1" s="656"/>
      <c r="D1" s="656"/>
      <c r="E1" s="656"/>
      <c r="F1" s="659" t="s">
        <v>4</v>
      </c>
      <c r="G1" s="660"/>
      <c r="H1" s="660"/>
      <c r="I1" s="656"/>
      <c r="J1" s="656"/>
      <c r="K1" s="656"/>
      <c r="L1" s="656"/>
      <c r="M1" s="656"/>
      <c r="N1" s="656"/>
      <c r="O1" s="656"/>
      <c r="P1" s="656"/>
      <c r="Q1" s="656"/>
    </row>
    <row r="2" spans="1:17" ht="15.75" thickBot="1" x14ac:dyDescent="0.3"/>
    <row r="3" spans="1:17" ht="27" thickBot="1" x14ac:dyDescent="0.45">
      <c r="C3" s="663" t="s">
        <v>35</v>
      </c>
      <c r="D3" s="664"/>
      <c r="E3" s="665"/>
      <c r="G3" s="663" t="s">
        <v>167</v>
      </c>
      <c r="H3" s="664"/>
      <c r="I3" s="665"/>
    </row>
    <row r="4" spans="1:17" x14ac:dyDescent="0.25">
      <c r="C4" s="116">
        <v>2019</v>
      </c>
      <c r="D4" s="34">
        <v>2020</v>
      </c>
      <c r="E4" s="117">
        <v>2021</v>
      </c>
      <c r="G4" s="116">
        <v>2019</v>
      </c>
      <c r="H4" s="34">
        <v>2020</v>
      </c>
      <c r="I4" s="117">
        <v>2021</v>
      </c>
    </row>
    <row r="5" spans="1:17" ht="15.75" thickBot="1" x14ac:dyDescent="0.3">
      <c r="C5" s="118">
        <f>Hipótesis!C24</f>
        <v>4.9599999999999998E-2</v>
      </c>
      <c r="D5" s="40">
        <f>Hipótesis!C25</f>
        <v>0.1078904648</v>
      </c>
      <c r="E5" s="119">
        <f>Hipótesis!C26</f>
        <v>0.17066814759999999</v>
      </c>
      <c r="G5" s="120">
        <f>P24</f>
        <v>2343935.7000000002</v>
      </c>
      <c r="H5" s="121">
        <f>P42</f>
        <v>2614351.9749999996</v>
      </c>
      <c r="I5" s="122">
        <f>P61</f>
        <v>2971977.4835000001</v>
      </c>
    </row>
    <row r="6" spans="1:17" ht="15.75" thickBot="1" x14ac:dyDescent="0.3">
      <c r="C6" s="120">
        <f>Hipótesis!D24</f>
        <v>301216832</v>
      </c>
      <c r="D6" s="121">
        <f>Hipótesis!D25</f>
        <v>655210161.49321604</v>
      </c>
      <c r="E6" s="122">
        <f>Hipótesis!D26</f>
        <v>1036454006.9229919</v>
      </c>
      <c r="G6" s="340"/>
      <c r="H6" s="340"/>
      <c r="I6" s="340"/>
    </row>
    <row r="8" spans="1:17" ht="15.75" thickBot="1" x14ac:dyDescent="0.3"/>
    <row r="9" spans="1:17" ht="27" thickBot="1" x14ac:dyDescent="0.45">
      <c r="B9" s="663" t="s">
        <v>154</v>
      </c>
      <c r="C9" s="664"/>
      <c r="D9" s="664"/>
      <c r="E9" s="664"/>
      <c r="F9" s="664"/>
      <c r="G9" s="664"/>
      <c r="H9" s="664"/>
      <c r="I9" s="664"/>
      <c r="J9" s="664"/>
      <c r="K9" s="664"/>
      <c r="L9" s="664"/>
      <c r="M9" s="664"/>
      <c r="N9" s="664"/>
      <c r="O9" s="664"/>
      <c r="P9" s="664"/>
      <c r="Q9" s="665"/>
    </row>
    <row r="10" spans="1:17" ht="19.5" thickBot="1" x14ac:dyDescent="0.3">
      <c r="B10" s="819" t="s">
        <v>155</v>
      </c>
      <c r="C10" s="820"/>
      <c r="D10" s="327" t="s">
        <v>40</v>
      </c>
      <c r="E10" s="307" t="s">
        <v>41</v>
      </c>
      <c r="F10" s="307" t="s">
        <v>42</v>
      </c>
      <c r="G10" s="307" t="s">
        <v>43</v>
      </c>
      <c r="H10" s="307" t="s">
        <v>44</v>
      </c>
      <c r="I10" s="307" t="s">
        <v>45</v>
      </c>
      <c r="J10" s="307" t="s">
        <v>46</v>
      </c>
      <c r="K10" s="307" t="s">
        <v>47</v>
      </c>
      <c r="L10" s="307" t="s">
        <v>48</v>
      </c>
      <c r="M10" s="307" t="s">
        <v>49</v>
      </c>
      <c r="N10" s="307" t="s">
        <v>50</v>
      </c>
      <c r="O10" s="308" t="s">
        <v>51</v>
      </c>
      <c r="P10" s="309" t="s">
        <v>157</v>
      </c>
      <c r="Q10" s="310" t="s">
        <v>156</v>
      </c>
    </row>
    <row r="11" spans="1:17" x14ac:dyDescent="0.25">
      <c r="B11" s="814" t="s">
        <v>147</v>
      </c>
      <c r="C11" s="334" t="s">
        <v>148</v>
      </c>
      <c r="D11" s="328">
        <v>804.62</v>
      </c>
      <c r="E11" s="311">
        <v>0</v>
      </c>
      <c r="F11" s="311">
        <v>804.62</v>
      </c>
      <c r="G11" s="311">
        <v>0</v>
      </c>
      <c r="H11" s="311">
        <v>804.62</v>
      </c>
      <c r="I11" s="311">
        <v>0</v>
      </c>
      <c r="J11" s="311">
        <v>1774.61</v>
      </c>
      <c r="K11" s="311">
        <v>0</v>
      </c>
      <c r="L11" s="311">
        <v>1774.61</v>
      </c>
      <c r="M11" s="311">
        <v>0</v>
      </c>
      <c r="N11" s="311">
        <v>804.62</v>
      </c>
      <c r="O11" s="312">
        <v>0</v>
      </c>
      <c r="P11" s="313">
        <f t="shared" ref="P11:P18" si="0">SUM(D11:O11)</f>
        <v>6767.7</v>
      </c>
      <c r="Q11" s="314"/>
    </row>
    <row r="12" spans="1:17" x14ac:dyDescent="0.25">
      <c r="B12" s="815"/>
      <c r="C12" s="335" t="s">
        <v>150</v>
      </c>
      <c r="D12" s="329">
        <v>9365</v>
      </c>
      <c r="E12" s="292">
        <v>9365</v>
      </c>
      <c r="F12" s="292">
        <v>9365</v>
      </c>
      <c r="G12" s="292">
        <v>9365</v>
      </c>
      <c r="H12" s="292">
        <v>9365</v>
      </c>
      <c r="I12" s="292">
        <v>9365</v>
      </c>
      <c r="J12" s="292">
        <v>9365</v>
      </c>
      <c r="K12" s="292">
        <v>9365</v>
      </c>
      <c r="L12" s="292">
        <v>9365</v>
      </c>
      <c r="M12" s="292">
        <v>9365</v>
      </c>
      <c r="N12" s="292">
        <v>9365</v>
      </c>
      <c r="O12" s="294">
        <v>9365</v>
      </c>
      <c r="P12" s="298">
        <f t="shared" si="0"/>
        <v>112380</v>
      </c>
      <c r="Q12" s="295"/>
    </row>
    <row r="13" spans="1:17" x14ac:dyDescent="0.25">
      <c r="B13" s="815"/>
      <c r="C13" s="335" t="s">
        <v>149</v>
      </c>
      <c r="D13" s="329">
        <v>615</v>
      </c>
      <c r="E13" s="292">
        <v>615</v>
      </c>
      <c r="F13" s="292">
        <v>615</v>
      </c>
      <c r="G13" s="292">
        <v>615</v>
      </c>
      <c r="H13" s="292">
        <v>615</v>
      </c>
      <c r="I13" s="292">
        <v>615</v>
      </c>
      <c r="J13" s="292">
        <v>615</v>
      </c>
      <c r="K13" s="292">
        <v>615</v>
      </c>
      <c r="L13" s="292">
        <v>615</v>
      </c>
      <c r="M13" s="292">
        <v>615</v>
      </c>
      <c r="N13" s="292">
        <v>615</v>
      </c>
      <c r="O13" s="294">
        <v>615</v>
      </c>
      <c r="P13" s="298">
        <f t="shared" si="0"/>
        <v>7380</v>
      </c>
      <c r="Q13" s="295"/>
    </row>
    <row r="14" spans="1:17" x14ac:dyDescent="0.25">
      <c r="B14" s="815"/>
      <c r="C14" s="335" t="s">
        <v>158</v>
      </c>
      <c r="D14" s="329">
        <v>390</v>
      </c>
      <c r="E14" s="292">
        <v>390</v>
      </c>
      <c r="F14" s="292">
        <v>390</v>
      </c>
      <c r="G14" s="292">
        <v>390</v>
      </c>
      <c r="H14" s="292">
        <v>390</v>
      </c>
      <c r="I14" s="292">
        <v>390</v>
      </c>
      <c r="J14" s="292">
        <v>390</v>
      </c>
      <c r="K14" s="292">
        <v>390</v>
      </c>
      <c r="L14" s="292">
        <v>390</v>
      </c>
      <c r="M14" s="292">
        <v>390</v>
      </c>
      <c r="N14" s="292">
        <v>390</v>
      </c>
      <c r="O14" s="294">
        <v>390</v>
      </c>
      <c r="P14" s="298">
        <f t="shared" si="0"/>
        <v>4680</v>
      </c>
      <c r="Q14" s="296"/>
    </row>
    <row r="15" spans="1:17" x14ac:dyDescent="0.25">
      <c r="B15" s="815"/>
      <c r="C15" s="336" t="s">
        <v>159</v>
      </c>
      <c r="D15" s="329">
        <f>725*6</f>
        <v>4350</v>
      </c>
      <c r="E15" s="292">
        <f t="shared" ref="E15:O15" si="1">725*6</f>
        <v>4350</v>
      </c>
      <c r="F15" s="292">
        <f t="shared" si="1"/>
        <v>4350</v>
      </c>
      <c r="G15" s="292">
        <f t="shared" si="1"/>
        <v>4350</v>
      </c>
      <c r="H15" s="292">
        <f t="shared" si="1"/>
        <v>4350</v>
      </c>
      <c r="I15" s="292">
        <f t="shared" si="1"/>
        <v>4350</v>
      </c>
      <c r="J15" s="292">
        <f t="shared" si="1"/>
        <v>4350</v>
      </c>
      <c r="K15" s="292">
        <f t="shared" si="1"/>
        <v>4350</v>
      </c>
      <c r="L15" s="292">
        <f t="shared" si="1"/>
        <v>4350</v>
      </c>
      <c r="M15" s="292">
        <f t="shared" si="1"/>
        <v>4350</v>
      </c>
      <c r="N15" s="292">
        <f t="shared" si="1"/>
        <v>4350</v>
      </c>
      <c r="O15" s="294">
        <f t="shared" si="1"/>
        <v>4350</v>
      </c>
      <c r="P15" s="298">
        <f t="shared" si="0"/>
        <v>52200</v>
      </c>
      <c r="Q15" s="297"/>
    </row>
    <row r="16" spans="1:17" x14ac:dyDescent="0.25">
      <c r="B16" s="815"/>
      <c r="C16" s="336" t="s">
        <v>160</v>
      </c>
      <c r="D16" s="329">
        <v>2290</v>
      </c>
      <c r="E16" s="292">
        <v>2290</v>
      </c>
      <c r="F16" s="292">
        <v>2290</v>
      </c>
      <c r="G16" s="292">
        <v>2290</v>
      </c>
      <c r="H16" s="292">
        <v>2290</v>
      </c>
      <c r="I16" s="292">
        <v>2290</v>
      </c>
      <c r="J16" s="292">
        <v>2290</v>
      </c>
      <c r="K16" s="292">
        <v>2290</v>
      </c>
      <c r="L16" s="292">
        <v>2290</v>
      </c>
      <c r="M16" s="292">
        <v>2290</v>
      </c>
      <c r="N16" s="292">
        <v>2290</v>
      </c>
      <c r="O16" s="294">
        <v>2290</v>
      </c>
      <c r="P16" s="298">
        <f t="shared" si="0"/>
        <v>27480</v>
      </c>
      <c r="Q16" s="297"/>
    </row>
    <row r="17" spans="2:17" x14ac:dyDescent="0.25">
      <c r="B17" s="815"/>
      <c r="C17" s="297" t="s">
        <v>161</v>
      </c>
      <c r="D17" s="329">
        <f>18228/12</f>
        <v>1519</v>
      </c>
      <c r="E17" s="292">
        <f t="shared" ref="E17:O17" si="2">18228/12</f>
        <v>1519</v>
      </c>
      <c r="F17" s="292">
        <f t="shared" si="2"/>
        <v>1519</v>
      </c>
      <c r="G17" s="292">
        <f t="shared" si="2"/>
        <v>1519</v>
      </c>
      <c r="H17" s="292">
        <f t="shared" si="2"/>
        <v>1519</v>
      </c>
      <c r="I17" s="292">
        <f t="shared" si="2"/>
        <v>1519</v>
      </c>
      <c r="J17" s="292">
        <f t="shared" si="2"/>
        <v>1519</v>
      </c>
      <c r="K17" s="292">
        <f t="shared" si="2"/>
        <v>1519</v>
      </c>
      <c r="L17" s="292">
        <f t="shared" si="2"/>
        <v>1519</v>
      </c>
      <c r="M17" s="292">
        <f t="shared" si="2"/>
        <v>1519</v>
      </c>
      <c r="N17" s="292">
        <f t="shared" si="2"/>
        <v>1519</v>
      </c>
      <c r="O17" s="294">
        <f t="shared" si="2"/>
        <v>1519</v>
      </c>
      <c r="P17" s="298">
        <f t="shared" si="0"/>
        <v>18228</v>
      </c>
      <c r="Q17" s="297"/>
    </row>
    <row r="18" spans="2:17" ht="16.5" customHeight="1" thickBot="1" x14ac:dyDescent="0.3">
      <c r="B18" s="816"/>
      <c r="C18" s="337" t="s">
        <v>162</v>
      </c>
      <c r="D18" s="330">
        <v>1860</v>
      </c>
      <c r="E18" s="315">
        <v>1860</v>
      </c>
      <c r="F18" s="315">
        <v>1860</v>
      </c>
      <c r="G18" s="315">
        <v>1860</v>
      </c>
      <c r="H18" s="315">
        <v>1860</v>
      </c>
      <c r="I18" s="315">
        <v>1860</v>
      </c>
      <c r="J18" s="315">
        <v>1860</v>
      </c>
      <c r="K18" s="315">
        <v>1860</v>
      </c>
      <c r="L18" s="315">
        <v>1860</v>
      </c>
      <c r="M18" s="315">
        <v>1860</v>
      </c>
      <c r="N18" s="315">
        <v>1860</v>
      </c>
      <c r="O18" s="316">
        <v>1860</v>
      </c>
      <c r="P18" s="299">
        <f t="shared" si="0"/>
        <v>22320</v>
      </c>
      <c r="Q18" s="317"/>
    </row>
    <row r="19" spans="2:17" ht="63.75" customHeight="1" x14ac:dyDescent="0.25">
      <c r="B19" s="821" t="s">
        <v>151</v>
      </c>
      <c r="C19" s="338" t="s">
        <v>366</v>
      </c>
      <c r="D19" s="331">
        <v>65000</v>
      </c>
      <c r="E19" s="318">
        <v>65000</v>
      </c>
      <c r="F19" s="318">
        <v>65000</v>
      </c>
      <c r="G19" s="318">
        <v>65000</v>
      </c>
      <c r="H19" s="318">
        <v>65000</v>
      </c>
      <c r="I19" s="318">
        <v>65000</v>
      </c>
      <c r="J19" s="318">
        <v>74750</v>
      </c>
      <c r="K19" s="318">
        <v>74750</v>
      </c>
      <c r="L19" s="318">
        <v>74750</v>
      </c>
      <c r="M19" s="318">
        <v>74750</v>
      </c>
      <c r="N19" s="318">
        <v>74750</v>
      </c>
      <c r="O19" s="319">
        <v>74750</v>
      </c>
      <c r="P19" s="320">
        <f t="shared" ref="P19:P23" si="3">SUM(D19:O19)</f>
        <v>838500</v>
      </c>
      <c r="Q19" s="321"/>
    </row>
    <row r="20" spans="2:17" ht="22.5" customHeight="1" thickBot="1" x14ac:dyDescent="0.3">
      <c r="B20" s="822"/>
      <c r="C20" s="337" t="s">
        <v>163</v>
      </c>
      <c r="D20" s="330">
        <v>0</v>
      </c>
      <c r="E20" s="315">
        <v>0</v>
      </c>
      <c r="F20" s="315">
        <v>0</v>
      </c>
      <c r="G20" s="315">
        <v>0</v>
      </c>
      <c r="H20" s="315">
        <v>0</v>
      </c>
      <c r="I20" s="315">
        <v>0</v>
      </c>
      <c r="J20" s="315">
        <v>0</v>
      </c>
      <c r="K20" s="315">
        <v>0</v>
      </c>
      <c r="L20" s="315">
        <v>0</v>
      </c>
      <c r="M20" s="315">
        <v>0</v>
      </c>
      <c r="N20" s="315">
        <v>0</v>
      </c>
      <c r="O20" s="316">
        <v>0</v>
      </c>
      <c r="P20" s="299">
        <f t="shared" si="3"/>
        <v>0</v>
      </c>
      <c r="Q20" s="317"/>
    </row>
    <row r="21" spans="2:17" ht="19.5" thickBot="1" x14ac:dyDescent="0.35">
      <c r="B21" s="322" t="s">
        <v>152</v>
      </c>
      <c r="C21" s="339" t="s">
        <v>153</v>
      </c>
      <c r="D21" s="332">
        <v>8500</v>
      </c>
      <c r="E21" s="323">
        <v>8500</v>
      </c>
      <c r="F21" s="323">
        <v>8500</v>
      </c>
      <c r="G21" s="323">
        <v>8500</v>
      </c>
      <c r="H21" s="323">
        <v>8500</v>
      </c>
      <c r="I21" s="323">
        <v>8500</v>
      </c>
      <c r="J21" s="323">
        <v>8500</v>
      </c>
      <c r="K21" s="323">
        <v>8500</v>
      </c>
      <c r="L21" s="323">
        <v>8500</v>
      </c>
      <c r="M21" s="323">
        <v>8500</v>
      </c>
      <c r="N21" s="323">
        <v>8500</v>
      </c>
      <c r="O21" s="324">
        <v>8500</v>
      </c>
      <c r="P21" s="304">
        <f t="shared" si="3"/>
        <v>102000</v>
      </c>
      <c r="Q21" s="325"/>
    </row>
    <row r="22" spans="2:17" x14ac:dyDescent="0.25">
      <c r="B22" s="817" t="s">
        <v>164</v>
      </c>
      <c r="C22" s="335" t="s">
        <v>367</v>
      </c>
      <c r="D22" s="329">
        <f>200*60*4</f>
        <v>48000</v>
      </c>
      <c r="E22" s="292">
        <f t="shared" ref="E22:O23" si="4">200*60*4</f>
        <v>48000</v>
      </c>
      <c r="F22" s="292">
        <f t="shared" si="4"/>
        <v>48000</v>
      </c>
      <c r="G22" s="292">
        <f t="shared" si="4"/>
        <v>48000</v>
      </c>
      <c r="H22" s="292">
        <f t="shared" si="4"/>
        <v>48000</v>
      </c>
      <c r="I22" s="292">
        <f t="shared" si="4"/>
        <v>48000</v>
      </c>
      <c r="J22" s="292">
        <f t="shared" si="4"/>
        <v>48000</v>
      </c>
      <c r="K22" s="292">
        <f t="shared" si="4"/>
        <v>48000</v>
      </c>
      <c r="L22" s="292">
        <f t="shared" si="4"/>
        <v>48000</v>
      </c>
      <c r="M22" s="292">
        <f t="shared" si="4"/>
        <v>48000</v>
      </c>
      <c r="N22" s="292">
        <f t="shared" si="4"/>
        <v>48000</v>
      </c>
      <c r="O22" s="294">
        <f t="shared" si="4"/>
        <v>48000</v>
      </c>
      <c r="P22" s="298">
        <f t="shared" si="3"/>
        <v>576000</v>
      </c>
      <c r="Q22" s="296"/>
    </row>
    <row r="23" spans="2:17" ht="20.25" customHeight="1" thickBot="1" x14ac:dyDescent="0.3">
      <c r="B23" s="818"/>
      <c r="C23" s="337" t="s">
        <v>367</v>
      </c>
      <c r="D23" s="333">
        <f>200*60*4</f>
        <v>48000</v>
      </c>
      <c r="E23" s="333">
        <f t="shared" si="4"/>
        <v>48000</v>
      </c>
      <c r="F23" s="333">
        <f t="shared" si="4"/>
        <v>48000</v>
      </c>
      <c r="G23" s="333">
        <f t="shared" si="4"/>
        <v>48000</v>
      </c>
      <c r="H23" s="333">
        <f t="shared" si="4"/>
        <v>48000</v>
      </c>
      <c r="I23" s="333">
        <f t="shared" si="4"/>
        <v>48000</v>
      </c>
      <c r="J23" s="333">
        <f t="shared" si="4"/>
        <v>48000</v>
      </c>
      <c r="K23" s="333">
        <f t="shared" si="4"/>
        <v>48000</v>
      </c>
      <c r="L23" s="333">
        <f t="shared" si="4"/>
        <v>48000</v>
      </c>
      <c r="M23" s="333">
        <f t="shared" si="4"/>
        <v>48000</v>
      </c>
      <c r="N23" s="333">
        <f t="shared" si="4"/>
        <v>48000</v>
      </c>
      <c r="O23" s="333">
        <f t="shared" si="4"/>
        <v>48000</v>
      </c>
      <c r="P23" s="300">
        <f t="shared" si="3"/>
        <v>576000</v>
      </c>
      <c r="Q23" s="296"/>
    </row>
    <row r="24" spans="2:17" ht="15.75" thickBot="1" x14ac:dyDescent="0.3">
      <c r="B24" s="21"/>
      <c r="C24" s="301" t="s">
        <v>19</v>
      </c>
      <c r="D24" s="302">
        <f t="shared" ref="D24:P24" si="5">SUM(D11:D23)</f>
        <v>190693.62</v>
      </c>
      <c r="E24" s="302">
        <f t="shared" si="5"/>
        <v>189889</v>
      </c>
      <c r="F24" s="302">
        <f t="shared" si="5"/>
        <v>190693.62</v>
      </c>
      <c r="G24" s="302">
        <f t="shared" si="5"/>
        <v>189889</v>
      </c>
      <c r="H24" s="302">
        <f t="shared" si="5"/>
        <v>190693.62</v>
      </c>
      <c r="I24" s="302">
        <f t="shared" si="5"/>
        <v>189889</v>
      </c>
      <c r="J24" s="302">
        <f t="shared" si="5"/>
        <v>201413.61</v>
      </c>
      <c r="K24" s="302">
        <f t="shared" si="5"/>
        <v>199639</v>
      </c>
      <c r="L24" s="302">
        <f t="shared" si="5"/>
        <v>201413.61</v>
      </c>
      <c r="M24" s="302">
        <f t="shared" si="5"/>
        <v>199639</v>
      </c>
      <c r="N24" s="302">
        <f t="shared" si="5"/>
        <v>200443.62</v>
      </c>
      <c r="O24" s="303">
        <f t="shared" si="5"/>
        <v>199639</v>
      </c>
      <c r="P24" s="326">
        <f t="shared" si="5"/>
        <v>2343935.7000000002</v>
      </c>
      <c r="Q24" s="293"/>
    </row>
    <row r="26" spans="2:17" ht="15.75" thickBot="1" x14ac:dyDescent="0.3"/>
    <row r="27" spans="2:17" ht="27" thickBot="1" x14ac:dyDescent="0.45">
      <c r="B27" s="663" t="s">
        <v>165</v>
      </c>
      <c r="C27" s="664"/>
      <c r="D27" s="664"/>
      <c r="E27" s="664"/>
      <c r="F27" s="664"/>
      <c r="G27" s="664"/>
      <c r="H27" s="664"/>
      <c r="I27" s="664"/>
      <c r="J27" s="664"/>
      <c r="K27" s="664"/>
      <c r="L27" s="664"/>
      <c r="M27" s="664"/>
      <c r="N27" s="664"/>
      <c r="O27" s="664"/>
      <c r="P27" s="664"/>
      <c r="Q27" s="665"/>
    </row>
    <row r="28" spans="2:17" ht="19.5" thickBot="1" x14ac:dyDescent="0.3">
      <c r="B28" s="819" t="s">
        <v>155</v>
      </c>
      <c r="C28" s="820"/>
      <c r="D28" s="327" t="s">
        <v>40</v>
      </c>
      <c r="E28" s="307" t="s">
        <v>41</v>
      </c>
      <c r="F28" s="307" t="s">
        <v>42</v>
      </c>
      <c r="G28" s="307" t="s">
        <v>43</v>
      </c>
      <c r="H28" s="307" t="s">
        <v>44</v>
      </c>
      <c r="I28" s="307" t="s">
        <v>45</v>
      </c>
      <c r="J28" s="307" t="s">
        <v>46</v>
      </c>
      <c r="K28" s="307" t="s">
        <v>47</v>
      </c>
      <c r="L28" s="307" t="s">
        <v>48</v>
      </c>
      <c r="M28" s="307" t="s">
        <v>49</v>
      </c>
      <c r="N28" s="307" t="s">
        <v>50</v>
      </c>
      <c r="O28" s="308" t="s">
        <v>51</v>
      </c>
      <c r="P28" s="309" t="s">
        <v>157</v>
      </c>
      <c r="Q28" s="310" t="s">
        <v>156</v>
      </c>
    </row>
    <row r="29" spans="2:17" x14ac:dyDescent="0.25">
      <c r="B29" s="814" t="s">
        <v>147</v>
      </c>
      <c r="C29" s="334" t="s">
        <v>148</v>
      </c>
      <c r="D29" s="328">
        <v>804.62</v>
      </c>
      <c r="E29" s="311">
        <v>0</v>
      </c>
      <c r="F29" s="311">
        <v>804.62</v>
      </c>
      <c r="G29" s="311">
        <v>0</v>
      </c>
      <c r="H29" s="311">
        <v>804.62</v>
      </c>
      <c r="I29" s="311">
        <v>0</v>
      </c>
      <c r="J29" s="311">
        <v>1774.61</v>
      </c>
      <c r="K29" s="311">
        <v>0</v>
      </c>
      <c r="L29" s="311">
        <v>1774.61</v>
      </c>
      <c r="M29" s="311">
        <v>0</v>
      </c>
      <c r="N29" s="311">
        <v>804.62</v>
      </c>
      <c r="O29" s="312">
        <v>0</v>
      </c>
      <c r="P29" s="313">
        <f t="shared" ref="P29:P36" si="6">SUM(D29:O29)</f>
        <v>6767.7</v>
      </c>
      <c r="Q29" s="314"/>
    </row>
    <row r="30" spans="2:17" x14ac:dyDescent="0.25">
      <c r="B30" s="815"/>
      <c r="C30" s="335" t="s">
        <v>150</v>
      </c>
      <c r="D30" s="329">
        <v>9365</v>
      </c>
      <c r="E30" s="292">
        <v>9365</v>
      </c>
      <c r="F30" s="292">
        <v>9365</v>
      </c>
      <c r="G30" s="292">
        <v>9365</v>
      </c>
      <c r="H30" s="292">
        <v>9365</v>
      </c>
      <c r="I30" s="292">
        <v>9365</v>
      </c>
      <c r="J30" s="292">
        <v>9365</v>
      </c>
      <c r="K30" s="292">
        <v>9365</v>
      </c>
      <c r="L30" s="292">
        <v>9365</v>
      </c>
      <c r="M30" s="292">
        <v>9365</v>
      </c>
      <c r="N30" s="292">
        <v>9365</v>
      </c>
      <c r="O30" s="294">
        <v>9365</v>
      </c>
      <c r="P30" s="298">
        <f t="shared" si="6"/>
        <v>112380</v>
      </c>
      <c r="Q30" s="295"/>
    </row>
    <row r="31" spans="2:17" x14ac:dyDescent="0.25">
      <c r="B31" s="815"/>
      <c r="C31" s="335" t="s">
        <v>149</v>
      </c>
      <c r="D31" s="329">
        <v>615</v>
      </c>
      <c r="E31" s="292">
        <v>615</v>
      </c>
      <c r="F31" s="292">
        <v>615</v>
      </c>
      <c r="G31" s="292">
        <v>615</v>
      </c>
      <c r="H31" s="292">
        <v>615</v>
      </c>
      <c r="I31" s="292">
        <v>615</v>
      </c>
      <c r="J31" s="292">
        <v>615</v>
      </c>
      <c r="K31" s="292">
        <v>615</v>
      </c>
      <c r="L31" s="292">
        <v>615</v>
      </c>
      <c r="M31" s="292">
        <v>615</v>
      </c>
      <c r="N31" s="292">
        <v>615</v>
      </c>
      <c r="O31" s="294">
        <v>615</v>
      </c>
      <c r="P31" s="298">
        <f t="shared" si="6"/>
        <v>7380</v>
      </c>
      <c r="Q31" s="295"/>
    </row>
    <row r="32" spans="2:17" x14ac:dyDescent="0.25">
      <c r="B32" s="815"/>
      <c r="C32" s="335" t="s">
        <v>158</v>
      </c>
      <c r="D32" s="329">
        <v>390</v>
      </c>
      <c r="E32" s="292">
        <v>390</v>
      </c>
      <c r="F32" s="292">
        <v>390</v>
      </c>
      <c r="G32" s="292">
        <v>390</v>
      </c>
      <c r="H32" s="292">
        <v>390</v>
      </c>
      <c r="I32" s="292">
        <v>390</v>
      </c>
      <c r="J32" s="292">
        <v>390</v>
      </c>
      <c r="K32" s="292">
        <v>390</v>
      </c>
      <c r="L32" s="292">
        <v>390</v>
      </c>
      <c r="M32" s="292">
        <v>390</v>
      </c>
      <c r="N32" s="292">
        <v>390</v>
      </c>
      <c r="O32" s="294">
        <v>390</v>
      </c>
      <c r="P32" s="298">
        <f t="shared" si="6"/>
        <v>4680</v>
      </c>
      <c r="Q32" s="296"/>
    </row>
    <row r="33" spans="2:17" x14ac:dyDescent="0.25">
      <c r="B33" s="815"/>
      <c r="C33" s="336" t="s">
        <v>159</v>
      </c>
      <c r="D33" s="329">
        <f>725*6</f>
        <v>4350</v>
      </c>
      <c r="E33" s="292">
        <f t="shared" ref="E33:O33" si="7">725*6</f>
        <v>4350</v>
      </c>
      <c r="F33" s="292">
        <f t="shared" si="7"/>
        <v>4350</v>
      </c>
      <c r="G33" s="292">
        <f t="shared" si="7"/>
        <v>4350</v>
      </c>
      <c r="H33" s="292">
        <f t="shared" si="7"/>
        <v>4350</v>
      </c>
      <c r="I33" s="292">
        <f t="shared" si="7"/>
        <v>4350</v>
      </c>
      <c r="J33" s="292">
        <f t="shared" si="7"/>
        <v>4350</v>
      </c>
      <c r="K33" s="292">
        <f t="shared" si="7"/>
        <v>4350</v>
      </c>
      <c r="L33" s="292">
        <f t="shared" si="7"/>
        <v>4350</v>
      </c>
      <c r="M33" s="292">
        <f t="shared" si="7"/>
        <v>4350</v>
      </c>
      <c r="N33" s="292">
        <f t="shared" si="7"/>
        <v>4350</v>
      </c>
      <c r="O33" s="294">
        <f t="shared" si="7"/>
        <v>4350</v>
      </c>
      <c r="P33" s="298">
        <f t="shared" si="6"/>
        <v>52200</v>
      </c>
      <c r="Q33" s="297"/>
    </row>
    <row r="34" spans="2:17" x14ac:dyDescent="0.25">
      <c r="B34" s="815"/>
      <c r="C34" s="336" t="s">
        <v>160</v>
      </c>
      <c r="D34" s="329">
        <v>2290</v>
      </c>
      <c r="E34" s="292">
        <v>2290</v>
      </c>
      <c r="F34" s="292">
        <v>2290</v>
      </c>
      <c r="G34" s="292">
        <v>2290</v>
      </c>
      <c r="H34" s="292">
        <v>2290</v>
      </c>
      <c r="I34" s="292">
        <v>2290</v>
      </c>
      <c r="J34" s="292">
        <v>2290</v>
      </c>
      <c r="K34" s="292">
        <v>2290</v>
      </c>
      <c r="L34" s="292">
        <v>2290</v>
      </c>
      <c r="M34" s="292">
        <v>2290</v>
      </c>
      <c r="N34" s="292">
        <v>2290</v>
      </c>
      <c r="O34" s="294">
        <v>2290</v>
      </c>
      <c r="P34" s="298">
        <f t="shared" si="6"/>
        <v>27480</v>
      </c>
      <c r="Q34" s="297"/>
    </row>
    <row r="35" spans="2:17" x14ac:dyDescent="0.25">
      <c r="B35" s="815"/>
      <c r="C35" s="297" t="s">
        <v>161</v>
      </c>
      <c r="D35" s="329">
        <f>18228/12</f>
        <v>1519</v>
      </c>
      <c r="E35" s="292">
        <f t="shared" ref="E35:O35" si="8">18228/12</f>
        <v>1519</v>
      </c>
      <c r="F35" s="292">
        <f t="shared" si="8"/>
        <v>1519</v>
      </c>
      <c r="G35" s="292">
        <f t="shared" si="8"/>
        <v>1519</v>
      </c>
      <c r="H35" s="292">
        <f t="shared" si="8"/>
        <v>1519</v>
      </c>
      <c r="I35" s="292">
        <f t="shared" si="8"/>
        <v>1519</v>
      </c>
      <c r="J35" s="292">
        <f t="shared" si="8"/>
        <v>1519</v>
      </c>
      <c r="K35" s="292">
        <f t="shared" si="8"/>
        <v>1519</v>
      </c>
      <c r="L35" s="292">
        <f t="shared" si="8"/>
        <v>1519</v>
      </c>
      <c r="M35" s="292">
        <f t="shared" si="8"/>
        <v>1519</v>
      </c>
      <c r="N35" s="292">
        <f t="shared" si="8"/>
        <v>1519</v>
      </c>
      <c r="O35" s="294">
        <f t="shared" si="8"/>
        <v>1519</v>
      </c>
      <c r="P35" s="298">
        <f t="shared" si="6"/>
        <v>18228</v>
      </c>
      <c r="Q35" s="297"/>
    </row>
    <row r="36" spans="2:17" ht="15.75" thickBot="1" x14ac:dyDescent="0.3">
      <c r="B36" s="816"/>
      <c r="C36" s="337" t="s">
        <v>162</v>
      </c>
      <c r="D36" s="330">
        <v>1860</v>
      </c>
      <c r="E36" s="315">
        <v>1860</v>
      </c>
      <c r="F36" s="315">
        <v>1860</v>
      </c>
      <c r="G36" s="315">
        <v>1860</v>
      </c>
      <c r="H36" s="315">
        <v>1860</v>
      </c>
      <c r="I36" s="315">
        <v>1860</v>
      </c>
      <c r="J36" s="315">
        <v>1860</v>
      </c>
      <c r="K36" s="315">
        <v>1860</v>
      </c>
      <c r="L36" s="315">
        <v>1860</v>
      </c>
      <c r="M36" s="315">
        <v>1860</v>
      </c>
      <c r="N36" s="315">
        <v>1860</v>
      </c>
      <c r="O36" s="316">
        <v>1860</v>
      </c>
      <c r="P36" s="299">
        <f t="shared" si="6"/>
        <v>22320</v>
      </c>
      <c r="Q36" s="317"/>
    </row>
    <row r="37" spans="2:17" x14ac:dyDescent="0.25">
      <c r="B37" s="821" t="s">
        <v>151</v>
      </c>
      <c r="C37" s="338" t="s">
        <v>366</v>
      </c>
      <c r="D37" s="331">
        <f>74750*1.15</f>
        <v>85962.5</v>
      </c>
      <c r="E37" s="318">
        <f t="shared" ref="E37:I37" si="9">74750*1.15</f>
        <v>85962.5</v>
      </c>
      <c r="F37" s="318">
        <f t="shared" si="9"/>
        <v>85962.5</v>
      </c>
      <c r="G37" s="318">
        <f t="shared" si="9"/>
        <v>85962.5</v>
      </c>
      <c r="H37" s="318">
        <f t="shared" si="9"/>
        <v>85962.5</v>
      </c>
      <c r="I37" s="318">
        <f t="shared" si="9"/>
        <v>85962.5</v>
      </c>
      <c r="J37" s="318">
        <f>I37*1.15</f>
        <v>98856.874999999985</v>
      </c>
      <c r="K37" s="318">
        <v>98856.88</v>
      </c>
      <c r="L37" s="318">
        <v>98856.88</v>
      </c>
      <c r="M37" s="318">
        <v>98856.88</v>
      </c>
      <c r="N37" s="318">
        <v>98856.88</v>
      </c>
      <c r="O37" s="318">
        <v>98856.88</v>
      </c>
      <c r="P37" s="320">
        <f t="shared" ref="P37:P41" si="10">SUM(D37:O37)</f>
        <v>1108916.2749999999</v>
      </c>
      <c r="Q37" s="321"/>
    </row>
    <row r="38" spans="2:17" ht="15.75" thickBot="1" x14ac:dyDescent="0.3">
      <c r="B38" s="822"/>
      <c r="C38" s="337" t="s">
        <v>163</v>
      </c>
      <c r="D38" s="330">
        <v>0</v>
      </c>
      <c r="E38" s="315">
        <v>0</v>
      </c>
      <c r="F38" s="315">
        <v>0</v>
      </c>
      <c r="G38" s="315">
        <v>0</v>
      </c>
      <c r="H38" s="315">
        <v>0</v>
      </c>
      <c r="I38" s="315">
        <v>0</v>
      </c>
      <c r="J38" s="315">
        <v>0</v>
      </c>
      <c r="K38" s="315">
        <v>0</v>
      </c>
      <c r="L38" s="315">
        <v>0</v>
      </c>
      <c r="M38" s="315">
        <v>0</v>
      </c>
      <c r="N38" s="315">
        <v>0</v>
      </c>
      <c r="O38" s="316">
        <v>0</v>
      </c>
      <c r="P38" s="299">
        <f t="shared" si="10"/>
        <v>0</v>
      </c>
      <c r="Q38" s="317"/>
    </row>
    <row r="39" spans="2:17" ht="19.5" thickBot="1" x14ac:dyDescent="0.35">
      <c r="B39" s="322" t="s">
        <v>152</v>
      </c>
      <c r="C39" s="339" t="s">
        <v>153</v>
      </c>
      <c r="D39" s="332">
        <v>8500</v>
      </c>
      <c r="E39" s="323">
        <v>8500</v>
      </c>
      <c r="F39" s="323">
        <v>8500</v>
      </c>
      <c r="G39" s="323">
        <v>8500</v>
      </c>
      <c r="H39" s="323">
        <v>8500</v>
      </c>
      <c r="I39" s="323">
        <v>8500</v>
      </c>
      <c r="J39" s="323">
        <v>8500</v>
      </c>
      <c r="K39" s="323">
        <v>8500</v>
      </c>
      <c r="L39" s="323">
        <v>8500</v>
      </c>
      <c r="M39" s="323">
        <v>8500</v>
      </c>
      <c r="N39" s="323">
        <v>8500</v>
      </c>
      <c r="O39" s="324">
        <v>8500</v>
      </c>
      <c r="P39" s="304">
        <f t="shared" si="10"/>
        <v>102000</v>
      </c>
      <c r="Q39" s="325"/>
    </row>
    <row r="40" spans="2:17" x14ac:dyDescent="0.25">
      <c r="B40" s="817" t="s">
        <v>164</v>
      </c>
      <c r="C40" s="335" t="s">
        <v>367</v>
      </c>
      <c r="D40" s="329">
        <f>200*60*4</f>
        <v>48000</v>
      </c>
      <c r="E40" s="292">
        <f t="shared" ref="E40:O41" si="11">200*60*4</f>
        <v>48000</v>
      </c>
      <c r="F40" s="292">
        <f t="shared" si="11"/>
        <v>48000</v>
      </c>
      <c r="G40" s="292">
        <f t="shared" si="11"/>
        <v>48000</v>
      </c>
      <c r="H40" s="292">
        <f t="shared" si="11"/>
        <v>48000</v>
      </c>
      <c r="I40" s="292">
        <f t="shared" si="11"/>
        <v>48000</v>
      </c>
      <c r="J40" s="292">
        <f t="shared" si="11"/>
        <v>48000</v>
      </c>
      <c r="K40" s="292">
        <f t="shared" si="11"/>
        <v>48000</v>
      </c>
      <c r="L40" s="292">
        <f t="shared" si="11"/>
        <v>48000</v>
      </c>
      <c r="M40" s="292">
        <f t="shared" si="11"/>
        <v>48000</v>
      </c>
      <c r="N40" s="292">
        <f t="shared" si="11"/>
        <v>48000</v>
      </c>
      <c r="O40" s="294">
        <f t="shared" si="11"/>
        <v>48000</v>
      </c>
      <c r="P40" s="298">
        <f t="shared" si="10"/>
        <v>576000</v>
      </c>
      <c r="Q40" s="296"/>
    </row>
    <row r="41" spans="2:17" ht="15.75" thickBot="1" x14ac:dyDescent="0.3">
      <c r="B41" s="818"/>
      <c r="C41" s="337" t="s">
        <v>367</v>
      </c>
      <c r="D41" s="333">
        <f>200*60*4</f>
        <v>48000</v>
      </c>
      <c r="E41" s="333">
        <f t="shared" si="11"/>
        <v>48000</v>
      </c>
      <c r="F41" s="333">
        <f t="shared" si="11"/>
        <v>48000</v>
      </c>
      <c r="G41" s="333">
        <f t="shared" si="11"/>
        <v>48000</v>
      </c>
      <c r="H41" s="333">
        <f t="shared" si="11"/>
        <v>48000</v>
      </c>
      <c r="I41" s="333">
        <f t="shared" si="11"/>
        <v>48000</v>
      </c>
      <c r="J41" s="333">
        <f t="shared" si="11"/>
        <v>48000</v>
      </c>
      <c r="K41" s="333">
        <f t="shared" si="11"/>
        <v>48000</v>
      </c>
      <c r="L41" s="333">
        <f t="shared" si="11"/>
        <v>48000</v>
      </c>
      <c r="M41" s="333">
        <f t="shared" si="11"/>
        <v>48000</v>
      </c>
      <c r="N41" s="333">
        <f t="shared" si="11"/>
        <v>48000</v>
      </c>
      <c r="O41" s="333">
        <f t="shared" si="11"/>
        <v>48000</v>
      </c>
      <c r="P41" s="300">
        <f t="shared" si="10"/>
        <v>576000</v>
      </c>
      <c r="Q41" s="296"/>
    </row>
    <row r="42" spans="2:17" ht="15.75" thickBot="1" x14ac:dyDescent="0.3">
      <c r="B42" s="21"/>
      <c r="C42" s="301" t="s">
        <v>19</v>
      </c>
      <c r="D42" s="302">
        <f t="shared" ref="D42:P42" si="12">SUM(D29:D41)</f>
        <v>211656.12</v>
      </c>
      <c r="E42" s="302">
        <f t="shared" si="12"/>
        <v>210851.5</v>
      </c>
      <c r="F42" s="302">
        <f t="shared" si="12"/>
        <v>211656.12</v>
      </c>
      <c r="G42" s="302">
        <f t="shared" si="12"/>
        <v>210851.5</v>
      </c>
      <c r="H42" s="302">
        <f t="shared" si="12"/>
        <v>211656.12</v>
      </c>
      <c r="I42" s="302">
        <f t="shared" si="12"/>
        <v>210851.5</v>
      </c>
      <c r="J42" s="302">
        <f t="shared" si="12"/>
        <v>225520.48499999999</v>
      </c>
      <c r="K42" s="302">
        <f t="shared" si="12"/>
        <v>223745.88</v>
      </c>
      <c r="L42" s="302">
        <f t="shared" si="12"/>
        <v>225520.49</v>
      </c>
      <c r="M42" s="302">
        <f t="shared" si="12"/>
        <v>223745.88</v>
      </c>
      <c r="N42" s="302">
        <f t="shared" si="12"/>
        <v>224550.5</v>
      </c>
      <c r="O42" s="303">
        <f t="shared" si="12"/>
        <v>223745.88</v>
      </c>
      <c r="P42" s="326">
        <f t="shared" si="12"/>
        <v>2614351.9749999996</v>
      </c>
      <c r="Q42" s="293"/>
    </row>
    <row r="45" spans="2:17" ht="15.75" thickBot="1" x14ac:dyDescent="0.3"/>
    <row r="46" spans="2:17" ht="27" thickBot="1" x14ac:dyDescent="0.45">
      <c r="B46" s="663" t="s">
        <v>166</v>
      </c>
      <c r="C46" s="664"/>
      <c r="D46" s="664"/>
      <c r="E46" s="664"/>
      <c r="F46" s="664"/>
      <c r="G46" s="664"/>
      <c r="H46" s="664"/>
      <c r="I46" s="664"/>
      <c r="J46" s="664"/>
      <c r="K46" s="664"/>
      <c r="L46" s="664"/>
      <c r="M46" s="664"/>
      <c r="N46" s="664"/>
      <c r="O46" s="664"/>
      <c r="P46" s="664"/>
      <c r="Q46" s="665"/>
    </row>
    <row r="47" spans="2:17" ht="19.5" thickBot="1" x14ac:dyDescent="0.3">
      <c r="B47" s="819" t="s">
        <v>155</v>
      </c>
      <c r="C47" s="820"/>
      <c r="D47" s="327" t="s">
        <v>40</v>
      </c>
      <c r="E47" s="307" t="s">
        <v>41</v>
      </c>
      <c r="F47" s="307" t="s">
        <v>42</v>
      </c>
      <c r="G47" s="307" t="s">
        <v>43</v>
      </c>
      <c r="H47" s="307" t="s">
        <v>44</v>
      </c>
      <c r="I47" s="307" t="s">
        <v>45</v>
      </c>
      <c r="J47" s="307" t="s">
        <v>46</v>
      </c>
      <c r="K47" s="307" t="s">
        <v>47</v>
      </c>
      <c r="L47" s="307" t="s">
        <v>48</v>
      </c>
      <c r="M47" s="307" t="s">
        <v>49</v>
      </c>
      <c r="N47" s="307" t="s">
        <v>50</v>
      </c>
      <c r="O47" s="308" t="s">
        <v>51</v>
      </c>
      <c r="P47" s="309" t="s">
        <v>157</v>
      </c>
      <c r="Q47" s="310" t="s">
        <v>156</v>
      </c>
    </row>
    <row r="48" spans="2:17" x14ac:dyDescent="0.25">
      <c r="B48" s="814" t="s">
        <v>147</v>
      </c>
      <c r="C48" s="334" t="s">
        <v>148</v>
      </c>
      <c r="D48" s="328">
        <v>804.62</v>
      </c>
      <c r="E48" s="311">
        <v>0</v>
      </c>
      <c r="F48" s="311">
        <v>804.62</v>
      </c>
      <c r="G48" s="311">
        <v>0</v>
      </c>
      <c r="H48" s="311">
        <v>804.62</v>
      </c>
      <c r="I48" s="311">
        <v>0</v>
      </c>
      <c r="J48" s="311">
        <v>1774.61</v>
      </c>
      <c r="K48" s="311">
        <v>0</v>
      </c>
      <c r="L48" s="311">
        <v>1774.61</v>
      </c>
      <c r="M48" s="311">
        <v>0</v>
      </c>
      <c r="N48" s="311">
        <v>804.62</v>
      </c>
      <c r="O48" s="312">
        <v>0</v>
      </c>
      <c r="P48" s="313">
        <f t="shared" ref="P48:P55" si="13">SUM(D48:O48)</f>
        <v>6767.7</v>
      </c>
      <c r="Q48" s="314"/>
    </row>
    <row r="49" spans="2:17" x14ac:dyDescent="0.25">
      <c r="B49" s="815"/>
      <c r="C49" s="335" t="s">
        <v>150</v>
      </c>
      <c r="D49" s="329">
        <v>9365</v>
      </c>
      <c r="E49" s="292">
        <v>9365</v>
      </c>
      <c r="F49" s="292">
        <v>9365</v>
      </c>
      <c r="G49" s="292">
        <v>9365</v>
      </c>
      <c r="H49" s="292">
        <v>9365</v>
      </c>
      <c r="I49" s="292">
        <v>9365</v>
      </c>
      <c r="J49" s="292">
        <v>9365</v>
      </c>
      <c r="K49" s="292">
        <v>9365</v>
      </c>
      <c r="L49" s="292">
        <v>9365</v>
      </c>
      <c r="M49" s="292">
        <v>9365</v>
      </c>
      <c r="N49" s="292">
        <v>9365</v>
      </c>
      <c r="O49" s="294">
        <v>9365</v>
      </c>
      <c r="P49" s="298">
        <f t="shared" si="13"/>
        <v>112380</v>
      </c>
      <c r="Q49" s="295"/>
    </row>
    <row r="50" spans="2:17" x14ac:dyDescent="0.25">
      <c r="B50" s="815"/>
      <c r="C50" s="335" t="s">
        <v>149</v>
      </c>
      <c r="D50" s="329">
        <v>615</v>
      </c>
      <c r="E50" s="292">
        <v>615</v>
      </c>
      <c r="F50" s="292">
        <v>615</v>
      </c>
      <c r="G50" s="292">
        <v>615</v>
      </c>
      <c r="H50" s="292">
        <v>615</v>
      </c>
      <c r="I50" s="292">
        <v>615</v>
      </c>
      <c r="J50" s="292">
        <v>615</v>
      </c>
      <c r="K50" s="292">
        <v>615</v>
      </c>
      <c r="L50" s="292">
        <v>615</v>
      </c>
      <c r="M50" s="292">
        <v>615</v>
      </c>
      <c r="N50" s="292">
        <v>615</v>
      </c>
      <c r="O50" s="294">
        <v>615</v>
      </c>
      <c r="P50" s="298">
        <f t="shared" si="13"/>
        <v>7380</v>
      </c>
      <c r="Q50" s="295"/>
    </row>
    <row r="51" spans="2:17" x14ac:dyDescent="0.25">
      <c r="B51" s="815"/>
      <c r="C51" s="335" t="s">
        <v>158</v>
      </c>
      <c r="D51" s="329">
        <v>390</v>
      </c>
      <c r="E51" s="292">
        <v>390</v>
      </c>
      <c r="F51" s="292">
        <v>390</v>
      </c>
      <c r="G51" s="292">
        <v>390</v>
      </c>
      <c r="H51" s="292">
        <v>390</v>
      </c>
      <c r="I51" s="292">
        <v>390</v>
      </c>
      <c r="J51" s="292">
        <v>390</v>
      </c>
      <c r="K51" s="292">
        <v>390</v>
      </c>
      <c r="L51" s="292">
        <v>390</v>
      </c>
      <c r="M51" s="292">
        <v>390</v>
      </c>
      <c r="N51" s="292">
        <v>390</v>
      </c>
      <c r="O51" s="294">
        <v>390</v>
      </c>
      <c r="P51" s="298">
        <f t="shared" si="13"/>
        <v>4680</v>
      </c>
      <c r="Q51" s="296"/>
    </row>
    <row r="52" spans="2:17" x14ac:dyDescent="0.25">
      <c r="B52" s="815"/>
      <c r="C52" s="336" t="s">
        <v>159</v>
      </c>
      <c r="D52" s="329">
        <f>725*6</f>
        <v>4350</v>
      </c>
      <c r="E52" s="292">
        <f t="shared" ref="E52:O52" si="14">725*6</f>
        <v>4350</v>
      </c>
      <c r="F52" s="292">
        <f t="shared" si="14"/>
        <v>4350</v>
      </c>
      <c r="G52" s="292">
        <f t="shared" si="14"/>
        <v>4350</v>
      </c>
      <c r="H52" s="292">
        <f t="shared" si="14"/>
        <v>4350</v>
      </c>
      <c r="I52" s="292">
        <f t="shared" si="14"/>
        <v>4350</v>
      </c>
      <c r="J52" s="292">
        <f t="shared" si="14"/>
        <v>4350</v>
      </c>
      <c r="K52" s="292">
        <f t="shared" si="14"/>
        <v>4350</v>
      </c>
      <c r="L52" s="292">
        <f t="shared" si="14"/>
        <v>4350</v>
      </c>
      <c r="M52" s="292">
        <f t="shared" si="14"/>
        <v>4350</v>
      </c>
      <c r="N52" s="292">
        <f t="shared" si="14"/>
        <v>4350</v>
      </c>
      <c r="O52" s="294">
        <f t="shared" si="14"/>
        <v>4350</v>
      </c>
      <c r="P52" s="298">
        <f t="shared" si="13"/>
        <v>52200</v>
      </c>
      <c r="Q52" s="297"/>
    </row>
    <row r="53" spans="2:17" x14ac:dyDescent="0.25">
      <c r="B53" s="815"/>
      <c r="C53" s="336" t="s">
        <v>160</v>
      </c>
      <c r="D53" s="329">
        <v>2290</v>
      </c>
      <c r="E53" s="292">
        <v>2290</v>
      </c>
      <c r="F53" s="292">
        <v>2290</v>
      </c>
      <c r="G53" s="292">
        <v>2290</v>
      </c>
      <c r="H53" s="292">
        <v>2290</v>
      </c>
      <c r="I53" s="292">
        <v>2290</v>
      </c>
      <c r="J53" s="292">
        <v>2290</v>
      </c>
      <c r="K53" s="292">
        <v>2290</v>
      </c>
      <c r="L53" s="292">
        <v>2290</v>
      </c>
      <c r="M53" s="292">
        <v>2290</v>
      </c>
      <c r="N53" s="292">
        <v>2290</v>
      </c>
      <c r="O53" s="294">
        <v>2290</v>
      </c>
      <c r="P53" s="298">
        <f t="shared" si="13"/>
        <v>27480</v>
      </c>
      <c r="Q53" s="297"/>
    </row>
    <row r="54" spans="2:17" x14ac:dyDescent="0.25">
      <c r="B54" s="815"/>
      <c r="C54" s="297" t="s">
        <v>161</v>
      </c>
      <c r="D54" s="329">
        <f>18228/12</f>
        <v>1519</v>
      </c>
      <c r="E54" s="292">
        <f t="shared" ref="E54:O54" si="15">18228/12</f>
        <v>1519</v>
      </c>
      <c r="F54" s="292">
        <f t="shared" si="15"/>
        <v>1519</v>
      </c>
      <c r="G54" s="292">
        <f t="shared" si="15"/>
        <v>1519</v>
      </c>
      <c r="H54" s="292">
        <f t="shared" si="15"/>
        <v>1519</v>
      </c>
      <c r="I54" s="292">
        <f t="shared" si="15"/>
        <v>1519</v>
      </c>
      <c r="J54" s="292">
        <f t="shared" si="15"/>
        <v>1519</v>
      </c>
      <c r="K54" s="292">
        <f t="shared" si="15"/>
        <v>1519</v>
      </c>
      <c r="L54" s="292">
        <f t="shared" si="15"/>
        <v>1519</v>
      </c>
      <c r="M54" s="292">
        <f t="shared" si="15"/>
        <v>1519</v>
      </c>
      <c r="N54" s="292">
        <f t="shared" si="15"/>
        <v>1519</v>
      </c>
      <c r="O54" s="294">
        <f t="shared" si="15"/>
        <v>1519</v>
      </c>
      <c r="P54" s="298">
        <f t="shared" si="13"/>
        <v>18228</v>
      </c>
      <c r="Q54" s="297"/>
    </row>
    <row r="55" spans="2:17" ht="15.75" thickBot="1" x14ac:dyDescent="0.3">
      <c r="B55" s="816"/>
      <c r="C55" s="337" t="s">
        <v>162</v>
      </c>
      <c r="D55" s="330">
        <v>1860</v>
      </c>
      <c r="E55" s="315">
        <v>1860</v>
      </c>
      <c r="F55" s="315">
        <v>1860</v>
      </c>
      <c r="G55" s="315">
        <v>1860</v>
      </c>
      <c r="H55" s="315">
        <v>1860</v>
      </c>
      <c r="I55" s="315">
        <v>1860</v>
      </c>
      <c r="J55" s="315">
        <v>1860</v>
      </c>
      <c r="K55" s="315">
        <v>1860</v>
      </c>
      <c r="L55" s="315">
        <v>1860</v>
      </c>
      <c r="M55" s="315">
        <v>1860</v>
      </c>
      <c r="N55" s="315">
        <v>1860</v>
      </c>
      <c r="O55" s="316">
        <v>1860</v>
      </c>
      <c r="P55" s="299">
        <f t="shared" si="13"/>
        <v>22320</v>
      </c>
      <c r="Q55" s="317"/>
    </row>
    <row r="56" spans="2:17" x14ac:dyDescent="0.25">
      <c r="B56" s="821" t="s">
        <v>151</v>
      </c>
      <c r="C56" s="338" t="s">
        <v>366</v>
      </c>
      <c r="D56" s="331">
        <f>98856.88*1.15</f>
        <v>113685.412</v>
      </c>
      <c r="E56" s="318">
        <v>113685.41</v>
      </c>
      <c r="F56" s="318">
        <v>113685.41</v>
      </c>
      <c r="G56" s="318">
        <v>113685.41</v>
      </c>
      <c r="H56" s="318">
        <v>113685.41</v>
      </c>
      <c r="I56" s="318">
        <v>113685.41</v>
      </c>
      <c r="J56" s="318">
        <f>I56*1.15</f>
        <v>130738.2215</v>
      </c>
      <c r="K56" s="318">
        <v>130738.22</v>
      </c>
      <c r="L56" s="318">
        <v>130738.22</v>
      </c>
      <c r="M56" s="318">
        <v>130738.22</v>
      </c>
      <c r="N56" s="318">
        <v>130738.22</v>
      </c>
      <c r="O56" s="318">
        <v>130738.22</v>
      </c>
      <c r="P56" s="320">
        <f t="shared" ref="P56:P60" si="16">SUM(D56:O56)</f>
        <v>1466541.7834999999</v>
      </c>
      <c r="Q56" s="321"/>
    </row>
    <row r="57" spans="2:17" ht="15.75" thickBot="1" x14ac:dyDescent="0.3">
      <c r="B57" s="822"/>
      <c r="C57" s="337" t="s">
        <v>163</v>
      </c>
      <c r="D57" s="330">
        <v>0</v>
      </c>
      <c r="E57" s="315">
        <v>0</v>
      </c>
      <c r="F57" s="315">
        <v>0</v>
      </c>
      <c r="G57" s="315">
        <v>0</v>
      </c>
      <c r="H57" s="315">
        <v>0</v>
      </c>
      <c r="I57" s="315">
        <v>0</v>
      </c>
      <c r="J57" s="315">
        <v>0</v>
      </c>
      <c r="K57" s="315">
        <v>0</v>
      </c>
      <c r="L57" s="315">
        <v>0</v>
      </c>
      <c r="M57" s="315">
        <v>0</v>
      </c>
      <c r="N57" s="315">
        <v>0</v>
      </c>
      <c r="O57" s="316">
        <v>0</v>
      </c>
      <c r="P57" s="299">
        <f t="shared" si="16"/>
        <v>0</v>
      </c>
      <c r="Q57" s="317"/>
    </row>
    <row r="58" spans="2:17" ht="19.5" thickBot="1" x14ac:dyDescent="0.35">
      <c r="B58" s="322" t="s">
        <v>152</v>
      </c>
      <c r="C58" s="339" t="s">
        <v>153</v>
      </c>
      <c r="D58" s="332">
        <v>8500</v>
      </c>
      <c r="E58" s="323">
        <v>8500</v>
      </c>
      <c r="F58" s="323">
        <v>8500</v>
      </c>
      <c r="G58" s="323">
        <v>8500</v>
      </c>
      <c r="H58" s="323">
        <v>8500</v>
      </c>
      <c r="I58" s="323">
        <v>8500</v>
      </c>
      <c r="J58" s="323">
        <v>8500</v>
      </c>
      <c r="K58" s="323">
        <v>8500</v>
      </c>
      <c r="L58" s="323">
        <v>8500</v>
      </c>
      <c r="M58" s="323">
        <v>8500</v>
      </c>
      <c r="N58" s="323">
        <v>8500</v>
      </c>
      <c r="O58" s="324">
        <v>8500</v>
      </c>
      <c r="P58" s="304">
        <f t="shared" si="16"/>
        <v>102000</v>
      </c>
      <c r="Q58" s="325"/>
    </row>
    <row r="59" spans="2:17" x14ac:dyDescent="0.25">
      <c r="B59" s="817" t="s">
        <v>164</v>
      </c>
      <c r="C59" s="335" t="s">
        <v>367</v>
      </c>
      <c r="D59" s="329">
        <f>200*60*4</f>
        <v>48000</v>
      </c>
      <c r="E59" s="292">
        <f t="shared" ref="E59:O60" si="17">200*60*4</f>
        <v>48000</v>
      </c>
      <c r="F59" s="292">
        <f t="shared" si="17"/>
        <v>48000</v>
      </c>
      <c r="G59" s="292">
        <f t="shared" si="17"/>
        <v>48000</v>
      </c>
      <c r="H59" s="292">
        <f t="shared" si="17"/>
        <v>48000</v>
      </c>
      <c r="I59" s="292">
        <f t="shared" si="17"/>
        <v>48000</v>
      </c>
      <c r="J59" s="292">
        <f t="shared" si="17"/>
        <v>48000</v>
      </c>
      <c r="K59" s="292">
        <f t="shared" si="17"/>
        <v>48000</v>
      </c>
      <c r="L59" s="292">
        <f t="shared" si="17"/>
        <v>48000</v>
      </c>
      <c r="M59" s="292">
        <f t="shared" si="17"/>
        <v>48000</v>
      </c>
      <c r="N59" s="292">
        <f t="shared" si="17"/>
        <v>48000</v>
      </c>
      <c r="O59" s="294">
        <f t="shared" si="17"/>
        <v>48000</v>
      </c>
      <c r="P59" s="298">
        <f t="shared" si="16"/>
        <v>576000</v>
      </c>
      <c r="Q59" s="296"/>
    </row>
    <row r="60" spans="2:17" ht="25.5" customHeight="1" thickBot="1" x14ac:dyDescent="0.3">
      <c r="B60" s="818"/>
      <c r="C60" s="337" t="s">
        <v>367</v>
      </c>
      <c r="D60" s="333">
        <f>200*60*4</f>
        <v>48000</v>
      </c>
      <c r="E60" s="333">
        <f t="shared" si="17"/>
        <v>48000</v>
      </c>
      <c r="F60" s="333">
        <f t="shared" si="17"/>
        <v>48000</v>
      </c>
      <c r="G60" s="333">
        <f t="shared" si="17"/>
        <v>48000</v>
      </c>
      <c r="H60" s="333">
        <f t="shared" si="17"/>
        <v>48000</v>
      </c>
      <c r="I60" s="333">
        <f t="shared" si="17"/>
        <v>48000</v>
      </c>
      <c r="J60" s="333">
        <f t="shared" si="17"/>
        <v>48000</v>
      </c>
      <c r="K60" s="333">
        <f t="shared" si="17"/>
        <v>48000</v>
      </c>
      <c r="L60" s="333">
        <f t="shared" si="17"/>
        <v>48000</v>
      </c>
      <c r="M60" s="333">
        <f t="shared" si="17"/>
        <v>48000</v>
      </c>
      <c r="N60" s="333">
        <f t="shared" si="17"/>
        <v>48000</v>
      </c>
      <c r="O60" s="333">
        <f t="shared" si="17"/>
        <v>48000</v>
      </c>
      <c r="P60" s="300">
        <f t="shared" si="16"/>
        <v>576000</v>
      </c>
      <c r="Q60" s="296"/>
    </row>
    <row r="61" spans="2:17" ht="15.75" thickBot="1" x14ac:dyDescent="0.3">
      <c r="B61" s="21"/>
      <c r="C61" s="301" t="s">
        <v>19</v>
      </c>
      <c r="D61" s="302">
        <f t="shared" ref="D61:P61" si="18">SUM(D48:D60)</f>
        <v>239379.03200000001</v>
      </c>
      <c r="E61" s="302">
        <f t="shared" si="18"/>
        <v>238574.41</v>
      </c>
      <c r="F61" s="302">
        <f t="shared" si="18"/>
        <v>239379.03</v>
      </c>
      <c r="G61" s="302">
        <f t="shared" si="18"/>
        <v>238574.41</v>
      </c>
      <c r="H61" s="302">
        <f t="shared" si="18"/>
        <v>239379.03</v>
      </c>
      <c r="I61" s="302">
        <f t="shared" si="18"/>
        <v>238574.41</v>
      </c>
      <c r="J61" s="302">
        <f t="shared" si="18"/>
        <v>257401.8315</v>
      </c>
      <c r="K61" s="302">
        <f t="shared" si="18"/>
        <v>255627.22</v>
      </c>
      <c r="L61" s="302">
        <f t="shared" si="18"/>
        <v>257401.83000000002</v>
      </c>
      <c r="M61" s="302">
        <f t="shared" si="18"/>
        <v>255627.22</v>
      </c>
      <c r="N61" s="302">
        <f t="shared" si="18"/>
        <v>256431.84</v>
      </c>
      <c r="O61" s="303">
        <f t="shared" si="18"/>
        <v>255627.22</v>
      </c>
      <c r="P61" s="326">
        <f t="shared" si="18"/>
        <v>2971977.4835000001</v>
      </c>
      <c r="Q61" s="293"/>
    </row>
  </sheetData>
  <mergeCells count="17">
    <mergeCell ref="B10:C10"/>
    <mergeCell ref="C3:E3"/>
    <mergeCell ref="B11:B18"/>
    <mergeCell ref="B59:B60"/>
    <mergeCell ref="G3:I3"/>
    <mergeCell ref="B40:B41"/>
    <mergeCell ref="B46:Q46"/>
    <mergeCell ref="B47:C47"/>
    <mergeCell ref="B48:B55"/>
    <mergeCell ref="B56:B57"/>
    <mergeCell ref="B22:B23"/>
    <mergeCell ref="B27:Q27"/>
    <mergeCell ref="B28:C28"/>
    <mergeCell ref="B29:B36"/>
    <mergeCell ref="B37:B38"/>
    <mergeCell ref="B19:B20"/>
    <mergeCell ref="B9:Q9"/>
  </mergeCells>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B119"/>
  <sheetViews>
    <sheetView zoomScale="60" zoomScaleNormal="60" workbookViewId="0">
      <pane xSplit="3" ySplit="1" topLeftCell="D2" activePane="bottomRight" state="frozen"/>
      <selection pane="topRight" activeCell="D1" sqref="D1"/>
      <selection pane="bottomLeft" activeCell="A2" sqref="A2"/>
      <selection pane="bottomRight"/>
    </sheetView>
  </sheetViews>
  <sheetFormatPr baseColWidth="10" defaultColWidth="11.42578125" defaultRowHeight="15" x14ac:dyDescent="0.25"/>
  <cols>
    <col min="1" max="1" width="13.7109375" style="1" customWidth="1"/>
    <col min="2" max="2" width="50.42578125" style="1" customWidth="1"/>
    <col min="3" max="3" width="22.7109375" style="1" customWidth="1"/>
    <col min="4" max="4" width="21.7109375" style="1" bestFit="1" customWidth="1"/>
    <col min="5" max="5" width="22.140625" style="1" customWidth="1"/>
    <col min="6" max="6" width="18.42578125" style="1" customWidth="1"/>
    <col min="7" max="7" width="16.28515625" style="1" bestFit="1" customWidth="1"/>
    <col min="8" max="8" width="15.140625" style="1" bestFit="1" customWidth="1"/>
    <col min="9" max="9" width="19" style="1" customWidth="1"/>
    <col min="10" max="10" width="19.42578125" style="1" bestFit="1" customWidth="1"/>
    <col min="11" max="11" width="16.28515625" style="1" bestFit="1" customWidth="1"/>
    <col min="12" max="12" width="11.42578125" style="1"/>
    <col min="13" max="13" width="16.28515625" style="1" bestFit="1" customWidth="1"/>
    <col min="14" max="14" width="11.42578125" style="1"/>
    <col min="15" max="15" width="15.7109375" style="1" bestFit="1" customWidth="1"/>
    <col min="16" max="16" width="11.42578125" style="1"/>
    <col min="17" max="17" width="16.28515625" style="1" bestFit="1" customWidth="1"/>
    <col min="18" max="18" width="11.42578125" style="1"/>
    <col min="19" max="19" width="16.28515625" style="1" bestFit="1" customWidth="1"/>
    <col min="20" max="20" width="11.42578125" style="1"/>
    <col min="21" max="21" width="16.28515625" style="1" bestFit="1" customWidth="1"/>
    <col min="22" max="22" width="11.42578125" style="1"/>
    <col min="23" max="23" width="16.7109375" style="1" bestFit="1" customWidth="1"/>
    <col min="24" max="24" width="11.42578125" style="1"/>
    <col min="25" max="25" width="16.7109375" style="1" bestFit="1" customWidth="1"/>
    <col min="26" max="26" width="11.42578125" style="1"/>
    <col min="27" max="27" width="16.28515625" style="1" bestFit="1" customWidth="1"/>
    <col min="28" max="28" width="21.28515625" style="1" customWidth="1"/>
    <col min="29" max="16384" width="11.42578125" style="1"/>
  </cols>
  <sheetData>
    <row r="1" spans="1:12" s="654" customFormat="1" ht="58.5" customHeight="1" x14ac:dyDescent="0.25">
      <c r="A1" s="656"/>
      <c r="B1" s="656"/>
      <c r="C1" s="656"/>
      <c r="D1" s="656"/>
      <c r="E1" s="656"/>
      <c r="F1" s="659" t="s">
        <v>5</v>
      </c>
      <c r="G1" s="660"/>
      <c r="H1" s="660"/>
      <c r="I1" s="656"/>
      <c r="J1" s="656"/>
      <c r="K1" s="656"/>
      <c r="L1" s="656"/>
    </row>
    <row r="3" spans="1:12" ht="15.75" thickBot="1" x14ac:dyDescent="0.3"/>
    <row r="4" spans="1:12" ht="27" thickBot="1" x14ac:dyDescent="0.45">
      <c r="B4" s="663" t="s">
        <v>35</v>
      </c>
      <c r="C4" s="664"/>
      <c r="D4" s="665"/>
      <c r="E4" s="39"/>
      <c r="H4" s="663" t="s">
        <v>168</v>
      </c>
      <c r="I4" s="664"/>
      <c r="J4" s="665"/>
    </row>
    <row r="5" spans="1:12" x14ac:dyDescent="0.25">
      <c r="B5" s="34">
        <v>2019</v>
      </c>
      <c r="C5" s="34">
        <v>2020</v>
      </c>
      <c r="D5" s="34">
        <v>2021</v>
      </c>
      <c r="E5" s="245"/>
      <c r="H5" s="116">
        <v>2019</v>
      </c>
      <c r="I5" s="34">
        <v>2020</v>
      </c>
      <c r="J5" s="117">
        <v>2021</v>
      </c>
    </row>
    <row r="6" spans="1:12" ht="15.75" thickBot="1" x14ac:dyDescent="0.3">
      <c r="B6" s="40">
        <f>Hipótesis!C24</f>
        <v>4.9599999999999998E-2</v>
      </c>
      <c r="C6" s="40">
        <f>Hipótesis!C25</f>
        <v>0.1078904648</v>
      </c>
      <c r="D6" s="40">
        <f>Hipótesis!C26</f>
        <v>0.17066814759999999</v>
      </c>
      <c r="E6" s="343"/>
      <c r="H6" s="120" t="e">
        <f>AB71</f>
        <v>#REF!</v>
      </c>
      <c r="I6" s="121">
        <f>AB95</f>
        <v>17694195.824999999</v>
      </c>
      <c r="J6" s="122">
        <f>AB119</f>
        <v>29793383.600000001</v>
      </c>
    </row>
    <row r="7" spans="1:12" x14ac:dyDescent="0.25">
      <c r="B7" s="33">
        <f>Hipótesis!D24</f>
        <v>301216832</v>
      </c>
      <c r="C7" s="33">
        <f>Hipótesis!D25</f>
        <v>655210161.49321604</v>
      </c>
      <c r="D7" s="33">
        <f>Hipótesis!D26</f>
        <v>1036454006.9229919</v>
      </c>
      <c r="E7" s="340"/>
    </row>
    <row r="9" spans="1:12" ht="15.75" thickBot="1" x14ac:dyDescent="0.3"/>
    <row r="10" spans="1:12" ht="27" thickBot="1" x14ac:dyDescent="0.45">
      <c r="B10" s="663" t="s">
        <v>195</v>
      </c>
      <c r="C10" s="664"/>
      <c r="D10" s="664"/>
      <c r="E10" s="665"/>
    </row>
    <row r="11" spans="1:12" ht="27" thickBot="1" x14ac:dyDescent="0.45">
      <c r="B11" s="836" t="s">
        <v>365</v>
      </c>
      <c r="C11" s="837"/>
      <c r="D11" s="837"/>
      <c r="E11" s="838"/>
      <c r="F11" s="256"/>
    </row>
    <row r="12" spans="1:12" ht="16.5" thickBot="1" x14ac:dyDescent="0.3">
      <c r="B12" s="361" t="s">
        <v>64</v>
      </c>
      <c r="C12" s="362" t="s">
        <v>60</v>
      </c>
      <c r="D12" s="362" t="s">
        <v>175</v>
      </c>
      <c r="E12" s="363" t="s">
        <v>170</v>
      </c>
    </row>
    <row r="13" spans="1:12" ht="30" x14ac:dyDescent="0.25">
      <c r="B13" s="347" t="s">
        <v>182</v>
      </c>
      <c r="C13" s="344">
        <v>1</v>
      </c>
      <c r="D13" s="345">
        <v>800</v>
      </c>
      <c r="E13" s="348">
        <f>C13*D13</f>
        <v>800</v>
      </c>
      <c r="I13" s="130"/>
      <c r="J13" s="131">
        <v>2800</v>
      </c>
    </row>
    <row r="14" spans="1:12" ht="30" x14ac:dyDescent="0.25">
      <c r="B14" s="347" t="s">
        <v>181</v>
      </c>
      <c r="C14" s="344">
        <v>2</v>
      </c>
      <c r="D14" s="345">
        <v>65</v>
      </c>
      <c r="E14" s="348">
        <f t="shared" ref="E14:E19" si="0">C14*D14</f>
        <v>130</v>
      </c>
      <c r="I14" s="132"/>
      <c r="J14" s="129">
        <v>15500</v>
      </c>
    </row>
    <row r="15" spans="1:12" ht="16.5" thickBot="1" x14ac:dyDescent="0.3">
      <c r="B15" s="347" t="s">
        <v>176</v>
      </c>
      <c r="C15" s="344">
        <v>2</v>
      </c>
      <c r="D15" s="345">
        <v>50</v>
      </c>
      <c r="E15" s="348">
        <f t="shared" si="0"/>
        <v>100</v>
      </c>
      <c r="I15" s="133"/>
      <c r="J15" s="134">
        <v>23000</v>
      </c>
    </row>
    <row r="16" spans="1:12" x14ac:dyDescent="0.25">
      <c r="B16" s="347" t="s">
        <v>171</v>
      </c>
      <c r="C16" s="344">
        <v>2</v>
      </c>
      <c r="D16" s="345">
        <v>70</v>
      </c>
      <c r="E16" s="348">
        <f t="shared" si="0"/>
        <v>140</v>
      </c>
    </row>
    <row r="17" spans="2:6" x14ac:dyDescent="0.25">
      <c r="B17" s="347" t="s">
        <v>172</v>
      </c>
      <c r="C17" s="344">
        <v>1</v>
      </c>
      <c r="D17" s="345">
        <v>80</v>
      </c>
      <c r="E17" s="348">
        <f t="shared" si="0"/>
        <v>80</v>
      </c>
    </row>
    <row r="18" spans="2:6" x14ac:dyDescent="0.25">
      <c r="B18" s="347" t="s">
        <v>173</v>
      </c>
      <c r="C18" s="344">
        <v>1</v>
      </c>
      <c r="D18" s="345">
        <v>50</v>
      </c>
      <c r="E18" s="348">
        <f t="shared" si="0"/>
        <v>50</v>
      </c>
    </row>
    <row r="19" spans="2:6" ht="15.75" thickBot="1" x14ac:dyDescent="0.3">
      <c r="B19" s="349" t="s">
        <v>174</v>
      </c>
      <c r="C19" s="350">
        <v>1</v>
      </c>
      <c r="D19" s="351">
        <v>60</v>
      </c>
      <c r="E19" s="352">
        <f t="shared" si="0"/>
        <v>60</v>
      </c>
    </row>
    <row r="20" spans="2:6" ht="16.5" thickBot="1" x14ac:dyDescent="0.3">
      <c r="D20" s="353" t="s">
        <v>19</v>
      </c>
      <c r="E20" s="360">
        <f>SUM(E13:E19)</f>
        <v>1360</v>
      </c>
    </row>
    <row r="21" spans="2:6" ht="15.75" thickBot="1" x14ac:dyDescent="0.3"/>
    <row r="22" spans="2:6" ht="27" thickBot="1" x14ac:dyDescent="0.45">
      <c r="B22" s="836" t="s">
        <v>365</v>
      </c>
      <c r="C22" s="837"/>
      <c r="D22" s="837"/>
      <c r="E22" s="838"/>
      <c r="F22" s="356"/>
    </row>
    <row r="23" spans="2:6" ht="15.75" x14ac:dyDescent="0.25">
      <c r="B23" s="361" t="s">
        <v>64</v>
      </c>
      <c r="C23" s="362" t="s">
        <v>60</v>
      </c>
      <c r="D23" s="362" t="s">
        <v>175</v>
      </c>
      <c r="E23" s="363" t="s">
        <v>170</v>
      </c>
      <c r="F23" s="357"/>
    </row>
    <row r="24" spans="2:6" ht="16.5" customHeight="1" x14ac:dyDescent="0.25">
      <c r="B24" s="347" t="s">
        <v>177</v>
      </c>
      <c r="C24" s="344">
        <v>10</v>
      </c>
      <c r="D24" s="345">
        <v>85</v>
      </c>
      <c r="E24" s="348">
        <f>C24*D24</f>
        <v>850</v>
      </c>
      <c r="F24" s="357"/>
    </row>
    <row r="25" spans="2:6" x14ac:dyDescent="0.25">
      <c r="B25" s="347" t="s">
        <v>178</v>
      </c>
      <c r="C25" s="344">
        <v>8</v>
      </c>
      <c r="D25" s="345">
        <v>60</v>
      </c>
      <c r="E25" s="348">
        <f t="shared" ref="E25:E32" si="1">C25*D25</f>
        <v>480</v>
      </c>
      <c r="F25" s="357"/>
    </row>
    <row r="26" spans="2:6" x14ac:dyDescent="0.25">
      <c r="B26" s="347" t="s">
        <v>179</v>
      </c>
      <c r="C26" s="344">
        <v>1</v>
      </c>
      <c r="D26" s="345">
        <v>250</v>
      </c>
      <c r="E26" s="348">
        <f t="shared" si="1"/>
        <v>250</v>
      </c>
      <c r="F26" s="357"/>
    </row>
    <row r="27" spans="2:6" x14ac:dyDescent="0.25">
      <c r="B27" s="347" t="s">
        <v>33</v>
      </c>
      <c r="C27" s="344">
        <v>1</v>
      </c>
      <c r="D27" s="345">
        <v>1800</v>
      </c>
      <c r="E27" s="348">
        <f t="shared" si="1"/>
        <v>1800</v>
      </c>
      <c r="F27" s="357"/>
    </row>
    <row r="28" spans="2:6" x14ac:dyDescent="0.25">
      <c r="B28" s="347" t="s">
        <v>180</v>
      </c>
      <c r="C28" s="344">
        <v>1</v>
      </c>
      <c r="D28" s="345">
        <v>600</v>
      </c>
      <c r="E28" s="348">
        <f t="shared" si="1"/>
        <v>600</v>
      </c>
      <c r="F28" s="357"/>
    </row>
    <row r="29" spans="2:6" x14ac:dyDescent="0.25">
      <c r="B29" s="347" t="s">
        <v>183</v>
      </c>
      <c r="C29" s="344">
        <v>4</v>
      </c>
      <c r="D29" s="345">
        <v>200</v>
      </c>
      <c r="E29" s="348">
        <f t="shared" si="1"/>
        <v>800</v>
      </c>
      <c r="F29" s="357"/>
    </row>
    <row r="30" spans="2:6" x14ac:dyDescent="0.25">
      <c r="B30" s="347" t="s">
        <v>184</v>
      </c>
      <c r="C30" s="344">
        <v>1</v>
      </c>
      <c r="D30" s="345">
        <v>400</v>
      </c>
      <c r="E30" s="348">
        <f t="shared" si="1"/>
        <v>400</v>
      </c>
      <c r="F30" s="357"/>
    </row>
    <row r="31" spans="2:6" x14ac:dyDescent="0.25">
      <c r="B31" s="347" t="s">
        <v>185</v>
      </c>
      <c r="C31" s="344">
        <v>1</v>
      </c>
      <c r="D31" s="345">
        <v>250</v>
      </c>
      <c r="E31" s="348">
        <f t="shared" si="1"/>
        <v>250</v>
      </c>
      <c r="F31" s="357"/>
    </row>
    <row r="32" spans="2:6" ht="15.75" thickBot="1" x14ac:dyDescent="0.3">
      <c r="B32" s="349" t="s">
        <v>186</v>
      </c>
      <c r="C32" s="350">
        <v>1</v>
      </c>
      <c r="D32" s="351">
        <v>275</v>
      </c>
      <c r="E32" s="352">
        <f t="shared" si="1"/>
        <v>275</v>
      </c>
      <c r="F32" s="358"/>
    </row>
    <row r="33" spans="2:6" ht="16.5" thickBot="1" x14ac:dyDescent="0.3">
      <c r="D33" s="353" t="s">
        <v>19</v>
      </c>
      <c r="E33" s="360">
        <f>SUM(E24:E32)</f>
        <v>5705</v>
      </c>
      <c r="F33" s="124"/>
    </row>
    <row r="34" spans="2:6" ht="15.75" thickBot="1" x14ac:dyDescent="0.3">
      <c r="B34" s="124"/>
      <c r="C34" s="124"/>
      <c r="D34" s="124"/>
      <c r="E34" s="124"/>
      <c r="F34" s="124"/>
    </row>
    <row r="35" spans="2:6" ht="27" thickBot="1" x14ac:dyDescent="0.45">
      <c r="B35" s="663" t="s">
        <v>365</v>
      </c>
      <c r="C35" s="664"/>
      <c r="D35" s="664"/>
      <c r="E35" s="665"/>
      <c r="F35" s="124"/>
    </row>
    <row r="36" spans="2:6" ht="15.75" x14ac:dyDescent="0.25">
      <c r="B36" s="354" t="s">
        <v>64</v>
      </c>
      <c r="C36" s="346" t="s">
        <v>60</v>
      </c>
      <c r="D36" s="346" t="s">
        <v>175</v>
      </c>
      <c r="E36" s="355" t="s">
        <v>170</v>
      </c>
      <c r="F36" s="359"/>
    </row>
    <row r="37" spans="2:6" x14ac:dyDescent="0.25">
      <c r="B37" s="347" t="s">
        <v>177</v>
      </c>
      <c r="C37" s="344">
        <v>22</v>
      </c>
      <c r="D37" s="345">
        <v>85</v>
      </c>
      <c r="E37" s="348">
        <f>C37*D37</f>
        <v>1870</v>
      </c>
      <c r="F37" s="124"/>
    </row>
    <row r="38" spans="2:6" x14ac:dyDescent="0.25">
      <c r="B38" s="347" t="s">
        <v>178</v>
      </c>
      <c r="C38" s="344">
        <v>16</v>
      </c>
      <c r="D38" s="345">
        <v>60</v>
      </c>
      <c r="E38" s="348">
        <f t="shared" ref="E38:E45" si="2">C38*D38</f>
        <v>960</v>
      </c>
      <c r="F38" s="124"/>
    </row>
    <row r="39" spans="2:6" x14ac:dyDescent="0.25">
      <c r="B39" s="347" t="s">
        <v>179</v>
      </c>
      <c r="C39" s="344">
        <v>1</v>
      </c>
      <c r="D39" s="345">
        <v>250</v>
      </c>
      <c r="E39" s="348">
        <f t="shared" si="2"/>
        <v>250</v>
      </c>
      <c r="F39" s="124"/>
    </row>
    <row r="40" spans="2:6" x14ac:dyDescent="0.25">
      <c r="B40" s="347" t="s">
        <v>33</v>
      </c>
      <c r="C40" s="344">
        <v>1</v>
      </c>
      <c r="D40" s="345">
        <v>1800</v>
      </c>
      <c r="E40" s="348">
        <f t="shared" si="2"/>
        <v>1800</v>
      </c>
      <c r="F40" s="124"/>
    </row>
    <row r="41" spans="2:6" x14ac:dyDescent="0.25">
      <c r="B41" s="347" t="s">
        <v>180</v>
      </c>
      <c r="C41" s="344">
        <v>1</v>
      </c>
      <c r="D41" s="345">
        <v>600</v>
      </c>
      <c r="E41" s="348">
        <f t="shared" si="2"/>
        <v>600</v>
      </c>
      <c r="F41" s="124"/>
    </row>
    <row r="42" spans="2:6" x14ac:dyDescent="0.25">
      <c r="B42" s="347" t="s">
        <v>183</v>
      </c>
      <c r="C42" s="344">
        <v>8</v>
      </c>
      <c r="D42" s="345">
        <v>200</v>
      </c>
      <c r="E42" s="348">
        <f t="shared" si="2"/>
        <v>1600</v>
      </c>
      <c r="F42" s="124"/>
    </row>
    <row r="43" spans="2:6" x14ac:dyDescent="0.25">
      <c r="B43" s="347" t="s">
        <v>184</v>
      </c>
      <c r="C43" s="344">
        <v>1</v>
      </c>
      <c r="D43" s="345">
        <v>400</v>
      </c>
      <c r="E43" s="348">
        <f t="shared" si="2"/>
        <v>400</v>
      </c>
      <c r="F43" s="124"/>
    </row>
    <row r="44" spans="2:6" x14ac:dyDescent="0.25">
      <c r="B44" s="347" t="s">
        <v>185</v>
      </c>
      <c r="C44" s="344">
        <v>1</v>
      </c>
      <c r="D44" s="345">
        <v>250</v>
      </c>
      <c r="E44" s="348">
        <f t="shared" si="2"/>
        <v>250</v>
      </c>
      <c r="F44" s="124"/>
    </row>
    <row r="45" spans="2:6" ht="15.75" thickBot="1" x14ac:dyDescent="0.3">
      <c r="B45" s="349" t="s">
        <v>186</v>
      </c>
      <c r="C45" s="350">
        <v>1</v>
      </c>
      <c r="D45" s="351">
        <v>375</v>
      </c>
      <c r="E45" s="352">
        <f t="shared" si="2"/>
        <v>375</v>
      </c>
      <c r="F45" s="124"/>
    </row>
    <row r="46" spans="2:6" ht="16.5" thickBot="1" x14ac:dyDescent="0.3">
      <c r="D46" s="353" t="s">
        <v>19</v>
      </c>
      <c r="E46" s="360">
        <f>SUM(E37:E45)</f>
        <v>8105</v>
      </c>
      <c r="F46" s="124"/>
    </row>
    <row r="47" spans="2:6" x14ac:dyDescent="0.25">
      <c r="B47" s="1">
        <v>1E-3</v>
      </c>
    </row>
    <row r="48" spans="2:6" x14ac:dyDescent="0.25">
      <c r="B48" s="1">
        <v>0.5</v>
      </c>
      <c r="C48" s="1">
        <v>100</v>
      </c>
    </row>
    <row r="49" spans="1:28" ht="15.75" thickBot="1" x14ac:dyDescent="0.3"/>
    <row r="50" spans="1:28" ht="27" thickBot="1" x14ac:dyDescent="0.45">
      <c r="B50" s="669" t="s">
        <v>169</v>
      </c>
      <c r="C50" s="670"/>
      <c r="D50" s="670"/>
      <c r="E50" s="670"/>
      <c r="F50" s="670"/>
      <c r="G50" s="670"/>
      <c r="H50" s="670"/>
      <c r="I50" s="670"/>
      <c r="J50" s="670"/>
      <c r="K50" s="670"/>
      <c r="L50" s="670"/>
      <c r="M50" s="670"/>
      <c r="N50" s="670"/>
      <c r="O50" s="670"/>
      <c r="P50" s="670"/>
      <c r="Q50" s="670"/>
      <c r="R50" s="670"/>
      <c r="S50" s="670"/>
      <c r="T50" s="670"/>
      <c r="U50" s="670"/>
      <c r="V50" s="670"/>
      <c r="W50" s="670"/>
      <c r="X50" s="670"/>
      <c r="Y50" s="670"/>
      <c r="Z50" s="670"/>
      <c r="AA50" s="670"/>
      <c r="AB50" s="671"/>
    </row>
    <row r="51" spans="1:28" x14ac:dyDescent="0.25">
      <c r="B51" s="832" t="s">
        <v>64</v>
      </c>
      <c r="C51" s="833"/>
      <c r="D51" s="831" t="s">
        <v>40</v>
      </c>
      <c r="E51" s="827"/>
      <c r="F51" s="826" t="s">
        <v>41</v>
      </c>
      <c r="G51" s="827"/>
      <c r="H51" s="826" t="s">
        <v>42</v>
      </c>
      <c r="I51" s="827"/>
      <c r="J51" s="826" t="s">
        <v>43</v>
      </c>
      <c r="K51" s="827"/>
      <c r="L51" s="826" t="s">
        <v>44</v>
      </c>
      <c r="M51" s="827"/>
      <c r="N51" s="826" t="s">
        <v>45</v>
      </c>
      <c r="O51" s="827"/>
      <c r="P51" s="826" t="s">
        <v>46</v>
      </c>
      <c r="Q51" s="827"/>
      <c r="R51" s="826" t="s">
        <v>47</v>
      </c>
      <c r="S51" s="827"/>
      <c r="T51" s="826" t="s">
        <v>48</v>
      </c>
      <c r="U51" s="827"/>
      <c r="V51" s="826" t="s">
        <v>49</v>
      </c>
      <c r="W51" s="827"/>
      <c r="X51" s="826" t="s">
        <v>50</v>
      </c>
      <c r="Y51" s="827"/>
      <c r="Z51" s="826" t="s">
        <v>51</v>
      </c>
      <c r="AA51" s="831"/>
      <c r="AB51" s="835" t="s">
        <v>19</v>
      </c>
    </row>
    <row r="52" spans="1:28" ht="15.75" thickBot="1" x14ac:dyDescent="0.3">
      <c r="B52" s="372" t="s">
        <v>122</v>
      </c>
      <c r="C52" s="373" t="s">
        <v>175</v>
      </c>
      <c r="D52" s="374" t="s">
        <v>60</v>
      </c>
      <c r="E52" s="375" t="s">
        <v>107</v>
      </c>
      <c r="F52" s="375" t="s">
        <v>60</v>
      </c>
      <c r="G52" s="375" t="s">
        <v>107</v>
      </c>
      <c r="H52" s="375" t="s">
        <v>60</v>
      </c>
      <c r="I52" s="375" t="s">
        <v>107</v>
      </c>
      <c r="J52" s="375" t="s">
        <v>60</v>
      </c>
      <c r="K52" s="375" t="s">
        <v>107</v>
      </c>
      <c r="L52" s="375" t="s">
        <v>60</v>
      </c>
      <c r="M52" s="375" t="s">
        <v>107</v>
      </c>
      <c r="N52" s="375" t="s">
        <v>60</v>
      </c>
      <c r="O52" s="375" t="s">
        <v>107</v>
      </c>
      <c r="P52" s="375" t="s">
        <v>60</v>
      </c>
      <c r="Q52" s="375" t="s">
        <v>107</v>
      </c>
      <c r="R52" s="375" t="s">
        <v>60</v>
      </c>
      <c r="S52" s="375" t="s">
        <v>107</v>
      </c>
      <c r="T52" s="375" t="s">
        <v>60</v>
      </c>
      <c r="U52" s="375" t="s">
        <v>107</v>
      </c>
      <c r="V52" s="375" t="s">
        <v>60</v>
      </c>
      <c r="W52" s="375" t="s">
        <v>107</v>
      </c>
      <c r="X52" s="375" t="s">
        <v>60</v>
      </c>
      <c r="Y52" s="375" t="s">
        <v>107</v>
      </c>
      <c r="Z52" s="375" t="s">
        <v>60</v>
      </c>
      <c r="AA52" s="376" t="s">
        <v>107</v>
      </c>
      <c r="AB52" s="835"/>
    </row>
    <row r="53" spans="1:28" x14ac:dyDescent="0.25">
      <c r="A53" s="828" t="s">
        <v>187</v>
      </c>
      <c r="B53" s="377"/>
      <c r="C53" s="378">
        <f>$E$20</f>
        <v>1360</v>
      </c>
      <c r="D53" s="379">
        <f>'Proy. ventas'!E19</f>
        <v>72</v>
      </c>
      <c r="E53" s="311">
        <f t="shared" ref="E53:E64" si="3">D53*C53</f>
        <v>97920</v>
      </c>
      <c r="F53" s="406">
        <f>'Proy. ventas'!G19</f>
        <v>90</v>
      </c>
      <c r="G53" s="311">
        <f t="shared" ref="G53:G68" si="4">F53*C53</f>
        <v>122400</v>
      </c>
      <c r="H53" s="406">
        <f>'Proy. ventas'!I19</f>
        <v>72</v>
      </c>
      <c r="I53" s="311">
        <f t="shared" ref="I53:I68" si="5">H53*C53</f>
        <v>97920</v>
      </c>
      <c r="J53" s="406">
        <f>'Proy. ventas'!K19</f>
        <v>63.000000000000007</v>
      </c>
      <c r="K53" s="311">
        <f t="shared" ref="K53:K68" si="6">J53*C53</f>
        <v>85680.000000000015</v>
      </c>
      <c r="L53" s="406">
        <f>'Proy. ventas'!M19</f>
        <v>54</v>
      </c>
      <c r="M53" s="311">
        <f t="shared" ref="M53:M68" si="7">L53*C53</f>
        <v>73440</v>
      </c>
      <c r="N53" s="406">
        <f>'Proy. ventas'!O19</f>
        <v>36</v>
      </c>
      <c r="O53" s="311">
        <f t="shared" ref="O53:O68" si="8">N53*C53</f>
        <v>48960</v>
      </c>
      <c r="P53" s="406">
        <f>'Proy. ventas'!Q19</f>
        <v>81</v>
      </c>
      <c r="Q53" s="311">
        <f t="shared" ref="Q53:Q68" si="9">P53*C53</f>
        <v>110160</v>
      </c>
      <c r="R53" s="406">
        <f>'Proy. ventas'!S19</f>
        <v>45</v>
      </c>
      <c r="S53" s="311">
        <f t="shared" ref="S53:S68" si="10">R53*C53</f>
        <v>61200</v>
      </c>
      <c r="T53" s="406">
        <f>'Proy. ventas'!U19</f>
        <v>81</v>
      </c>
      <c r="U53" s="311">
        <f t="shared" ref="U53:U68" si="11">T53*C53</f>
        <v>110160</v>
      </c>
      <c r="V53" s="406">
        <f>'Proy. ventas'!W19</f>
        <v>90</v>
      </c>
      <c r="W53" s="311">
        <f t="shared" ref="W53:W68" si="12">V53*C53</f>
        <v>122400</v>
      </c>
      <c r="X53" s="406">
        <f>'Proy. ventas'!Y19</f>
        <v>99</v>
      </c>
      <c r="Y53" s="311">
        <f t="shared" ref="Y53:Y68" si="13">X53*C53</f>
        <v>134640</v>
      </c>
      <c r="Z53" s="406">
        <f>'Proy. ventas'!AA19</f>
        <v>117</v>
      </c>
      <c r="AA53" s="312">
        <f t="shared" ref="AA53:AA68" si="14">Z53*C53</f>
        <v>159120</v>
      </c>
      <c r="AB53" s="399">
        <f>E53+G53+I53+K53+M53+O53+Q53+S53++U53+W53+Y53+AA53</f>
        <v>1224000</v>
      </c>
    </row>
    <row r="54" spans="1:28" x14ac:dyDescent="0.25">
      <c r="A54" s="829"/>
      <c r="B54" s="369"/>
      <c r="C54" s="370">
        <f>$E$33</f>
        <v>5705</v>
      </c>
      <c r="D54" s="367">
        <f>'Proy. ventas'!E20</f>
        <v>0</v>
      </c>
      <c r="E54" s="292">
        <f t="shared" si="3"/>
        <v>0</v>
      </c>
      <c r="F54" s="364">
        <f>'Proy. ventas'!G20</f>
        <v>0</v>
      </c>
      <c r="G54" s="292">
        <f t="shared" si="4"/>
        <v>0</v>
      </c>
      <c r="H54" s="364">
        <f>'Proy. ventas'!I20</f>
        <v>0</v>
      </c>
      <c r="I54" s="292">
        <f t="shared" si="5"/>
        <v>0</v>
      </c>
      <c r="J54" s="364">
        <f>'Proy. ventas'!K20</f>
        <v>0</v>
      </c>
      <c r="K54" s="292">
        <f t="shared" si="6"/>
        <v>0</v>
      </c>
      <c r="L54" s="364">
        <f>'Proy. ventas'!M20</f>
        <v>0</v>
      </c>
      <c r="M54" s="292">
        <f t="shared" si="7"/>
        <v>0</v>
      </c>
      <c r="N54" s="364">
        <f>'Proy. ventas'!O20</f>
        <v>0</v>
      </c>
      <c r="O54" s="292">
        <f t="shared" si="8"/>
        <v>0</v>
      </c>
      <c r="P54" s="364">
        <f>'Proy. ventas'!Q20</f>
        <v>0</v>
      </c>
      <c r="Q54" s="292">
        <f t="shared" si="9"/>
        <v>0</v>
      </c>
      <c r="R54" s="364">
        <f>'Proy. ventas'!S20</f>
        <v>0</v>
      </c>
      <c r="S54" s="292">
        <f t="shared" si="10"/>
        <v>0</v>
      </c>
      <c r="T54" s="364">
        <f>'Proy. ventas'!U20</f>
        <v>0</v>
      </c>
      <c r="U54" s="292">
        <f t="shared" si="11"/>
        <v>0</v>
      </c>
      <c r="V54" s="364">
        <f>'Proy. ventas'!W20</f>
        <v>0</v>
      </c>
      <c r="W54" s="292">
        <f t="shared" si="12"/>
        <v>0</v>
      </c>
      <c r="X54" s="364">
        <f>'Proy. ventas'!Y20</f>
        <v>0</v>
      </c>
      <c r="Y54" s="292">
        <f t="shared" si="13"/>
        <v>0</v>
      </c>
      <c r="Z54" s="364">
        <f>'Proy. ventas'!AA20</f>
        <v>0</v>
      </c>
      <c r="AA54" s="294">
        <f t="shared" si="14"/>
        <v>0</v>
      </c>
      <c r="AB54" s="400">
        <f t="shared" ref="AB54:AB68" si="15">E54+G54+I54+K54+M54+O54+Q54+S54++U54+W54+Y54+AA54</f>
        <v>0</v>
      </c>
    </row>
    <row r="55" spans="1:28" ht="15.75" thickBot="1" x14ac:dyDescent="0.3">
      <c r="A55" s="830"/>
      <c r="B55" s="380"/>
      <c r="C55" s="381">
        <f>$E$46</f>
        <v>8105</v>
      </c>
      <c r="D55" s="382">
        <f>'Proy. ventas'!E21</f>
        <v>0</v>
      </c>
      <c r="E55" s="315">
        <f t="shared" si="3"/>
        <v>0</v>
      </c>
      <c r="F55" s="407">
        <f>'Proy. ventas'!G21</f>
        <v>0</v>
      </c>
      <c r="G55" s="315">
        <f t="shared" si="4"/>
        <v>0</v>
      </c>
      <c r="H55" s="407">
        <f>'Proy. ventas'!I21</f>
        <v>0</v>
      </c>
      <c r="I55" s="315">
        <f t="shared" si="5"/>
        <v>0</v>
      </c>
      <c r="J55" s="407">
        <f>'Proy. ventas'!K21</f>
        <v>0</v>
      </c>
      <c r="K55" s="315">
        <f t="shared" si="6"/>
        <v>0</v>
      </c>
      <c r="L55" s="407">
        <f>'Proy. ventas'!M21</f>
        <v>0</v>
      </c>
      <c r="M55" s="315">
        <f t="shared" si="7"/>
        <v>0</v>
      </c>
      <c r="N55" s="407">
        <f>'Proy. ventas'!O21</f>
        <v>0</v>
      </c>
      <c r="O55" s="315">
        <f t="shared" si="8"/>
        <v>0</v>
      </c>
      <c r="P55" s="407">
        <f>'Proy. ventas'!Q21</f>
        <v>0</v>
      </c>
      <c r="Q55" s="315">
        <f t="shared" si="9"/>
        <v>0</v>
      </c>
      <c r="R55" s="407">
        <f>'Proy. ventas'!S21</f>
        <v>0</v>
      </c>
      <c r="S55" s="315">
        <f t="shared" si="10"/>
        <v>0</v>
      </c>
      <c r="T55" s="407">
        <f>'Proy. ventas'!U21</f>
        <v>0</v>
      </c>
      <c r="U55" s="315">
        <f t="shared" si="11"/>
        <v>0</v>
      </c>
      <c r="V55" s="407">
        <f>'Proy. ventas'!W21</f>
        <v>0</v>
      </c>
      <c r="W55" s="315">
        <f t="shared" si="12"/>
        <v>0</v>
      </c>
      <c r="X55" s="407">
        <f>'Proy. ventas'!Y21</f>
        <v>0</v>
      </c>
      <c r="Y55" s="315">
        <f t="shared" si="13"/>
        <v>0</v>
      </c>
      <c r="Z55" s="407">
        <f>'Proy. ventas'!AA21</f>
        <v>0</v>
      </c>
      <c r="AA55" s="316">
        <f t="shared" si="14"/>
        <v>0</v>
      </c>
      <c r="AB55" s="401">
        <f t="shared" si="15"/>
        <v>0</v>
      </c>
    </row>
    <row r="56" spans="1:28" x14ac:dyDescent="0.25">
      <c r="A56" s="828" t="s">
        <v>188</v>
      </c>
      <c r="B56" s="377"/>
      <c r="C56" s="378">
        <v>420</v>
      </c>
      <c r="D56" s="379">
        <f>'Proy. ventas'!E22</f>
        <v>44</v>
      </c>
      <c r="E56" s="311">
        <f t="shared" si="3"/>
        <v>18480</v>
      </c>
      <c r="F56" s="406">
        <f>'Proy. ventas'!G22</f>
        <v>55</v>
      </c>
      <c r="G56" s="311">
        <f t="shared" si="4"/>
        <v>23100</v>
      </c>
      <c r="H56" s="406">
        <f>'Proy. ventas'!I22</f>
        <v>44</v>
      </c>
      <c r="I56" s="311">
        <f t="shared" si="5"/>
        <v>18480</v>
      </c>
      <c r="J56" s="406">
        <f>'Proy. ventas'!K22</f>
        <v>38.500000000000007</v>
      </c>
      <c r="K56" s="311">
        <f t="shared" si="6"/>
        <v>16170.000000000004</v>
      </c>
      <c r="L56" s="406">
        <f>'Proy. ventas'!M22</f>
        <v>33</v>
      </c>
      <c r="M56" s="311">
        <f t="shared" si="7"/>
        <v>13860</v>
      </c>
      <c r="N56" s="406">
        <f>'Proy. ventas'!O22</f>
        <v>22</v>
      </c>
      <c r="O56" s="311">
        <f t="shared" si="8"/>
        <v>9240</v>
      </c>
      <c r="P56" s="406">
        <f>'Proy. ventas'!Q22</f>
        <v>49.5</v>
      </c>
      <c r="Q56" s="311">
        <f t="shared" si="9"/>
        <v>20790</v>
      </c>
      <c r="R56" s="406">
        <f>'Proy. ventas'!S22</f>
        <v>27.5</v>
      </c>
      <c r="S56" s="311">
        <f t="shared" si="10"/>
        <v>11550</v>
      </c>
      <c r="T56" s="406">
        <f>'Proy. ventas'!U22</f>
        <v>49.5</v>
      </c>
      <c r="U56" s="311">
        <f t="shared" si="11"/>
        <v>20790</v>
      </c>
      <c r="V56" s="406">
        <f>'Proy. ventas'!W22</f>
        <v>55</v>
      </c>
      <c r="W56" s="311">
        <f t="shared" si="12"/>
        <v>23100</v>
      </c>
      <c r="X56" s="406">
        <f>'Proy. ventas'!Y22</f>
        <v>60.5</v>
      </c>
      <c r="Y56" s="311">
        <f t="shared" si="13"/>
        <v>25410</v>
      </c>
      <c r="Z56" s="406">
        <f>'Proy. ventas'!AA22</f>
        <v>71.5</v>
      </c>
      <c r="AA56" s="312">
        <f t="shared" si="14"/>
        <v>30030</v>
      </c>
      <c r="AB56" s="399">
        <f t="shared" si="15"/>
        <v>231000</v>
      </c>
    </row>
    <row r="57" spans="1:28" x14ac:dyDescent="0.25">
      <c r="A57" s="829"/>
      <c r="B57" s="369"/>
      <c r="C57" s="370">
        <v>300</v>
      </c>
      <c r="D57" s="367">
        <f>'Proy. ventas'!E23</f>
        <v>0</v>
      </c>
      <c r="E57" s="292">
        <f t="shared" si="3"/>
        <v>0</v>
      </c>
      <c r="F57" s="364">
        <f>'Proy. ventas'!G23</f>
        <v>0</v>
      </c>
      <c r="G57" s="292">
        <f t="shared" si="4"/>
        <v>0</v>
      </c>
      <c r="H57" s="364">
        <f>'Proy. ventas'!I23</f>
        <v>0</v>
      </c>
      <c r="I57" s="292">
        <f t="shared" si="5"/>
        <v>0</v>
      </c>
      <c r="J57" s="364">
        <f>'Proy. ventas'!K23</f>
        <v>0</v>
      </c>
      <c r="K57" s="292">
        <f t="shared" si="6"/>
        <v>0</v>
      </c>
      <c r="L57" s="364">
        <f>'Proy. ventas'!M23</f>
        <v>0</v>
      </c>
      <c r="M57" s="292">
        <f t="shared" si="7"/>
        <v>0</v>
      </c>
      <c r="N57" s="364">
        <f>'Proy. ventas'!O23</f>
        <v>0</v>
      </c>
      <c r="O57" s="292">
        <f t="shared" si="8"/>
        <v>0</v>
      </c>
      <c r="P57" s="364">
        <f>'Proy. ventas'!Q23</f>
        <v>0</v>
      </c>
      <c r="Q57" s="292">
        <f t="shared" si="9"/>
        <v>0</v>
      </c>
      <c r="R57" s="364">
        <f>'Proy. ventas'!S23</f>
        <v>0</v>
      </c>
      <c r="S57" s="292">
        <f t="shared" si="10"/>
        <v>0</v>
      </c>
      <c r="T57" s="364">
        <f>'Proy. ventas'!U23</f>
        <v>0</v>
      </c>
      <c r="U57" s="292">
        <f t="shared" si="11"/>
        <v>0</v>
      </c>
      <c r="V57" s="364">
        <f>'Proy. ventas'!W23</f>
        <v>0</v>
      </c>
      <c r="W57" s="292">
        <f t="shared" si="12"/>
        <v>0</v>
      </c>
      <c r="X57" s="364">
        <f>'Proy. ventas'!Y23</f>
        <v>0</v>
      </c>
      <c r="Y57" s="292">
        <f t="shared" si="13"/>
        <v>0</v>
      </c>
      <c r="Z57" s="364">
        <f>'Proy. ventas'!AA23</f>
        <v>0</v>
      </c>
      <c r="AA57" s="294">
        <f t="shared" si="14"/>
        <v>0</v>
      </c>
      <c r="AB57" s="400">
        <f t="shared" si="15"/>
        <v>0</v>
      </c>
    </row>
    <row r="58" spans="1:28" x14ac:dyDescent="0.25">
      <c r="A58" s="829"/>
      <c r="B58" s="369"/>
      <c r="C58" s="370">
        <v>1800</v>
      </c>
      <c r="D58" s="367" t="e">
        <f>'Proy. ventas'!#REF!</f>
        <v>#REF!</v>
      </c>
      <c r="E58" s="292" t="e">
        <f t="shared" si="3"/>
        <v>#REF!</v>
      </c>
      <c r="F58" s="364" t="e">
        <f>'Proy. ventas'!#REF!</f>
        <v>#REF!</v>
      </c>
      <c r="G58" s="292" t="e">
        <f t="shared" si="4"/>
        <v>#REF!</v>
      </c>
      <c r="H58" s="364" t="e">
        <f>'Proy. ventas'!#REF!</f>
        <v>#REF!</v>
      </c>
      <c r="I58" s="292" t="e">
        <f t="shared" si="5"/>
        <v>#REF!</v>
      </c>
      <c r="J58" s="364" t="e">
        <f>'Proy. ventas'!#REF!</f>
        <v>#REF!</v>
      </c>
      <c r="K58" s="292" t="e">
        <f t="shared" si="6"/>
        <v>#REF!</v>
      </c>
      <c r="L58" s="364" t="e">
        <f>'Proy. ventas'!#REF!</f>
        <v>#REF!</v>
      </c>
      <c r="M58" s="292" t="e">
        <f t="shared" si="7"/>
        <v>#REF!</v>
      </c>
      <c r="N58" s="364" t="e">
        <f>'Proy. ventas'!#REF!</f>
        <v>#REF!</v>
      </c>
      <c r="O58" s="292" t="e">
        <f t="shared" si="8"/>
        <v>#REF!</v>
      </c>
      <c r="P58" s="364" t="e">
        <f>'Proy. ventas'!#REF!</f>
        <v>#REF!</v>
      </c>
      <c r="Q58" s="292" t="e">
        <f t="shared" si="9"/>
        <v>#REF!</v>
      </c>
      <c r="R58" s="364" t="e">
        <f>'Proy. ventas'!#REF!</f>
        <v>#REF!</v>
      </c>
      <c r="S58" s="292" t="e">
        <f t="shared" si="10"/>
        <v>#REF!</v>
      </c>
      <c r="T58" s="364" t="e">
        <f>'Proy. ventas'!#REF!</f>
        <v>#REF!</v>
      </c>
      <c r="U58" s="292" t="e">
        <f t="shared" si="11"/>
        <v>#REF!</v>
      </c>
      <c r="V58" s="364" t="e">
        <f>'Proy. ventas'!#REF!</f>
        <v>#REF!</v>
      </c>
      <c r="W58" s="292" t="e">
        <f t="shared" si="12"/>
        <v>#REF!</v>
      </c>
      <c r="X58" s="364" t="e">
        <f>'Proy. ventas'!#REF!</f>
        <v>#REF!</v>
      </c>
      <c r="Y58" s="292" t="e">
        <f t="shared" si="13"/>
        <v>#REF!</v>
      </c>
      <c r="Z58" s="364" t="e">
        <f>'Proy. ventas'!#REF!</f>
        <v>#REF!</v>
      </c>
      <c r="AA58" s="294" t="e">
        <f t="shared" si="14"/>
        <v>#REF!</v>
      </c>
      <c r="AB58" s="400" t="e">
        <f t="shared" si="15"/>
        <v>#REF!</v>
      </c>
    </row>
    <row r="59" spans="1:28" x14ac:dyDescent="0.25">
      <c r="A59" s="829"/>
      <c r="B59" s="369"/>
      <c r="C59" s="370">
        <v>180</v>
      </c>
      <c r="D59" s="367">
        <f>'Proy. ventas'!E24</f>
        <v>0</v>
      </c>
      <c r="E59" s="292">
        <f t="shared" si="3"/>
        <v>0</v>
      </c>
      <c r="F59" s="364">
        <f>'Proy. ventas'!G24</f>
        <v>0</v>
      </c>
      <c r="G59" s="292">
        <f t="shared" si="4"/>
        <v>0</v>
      </c>
      <c r="H59" s="364">
        <f>'Proy. ventas'!I24</f>
        <v>0</v>
      </c>
      <c r="I59" s="292">
        <f t="shared" si="5"/>
        <v>0</v>
      </c>
      <c r="J59" s="364">
        <f>'Proy. ventas'!K24</f>
        <v>0</v>
      </c>
      <c r="K59" s="292">
        <f t="shared" si="6"/>
        <v>0</v>
      </c>
      <c r="L59" s="364">
        <f>'Proy. ventas'!M24</f>
        <v>0</v>
      </c>
      <c r="M59" s="292">
        <f t="shared" si="7"/>
        <v>0</v>
      </c>
      <c r="N59" s="364">
        <f>'Proy. ventas'!O24</f>
        <v>0</v>
      </c>
      <c r="O59" s="292">
        <f t="shared" si="8"/>
        <v>0</v>
      </c>
      <c r="P59" s="364">
        <f>'Proy. ventas'!Q24</f>
        <v>0</v>
      </c>
      <c r="Q59" s="292">
        <f t="shared" si="9"/>
        <v>0</v>
      </c>
      <c r="R59" s="364">
        <f>'Proy. ventas'!S24</f>
        <v>0</v>
      </c>
      <c r="S59" s="292">
        <f t="shared" si="10"/>
        <v>0</v>
      </c>
      <c r="T59" s="364">
        <f>'Proy. ventas'!U24</f>
        <v>0</v>
      </c>
      <c r="U59" s="292">
        <f t="shared" si="11"/>
        <v>0</v>
      </c>
      <c r="V59" s="364">
        <f>'Proy. ventas'!W24</f>
        <v>0</v>
      </c>
      <c r="W59" s="292">
        <f t="shared" si="12"/>
        <v>0</v>
      </c>
      <c r="X59" s="364">
        <f>'Proy. ventas'!Y24</f>
        <v>0</v>
      </c>
      <c r="Y59" s="292">
        <f t="shared" si="13"/>
        <v>0</v>
      </c>
      <c r="Z59" s="364">
        <f>'Proy. ventas'!AA24</f>
        <v>0</v>
      </c>
      <c r="AA59" s="294">
        <f t="shared" si="14"/>
        <v>0</v>
      </c>
      <c r="AB59" s="400">
        <f t="shared" si="15"/>
        <v>0</v>
      </c>
    </row>
    <row r="60" spans="1:28" x14ac:dyDescent="0.25">
      <c r="A60" s="829"/>
      <c r="B60" s="369"/>
      <c r="C60" s="370">
        <v>1250</v>
      </c>
      <c r="D60" s="367">
        <f>'Proy. ventas'!E25</f>
        <v>61.6</v>
      </c>
      <c r="E60" s="292">
        <f t="shared" si="3"/>
        <v>77000</v>
      </c>
      <c r="F60" s="364">
        <f>'Proy. ventas'!G25</f>
        <v>77</v>
      </c>
      <c r="G60" s="292">
        <f t="shared" si="4"/>
        <v>96250</v>
      </c>
      <c r="H60" s="364">
        <f>'Proy. ventas'!I25</f>
        <v>61.6</v>
      </c>
      <c r="I60" s="292">
        <f t="shared" si="5"/>
        <v>77000</v>
      </c>
      <c r="J60" s="364">
        <f>'Proy. ventas'!K25</f>
        <v>53.900000000000006</v>
      </c>
      <c r="K60" s="292">
        <f t="shared" si="6"/>
        <v>67375</v>
      </c>
      <c r="L60" s="364">
        <f>'Proy. ventas'!M25</f>
        <v>46.199999999999996</v>
      </c>
      <c r="M60" s="292">
        <f t="shared" si="7"/>
        <v>57749.999999999993</v>
      </c>
      <c r="N60" s="364">
        <f>'Proy. ventas'!O25</f>
        <v>30.8</v>
      </c>
      <c r="O60" s="292">
        <f t="shared" si="8"/>
        <v>38500</v>
      </c>
      <c r="P60" s="364">
        <f>'Proy. ventas'!Q25</f>
        <v>69.3</v>
      </c>
      <c r="Q60" s="292">
        <f t="shared" si="9"/>
        <v>86625</v>
      </c>
      <c r="R60" s="364">
        <f>'Proy. ventas'!S25</f>
        <v>38.5</v>
      </c>
      <c r="S60" s="292">
        <f t="shared" si="10"/>
        <v>48125</v>
      </c>
      <c r="T60" s="364">
        <f>'Proy. ventas'!U25</f>
        <v>69.3</v>
      </c>
      <c r="U60" s="292">
        <f t="shared" si="11"/>
        <v>86625</v>
      </c>
      <c r="V60" s="364">
        <f>'Proy. ventas'!W25</f>
        <v>77</v>
      </c>
      <c r="W60" s="292">
        <f t="shared" si="12"/>
        <v>96250</v>
      </c>
      <c r="X60" s="364">
        <f>'Proy. ventas'!Y25</f>
        <v>84.7</v>
      </c>
      <c r="Y60" s="292">
        <f t="shared" si="13"/>
        <v>105875</v>
      </c>
      <c r="Z60" s="364">
        <f>'Proy. ventas'!AA25</f>
        <v>100.10000000000001</v>
      </c>
      <c r="AA60" s="294">
        <f t="shared" si="14"/>
        <v>125125.00000000001</v>
      </c>
      <c r="AB60" s="400">
        <f t="shared" si="15"/>
        <v>962500</v>
      </c>
    </row>
    <row r="61" spans="1:28" x14ac:dyDescent="0.25">
      <c r="A61" s="829"/>
      <c r="B61" s="369"/>
      <c r="C61" s="370">
        <v>350</v>
      </c>
      <c r="D61" s="367">
        <f>'Proy. ventas'!E26</f>
        <v>0</v>
      </c>
      <c r="E61" s="292">
        <f t="shared" si="3"/>
        <v>0</v>
      </c>
      <c r="F61" s="364">
        <f>'Proy. ventas'!G26</f>
        <v>0</v>
      </c>
      <c r="G61" s="292">
        <f t="shared" si="4"/>
        <v>0</v>
      </c>
      <c r="H61" s="364">
        <f>'Proy. ventas'!I26</f>
        <v>0</v>
      </c>
      <c r="I61" s="292">
        <f t="shared" si="5"/>
        <v>0</v>
      </c>
      <c r="J61" s="364">
        <f>'Proy. ventas'!K26</f>
        <v>0</v>
      </c>
      <c r="K61" s="292">
        <f t="shared" si="6"/>
        <v>0</v>
      </c>
      <c r="L61" s="364">
        <f>'Proy. ventas'!M26</f>
        <v>0</v>
      </c>
      <c r="M61" s="292">
        <f t="shared" si="7"/>
        <v>0</v>
      </c>
      <c r="N61" s="364">
        <f>'Proy. ventas'!O26</f>
        <v>0</v>
      </c>
      <c r="O61" s="292">
        <f t="shared" si="8"/>
        <v>0</v>
      </c>
      <c r="P61" s="364">
        <f>'Proy. ventas'!Q26</f>
        <v>0</v>
      </c>
      <c r="Q61" s="292">
        <f t="shared" si="9"/>
        <v>0</v>
      </c>
      <c r="R61" s="364">
        <f>'Proy. ventas'!S26</f>
        <v>0</v>
      </c>
      <c r="S61" s="292">
        <f t="shared" si="10"/>
        <v>0</v>
      </c>
      <c r="T61" s="364">
        <f>'Proy. ventas'!U26</f>
        <v>0</v>
      </c>
      <c r="U61" s="292">
        <f t="shared" si="11"/>
        <v>0</v>
      </c>
      <c r="V61" s="364">
        <f>'Proy. ventas'!W26</f>
        <v>0</v>
      </c>
      <c r="W61" s="292">
        <f t="shared" si="12"/>
        <v>0</v>
      </c>
      <c r="X61" s="364">
        <f>'Proy. ventas'!Y26</f>
        <v>0</v>
      </c>
      <c r="Y61" s="292">
        <f t="shared" si="13"/>
        <v>0</v>
      </c>
      <c r="Z61" s="364">
        <f>'Proy. ventas'!AA26</f>
        <v>0</v>
      </c>
      <c r="AA61" s="294">
        <f t="shared" si="14"/>
        <v>0</v>
      </c>
      <c r="AB61" s="400">
        <f t="shared" si="15"/>
        <v>0</v>
      </c>
    </row>
    <row r="62" spans="1:28" x14ac:dyDescent="0.25">
      <c r="A62" s="829"/>
      <c r="B62" s="369"/>
      <c r="C62" s="370">
        <v>950</v>
      </c>
      <c r="D62" s="367">
        <f>'Proy. ventas'!E27</f>
        <v>0</v>
      </c>
      <c r="E62" s="292">
        <f t="shared" si="3"/>
        <v>0</v>
      </c>
      <c r="F62" s="364">
        <f>'Proy. ventas'!G27</f>
        <v>0</v>
      </c>
      <c r="G62" s="292">
        <f t="shared" si="4"/>
        <v>0</v>
      </c>
      <c r="H62" s="364">
        <f>'Proy. ventas'!I27</f>
        <v>0</v>
      </c>
      <c r="I62" s="292">
        <f t="shared" si="5"/>
        <v>0</v>
      </c>
      <c r="J62" s="364">
        <f>'Proy. ventas'!K27</f>
        <v>0</v>
      </c>
      <c r="K62" s="292">
        <f t="shared" si="6"/>
        <v>0</v>
      </c>
      <c r="L62" s="364">
        <f>'Proy. ventas'!M27</f>
        <v>0</v>
      </c>
      <c r="M62" s="292">
        <f t="shared" si="7"/>
        <v>0</v>
      </c>
      <c r="N62" s="364">
        <f>'Proy. ventas'!O27</f>
        <v>0</v>
      </c>
      <c r="O62" s="292">
        <f t="shared" si="8"/>
        <v>0</v>
      </c>
      <c r="P62" s="364">
        <f>'Proy. ventas'!Q27</f>
        <v>0</v>
      </c>
      <c r="Q62" s="292">
        <f t="shared" si="9"/>
        <v>0</v>
      </c>
      <c r="R62" s="364">
        <f>'Proy. ventas'!S27</f>
        <v>0</v>
      </c>
      <c r="S62" s="292">
        <f t="shared" si="10"/>
        <v>0</v>
      </c>
      <c r="T62" s="364">
        <f>'Proy. ventas'!U27</f>
        <v>0</v>
      </c>
      <c r="U62" s="292">
        <f t="shared" si="11"/>
        <v>0</v>
      </c>
      <c r="V62" s="364">
        <f>'Proy. ventas'!W27</f>
        <v>0</v>
      </c>
      <c r="W62" s="292">
        <f t="shared" si="12"/>
        <v>0</v>
      </c>
      <c r="X62" s="364">
        <f>'Proy. ventas'!Y27</f>
        <v>0</v>
      </c>
      <c r="Y62" s="292">
        <f t="shared" si="13"/>
        <v>0</v>
      </c>
      <c r="Z62" s="364">
        <f>'Proy. ventas'!AA27</f>
        <v>0</v>
      </c>
      <c r="AA62" s="294">
        <f t="shared" si="14"/>
        <v>0</v>
      </c>
      <c r="AB62" s="400">
        <f t="shared" si="15"/>
        <v>0</v>
      </c>
    </row>
    <row r="63" spans="1:28" x14ac:dyDescent="0.25">
      <c r="A63" s="829"/>
      <c r="B63" s="369"/>
      <c r="C63" s="370">
        <v>200</v>
      </c>
      <c r="D63" s="367" t="e">
        <f>'Proy. ventas'!#REF!</f>
        <v>#REF!</v>
      </c>
      <c r="E63" s="292" t="e">
        <f t="shared" si="3"/>
        <v>#REF!</v>
      </c>
      <c r="F63" s="364" t="e">
        <f>'Proy. ventas'!#REF!</f>
        <v>#REF!</v>
      </c>
      <c r="G63" s="292" t="e">
        <f t="shared" si="4"/>
        <v>#REF!</v>
      </c>
      <c r="H63" s="364" t="e">
        <f>'Proy. ventas'!#REF!</f>
        <v>#REF!</v>
      </c>
      <c r="I63" s="292" t="e">
        <f t="shared" si="5"/>
        <v>#REF!</v>
      </c>
      <c r="J63" s="364" t="e">
        <f>'Proy. ventas'!#REF!</f>
        <v>#REF!</v>
      </c>
      <c r="K63" s="292" t="e">
        <f t="shared" si="6"/>
        <v>#REF!</v>
      </c>
      <c r="L63" s="364" t="e">
        <f>'Proy. ventas'!#REF!</f>
        <v>#REF!</v>
      </c>
      <c r="M63" s="292" t="e">
        <f t="shared" si="7"/>
        <v>#REF!</v>
      </c>
      <c r="N63" s="364" t="e">
        <f>'Proy. ventas'!#REF!</f>
        <v>#REF!</v>
      </c>
      <c r="O63" s="292" t="e">
        <f t="shared" si="8"/>
        <v>#REF!</v>
      </c>
      <c r="P63" s="364" t="e">
        <f>'Proy. ventas'!#REF!</f>
        <v>#REF!</v>
      </c>
      <c r="Q63" s="292" t="e">
        <f t="shared" si="9"/>
        <v>#REF!</v>
      </c>
      <c r="R63" s="364" t="e">
        <f>'Proy. ventas'!#REF!</f>
        <v>#REF!</v>
      </c>
      <c r="S63" s="292" t="e">
        <f t="shared" si="10"/>
        <v>#REF!</v>
      </c>
      <c r="T63" s="364" t="e">
        <f>'Proy. ventas'!#REF!</f>
        <v>#REF!</v>
      </c>
      <c r="U63" s="292" t="e">
        <f t="shared" si="11"/>
        <v>#REF!</v>
      </c>
      <c r="V63" s="364" t="e">
        <f>'Proy. ventas'!#REF!</f>
        <v>#REF!</v>
      </c>
      <c r="W63" s="292" t="e">
        <f t="shared" si="12"/>
        <v>#REF!</v>
      </c>
      <c r="X63" s="364" t="e">
        <f>'Proy. ventas'!#REF!</f>
        <v>#REF!</v>
      </c>
      <c r="Y63" s="292" t="e">
        <f t="shared" si="13"/>
        <v>#REF!</v>
      </c>
      <c r="Z63" s="364" t="e">
        <f>'Proy. ventas'!#REF!</f>
        <v>#REF!</v>
      </c>
      <c r="AA63" s="294" t="e">
        <f t="shared" si="14"/>
        <v>#REF!</v>
      </c>
      <c r="AB63" s="400" t="e">
        <f t="shared" si="15"/>
        <v>#REF!</v>
      </c>
    </row>
    <row r="64" spans="1:28" ht="15.75" thickBot="1" x14ac:dyDescent="0.3">
      <c r="A64" s="830"/>
      <c r="B64" s="380"/>
      <c r="C64" s="381">
        <v>1150</v>
      </c>
      <c r="D64" s="382" t="e">
        <f>'Proy. ventas'!#REF!</f>
        <v>#REF!</v>
      </c>
      <c r="E64" s="315" t="e">
        <f t="shared" si="3"/>
        <v>#REF!</v>
      </c>
      <c r="F64" s="407" t="e">
        <f>'Proy. ventas'!#REF!</f>
        <v>#REF!</v>
      </c>
      <c r="G64" s="315" t="e">
        <f t="shared" si="4"/>
        <v>#REF!</v>
      </c>
      <c r="H64" s="407" t="e">
        <f>'Proy. ventas'!#REF!</f>
        <v>#REF!</v>
      </c>
      <c r="I64" s="315" t="e">
        <f t="shared" si="5"/>
        <v>#REF!</v>
      </c>
      <c r="J64" s="407" t="e">
        <f>'Proy. ventas'!#REF!</f>
        <v>#REF!</v>
      </c>
      <c r="K64" s="315" t="e">
        <f t="shared" si="6"/>
        <v>#REF!</v>
      </c>
      <c r="L64" s="407" t="e">
        <f>'Proy. ventas'!#REF!</f>
        <v>#REF!</v>
      </c>
      <c r="M64" s="315" t="e">
        <f t="shared" si="7"/>
        <v>#REF!</v>
      </c>
      <c r="N64" s="407" t="e">
        <f>'Proy. ventas'!#REF!</f>
        <v>#REF!</v>
      </c>
      <c r="O64" s="315" t="e">
        <f t="shared" si="8"/>
        <v>#REF!</v>
      </c>
      <c r="P64" s="407" t="e">
        <f>'Proy. ventas'!#REF!</f>
        <v>#REF!</v>
      </c>
      <c r="Q64" s="315" t="e">
        <f t="shared" si="9"/>
        <v>#REF!</v>
      </c>
      <c r="R64" s="407" t="e">
        <f>'Proy. ventas'!#REF!</f>
        <v>#REF!</v>
      </c>
      <c r="S64" s="315" t="e">
        <f t="shared" si="10"/>
        <v>#REF!</v>
      </c>
      <c r="T64" s="407" t="e">
        <f>'Proy. ventas'!#REF!</f>
        <v>#REF!</v>
      </c>
      <c r="U64" s="315" t="e">
        <f t="shared" si="11"/>
        <v>#REF!</v>
      </c>
      <c r="V64" s="407" t="e">
        <f>'Proy. ventas'!#REF!</f>
        <v>#REF!</v>
      </c>
      <c r="W64" s="315" t="e">
        <f t="shared" si="12"/>
        <v>#REF!</v>
      </c>
      <c r="X64" s="407" t="e">
        <f>'Proy. ventas'!#REF!</f>
        <v>#REF!</v>
      </c>
      <c r="Y64" s="315" t="e">
        <f t="shared" si="13"/>
        <v>#REF!</v>
      </c>
      <c r="Z64" s="407" t="e">
        <f>'Proy. ventas'!#REF!</f>
        <v>#REF!</v>
      </c>
      <c r="AA64" s="316" t="e">
        <f t="shared" si="14"/>
        <v>#REF!</v>
      </c>
      <c r="AB64" s="401" t="e">
        <f t="shared" si="15"/>
        <v>#REF!</v>
      </c>
    </row>
    <row r="65" spans="1:28" ht="30.75" thickBot="1" x14ac:dyDescent="0.3">
      <c r="A65" s="383" t="s">
        <v>189</v>
      </c>
      <c r="B65" s="384"/>
      <c r="C65" s="385">
        <v>300</v>
      </c>
      <c r="D65" s="386">
        <v>50</v>
      </c>
      <c r="E65" s="323">
        <f t="shared" ref="E65:E68" si="16">D65*C65</f>
        <v>15000</v>
      </c>
      <c r="F65" s="408">
        <v>20</v>
      </c>
      <c r="G65" s="323">
        <f t="shared" si="4"/>
        <v>6000</v>
      </c>
      <c r="H65" s="408">
        <v>10</v>
      </c>
      <c r="I65" s="323">
        <f t="shared" si="5"/>
        <v>3000</v>
      </c>
      <c r="J65" s="408">
        <v>5</v>
      </c>
      <c r="K65" s="323">
        <f t="shared" si="6"/>
        <v>1500</v>
      </c>
      <c r="L65" s="408">
        <v>0</v>
      </c>
      <c r="M65" s="323">
        <f t="shared" si="7"/>
        <v>0</v>
      </c>
      <c r="N65" s="408">
        <v>5</v>
      </c>
      <c r="O65" s="323">
        <f t="shared" si="8"/>
        <v>1500</v>
      </c>
      <c r="P65" s="408">
        <v>5</v>
      </c>
      <c r="Q65" s="323">
        <f t="shared" si="9"/>
        <v>1500</v>
      </c>
      <c r="R65" s="408">
        <v>0</v>
      </c>
      <c r="S65" s="323">
        <f t="shared" si="10"/>
        <v>0</v>
      </c>
      <c r="T65" s="408">
        <v>10</v>
      </c>
      <c r="U65" s="323">
        <f t="shared" si="11"/>
        <v>3000</v>
      </c>
      <c r="V65" s="408">
        <v>10</v>
      </c>
      <c r="W65" s="323">
        <f t="shared" si="12"/>
        <v>3000</v>
      </c>
      <c r="X65" s="408">
        <v>15</v>
      </c>
      <c r="Y65" s="323">
        <f t="shared" si="13"/>
        <v>4500</v>
      </c>
      <c r="Z65" s="408">
        <v>10</v>
      </c>
      <c r="AA65" s="324">
        <f t="shared" si="14"/>
        <v>3000</v>
      </c>
      <c r="AB65" s="402">
        <f t="shared" si="15"/>
        <v>42000</v>
      </c>
    </row>
    <row r="66" spans="1:28" x14ac:dyDescent="0.25">
      <c r="A66" s="823" t="s">
        <v>192</v>
      </c>
      <c r="B66" s="395"/>
      <c r="C66" s="368">
        <v>182000</v>
      </c>
      <c r="D66" s="366">
        <v>1</v>
      </c>
      <c r="E66" s="305">
        <f t="shared" si="16"/>
        <v>182000</v>
      </c>
      <c r="F66" s="365">
        <v>1</v>
      </c>
      <c r="G66" s="305">
        <f t="shared" si="4"/>
        <v>182000</v>
      </c>
      <c r="H66" s="365">
        <v>0</v>
      </c>
      <c r="I66" s="305">
        <f t="shared" si="5"/>
        <v>0</v>
      </c>
      <c r="J66" s="365">
        <v>1</v>
      </c>
      <c r="K66" s="305">
        <f t="shared" si="6"/>
        <v>182000</v>
      </c>
      <c r="L66" s="365">
        <v>1</v>
      </c>
      <c r="M66" s="305">
        <f t="shared" si="7"/>
        <v>182000</v>
      </c>
      <c r="N66" s="365">
        <v>0</v>
      </c>
      <c r="O66" s="305">
        <f t="shared" si="8"/>
        <v>0</v>
      </c>
      <c r="P66" s="365">
        <v>0</v>
      </c>
      <c r="Q66" s="305">
        <f t="shared" si="9"/>
        <v>0</v>
      </c>
      <c r="R66" s="365">
        <v>0</v>
      </c>
      <c r="S66" s="305">
        <f t="shared" si="10"/>
        <v>0</v>
      </c>
      <c r="T66" s="365">
        <v>1</v>
      </c>
      <c r="U66" s="305">
        <f t="shared" si="11"/>
        <v>182000</v>
      </c>
      <c r="V66" s="365">
        <v>0</v>
      </c>
      <c r="W66" s="305">
        <f t="shared" si="12"/>
        <v>0</v>
      </c>
      <c r="X66" s="365">
        <v>0</v>
      </c>
      <c r="Y66" s="305">
        <f t="shared" si="13"/>
        <v>0</v>
      </c>
      <c r="Z66" s="365">
        <v>1</v>
      </c>
      <c r="AA66" s="306">
        <f t="shared" si="14"/>
        <v>182000</v>
      </c>
      <c r="AB66" s="403">
        <f t="shared" si="15"/>
        <v>1092000</v>
      </c>
    </row>
    <row r="67" spans="1:28" x14ac:dyDescent="0.25">
      <c r="A67" s="824"/>
      <c r="B67" s="396"/>
      <c r="C67" s="370">
        <v>130000</v>
      </c>
      <c r="D67" s="367">
        <v>1</v>
      </c>
      <c r="E67" s="292">
        <f t="shared" si="16"/>
        <v>130000</v>
      </c>
      <c r="F67" s="364">
        <v>0</v>
      </c>
      <c r="G67" s="292">
        <f t="shared" si="4"/>
        <v>0</v>
      </c>
      <c r="H67" s="364">
        <v>0</v>
      </c>
      <c r="I67" s="292">
        <f t="shared" si="5"/>
        <v>0</v>
      </c>
      <c r="J67" s="364">
        <v>0</v>
      </c>
      <c r="K67" s="292">
        <f t="shared" si="6"/>
        <v>0</v>
      </c>
      <c r="L67" s="364">
        <v>1</v>
      </c>
      <c r="M67" s="292">
        <f t="shared" si="7"/>
        <v>130000</v>
      </c>
      <c r="N67" s="364">
        <v>0</v>
      </c>
      <c r="O67" s="292">
        <f t="shared" si="8"/>
        <v>0</v>
      </c>
      <c r="P67" s="364">
        <v>0</v>
      </c>
      <c r="Q67" s="292">
        <f t="shared" si="9"/>
        <v>0</v>
      </c>
      <c r="R67" s="364">
        <v>0</v>
      </c>
      <c r="S67" s="292">
        <f t="shared" si="10"/>
        <v>0</v>
      </c>
      <c r="T67" s="364">
        <v>1</v>
      </c>
      <c r="U67" s="292">
        <f t="shared" si="11"/>
        <v>130000</v>
      </c>
      <c r="V67" s="364">
        <v>0</v>
      </c>
      <c r="W67" s="292">
        <f t="shared" si="12"/>
        <v>0</v>
      </c>
      <c r="X67" s="364">
        <v>0</v>
      </c>
      <c r="Y67" s="292">
        <f t="shared" si="13"/>
        <v>0</v>
      </c>
      <c r="Z67" s="364">
        <v>1</v>
      </c>
      <c r="AA67" s="294">
        <f t="shared" si="14"/>
        <v>130000</v>
      </c>
      <c r="AB67" s="400">
        <f t="shared" si="15"/>
        <v>520000</v>
      </c>
    </row>
    <row r="68" spans="1:28" x14ac:dyDescent="0.25">
      <c r="A68" s="824"/>
      <c r="B68" s="371"/>
      <c r="C68" s="370">
        <v>250000</v>
      </c>
      <c r="D68" s="367">
        <v>0</v>
      </c>
      <c r="E68" s="292">
        <f t="shared" si="16"/>
        <v>0</v>
      </c>
      <c r="F68" s="364">
        <v>0</v>
      </c>
      <c r="G68" s="292">
        <f t="shared" si="4"/>
        <v>0</v>
      </c>
      <c r="H68" s="364">
        <v>0</v>
      </c>
      <c r="I68" s="292">
        <f t="shared" si="5"/>
        <v>0</v>
      </c>
      <c r="J68" s="364">
        <v>0</v>
      </c>
      <c r="K68" s="292">
        <f t="shared" si="6"/>
        <v>0</v>
      </c>
      <c r="L68" s="364">
        <v>0</v>
      </c>
      <c r="M68" s="292">
        <f t="shared" si="7"/>
        <v>0</v>
      </c>
      <c r="N68" s="364">
        <v>0</v>
      </c>
      <c r="O68" s="292">
        <f t="shared" si="8"/>
        <v>0</v>
      </c>
      <c r="P68" s="364">
        <v>0</v>
      </c>
      <c r="Q68" s="292">
        <f t="shared" si="9"/>
        <v>0</v>
      </c>
      <c r="R68" s="364">
        <v>0</v>
      </c>
      <c r="S68" s="292">
        <f t="shared" si="10"/>
        <v>0</v>
      </c>
      <c r="T68" s="364">
        <v>1</v>
      </c>
      <c r="U68" s="292">
        <f t="shared" si="11"/>
        <v>250000</v>
      </c>
      <c r="V68" s="364">
        <v>0</v>
      </c>
      <c r="W68" s="292">
        <f t="shared" si="12"/>
        <v>0</v>
      </c>
      <c r="X68" s="364">
        <v>0</v>
      </c>
      <c r="Y68" s="292">
        <f t="shared" si="13"/>
        <v>0</v>
      </c>
      <c r="Z68" s="364">
        <v>0</v>
      </c>
      <c r="AA68" s="294">
        <f t="shared" si="14"/>
        <v>0</v>
      </c>
      <c r="AB68" s="400">
        <f t="shared" si="15"/>
        <v>250000</v>
      </c>
    </row>
    <row r="69" spans="1:28" ht="15.75" thickBot="1" x14ac:dyDescent="0.3">
      <c r="A69" s="825"/>
      <c r="B69" s="387"/>
      <c r="C69" s="388">
        <v>0</v>
      </c>
      <c r="D69" s="389">
        <v>0</v>
      </c>
      <c r="E69" s="315">
        <v>0</v>
      </c>
      <c r="F69" s="409">
        <v>0</v>
      </c>
      <c r="G69" s="315">
        <v>0</v>
      </c>
      <c r="H69" s="409">
        <v>0</v>
      </c>
      <c r="I69" s="315">
        <v>0</v>
      </c>
      <c r="J69" s="409">
        <v>0</v>
      </c>
      <c r="K69" s="315">
        <v>0</v>
      </c>
      <c r="L69" s="409">
        <v>0</v>
      </c>
      <c r="M69" s="315">
        <f>($C$53*L53 + $C$54*L54+$C$55*L55)*0.15</f>
        <v>11016</v>
      </c>
      <c r="N69" s="409">
        <v>0</v>
      </c>
      <c r="O69" s="315">
        <f>($C$53*N53 + $C$54*N54+$C$55*N55)*0.15</f>
        <v>7344</v>
      </c>
      <c r="P69" s="409">
        <v>0</v>
      </c>
      <c r="Q69" s="315">
        <f>($C$53*P53 + $C$54*P54+$C$55*P55)*0.15</f>
        <v>16524</v>
      </c>
      <c r="R69" s="409">
        <v>0</v>
      </c>
      <c r="S69" s="315">
        <v>0</v>
      </c>
      <c r="T69" s="409">
        <v>0</v>
      </c>
      <c r="U69" s="315">
        <v>0</v>
      </c>
      <c r="V69" s="409">
        <v>0</v>
      </c>
      <c r="W69" s="315">
        <v>0</v>
      </c>
      <c r="X69" s="409">
        <v>0</v>
      </c>
      <c r="Y69" s="315">
        <v>0</v>
      </c>
      <c r="Z69" s="409">
        <v>0</v>
      </c>
      <c r="AA69" s="316">
        <v>0</v>
      </c>
      <c r="AB69" s="401">
        <f>E69+G69+I69+K69+M69+O69+Q69+S69+U69+W69+Y69+AA69</f>
        <v>34884</v>
      </c>
    </row>
    <row r="70" spans="1:28" ht="15.75" thickBot="1" x14ac:dyDescent="0.3">
      <c r="A70" s="383" t="s">
        <v>190</v>
      </c>
      <c r="B70" s="384"/>
      <c r="C70" s="393">
        <v>0</v>
      </c>
      <c r="D70" s="394">
        <v>0</v>
      </c>
      <c r="E70" s="323">
        <f>(D55+D54+D53)*75</f>
        <v>5400</v>
      </c>
      <c r="F70" s="410">
        <v>0</v>
      </c>
      <c r="G70" s="323">
        <f>(F55+F54+F53)*75</f>
        <v>6750</v>
      </c>
      <c r="H70" s="410">
        <v>0</v>
      </c>
      <c r="I70" s="323">
        <f>(H55+H54+H53)*75</f>
        <v>5400</v>
      </c>
      <c r="J70" s="410">
        <v>0</v>
      </c>
      <c r="K70" s="323">
        <f>(J55+J54+J53)*75</f>
        <v>4725.0000000000009</v>
      </c>
      <c r="L70" s="410">
        <v>0</v>
      </c>
      <c r="M70" s="323">
        <f>(L55+L54+L53)*75</f>
        <v>4050</v>
      </c>
      <c r="N70" s="410">
        <v>0</v>
      </c>
      <c r="O70" s="323">
        <f>(N55+N54+N53)*75</f>
        <v>2700</v>
      </c>
      <c r="P70" s="410">
        <v>0</v>
      </c>
      <c r="Q70" s="323">
        <f>(P55+P54+P53)*75</f>
        <v>6075</v>
      </c>
      <c r="R70" s="410">
        <v>0</v>
      </c>
      <c r="S70" s="323">
        <f>(R55+R54+R53)*75</f>
        <v>3375</v>
      </c>
      <c r="T70" s="410">
        <v>0</v>
      </c>
      <c r="U70" s="323">
        <f>(T55+T54+T53)*75</f>
        <v>6075</v>
      </c>
      <c r="V70" s="410">
        <v>0</v>
      </c>
      <c r="W70" s="323">
        <f>(V55+V54+V53)*75</f>
        <v>6750</v>
      </c>
      <c r="X70" s="410">
        <v>0</v>
      </c>
      <c r="Y70" s="323">
        <f>(X55+X54+X53)*75</f>
        <v>7425</v>
      </c>
      <c r="Z70" s="410">
        <v>0</v>
      </c>
      <c r="AA70" s="323">
        <f>(Z55+Z54+Z53)*75</f>
        <v>8775</v>
      </c>
      <c r="AB70" s="401">
        <f>E70+G70+I70+K70+M70+O70+Q70+S70+U70+W70+Y70+AA70</f>
        <v>67500</v>
      </c>
    </row>
    <row r="71" spans="1:28" ht="15.75" thickBot="1" x14ac:dyDescent="0.3">
      <c r="B71" s="398" t="s">
        <v>191</v>
      </c>
      <c r="C71" s="390"/>
      <c r="D71" s="391"/>
      <c r="E71" s="405" t="e">
        <f>SUM(E53:E70)</f>
        <v>#REF!</v>
      </c>
      <c r="F71" s="411"/>
      <c r="G71" s="405" t="e">
        <f>SUM(G53:G70)</f>
        <v>#REF!</v>
      </c>
      <c r="H71" s="411"/>
      <c r="I71" s="405" t="e">
        <f>SUM(I53:I70)</f>
        <v>#REF!</v>
      </c>
      <c r="J71" s="411"/>
      <c r="K71" s="405" t="e">
        <f>SUM(K53:K70)</f>
        <v>#REF!</v>
      </c>
      <c r="L71" s="411"/>
      <c r="M71" s="405" t="e">
        <f>SUM(M53:M70)</f>
        <v>#REF!</v>
      </c>
      <c r="N71" s="391"/>
      <c r="O71" s="405" t="e">
        <f>SUM(O53:O70)</f>
        <v>#REF!</v>
      </c>
      <c r="P71" s="411"/>
      <c r="Q71" s="405" t="e">
        <f>SUM(Q53:Q70)</f>
        <v>#REF!</v>
      </c>
      <c r="R71" s="411"/>
      <c r="S71" s="405" t="e">
        <f>SUM(S53:S70)</f>
        <v>#REF!</v>
      </c>
      <c r="T71" s="411"/>
      <c r="U71" s="405" t="e">
        <f>SUM(U53:U70)</f>
        <v>#REF!</v>
      </c>
      <c r="V71" s="411"/>
      <c r="W71" s="405" t="e">
        <f>SUM(W53:W70)</f>
        <v>#REF!</v>
      </c>
      <c r="X71" s="411"/>
      <c r="Y71" s="405" t="e">
        <f>SUM(Y53:Y70)</f>
        <v>#REF!</v>
      </c>
      <c r="Z71" s="411"/>
      <c r="AA71" s="404" t="e">
        <f>SUM(AA53:AA70)</f>
        <v>#REF!</v>
      </c>
      <c r="AB71" s="397" t="e">
        <f>SUM(E71:AA71)</f>
        <v>#REF!</v>
      </c>
    </row>
    <row r="73" spans="1:28" ht="15.75" thickBot="1" x14ac:dyDescent="0.3"/>
    <row r="74" spans="1:28" ht="27" thickBot="1" x14ac:dyDescent="0.45">
      <c r="B74" s="669" t="s">
        <v>193</v>
      </c>
      <c r="C74" s="670"/>
      <c r="D74" s="670"/>
      <c r="E74" s="670"/>
      <c r="F74" s="670"/>
      <c r="G74" s="670"/>
      <c r="H74" s="670"/>
      <c r="I74" s="670"/>
      <c r="J74" s="670"/>
      <c r="K74" s="670"/>
      <c r="L74" s="670"/>
      <c r="M74" s="670"/>
      <c r="N74" s="670"/>
      <c r="O74" s="670"/>
      <c r="P74" s="670"/>
      <c r="Q74" s="670"/>
      <c r="R74" s="670"/>
      <c r="S74" s="670"/>
      <c r="T74" s="670"/>
      <c r="U74" s="670"/>
      <c r="V74" s="670"/>
      <c r="W74" s="670"/>
      <c r="X74" s="670"/>
      <c r="Y74" s="670"/>
      <c r="Z74" s="670"/>
      <c r="AA74" s="670"/>
      <c r="AB74" s="671"/>
    </row>
    <row r="75" spans="1:28" x14ac:dyDescent="0.25">
      <c r="B75" s="832" t="s">
        <v>64</v>
      </c>
      <c r="C75" s="833"/>
      <c r="D75" s="831" t="s">
        <v>40</v>
      </c>
      <c r="E75" s="827"/>
      <c r="F75" s="826" t="s">
        <v>41</v>
      </c>
      <c r="G75" s="827"/>
      <c r="H75" s="826" t="s">
        <v>42</v>
      </c>
      <c r="I75" s="827"/>
      <c r="J75" s="826" t="s">
        <v>43</v>
      </c>
      <c r="K75" s="827"/>
      <c r="L75" s="826" t="s">
        <v>44</v>
      </c>
      <c r="M75" s="827"/>
      <c r="N75" s="826" t="s">
        <v>45</v>
      </c>
      <c r="O75" s="827"/>
      <c r="P75" s="826" t="s">
        <v>46</v>
      </c>
      <c r="Q75" s="827"/>
      <c r="R75" s="826" t="s">
        <v>47</v>
      </c>
      <c r="S75" s="827"/>
      <c r="T75" s="826" t="s">
        <v>48</v>
      </c>
      <c r="U75" s="827"/>
      <c r="V75" s="826" t="s">
        <v>49</v>
      </c>
      <c r="W75" s="827"/>
      <c r="X75" s="826" t="s">
        <v>50</v>
      </c>
      <c r="Y75" s="827"/>
      <c r="Z75" s="826" t="s">
        <v>51</v>
      </c>
      <c r="AA75" s="831"/>
      <c r="AB75" s="834" t="s">
        <v>19</v>
      </c>
    </row>
    <row r="76" spans="1:28" ht="15.75" thickBot="1" x14ac:dyDescent="0.3">
      <c r="B76" s="372" t="s">
        <v>122</v>
      </c>
      <c r="C76" s="373" t="s">
        <v>175</v>
      </c>
      <c r="D76" s="374" t="s">
        <v>60</v>
      </c>
      <c r="E76" s="375" t="s">
        <v>107</v>
      </c>
      <c r="F76" s="375" t="s">
        <v>60</v>
      </c>
      <c r="G76" s="375" t="s">
        <v>107</v>
      </c>
      <c r="H76" s="375" t="s">
        <v>60</v>
      </c>
      <c r="I76" s="375" t="s">
        <v>107</v>
      </c>
      <c r="J76" s="375" t="s">
        <v>60</v>
      </c>
      <c r="K76" s="375" t="s">
        <v>107</v>
      </c>
      <c r="L76" s="375" t="s">
        <v>60</v>
      </c>
      <c r="M76" s="375" t="s">
        <v>107</v>
      </c>
      <c r="N76" s="375" t="s">
        <v>60</v>
      </c>
      <c r="O76" s="375" t="s">
        <v>107</v>
      </c>
      <c r="P76" s="375" t="s">
        <v>60</v>
      </c>
      <c r="Q76" s="375" t="s">
        <v>107</v>
      </c>
      <c r="R76" s="375" t="s">
        <v>60</v>
      </c>
      <c r="S76" s="375" t="s">
        <v>107</v>
      </c>
      <c r="T76" s="375" t="s">
        <v>60</v>
      </c>
      <c r="U76" s="375" t="s">
        <v>107</v>
      </c>
      <c r="V76" s="375" t="s">
        <v>60</v>
      </c>
      <c r="W76" s="375" t="s">
        <v>107</v>
      </c>
      <c r="X76" s="375" t="s">
        <v>60</v>
      </c>
      <c r="Y76" s="375" t="s">
        <v>107</v>
      </c>
      <c r="Z76" s="375" t="s">
        <v>60</v>
      </c>
      <c r="AA76" s="376" t="s">
        <v>107</v>
      </c>
      <c r="AB76" s="835"/>
    </row>
    <row r="77" spans="1:28" x14ac:dyDescent="0.25">
      <c r="A77" s="828" t="s">
        <v>187</v>
      </c>
      <c r="B77" s="377"/>
      <c r="C77" s="378">
        <f>$E$20</f>
        <v>1360</v>
      </c>
      <c r="D77" s="379">
        <f>'Proy. ventas'!E72</f>
        <v>132</v>
      </c>
      <c r="E77" s="311">
        <f t="shared" ref="E77:E92" si="17">D77*C77</f>
        <v>179520</v>
      </c>
      <c r="F77" s="406">
        <f>'Proy. ventas'!G72</f>
        <v>120</v>
      </c>
      <c r="G77" s="311">
        <f t="shared" ref="G77:G92" si="18">F77*C77</f>
        <v>163200</v>
      </c>
      <c r="H77" s="406">
        <f>'Proy. ventas'!I72</f>
        <v>84.000000000000014</v>
      </c>
      <c r="I77" s="311">
        <f t="shared" ref="I77:I92" si="19">H77*C77</f>
        <v>114240.00000000001</v>
      </c>
      <c r="J77" s="406">
        <f>'Proy. ventas'!K72</f>
        <v>72</v>
      </c>
      <c r="K77" s="311">
        <f t="shared" ref="K77:K92" si="20">J77*C77</f>
        <v>97920</v>
      </c>
      <c r="L77" s="406">
        <f>'Proy. ventas'!M72</f>
        <v>72</v>
      </c>
      <c r="M77" s="311">
        <f t="shared" ref="M77:M92" si="21">L77*C77</f>
        <v>97920</v>
      </c>
      <c r="N77" s="406">
        <f>'Proy. ventas'!O72</f>
        <v>48</v>
      </c>
      <c r="O77" s="311">
        <f t="shared" ref="O77:O92" si="22">N77*C77</f>
        <v>65280</v>
      </c>
      <c r="P77" s="406">
        <f>'Proy. ventas'!Q72</f>
        <v>108</v>
      </c>
      <c r="Q77" s="311">
        <f t="shared" ref="Q77:Q92" si="23">P77*C77</f>
        <v>146880</v>
      </c>
      <c r="R77" s="406">
        <f>'Proy. ventas'!S72</f>
        <v>60</v>
      </c>
      <c r="S77" s="311">
        <f t="shared" ref="S77:S92" si="24">R77*C77</f>
        <v>81600</v>
      </c>
      <c r="T77" s="406">
        <f>'Proy. ventas'!U72</f>
        <v>108</v>
      </c>
      <c r="U77" s="311">
        <f t="shared" ref="U77:U92" si="25">T77*C77</f>
        <v>146880</v>
      </c>
      <c r="V77" s="406">
        <f>'Proy. ventas'!W72</f>
        <v>120</v>
      </c>
      <c r="W77" s="311">
        <f t="shared" ref="W77:W92" si="26">V77*C77</f>
        <v>163200</v>
      </c>
      <c r="X77" s="406">
        <f>'Proy. ventas'!Y72</f>
        <v>132</v>
      </c>
      <c r="Y77" s="311">
        <f t="shared" ref="Y77:Y92" si="27">X77*C77</f>
        <v>179520</v>
      </c>
      <c r="Z77" s="406">
        <f>'Proy. ventas'!AA72</f>
        <v>144</v>
      </c>
      <c r="AA77" s="312">
        <f t="shared" ref="AA77:AA92" si="28">Z77*C77</f>
        <v>195840</v>
      </c>
      <c r="AB77" s="399">
        <f>E77+G77+I77+K77+M77+O77+Q77+S77++U77+W77+Y77+AA77</f>
        <v>1632000</v>
      </c>
    </row>
    <row r="78" spans="1:28" x14ac:dyDescent="0.25">
      <c r="A78" s="829"/>
      <c r="B78" s="369"/>
      <c r="C78" s="370">
        <f>$E$33</f>
        <v>5705</v>
      </c>
      <c r="D78" s="367">
        <f>'Proy. ventas'!E73</f>
        <v>92.95</v>
      </c>
      <c r="E78" s="292">
        <f t="shared" si="17"/>
        <v>530279.75</v>
      </c>
      <c r="F78" s="364">
        <f>'Proy. ventas'!G73</f>
        <v>84.5</v>
      </c>
      <c r="G78" s="292">
        <f t="shared" si="18"/>
        <v>482072.5</v>
      </c>
      <c r="H78" s="364">
        <f>'Proy. ventas'!I73</f>
        <v>59.150000000000006</v>
      </c>
      <c r="I78" s="292">
        <f t="shared" si="19"/>
        <v>337450.75000000006</v>
      </c>
      <c r="J78" s="364">
        <f>'Proy. ventas'!K73</f>
        <v>50.699999999999996</v>
      </c>
      <c r="K78" s="292">
        <f t="shared" si="20"/>
        <v>289243.5</v>
      </c>
      <c r="L78" s="364">
        <f>'Proy. ventas'!M73</f>
        <v>50.699999999999996</v>
      </c>
      <c r="M78" s="292">
        <f t="shared" si="21"/>
        <v>289243.5</v>
      </c>
      <c r="N78" s="364">
        <f>'Proy. ventas'!O73</f>
        <v>33.799999999999997</v>
      </c>
      <c r="O78" s="292">
        <f t="shared" si="22"/>
        <v>192828.99999999997</v>
      </c>
      <c r="P78" s="364">
        <f>'Proy. ventas'!Q73</f>
        <v>76.05</v>
      </c>
      <c r="Q78" s="292">
        <f t="shared" si="23"/>
        <v>433865.25</v>
      </c>
      <c r="R78" s="364">
        <f>'Proy. ventas'!S73</f>
        <v>42.25</v>
      </c>
      <c r="S78" s="292">
        <f t="shared" si="24"/>
        <v>241036.25</v>
      </c>
      <c r="T78" s="364">
        <f>'Proy. ventas'!U73</f>
        <v>76.05</v>
      </c>
      <c r="U78" s="292">
        <f t="shared" si="25"/>
        <v>433865.25</v>
      </c>
      <c r="V78" s="364">
        <f>'Proy. ventas'!W73</f>
        <v>84.5</v>
      </c>
      <c r="W78" s="292">
        <f t="shared" si="26"/>
        <v>482072.5</v>
      </c>
      <c r="X78" s="364">
        <f>'Proy. ventas'!Y73</f>
        <v>92.95</v>
      </c>
      <c r="Y78" s="292">
        <f t="shared" si="27"/>
        <v>530279.75</v>
      </c>
      <c r="Z78" s="364">
        <f>'Proy. ventas'!AA73</f>
        <v>101.39999999999999</v>
      </c>
      <c r="AA78" s="294">
        <f t="shared" si="28"/>
        <v>578487</v>
      </c>
      <c r="AB78" s="400">
        <f t="shared" ref="AB78:AB92" si="29">E78+G78+I78+K78+M78+O78+Q78+S78++U78+W78+Y78+AA78</f>
        <v>4820725</v>
      </c>
    </row>
    <row r="79" spans="1:28" ht="15.75" thickBot="1" x14ac:dyDescent="0.3">
      <c r="A79" s="830"/>
      <c r="B79" s="380"/>
      <c r="C79" s="381">
        <f>$E$46</f>
        <v>8105</v>
      </c>
      <c r="D79" s="382">
        <f>'Proy. ventas'!E74</f>
        <v>26.95</v>
      </c>
      <c r="E79" s="315">
        <f t="shared" si="17"/>
        <v>218429.75</v>
      </c>
      <c r="F79" s="407">
        <f>'Proy. ventas'!G74</f>
        <v>24.5</v>
      </c>
      <c r="G79" s="315">
        <f t="shared" si="18"/>
        <v>198572.5</v>
      </c>
      <c r="H79" s="407">
        <f>'Proy. ventas'!I74</f>
        <v>17.150000000000002</v>
      </c>
      <c r="I79" s="315">
        <f t="shared" si="19"/>
        <v>139000.75000000003</v>
      </c>
      <c r="J79" s="407">
        <f>'Proy. ventas'!K74</f>
        <v>14.7</v>
      </c>
      <c r="K79" s="315">
        <f t="shared" si="20"/>
        <v>119143.5</v>
      </c>
      <c r="L79" s="407">
        <f>'Proy. ventas'!M74</f>
        <v>14.7</v>
      </c>
      <c r="M79" s="315">
        <f t="shared" si="21"/>
        <v>119143.5</v>
      </c>
      <c r="N79" s="407">
        <f>'Proy. ventas'!O74</f>
        <v>9.8000000000000007</v>
      </c>
      <c r="O79" s="315">
        <f t="shared" si="22"/>
        <v>79429</v>
      </c>
      <c r="P79" s="407">
        <f>'Proy. ventas'!Q74</f>
        <v>22.05</v>
      </c>
      <c r="Q79" s="315">
        <f t="shared" si="23"/>
        <v>178715.25</v>
      </c>
      <c r="R79" s="407">
        <f>'Proy. ventas'!S74</f>
        <v>12.25</v>
      </c>
      <c r="S79" s="315">
        <f t="shared" si="24"/>
        <v>99286.25</v>
      </c>
      <c r="T79" s="407">
        <f>'Proy. ventas'!U74</f>
        <v>22.05</v>
      </c>
      <c r="U79" s="315">
        <f t="shared" si="25"/>
        <v>178715.25</v>
      </c>
      <c r="V79" s="407">
        <f>'Proy. ventas'!W74</f>
        <v>24.5</v>
      </c>
      <c r="W79" s="315">
        <f t="shared" si="26"/>
        <v>198572.5</v>
      </c>
      <c r="X79" s="407">
        <f>'Proy. ventas'!Y74</f>
        <v>26.95</v>
      </c>
      <c r="Y79" s="315">
        <f t="shared" si="27"/>
        <v>218429.75</v>
      </c>
      <c r="Z79" s="407">
        <f>'Proy. ventas'!AA74</f>
        <v>29.4</v>
      </c>
      <c r="AA79" s="316">
        <f t="shared" si="28"/>
        <v>238287</v>
      </c>
      <c r="AB79" s="401">
        <f t="shared" si="29"/>
        <v>1985725</v>
      </c>
    </row>
    <row r="80" spans="1:28" x14ac:dyDescent="0.25">
      <c r="A80" s="828" t="s">
        <v>188</v>
      </c>
      <c r="B80" s="377"/>
      <c r="C80" s="378">
        <v>420</v>
      </c>
      <c r="D80" s="379">
        <f>'Proy. ventas'!E75</f>
        <v>198</v>
      </c>
      <c r="E80" s="311">
        <f t="shared" si="17"/>
        <v>83160</v>
      </c>
      <c r="F80" s="406">
        <f>'Proy. ventas'!G75</f>
        <v>180</v>
      </c>
      <c r="G80" s="311">
        <f t="shared" si="18"/>
        <v>75600</v>
      </c>
      <c r="H80" s="406">
        <f>'Proy. ventas'!I75</f>
        <v>126.00000000000001</v>
      </c>
      <c r="I80" s="311">
        <f t="shared" si="19"/>
        <v>52920.000000000007</v>
      </c>
      <c r="J80" s="406">
        <f>'Proy. ventas'!K75</f>
        <v>108</v>
      </c>
      <c r="K80" s="311">
        <f t="shared" si="20"/>
        <v>45360</v>
      </c>
      <c r="L80" s="406">
        <f>'Proy. ventas'!M75</f>
        <v>108</v>
      </c>
      <c r="M80" s="311">
        <f t="shared" si="21"/>
        <v>45360</v>
      </c>
      <c r="N80" s="406">
        <f>'Proy. ventas'!O75</f>
        <v>72</v>
      </c>
      <c r="O80" s="311">
        <f t="shared" si="22"/>
        <v>30240</v>
      </c>
      <c r="P80" s="406">
        <f>'Proy. ventas'!Q75</f>
        <v>162</v>
      </c>
      <c r="Q80" s="311">
        <f t="shared" si="23"/>
        <v>68040</v>
      </c>
      <c r="R80" s="406">
        <f>'Proy. ventas'!S75</f>
        <v>90</v>
      </c>
      <c r="S80" s="311">
        <f t="shared" si="24"/>
        <v>37800</v>
      </c>
      <c r="T80" s="406">
        <f>'Proy. ventas'!U75</f>
        <v>162</v>
      </c>
      <c r="U80" s="311">
        <f t="shared" si="25"/>
        <v>68040</v>
      </c>
      <c r="V80" s="406">
        <f>'Proy. ventas'!W75</f>
        <v>180</v>
      </c>
      <c r="W80" s="311">
        <f t="shared" si="26"/>
        <v>75600</v>
      </c>
      <c r="X80" s="406">
        <f>'Proy. ventas'!Y75</f>
        <v>198</v>
      </c>
      <c r="Y80" s="311">
        <f t="shared" si="27"/>
        <v>83160</v>
      </c>
      <c r="Z80" s="406">
        <f>'Proy. ventas'!AA75</f>
        <v>216</v>
      </c>
      <c r="AA80" s="312">
        <f t="shared" si="28"/>
        <v>90720</v>
      </c>
      <c r="AB80" s="399">
        <f t="shared" si="29"/>
        <v>756000</v>
      </c>
    </row>
    <row r="81" spans="1:28" x14ac:dyDescent="0.25">
      <c r="A81" s="829"/>
      <c r="B81" s="369"/>
      <c r="C81" s="370">
        <v>300</v>
      </c>
      <c r="D81" s="367">
        <f>'Proy. ventas'!E76</f>
        <v>198</v>
      </c>
      <c r="E81" s="292">
        <f t="shared" si="17"/>
        <v>59400</v>
      </c>
      <c r="F81" s="364">
        <f>'Proy. ventas'!G76</f>
        <v>180</v>
      </c>
      <c r="G81" s="292">
        <f t="shared" si="18"/>
        <v>54000</v>
      </c>
      <c r="H81" s="364">
        <f>'Proy. ventas'!I76</f>
        <v>126.00000000000001</v>
      </c>
      <c r="I81" s="292">
        <f t="shared" si="19"/>
        <v>37800.000000000007</v>
      </c>
      <c r="J81" s="364">
        <f>'Proy. ventas'!K76</f>
        <v>108</v>
      </c>
      <c r="K81" s="292">
        <f t="shared" si="20"/>
        <v>32400</v>
      </c>
      <c r="L81" s="364">
        <f>'Proy. ventas'!M76</f>
        <v>108</v>
      </c>
      <c r="M81" s="292">
        <f t="shared" si="21"/>
        <v>32400</v>
      </c>
      <c r="N81" s="364">
        <f>'Proy. ventas'!O76</f>
        <v>72</v>
      </c>
      <c r="O81" s="292">
        <f t="shared" si="22"/>
        <v>21600</v>
      </c>
      <c r="P81" s="364">
        <f>'Proy. ventas'!Q76</f>
        <v>162</v>
      </c>
      <c r="Q81" s="292">
        <f t="shared" si="23"/>
        <v>48600</v>
      </c>
      <c r="R81" s="364">
        <f>'Proy. ventas'!S76</f>
        <v>90</v>
      </c>
      <c r="S81" s="292">
        <f t="shared" si="24"/>
        <v>27000</v>
      </c>
      <c r="T81" s="364">
        <f>'Proy. ventas'!U76</f>
        <v>162</v>
      </c>
      <c r="U81" s="292">
        <f t="shared" si="25"/>
        <v>48600</v>
      </c>
      <c r="V81" s="364">
        <f>'Proy. ventas'!W76</f>
        <v>180</v>
      </c>
      <c r="W81" s="292">
        <f t="shared" si="26"/>
        <v>54000</v>
      </c>
      <c r="X81" s="364">
        <f>'Proy. ventas'!Y76</f>
        <v>198</v>
      </c>
      <c r="Y81" s="292">
        <f t="shared" si="27"/>
        <v>59400</v>
      </c>
      <c r="Z81" s="364">
        <f>'Proy. ventas'!AA76</f>
        <v>216</v>
      </c>
      <c r="AA81" s="294">
        <f t="shared" si="28"/>
        <v>64800</v>
      </c>
      <c r="AB81" s="400">
        <f t="shared" si="29"/>
        <v>540000</v>
      </c>
    </row>
    <row r="82" spans="1:28" x14ac:dyDescent="0.25">
      <c r="A82" s="829"/>
      <c r="B82" s="369"/>
      <c r="C82" s="370">
        <v>1800</v>
      </c>
      <c r="D82" s="367">
        <f>'Proy. ventas'!E77</f>
        <v>82.5</v>
      </c>
      <c r="E82" s="292">
        <f t="shared" si="17"/>
        <v>148500</v>
      </c>
      <c r="F82" s="364">
        <f>'Proy. ventas'!G77</f>
        <v>75</v>
      </c>
      <c r="G82" s="292">
        <f t="shared" si="18"/>
        <v>135000</v>
      </c>
      <c r="H82" s="364">
        <f>'Proy. ventas'!I77</f>
        <v>52.500000000000007</v>
      </c>
      <c r="I82" s="292">
        <f t="shared" si="19"/>
        <v>94500.000000000015</v>
      </c>
      <c r="J82" s="364">
        <f>'Proy. ventas'!K77</f>
        <v>45</v>
      </c>
      <c r="K82" s="292">
        <f t="shared" si="20"/>
        <v>81000</v>
      </c>
      <c r="L82" s="364">
        <f>'Proy. ventas'!M77</f>
        <v>45</v>
      </c>
      <c r="M82" s="292">
        <f t="shared" si="21"/>
        <v>81000</v>
      </c>
      <c r="N82" s="364">
        <f>'Proy. ventas'!O77</f>
        <v>30</v>
      </c>
      <c r="O82" s="292">
        <f t="shared" si="22"/>
        <v>54000</v>
      </c>
      <c r="P82" s="364">
        <f>'Proy. ventas'!Q77</f>
        <v>67.5</v>
      </c>
      <c r="Q82" s="292">
        <f t="shared" si="23"/>
        <v>121500</v>
      </c>
      <c r="R82" s="364">
        <f>'Proy. ventas'!S77</f>
        <v>37.5</v>
      </c>
      <c r="S82" s="292">
        <f t="shared" si="24"/>
        <v>67500</v>
      </c>
      <c r="T82" s="364">
        <f>'Proy. ventas'!U77</f>
        <v>67.5</v>
      </c>
      <c r="U82" s="292">
        <f t="shared" si="25"/>
        <v>121500</v>
      </c>
      <c r="V82" s="364">
        <f>'Proy. ventas'!W77</f>
        <v>75</v>
      </c>
      <c r="W82" s="292">
        <f t="shared" si="26"/>
        <v>135000</v>
      </c>
      <c r="X82" s="364">
        <f>'Proy. ventas'!Y77</f>
        <v>82.5</v>
      </c>
      <c r="Y82" s="292">
        <f t="shared" si="27"/>
        <v>148500</v>
      </c>
      <c r="Z82" s="364">
        <f>'Proy. ventas'!AA77</f>
        <v>90</v>
      </c>
      <c r="AA82" s="294">
        <f t="shared" si="28"/>
        <v>162000</v>
      </c>
      <c r="AB82" s="400">
        <f t="shared" si="29"/>
        <v>1350000</v>
      </c>
    </row>
    <row r="83" spans="1:28" x14ac:dyDescent="0.25">
      <c r="A83" s="829"/>
      <c r="B83" s="369"/>
      <c r="C83" s="370">
        <v>180</v>
      </c>
      <c r="D83" s="367">
        <f>'Proy. ventas'!E78</f>
        <v>176</v>
      </c>
      <c r="E83" s="292">
        <f t="shared" si="17"/>
        <v>31680</v>
      </c>
      <c r="F83" s="364">
        <f>'Proy. ventas'!G78</f>
        <v>160</v>
      </c>
      <c r="G83" s="292">
        <f t="shared" si="18"/>
        <v>28800</v>
      </c>
      <c r="H83" s="364">
        <f>'Proy. ventas'!I78</f>
        <v>112.00000000000001</v>
      </c>
      <c r="I83" s="292">
        <f t="shared" si="19"/>
        <v>20160.000000000004</v>
      </c>
      <c r="J83" s="364">
        <f>'Proy. ventas'!K78</f>
        <v>96</v>
      </c>
      <c r="K83" s="292">
        <f t="shared" si="20"/>
        <v>17280</v>
      </c>
      <c r="L83" s="364">
        <f>'Proy. ventas'!M78</f>
        <v>96</v>
      </c>
      <c r="M83" s="292">
        <f t="shared" si="21"/>
        <v>17280</v>
      </c>
      <c r="N83" s="364">
        <f>'Proy. ventas'!O78</f>
        <v>64</v>
      </c>
      <c r="O83" s="292">
        <f t="shared" si="22"/>
        <v>11520</v>
      </c>
      <c r="P83" s="364">
        <f>'Proy. ventas'!Q78</f>
        <v>144</v>
      </c>
      <c r="Q83" s="292">
        <f t="shared" si="23"/>
        <v>25920</v>
      </c>
      <c r="R83" s="364">
        <f>'Proy. ventas'!S78</f>
        <v>80</v>
      </c>
      <c r="S83" s="292">
        <f t="shared" si="24"/>
        <v>14400</v>
      </c>
      <c r="T83" s="364">
        <f>'Proy. ventas'!U78</f>
        <v>144</v>
      </c>
      <c r="U83" s="292">
        <f t="shared" si="25"/>
        <v>25920</v>
      </c>
      <c r="V83" s="364">
        <f>'Proy. ventas'!W78</f>
        <v>160</v>
      </c>
      <c r="W83" s="292">
        <f t="shared" si="26"/>
        <v>28800</v>
      </c>
      <c r="X83" s="364">
        <f>'Proy. ventas'!Y78</f>
        <v>176</v>
      </c>
      <c r="Y83" s="292">
        <f t="shared" si="27"/>
        <v>31680</v>
      </c>
      <c r="Z83" s="364">
        <f>'Proy. ventas'!AA78</f>
        <v>192</v>
      </c>
      <c r="AA83" s="294">
        <f t="shared" si="28"/>
        <v>34560</v>
      </c>
      <c r="AB83" s="400">
        <f t="shared" si="29"/>
        <v>288000</v>
      </c>
    </row>
    <row r="84" spans="1:28" x14ac:dyDescent="0.25">
      <c r="A84" s="829"/>
      <c r="B84" s="369"/>
      <c r="C84" s="370">
        <v>1250</v>
      </c>
      <c r="D84" s="367">
        <f>'Proy. ventas'!E79</f>
        <v>99</v>
      </c>
      <c r="E84" s="292">
        <f t="shared" si="17"/>
        <v>123750</v>
      </c>
      <c r="F84" s="364">
        <f>'Proy. ventas'!G79</f>
        <v>90</v>
      </c>
      <c r="G84" s="292">
        <f t="shared" si="18"/>
        <v>112500</v>
      </c>
      <c r="H84" s="364">
        <f>'Proy. ventas'!I79</f>
        <v>63.000000000000007</v>
      </c>
      <c r="I84" s="292">
        <f t="shared" si="19"/>
        <v>78750.000000000015</v>
      </c>
      <c r="J84" s="364">
        <f>'Proy. ventas'!K79</f>
        <v>54</v>
      </c>
      <c r="K84" s="292">
        <f t="shared" si="20"/>
        <v>67500</v>
      </c>
      <c r="L84" s="364">
        <f>'Proy. ventas'!M79</f>
        <v>54</v>
      </c>
      <c r="M84" s="292">
        <f t="shared" si="21"/>
        <v>67500</v>
      </c>
      <c r="N84" s="364">
        <f>'Proy. ventas'!O79</f>
        <v>36</v>
      </c>
      <c r="O84" s="292">
        <f t="shared" si="22"/>
        <v>45000</v>
      </c>
      <c r="P84" s="364">
        <f>'Proy. ventas'!Q79</f>
        <v>81</v>
      </c>
      <c r="Q84" s="292">
        <f t="shared" si="23"/>
        <v>101250</v>
      </c>
      <c r="R84" s="364">
        <f>'Proy. ventas'!S79</f>
        <v>45</v>
      </c>
      <c r="S84" s="292">
        <f t="shared" si="24"/>
        <v>56250</v>
      </c>
      <c r="T84" s="364">
        <f>'Proy. ventas'!U79</f>
        <v>81</v>
      </c>
      <c r="U84" s="292">
        <f t="shared" si="25"/>
        <v>101250</v>
      </c>
      <c r="V84" s="364">
        <f>'Proy. ventas'!W79</f>
        <v>90</v>
      </c>
      <c r="W84" s="292">
        <f t="shared" si="26"/>
        <v>112500</v>
      </c>
      <c r="X84" s="364">
        <f>'Proy. ventas'!Y79</f>
        <v>99</v>
      </c>
      <c r="Y84" s="292">
        <f t="shared" si="27"/>
        <v>123750</v>
      </c>
      <c r="Z84" s="364">
        <f>'Proy. ventas'!AA79</f>
        <v>108</v>
      </c>
      <c r="AA84" s="294">
        <f t="shared" si="28"/>
        <v>135000</v>
      </c>
      <c r="AB84" s="400">
        <f t="shared" si="29"/>
        <v>1125000</v>
      </c>
    </row>
    <row r="85" spans="1:28" x14ac:dyDescent="0.25">
      <c r="A85" s="829"/>
      <c r="B85" s="369"/>
      <c r="C85" s="370">
        <v>350</v>
      </c>
      <c r="D85" s="367">
        <f>'Proy. ventas'!E80</f>
        <v>80.3</v>
      </c>
      <c r="E85" s="292">
        <f t="shared" si="17"/>
        <v>28105</v>
      </c>
      <c r="F85" s="364">
        <f>'Proy. ventas'!G80</f>
        <v>73</v>
      </c>
      <c r="G85" s="292">
        <f t="shared" si="18"/>
        <v>25550</v>
      </c>
      <c r="H85" s="364">
        <f>'Proy. ventas'!I80</f>
        <v>51.1</v>
      </c>
      <c r="I85" s="292">
        <f t="shared" si="19"/>
        <v>17885</v>
      </c>
      <c r="J85" s="364">
        <f>'Proy. ventas'!K80</f>
        <v>43.8</v>
      </c>
      <c r="K85" s="292">
        <f t="shared" si="20"/>
        <v>15329.999999999998</v>
      </c>
      <c r="L85" s="364">
        <f>'Proy. ventas'!M80</f>
        <v>43.8</v>
      </c>
      <c r="M85" s="292">
        <f t="shared" si="21"/>
        <v>15329.999999999998</v>
      </c>
      <c r="N85" s="364">
        <f>'Proy. ventas'!O80</f>
        <v>29.2</v>
      </c>
      <c r="O85" s="292">
        <f t="shared" si="22"/>
        <v>10220</v>
      </c>
      <c r="P85" s="364">
        <f>'Proy. ventas'!Q80</f>
        <v>65.7</v>
      </c>
      <c r="Q85" s="292">
        <f t="shared" si="23"/>
        <v>22995</v>
      </c>
      <c r="R85" s="364">
        <f>'Proy. ventas'!S80</f>
        <v>36.5</v>
      </c>
      <c r="S85" s="292">
        <f t="shared" si="24"/>
        <v>12775</v>
      </c>
      <c r="T85" s="364">
        <f>'Proy. ventas'!U80</f>
        <v>65.7</v>
      </c>
      <c r="U85" s="292">
        <f t="shared" si="25"/>
        <v>22995</v>
      </c>
      <c r="V85" s="364">
        <f>'Proy. ventas'!W80</f>
        <v>73</v>
      </c>
      <c r="W85" s="292">
        <f t="shared" si="26"/>
        <v>25550</v>
      </c>
      <c r="X85" s="364">
        <f>'Proy. ventas'!Y80</f>
        <v>80.3</v>
      </c>
      <c r="Y85" s="292">
        <f t="shared" si="27"/>
        <v>28105</v>
      </c>
      <c r="Z85" s="364">
        <f>'Proy. ventas'!AA80</f>
        <v>87.6</v>
      </c>
      <c r="AA85" s="294">
        <f t="shared" si="28"/>
        <v>30659.999999999996</v>
      </c>
      <c r="AB85" s="400">
        <f t="shared" si="29"/>
        <v>255500</v>
      </c>
    </row>
    <row r="86" spans="1:28" x14ac:dyDescent="0.25">
      <c r="A86" s="829"/>
      <c r="B86" s="369"/>
      <c r="C86" s="370">
        <v>950</v>
      </c>
      <c r="D86" s="367">
        <f>'Proy. ventas'!E81</f>
        <v>80.3</v>
      </c>
      <c r="E86" s="292">
        <f t="shared" si="17"/>
        <v>76285</v>
      </c>
      <c r="F86" s="364">
        <f>'Proy. ventas'!G81</f>
        <v>73</v>
      </c>
      <c r="G86" s="292">
        <f t="shared" si="18"/>
        <v>69350</v>
      </c>
      <c r="H86" s="364">
        <f>'Proy. ventas'!I81</f>
        <v>51.1</v>
      </c>
      <c r="I86" s="292">
        <f t="shared" si="19"/>
        <v>48545</v>
      </c>
      <c r="J86" s="364">
        <f>'Proy. ventas'!K81</f>
        <v>43.8</v>
      </c>
      <c r="K86" s="292">
        <f t="shared" si="20"/>
        <v>41610</v>
      </c>
      <c r="L86" s="364">
        <f>'Proy. ventas'!M81</f>
        <v>43.8</v>
      </c>
      <c r="M86" s="292">
        <f t="shared" si="21"/>
        <v>41610</v>
      </c>
      <c r="N86" s="364">
        <f>'Proy. ventas'!O81</f>
        <v>29.2</v>
      </c>
      <c r="O86" s="292">
        <f t="shared" si="22"/>
        <v>27740</v>
      </c>
      <c r="P86" s="364">
        <f>'Proy. ventas'!Q81</f>
        <v>65.7</v>
      </c>
      <c r="Q86" s="292">
        <f t="shared" si="23"/>
        <v>62415</v>
      </c>
      <c r="R86" s="364">
        <f>'Proy. ventas'!S81</f>
        <v>36.5</v>
      </c>
      <c r="S86" s="292">
        <f t="shared" si="24"/>
        <v>34675</v>
      </c>
      <c r="T86" s="364">
        <f>'Proy. ventas'!U81</f>
        <v>65.7</v>
      </c>
      <c r="U86" s="292">
        <f t="shared" si="25"/>
        <v>62415</v>
      </c>
      <c r="V86" s="364">
        <f>'Proy. ventas'!W81</f>
        <v>73</v>
      </c>
      <c r="W86" s="292">
        <f t="shared" si="26"/>
        <v>69350</v>
      </c>
      <c r="X86" s="364">
        <f>'Proy. ventas'!Y81</f>
        <v>80.3</v>
      </c>
      <c r="Y86" s="292">
        <f t="shared" si="27"/>
        <v>76285</v>
      </c>
      <c r="Z86" s="364">
        <f>'Proy. ventas'!AA81</f>
        <v>87.6</v>
      </c>
      <c r="AA86" s="294">
        <f t="shared" si="28"/>
        <v>83220</v>
      </c>
      <c r="AB86" s="400">
        <f t="shared" si="29"/>
        <v>693500</v>
      </c>
    </row>
    <row r="87" spans="1:28" x14ac:dyDescent="0.25">
      <c r="A87" s="829"/>
      <c r="B87" s="369"/>
      <c r="C87" s="370">
        <v>200</v>
      </c>
      <c r="D87" s="367">
        <f>'Proy. ventas'!E82</f>
        <v>81.95</v>
      </c>
      <c r="E87" s="292">
        <f t="shared" si="17"/>
        <v>16390</v>
      </c>
      <c r="F87" s="364">
        <f>'Proy. ventas'!G82</f>
        <v>74.5</v>
      </c>
      <c r="G87" s="292">
        <f t="shared" si="18"/>
        <v>14900</v>
      </c>
      <c r="H87" s="364">
        <f>'Proy. ventas'!I82</f>
        <v>52.150000000000006</v>
      </c>
      <c r="I87" s="292">
        <f t="shared" si="19"/>
        <v>10430.000000000002</v>
      </c>
      <c r="J87" s="364">
        <f>'Proy. ventas'!K82</f>
        <v>44.699999999999996</v>
      </c>
      <c r="K87" s="292">
        <f t="shared" si="20"/>
        <v>8940</v>
      </c>
      <c r="L87" s="364">
        <f>'Proy. ventas'!M82</f>
        <v>44.699999999999996</v>
      </c>
      <c r="M87" s="292">
        <f t="shared" si="21"/>
        <v>8940</v>
      </c>
      <c r="N87" s="364">
        <f>'Proy. ventas'!O82</f>
        <v>29.8</v>
      </c>
      <c r="O87" s="292">
        <f t="shared" si="22"/>
        <v>5960</v>
      </c>
      <c r="P87" s="364">
        <f>'Proy. ventas'!Q82</f>
        <v>67.05</v>
      </c>
      <c r="Q87" s="292">
        <f t="shared" si="23"/>
        <v>13410</v>
      </c>
      <c r="R87" s="364">
        <f>'Proy. ventas'!S82</f>
        <v>37.25</v>
      </c>
      <c r="S87" s="292">
        <f t="shared" si="24"/>
        <v>7450</v>
      </c>
      <c r="T87" s="364">
        <f>'Proy. ventas'!U82</f>
        <v>67.05</v>
      </c>
      <c r="U87" s="292">
        <f t="shared" si="25"/>
        <v>13410</v>
      </c>
      <c r="V87" s="364">
        <f>'Proy. ventas'!W82</f>
        <v>74.5</v>
      </c>
      <c r="W87" s="292">
        <f t="shared" si="26"/>
        <v>14900</v>
      </c>
      <c r="X87" s="364">
        <f>'Proy. ventas'!Y82</f>
        <v>81.95</v>
      </c>
      <c r="Y87" s="292">
        <f t="shared" si="27"/>
        <v>16390</v>
      </c>
      <c r="Z87" s="364">
        <f>'Proy. ventas'!AA82</f>
        <v>89.399999999999991</v>
      </c>
      <c r="AA87" s="294">
        <f t="shared" si="28"/>
        <v>17880</v>
      </c>
      <c r="AB87" s="400">
        <f t="shared" si="29"/>
        <v>149000</v>
      </c>
    </row>
    <row r="88" spans="1:28" ht="15.75" thickBot="1" x14ac:dyDescent="0.3">
      <c r="A88" s="830"/>
      <c r="B88" s="380"/>
      <c r="C88" s="381">
        <v>1150</v>
      </c>
      <c r="D88" s="382">
        <f>'Proy. ventas'!E83</f>
        <v>170.5</v>
      </c>
      <c r="E88" s="315">
        <f t="shared" si="17"/>
        <v>196075</v>
      </c>
      <c r="F88" s="407">
        <f>'Proy. ventas'!G83</f>
        <v>155</v>
      </c>
      <c r="G88" s="315">
        <f t="shared" si="18"/>
        <v>178250</v>
      </c>
      <c r="H88" s="407">
        <f>'Proy. ventas'!I83</f>
        <v>108.50000000000001</v>
      </c>
      <c r="I88" s="315">
        <f t="shared" si="19"/>
        <v>124775.00000000001</v>
      </c>
      <c r="J88" s="407">
        <f>'Proy. ventas'!K83</f>
        <v>93</v>
      </c>
      <c r="K88" s="315">
        <f t="shared" si="20"/>
        <v>106950</v>
      </c>
      <c r="L88" s="407">
        <f>'Proy. ventas'!M83</f>
        <v>93</v>
      </c>
      <c r="M88" s="315">
        <f t="shared" si="21"/>
        <v>106950</v>
      </c>
      <c r="N88" s="407">
        <f>'Proy. ventas'!O83</f>
        <v>62</v>
      </c>
      <c r="O88" s="315">
        <f t="shared" si="22"/>
        <v>71300</v>
      </c>
      <c r="P88" s="407">
        <f>'Proy. ventas'!Q83</f>
        <v>139.5</v>
      </c>
      <c r="Q88" s="315">
        <f t="shared" si="23"/>
        <v>160425</v>
      </c>
      <c r="R88" s="407">
        <f>'Proy. ventas'!S83</f>
        <v>77.5</v>
      </c>
      <c r="S88" s="315">
        <f t="shared" si="24"/>
        <v>89125</v>
      </c>
      <c r="T88" s="407">
        <f>'Proy. ventas'!U83</f>
        <v>139.5</v>
      </c>
      <c r="U88" s="315">
        <f t="shared" si="25"/>
        <v>160425</v>
      </c>
      <c r="V88" s="407">
        <f>'Proy. ventas'!W83</f>
        <v>155</v>
      </c>
      <c r="W88" s="315">
        <f t="shared" si="26"/>
        <v>178250</v>
      </c>
      <c r="X88" s="407">
        <f>'Proy. ventas'!Y83</f>
        <v>170.5</v>
      </c>
      <c r="Y88" s="315">
        <f t="shared" si="27"/>
        <v>196075</v>
      </c>
      <c r="Z88" s="407">
        <f>'Proy. ventas'!AA83</f>
        <v>186</v>
      </c>
      <c r="AA88" s="316">
        <f t="shared" si="28"/>
        <v>213900</v>
      </c>
      <c r="AB88" s="401">
        <f t="shared" si="29"/>
        <v>1782500</v>
      </c>
    </row>
    <row r="89" spans="1:28" ht="30.75" thickBot="1" x14ac:dyDescent="0.3">
      <c r="A89" s="416" t="s">
        <v>189</v>
      </c>
      <c r="B89" s="417"/>
      <c r="C89" s="418">
        <v>300</v>
      </c>
      <c r="D89" s="412">
        <v>50</v>
      </c>
      <c r="E89" s="392">
        <f t="shared" si="17"/>
        <v>15000</v>
      </c>
      <c r="F89" s="413">
        <v>20</v>
      </c>
      <c r="G89" s="392">
        <f t="shared" si="18"/>
        <v>6000</v>
      </c>
      <c r="H89" s="413">
        <v>10</v>
      </c>
      <c r="I89" s="392">
        <f t="shared" si="19"/>
        <v>3000</v>
      </c>
      <c r="J89" s="413">
        <v>5</v>
      </c>
      <c r="K89" s="392">
        <f t="shared" si="20"/>
        <v>1500</v>
      </c>
      <c r="L89" s="413">
        <v>0</v>
      </c>
      <c r="M89" s="392">
        <f t="shared" si="21"/>
        <v>0</v>
      </c>
      <c r="N89" s="413">
        <v>5</v>
      </c>
      <c r="O89" s="392">
        <f t="shared" si="22"/>
        <v>1500</v>
      </c>
      <c r="P89" s="413">
        <v>5</v>
      </c>
      <c r="Q89" s="392">
        <f t="shared" si="23"/>
        <v>1500</v>
      </c>
      <c r="R89" s="413">
        <v>0</v>
      </c>
      <c r="S89" s="392">
        <f t="shared" si="24"/>
        <v>0</v>
      </c>
      <c r="T89" s="413">
        <v>10</v>
      </c>
      <c r="U89" s="392">
        <f t="shared" si="25"/>
        <v>3000</v>
      </c>
      <c r="V89" s="413">
        <v>10</v>
      </c>
      <c r="W89" s="392">
        <f t="shared" si="26"/>
        <v>3000</v>
      </c>
      <c r="X89" s="413">
        <v>15</v>
      </c>
      <c r="Y89" s="392">
        <f t="shared" si="27"/>
        <v>4500</v>
      </c>
      <c r="Z89" s="413">
        <v>10</v>
      </c>
      <c r="AA89" s="414">
        <f t="shared" si="28"/>
        <v>3000</v>
      </c>
      <c r="AB89" s="415">
        <f t="shared" si="29"/>
        <v>42000</v>
      </c>
    </row>
    <row r="90" spans="1:28" x14ac:dyDescent="0.25">
      <c r="A90" s="823" t="s">
        <v>192</v>
      </c>
      <c r="B90" s="395"/>
      <c r="C90" s="368">
        <v>182000</v>
      </c>
      <c r="D90" s="366">
        <v>1</v>
      </c>
      <c r="E90" s="305">
        <f t="shared" si="17"/>
        <v>182000</v>
      </c>
      <c r="F90" s="365">
        <v>1</v>
      </c>
      <c r="G90" s="305">
        <f t="shared" si="18"/>
        <v>182000</v>
      </c>
      <c r="H90" s="365">
        <v>0</v>
      </c>
      <c r="I90" s="305">
        <f t="shared" si="19"/>
        <v>0</v>
      </c>
      <c r="J90" s="365">
        <v>1</v>
      </c>
      <c r="K90" s="305">
        <f t="shared" si="20"/>
        <v>182000</v>
      </c>
      <c r="L90" s="365">
        <v>1</v>
      </c>
      <c r="M90" s="305">
        <f t="shared" si="21"/>
        <v>182000</v>
      </c>
      <c r="N90" s="365">
        <v>0</v>
      </c>
      <c r="O90" s="305">
        <f t="shared" si="22"/>
        <v>0</v>
      </c>
      <c r="P90" s="365">
        <v>0</v>
      </c>
      <c r="Q90" s="305">
        <f t="shared" si="23"/>
        <v>0</v>
      </c>
      <c r="R90" s="365">
        <v>0</v>
      </c>
      <c r="S90" s="305">
        <f t="shared" si="24"/>
        <v>0</v>
      </c>
      <c r="T90" s="365">
        <v>1</v>
      </c>
      <c r="U90" s="305">
        <f t="shared" si="25"/>
        <v>182000</v>
      </c>
      <c r="V90" s="365">
        <v>0</v>
      </c>
      <c r="W90" s="305">
        <f t="shared" si="26"/>
        <v>0</v>
      </c>
      <c r="X90" s="365">
        <v>0</v>
      </c>
      <c r="Y90" s="305">
        <f t="shared" si="27"/>
        <v>0</v>
      </c>
      <c r="Z90" s="365">
        <v>1</v>
      </c>
      <c r="AA90" s="306">
        <f t="shared" si="28"/>
        <v>182000</v>
      </c>
      <c r="AB90" s="403">
        <f t="shared" si="29"/>
        <v>1092000</v>
      </c>
    </row>
    <row r="91" spans="1:28" x14ac:dyDescent="0.25">
      <c r="A91" s="824"/>
      <c r="B91" s="396"/>
      <c r="C91" s="370">
        <v>130000</v>
      </c>
      <c r="D91" s="367">
        <v>1</v>
      </c>
      <c r="E91" s="292">
        <f t="shared" si="17"/>
        <v>130000</v>
      </c>
      <c r="F91" s="364">
        <v>0</v>
      </c>
      <c r="G91" s="292">
        <f t="shared" si="18"/>
        <v>0</v>
      </c>
      <c r="H91" s="364">
        <v>0</v>
      </c>
      <c r="I91" s="292">
        <f t="shared" si="19"/>
        <v>0</v>
      </c>
      <c r="J91" s="364">
        <v>0</v>
      </c>
      <c r="K91" s="292">
        <f t="shared" si="20"/>
        <v>0</v>
      </c>
      <c r="L91" s="364">
        <v>1</v>
      </c>
      <c r="M91" s="292">
        <f t="shared" si="21"/>
        <v>130000</v>
      </c>
      <c r="N91" s="364">
        <v>0</v>
      </c>
      <c r="O91" s="292">
        <f t="shared" si="22"/>
        <v>0</v>
      </c>
      <c r="P91" s="364">
        <v>0</v>
      </c>
      <c r="Q91" s="292">
        <f t="shared" si="23"/>
        <v>0</v>
      </c>
      <c r="R91" s="364">
        <v>0</v>
      </c>
      <c r="S91" s="292">
        <f t="shared" si="24"/>
        <v>0</v>
      </c>
      <c r="T91" s="364">
        <v>1</v>
      </c>
      <c r="U91" s="292">
        <f t="shared" si="25"/>
        <v>130000</v>
      </c>
      <c r="V91" s="364">
        <v>0</v>
      </c>
      <c r="W91" s="292">
        <f t="shared" si="26"/>
        <v>0</v>
      </c>
      <c r="X91" s="364">
        <v>0</v>
      </c>
      <c r="Y91" s="292">
        <f t="shared" si="27"/>
        <v>0</v>
      </c>
      <c r="Z91" s="364">
        <v>1</v>
      </c>
      <c r="AA91" s="294">
        <f t="shared" si="28"/>
        <v>130000</v>
      </c>
      <c r="AB91" s="400">
        <f t="shared" si="29"/>
        <v>520000</v>
      </c>
    </row>
    <row r="92" spans="1:28" x14ac:dyDescent="0.25">
      <c r="A92" s="824"/>
      <c r="B92" s="371"/>
      <c r="C92" s="370">
        <v>250000</v>
      </c>
      <c r="D92" s="367">
        <v>0</v>
      </c>
      <c r="E92" s="292">
        <f t="shared" si="17"/>
        <v>0</v>
      </c>
      <c r="F92" s="364">
        <v>0</v>
      </c>
      <c r="G92" s="292">
        <f t="shared" si="18"/>
        <v>0</v>
      </c>
      <c r="H92" s="364">
        <v>0</v>
      </c>
      <c r="I92" s="292">
        <f t="shared" si="19"/>
        <v>0</v>
      </c>
      <c r="J92" s="364">
        <v>0</v>
      </c>
      <c r="K92" s="292">
        <f t="shared" si="20"/>
        <v>0</v>
      </c>
      <c r="L92" s="364">
        <v>0</v>
      </c>
      <c r="M92" s="292">
        <f t="shared" si="21"/>
        <v>0</v>
      </c>
      <c r="N92" s="364">
        <v>0</v>
      </c>
      <c r="O92" s="292">
        <f t="shared" si="22"/>
        <v>0</v>
      </c>
      <c r="P92" s="364">
        <v>0</v>
      </c>
      <c r="Q92" s="292">
        <f t="shared" si="23"/>
        <v>0</v>
      </c>
      <c r="R92" s="364">
        <v>0</v>
      </c>
      <c r="S92" s="292">
        <f t="shared" si="24"/>
        <v>0</v>
      </c>
      <c r="T92" s="364">
        <v>1</v>
      </c>
      <c r="U92" s="292">
        <f t="shared" si="25"/>
        <v>250000</v>
      </c>
      <c r="V92" s="364">
        <v>0</v>
      </c>
      <c r="W92" s="292">
        <f t="shared" si="26"/>
        <v>0</v>
      </c>
      <c r="X92" s="364">
        <v>0</v>
      </c>
      <c r="Y92" s="292">
        <f t="shared" si="27"/>
        <v>0</v>
      </c>
      <c r="Z92" s="364">
        <v>0</v>
      </c>
      <c r="AA92" s="294">
        <f t="shared" si="28"/>
        <v>0</v>
      </c>
      <c r="AB92" s="400">
        <f t="shared" si="29"/>
        <v>250000</v>
      </c>
    </row>
    <row r="93" spans="1:28" ht="15.75" thickBot="1" x14ac:dyDescent="0.3">
      <c r="A93" s="825"/>
      <c r="B93" s="387"/>
      <c r="C93" s="388">
        <v>0</v>
      </c>
      <c r="D93" s="389">
        <v>0</v>
      </c>
      <c r="E93" s="315">
        <v>0</v>
      </c>
      <c r="F93" s="409">
        <v>0</v>
      </c>
      <c r="G93" s="315">
        <v>0</v>
      </c>
      <c r="H93" s="409">
        <v>0</v>
      </c>
      <c r="I93" s="315">
        <v>0</v>
      </c>
      <c r="J93" s="409">
        <v>0</v>
      </c>
      <c r="K93" s="315">
        <v>0</v>
      </c>
      <c r="L93" s="409">
        <v>0</v>
      </c>
      <c r="M93" s="315">
        <f>($C$53*L77 + $C$54*L78+$C$55*L79)*0.15</f>
        <v>75946.05</v>
      </c>
      <c r="N93" s="409">
        <v>0</v>
      </c>
      <c r="O93" s="315">
        <f>($C$53*N77 + $C$54*N78+$C$55*N79)*0.15</f>
        <v>50630.7</v>
      </c>
      <c r="P93" s="409">
        <v>0</v>
      </c>
      <c r="Q93" s="315">
        <f>($C$53*P77 + $C$54*P78+$C$55*P79)*0.15</f>
        <v>113919.075</v>
      </c>
      <c r="R93" s="409">
        <v>0</v>
      </c>
      <c r="S93" s="315">
        <v>0</v>
      </c>
      <c r="T93" s="409">
        <v>0</v>
      </c>
      <c r="U93" s="315">
        <v>0</v>
      </c>
      <c r="V93" s="409">
        <v>0</v>
      </c>
      <c r="W93" s="315">
        <v>0</v>
      </c>
      <c r="X93" s="409">
        <v>0</v>
      </c>
      <c r="Y93" s="315">
        <v>0</v>
      </c>
      <c r="Z93" s="409">
        <v>0</v>
      </c>
      <c r="AA93" s="316">
        <v>0</v>
      </c>
      <c r="AB93" s="401">
        <f>E93+G93+I93+K93+M93+O93+Q93+S93+U93+W93+Y93+AA93</f>
        <v>240495.82500000001</v>
      </c>
    </row>
    <row r="94" spans="1:28" ht="15.75" thickBot="1" x14ac:dyDescent="0.3">
      <c r="A94" s="383" t="s">
        <v>190</v>
      </c>
      <c r="B94" s="384"/>
      <c r="C94" s="393">
        <v>0</v>
      </c>
      <c r="D94" s="394">
        <v>0</v>
      </c>
      <c r="E94" s="323">
        <f>(D79+D78+D77)*75</f>
        <v>18892.5</v>
      </c>
      <c r="F94" s="410">
        <v>0</v>
      </c>
      <c r="G94" s="323">
        <f>(F79+F78+F77)*75</f>
        <v>17175</v>
      </c>
      <c r="H94" s="410">
        <v>0</v>
      </c>
      <c r="I94" s="323">
        <f>(H79+H78+H77)*75</f>
        <v>12022.5</v>
      </c>
      <c r="J94" s="410">
        <v>0</v>
      </c>
      <c r="K94" s="323">
        <f>(J79+J78+J77)*75</f>
        <v>10304.999999999998</v>
      </c>
      <c r="L94" s="410">
        <v>0</v>
      </c>
      <c r="M94" s="323">
        <f>(L79+L78+L77)*75</f>
        <v>10304.999999999998</v>
      </c>
      <c r="N94" s="410">
        <v>0</v>
      </c>
      <c r="O94" s="323">
        <f>(N79+N78+N77)*75</f>
        <v>6870</v>
      </c>
      <c r="P94" s="410">
        <v>0</v>
      </c>
      <c r="Q94" s="323">
        <f>(P79+P78+P77)*75</f>
        <v>15457.5</v>
      </c>
      <c r="R94" s="410">
        <v>0</v>
      </c>
      <c r="S94" s="323">
        <f>(R79+R78+R77)*75</f>
        <v>8587.5</v>
      </c>
      <c r="T94" s="410">
        <v>0</v>
      </c>
      <c r="U94" s="323">
        <f>(T79+T78+T77)*75</f>
        <v>15457.5</v>
      </c>
      <c r="V94" s="410">
        <v>0</v>
      </c>
      <c r="W94" s="323">
        <f>(V79+V78+V77)*75</f>
        <v>17175</v>
      </c>
      <c r="X94" s="410">
        <v>0</v>
      </c>
      <c r="Y94" s="323">
        <f>(X79+X78+X77)*75</f>
        <v>18892.5</v>
      </c>
      <c r="Z94" s="410">
        <v>0</v>
      </c>
      <c r="AA94" s="323">
        <f>(Z79+Z78+Z77)*75</f>
        <v>20609.999999999996</v>
      </c>
      <c r="AB94" s="401">
        <f>E94+G94+I94+K94+M94+O94+Q94+S94+U94+W94+Y94+AA94</f>
        <v>171750</v>
      </c>
    </row>
    <row r="95" spans="1:28" ht="15.75" thickBot="1" x14ac:dyDescent="0.3">
      <c r="B95" s="398" t="s">
        <v>191</v>
      </c>
      <c r="C95" s="390"/>
      <c r="D95" s="391"/>
      <c r="E95" s="405">
        <f>SUM(E77:E94)</f>
        <v>2037467</v>
      </c>
      <c r="F95" s="411"/>
      <c r="G95" s="405">
        <f>SUM(G77:G94)</f>
        <v>1742970</v>
      </c>
      <c r="H95" s="411"/>
      <c r="I95" s="405">
        <f>SUM(I77:I94)</f>
        <v>1091479.0000000002</v>
      </c>
      <c r="J95" s="411"/>
      <c r="K95" s="405">
        <f>SUM(K77:K94)</f>
        <v>1116482</v>
      </c>
      <c r="L95" s="411"/>
      <c r="M95" s="405">
        <f>SUM(M77:M94)</f>
        <v>1320928.05</v>
      </c>
      <c r="N95" s="391"/>
      <c r="O95" s="405">
        <f>SUM(O77:O94)</f>
        <v>674118.7</v>
      </c>
      <c r="P95" s="411"/>
      <c r="Q95" s="405">
        <f>SUM(Q77:Q94)</f>
        <v>1514892.075</v>
      </c>
      <c r="R95" s="411"/>
      <c r="S95" s="405">
        <f>SUM(S77:S94)</f>
        <v>777485</v>
      </c>
      <c r="T95" s="411"/>
      <c r="U95" s="405">
        <f>SUM(U77:U94)</f>
        <v>1964473</v>
      </c>
      <c r="V95" s="411"/>
      <c r="W95" s="405">
        <f>SUM(W77:W94)</f>
        <v>1557970</v>
      </c>
      <c r="X95" s="411"/>
      <c r="Y95" s="405">
        <f>SUM(Y77:Y94)</f>
        <v>1714967</v>
      </c>
      <c r="Z95" s="411"/>
      <c r="AA95" s="404">
        <f>SUM(AA77:AA94)</f>
        <v>2180964</v>
      </c>
      <c r="AB95" s="397">
        <f>SUM(E95:AA95)</f>
        <v>17694195.824999999</v>
      </c>
    </row>
    <row r="97" spans="1:28" ht="15.75" thickBot="1" x14ac:dyDescent="0.3"/>
    <row r="98" spans="1:28" ht="27" thickBot="1" x14ac:dyDescent="0.45">
      <c r="B98" s="669" t="s">
        <v>194</v>
      </c>
      <c r="C98" s="670"/>
      <c r="D98" s="670"/>
      <c r="E98" s="670"/>
      <c r="F98" s="670"/>
      <c r="G98" s="670"/>
      <c r="H98" s="670"/>
      <c r="I98" s="670"/>
      <c r="J98" s="670"/>
      <c r="K98" s="670"/>
      <c r="L98" s="670"/>
      <c r="M98" s="670"/>
      <c r="N98" s="670"/>
      <c r="O98" s="670"/>
      <c r="P98" s="670"/>
      <c r="Q98" s="670"/>
      <c r="R98" s="670"/>
      <c r="S98" s="670"/>
      <c r="T98" s="670"/>
      <c r="U98" s="670"/>
      <c r="V98" s="670"/>
      <c r="W98" s="670"/>
      <c r="X98" s="670"/>
      <c r="Y98" s="670"/>
      <c r="Z98" s="670"/>
      <c r="AA98" s="670"/>
      <c r="AB98" s="671"/>
    </row>
    <row r="99" spans="1:28" x14ac:dyDescent="0.25">
      <c r="B99" s="832" t="s">
        <v>64</v>
      </c>
      <c r="C99" s="833"/>
      <c r="D99" s="831" t="s">
        <v>40</v>
      </c>
      <c r="E99" s="827"/>
      <c r="F99" s="826" t="s">
        <v>41</v>
      </c>
      <c r="G99" s="827"/>
      <c r="H99" s="826" t="s">
        <v>42</v>
      </c>
      <c r="I99" s="827"/>
      <c r="J99" s="826" t="s">
        <v>43</v>
      </c>
      <c r="K99" s="827"/>
      <c r="L99" s="826" t="s">
        <v>44</v>
      </c>
      <c r="M99" s="827"/>
      <c r="N99" s="826" t="s">
        <v>45</v>
      </c>
      <c r="O99" s="827"/>
      <c r="P99" s="826" t="s">
        <v>46</v>
      </c>
      <c r="Q99" s="827"/>
      <c r="R99" s="826" t="s">
        <v>47</v>
      </c>
      <c r="S99" s="827"/>
      <c r="T99" s="826" t="s">
        <v>48</v>
      </c>
      <c r="U99" s="827"/>
      <c r="V99" s="826" t="s">
        <v>49</v>
      </c>
      <c r="W99" s="827"/>
      <c r="X99" s="826" t="s">
        <v>50</v>
      </c>
      <c r="Y99" s="827"/>
      <c r="Z99" s="826" t="s">
        <v>51</v>
      </c>
      <c r="AA99" s="831"/>
      <c r="AB99" s="834" t="s">
        <v>19</v>
      </c>
    </row>
    <row r="100" spans="1:28" ht="15.75" thickBot="1" x14ac:dyDescent="0.3">
      <c r="B100" s="372" t="s">
        <v>122</v>
      </c>
      <c r="C100" s="373" t="s">
        <v>175</v>
      </c>
      <c r="D100" s="374" t="s">
        <v>60</v>
      </c>
      <c r="E100" s="375" t="s">
        <v>107</v>
      </c>
      <c r="F100" s="375" t="s">
        <v>60</v>
      </c>
      <c r="G100" s="375" t="s">
        <v>107</v>
      </c>
      <c r="H100" s="375" t="s">
        <v>60</v>
      </c>
      <c r="I100" s="375" t="s">
        <v>107</v>
      </c>
      <c r="J100" s="375" t="s">
        <v>60</v>
      </c>
      <c r="K100" s="375" t="s">
        <v>107</v>
      </c>
      <c r="L100" s="375" t="s">
        <v>60</v>
      </c>
      <c r="M100" s="375" t="s">
        <v>107</v>
      </c>
      <c r="N100" s="375" t="s">
        <v>60</v>
      </c>
      <c r="O100" s="375" t="s">
        <v>107</v>
      </c>
      <c r="P100" s="375" t="s">
        <v>60</v>
      </c>
      <c r="Q100" s="375" t="s">
        <v>107</v>
      </c>
      <c r="R100" s="375" t="s">
        <v>60</v>
      </c>
      <c r="S100" s="375" t="s">
        <v>107</v>
      </c>
      <c r="T100" s="375" t="s">
        <v>60</v>
      </c>
      <c r="U100" s="375" t="s">
        <v>107</v>
      </c>
      <c r="V100" s="375" t="s">
        <v>60</v>
      </c>
      <c r="W100" s="375" t="s">
        <v>107</v>
      </c>
      <c r="X100" s="375" t="s">
        <v>60</v>
      </c>
      <c r="Y100" s="375" t="s">
        <v>107</v>
      </c>
      <c r="Z100" s="375" t="s">
        <v>60</v>
      </c>
      <c r="AA100" s="376" t="s">
        <v>107</v>
      </c>
      <c r="AB100" s="835"/>
    </row>
    <row r="101" spans="1:28" x14ac:dyDescent="0.25">
      <c r="A101" s="828" t="s">
        <v>187</v>
      </c>
      <c r="B101" s="377"/>
      <c r="C101" s="378">
        <f>$E$20</f>
        <v>1360</v>
      </c>
      <c r="D101" s="379">
        <f>'Proy. ventas'!E134</f>
        <v>203.5</v>
      </c>
      <c r="E101" s="311">
        <f t="shared" ref="E101:E116" si="30">D101*C101</f>
        <v>276760</v>
      </c>
      <c r="F101" s="406">
        <f>'Proy. ventas'!G134</f>
        <v>166.5</v>
      </c>
      <c r="G101" s="311">
        <f t="shared" ref="G101:G116" si="31">F101*C101</f>
        <v>226440</v>
      </c>
      <c r="H101" s="406">
        <f>'Proy. ventas'!I134</f>
        <v>148</v>
      </c>
      <c r="I101" s="311">
        <f t="shared" ref="I101:I116" si="32">H101*C101</f>
        <v>201280</v>
      </c>
      <c r="J101" s="406">
        <f>'Proy. ventas'!K134</f>
        <v>111</v>
      </c>
      <c r="K101" s="311">
        <f t="shared" ref="K101:K116" si="33">J101*C101</f>
        <v>150960</v>
      </c>
      <c r="L101" s="406">
        <f>'Proy. ventas'!M134</f>
        <v>111</v>
      </c>
      <c r="M101" s="311">
        <f t="shared" ref="M101:M116" si="34">L101*C101</f>
        <v>150960</v>
      </c>
      <c r="N101" s="406">
        <f>'Proy. ventas'!O134</f>
        <v>92.5</v>
      </c>
      <c r="O101" s="311">
        <f t="shared" ref="O101:O116" si="35">N101*C101</f>
        <v>125800</v>
      </c>
      <c r="P101" s="406">
        <f>'Proy. ventas'!Q134</f>
        <v>185</v>
      </c>
      <c r="Q101" s="311">
        <f t="shared" ref="Q101:Q116" si="36">P101*C101</f>
        <v>251600</v>
      </c>
      <c r="R101" s="406">
        <f>'Proy. ventas'!S134</f>
        <v>92.5</v>
      </c>
      <c r="S101" s="311">
        <f t="shared" ref="S101:S116" si="37">R101*C101</f>
        <v>125800</v>
      </c>
      <c r="T101" s="406">
        <f>'Proy. ventas'!U134</f>
        <v>148</v>
      </c>
      <c r="U101" s="311">
        <f t="shared" ref="U101:U116" si="38">T101*C101</f>
        <v>201280</v>
      </c>
      <c r="V101" s="406">
        <f>'Proy. ventas'!W134</f>
        <v>185</v>
      </c>
      <c r="W101" s="311">
        <f t="shared" ref="W101:W116" si="39">V101*C101</f>
        <v>251600</v>
      </c>
      <c r="X101" s="406">
        <f>'Proy. ventas'!Y134</f>
        <v>185</v>
      </c>
      <c r="Y101" s="311">
        <f t="shared" ref="Y101:Y116" si="40">X101*C101</f>
        <v>251600</v>
      </c>
      <c r="Z101" s="406">
        <f>'Proy. ventas'!AA134</f>
        <v>222</v>
      </c>
      <c r="AA101" s="312">
        <f t="shared" ref="AA101:AA116" si="41">Z101*C101</f>
        <v>301920</v>
      </c>
      <c r="AB101" s="399">
        <f>E101+G101+I101+K101+M101+O101+Q101+S101++U101+W101+Y101+AA101</f>
        <v>2516000</v>
      </c>
    </row>
    <row r="102" spans="1:28" x14ac:dyDescent="0.25">
      <c r="A102" s="829"/>
      <c r="B102" s="369"/>
      <c r="C102" s="370">
        <f>$E$33</f>
        <v>5705</v>
      </c>
      <c r="D102" s="367">
        <f>'Proy. ventas'!E135</f>
        <v>159.5</v>
      </c>
      <c r="E102" s="292">
        <f t="shared" si="30"/>
        <v>909947.5</v>
      </c>
      <c r="F102" s="364">
        <f>'Proy. ventas'!G135</f>
        <v>130.5</v>
      </c>
      <c r="G102" s="292">
        <f t="shared" si="31"/>
        <v>744502.5</v>
      </c>
      <c r="H102" s="364">
        <f>'Proy. ventas'!I135</f>
        <v>116</v>
      </c>
      <c r="I102" s="292">
        <f t="shared" si="32"/>
        <v>661780</v>
      </c>
      <c r="J102" s="364">
        <f>'Proy. ventas'!K135</f>
        <v>87</v>
      </c>
      <c r="K102" s="292">
        <f t="shared" si="33"/>
        <v>496335</v>
      </c>
      <c r="L102" s="364">
        <f>'Proy. ventas'!M135</f>
        <v>87</v>
      </c>
      <c r="M102" s="292">
        <f t="shared" si="34"/>
        <v>496335</v>
      </c>
      <c r="N102" s="364">
        <f>'Proy. ventas'!O135</f>
        <v>72.5</v>
      </c>
      <c r="O102" s="292">
        <f t="shared" si="35"/>
        <v>413612.5</v>
      </c>
      <c r="P102" s="364">
        <f>'Proy. ventas'!Q135</f>
        <v>145</v>
      </c>
      <c r="Q102" s="292">
        <f t="shared" si="36"/>
        <v>827225</v>
      </c>
      <c r="R102" s="364">
        <f>'Proy. ventas'!S135</f>
        <v>72.5</v>
      </c>
      <c r="S102" s="292">
        <f t="shared" si="37"/>
        <v>413612.5</v>
      </c>
      <c r="T102" s="364">
        <f>'Proy. ventas'!U135</f>
        <v>116</v>
      </c>
      <c r="U102" s="292">
        <f t="shared" si="38"/>
        <v>661780</v>
      </c>
      <c r="V102" s="364">
        <f>'Proy. ventas'!W135</f>
        <v>145</v>
      </c>
      <c r="W102" s="292">
        <f t="shared" si="39"/>
        <v>827225</v>
      </c>
      <c r="X102" s="364">
        <f>'Proy. ventas'!Y135</f>
        <v>145</v>
      </c>
      <c r="Y102" s="292">
        <f t="shared" si="40"/>
        <v>827225</v>
      </c>
      <c r="Z102" s="364">
        <f>'Proy. ventas'!AA135</f>
        <v>174</v>
      </c>
      <c r="AA102" s="294">
        <f t="shared" si="41"/>
        <v>992670</v>
      </c>
      <c r="AB102" s="400">
        <f t="shared" ref="AB102:AB116" si="42">E102+G102+I102+K102+M102+O102+Q102+S102++U102+W102+Y102+AA102</f>
        <v>8272250</v>
      </c>
    </row>
    <row r="103" spans="1:28" ht="15.75" thickBot="1" x14ac:dyDescent="0.3">
      <c r="A103" s="830"/>
      <c r="B103" s="380"/>
      <c r="C103" s="381">
        <f>$E$46</f>
        <v>8105</v>
      </c>
      <c r="D103" s="382">
        <f>'Proy. ventas'!E136</f>
        <v>69.3</v>
      </c>
      <c r="E103" s="315">
        <f t="shared" si="30"/>
        <v>561676.5</v>
      </c>
      <c r="F103" s="407">
        <f>'Proy. ventas'!G136</f>
        <v>56.699999999999996</v>
      </c>
      <c r="G103" s="315">
        <f t="shared" si="31"/>
        <v>459553.49999999994</v>
      </c>
      <c r="H103" s="407">
        <f>'Proy. ventas'!I136</f>
        <v>50.4</v>
      </c>
      <c r="I103" s="315">
        <f t="shared" si="32"/>
        <v>408492</v>
      </c>
      <c r="J103" s="407">
        <f>'Proy. ventas'!K136</f>
        <v>37.799999999999997</v>
      </c>
      <c r="K103" s="315">
        <f t="shared" si="33"/>
        <v>306369</v>
      </c>
      <c r="L103" s="407">
        <f>'Proy. ventas'!M136</f>
        <v>37.799999999999997</v>
      </c>
      <c r="M103" s="315">
        <f t="shared" si="34"/>
        <v>306369</v>
      </c>
      <c r="N103" s="407">
        <f>'Proy. ventas'!O136</f>
        <v>31.5</v>
      </c>
      <c r="O103" s="315">
        <f t="shared" si="35"/>
        <v>255307.5</v>
      </c>
      <c r="P103" s="407">
        <f>'Proy. ventas'!Q136</f>
        <v>63</v>
      </c>
      <c r="Q103" s="315">
        <f t="shared" si="36"/>
        <v>510615</v>
      </c>
      <c r="R103" s="407">
        <f>'Proy. ventas'!S136</f>
        <v>31.5</v>
      </c>
      <c r="S103" s="315">
        <f t="shared" si="37"/>
        <v>255307.5</v>
      </c>
      <c r="T103" s="407">
        <f>'Proy. ventas'!U136</f>
        <v>50.4</v>
      </c>
      <c r="U103" s="315">
        <f t="shared" si="38"/>
        <v>408492</v>
      </c>
      <c r="V103" s="407">
        <f>'Proy. ventas'!W136</f>
        <v>63</v>
      </c>
      <c r="W103" s="315">
        <f t="shared" si="39"/>
        <v>510615</v>
      </c>
      <c r="X103" s="407">
        <f>'Proy. ventas'!Y136</f>
        <v>63</v>
      </c>
      <c r="Y103" s="315">
        <f t="shared" si="40"/>
        <v>510615</v>
      </c>
      <c r="Z103" s="407">
        <f>'Proy. ventas'!AA136</f>
        <v>75.599999999999994</v>
      </c>
      <c r="AA103" s="316">
        <f t="shared" si="41"/>
        <v>612738</v>
      </c>
      <c r="AB103" s="401">
        <f t="shared" si="42"/>
        <v>5106150</v>
      </c>
    </row>
    <row r="104" spans="1:28" x14ac:dyDescent="0.25">
      <c r="A104" s="828" t="s">
        <v>188</v>
      </c>
      <c r="B104" s="377"/>
      <c r="C104" s="378">
        <v>420</v>
      </c>
      <c r="D104" s="379">
        <f>'Proy. ventas'!E137</f>
        <v>417.23</v>
      </c>
      <c r="E104" s="311">
        <f t="shared" si="30"/>
        <v>175236.6</v>
      </c>
      <c r="F104" s="406">
        <f>'Proy. ventas'!G137</f>
        <v>341.37</v>
      </c>
      <c r="G104" s="311">
        <f t="shared" si="31"/>
        <v>143375.4</v>
      </c>
      <c r="H104" s="406">
        <f>'Proy. ventas'!I137</f>
        <v>303.44</v>
      </c>
      <c r="I104" s="311">
        <f t="shared" si="32"/>
        <v>127444.8</v>
      </c>
      <c r="J104" s="406">
        <f>'Proy. ventas'!K137</f>
        <v>227.57999999999998</v>
      </c>
      <c r="K104" s="311">
        <f t="shared" si="33"/>
        <v>95583.599999999991</v>
      </c>
      <c r="L104" s="406">
        <f>'Proy. ventas'!M137</f>
        <v>227.57999999999998</v>
      </c>
      <c r="M104" s="311">
        <f t="shared" si="34"/>
        <v>95583.599999999991</v>
      </c>
      <c r="N104" s="406">
        <f>'Proy. ventas'!O137</f>
        <v>189.65</v>
      </c>
      <c r="O104" s="311">
        <f t="shared" si="35"/>
        <v>79653</v>
      </c>
      <c r="P104" s="406">
        <f>'Proy. ventas'!Q137</f>
        <v>379.3</v>
      </c>
      <c r="Q104" s="311">
        <f t="shared" si="36"/>
        <v>159306</v>
      </c>
      <c r="R104" s="406">
        <f>'Proy. ventas'!S137</f>
        <v>189.65</v>
      </c>
      <c r="S104" s="311">
        <f t="shared" si="37"/>
        <v>79653</v>
      </c>
      <c r="T104" s="406">
        <f>'Proy. ventas'!U137</f>
        <v>303.44</v>
      </c>
      <c r="U104" s="311">
        <f t="shared" si="38"/>
        <v>127444.8</v>
      </c>
      <c r="V104" s="406">
        <f>'Proy. ventas'!W137</f>
        <v>379.3</v>
      </c>
      <c r="W104" s="311">
        <f t="shared" si="39"/>
        <v>159306</v>
      </c>
      <c r="X104" s="406">
        <f>'Proy. ventas'!Y137</f>
        <v>379.3</v>
      </c>
      <c r="Y104" s="311">
        <f t="shared" si="40"/>
        <v>159306</v>
      </c>
      <c r="Z104" s="406">
        <f>'Proy. ventas'!AA137</f>
        <v>455.15999999999997</v>
      </c>
      <c r="AA104" s="312">
        <f t="shared" si="41"/>
        <v>191167.19999999998</v>
      </c>
      <c r="AB104" s="399">
        <f t="shared" si="42"/>
        <v>1593060</v>
      </c>
    </row>
    <row r="105" spans="1:28" x14ac:dyDescent="0.25">
      <c r="A105" s="829"/>
      <c r="B105" s="369"/>
      <c r="C105" s="370">
        <v>300</v>
      </c>
      <c r="D105" s="367">
        <f>'Proy. ventas'!E138</f>
        <v>413.6</v>
      </c>
      <c r="E105" s="292">
        <f t="shared" si="30"/>
        <v>124080</v>
      </c>
      <c r="F105" s="364">
        <f>'Proy. ventas'!G138</f>
        <v>338.4</v>
      </c>
      <c r="G105" s="292">
        <f t="shared" si="31"/>
        <v>101520</v>
      </c>
      <c r="H105" s="364">
        <f>'Proy. ventas'!I138</f>
        <v>300.8</v>
      </c>
      <c r="I105" s="292">
        <f t="shared" si="32"/>
        <v>90240</v>
      </c>
      <c r="J105" s="364">
        <f>'Proy. ventas'!K138</f>
        <v>225.6</v>
      </c>
      <c r="K105" s="292">
        <f t="shared" si="33"/>
        <v>67680</v>
      </c>
      <c r="L105" s="364">
        <f>'Proy. ventas'!M138</f>
        <v>225.6</v>
      </c>
      <c r="M105" s="292">
        <f t="shared" si="34"/>
        <v>67680</v>
      </c>
      <c r="N105" s="364">
        <f>'Proy. ventas'!O138</f>
        <v>188</v>
      </c>
      <c r="O105" s="292">
        <f t="shared" si="35"/>
        <v>56400</v>
      </c>
      <c r="P105" s="364">
        <f>'Proy. ventas'!Q138</f>
        <v>376</v>
      </c>
      <c r="Q105" s="292">
        <f t="shared" si="36"/>
        <v>112800</v>
      </c>
      <c r="R105" s="364">
        <f>'Proy. ventas'!S138</f>
        <v>188</v>
      </c>
      <c r="S105" s="292">
        <f t="shared" si="37"/>
        <v>56400</v>
      </c>
      <c r="T105" s="364">
        <f>'Proy. ventas'!U138</f>
        <v>300.8</v>
      </c>
      <c r="U105" s="292">
        <f t="shared" si="38"/>
        <v>90240</v>
      </c>
      <c r="V105" s="364">
        <f>'Proy. ventas'!W138</f>
        <v>376</v>
      </c>
      <c r="W105" s="292">
        <f t="shared" si="39"/>
        <v>112800</v>
      </c>
      <c r="X105" s="364">
        <f>'Proy. ventas'!Y138</f>
        <v>376</v>
      </c>
      <c r="Y105" s="292">
        <f t="shared" si="40"/>
        <v>112800</v>
      </c>
      <c r="Z105" s="364">
        <f>'Proy. ventas'!AA138</f>
        <v>451.2</v>
      </c>
      <c r="AA105" s="294">
        <f t="shared" si="41"/>
        <v>135360</v>
      </c>
      <c r="AB105" s="400">
        <f t="shared" si="42"/>
        <v>1128000</v>
      </c>
    </row>
    <row r="106" spans="1:28" x14ac:dyDescent="0.25">
      <c r="A106" s="829"/>
      <c r="B106" s="369"/>
      <c r="C106" s="370">
        <v>1800</v>
      </c>
      <c r="D106" s="367">
        <f>'Proy. ventas'!E139</f>
        <v>187</v>
      </c>
      <c r="E106" s="292">
        <f t="shared" si="30"/>
        <v>336600</v>
      </c>
      <c r="F106" s="364">
        <f>'Proy. ventas'!G139</f>
        <v>153</v>
      </c>
      <c r="G106" s="292">
        <f t="shared" si="31"/>
        <v>275400</v>
      </c>
      <c r="H106" s="364">
        <f>'Proy. ventas'!I139</f>
        <v>136</v>
      </c>
      <c r="I106" s="292">
        <f t="shared" si="32"/>
        <v>244800</v>
      </c>
      <c r="J106" s="364">
        <f>'Proy. ventas'!K139</f>
        <v>102</v>
      </c>
      <c r="K106" s="292">
        <f t="shared" si="33"/>
        <v>183600</v>
      </c>
      <c r="L106" s="364">
        <f>'Proy. ventas'!M139</f>
        <v>102</v>
      </c>
      <c r="M106" s="292">
        <f t="shared" si="34"/>
        <v>183600</v>
      </c>
      <c r="N106" s="364">
        <f>'Proy. ventas'!O139</f>
        <v>85</v>
      </c>
      <c r="O106" s="292">
        <f t="shared" si="35"/>
        <v>153000</v>
      </c>
      <c r="P106" s="364">
        <f>'Proy. ventas'!Q139</f>
        <v>170</v>
      </c>
      <c r="Q106" s="292">
        <f t="shared" si="36"/>
        <v>306000</v>
      </c>
      <c r="R106" s="364">
        <f>'Proy. ventas'!S139</f>
        <v>85</v>
      </c>
      <c r="S106" s="292">
        <f t="shared" si="37"/>
        <v>153000</v>
      </c>
      <c r="T106" s="364">
        <f>'Proy. ventas'!U139</f>
        <v>136</v>
      </c>
      <c r="U106" s="292">
        <f t="shared" si="38"/>
        <v>244800</v>
      </c>
      <c r="V106" s="364">
        <f>'Proy. ventas'!W139</f>
        <v>170</v>
      </c>
      <c r="W106" s="292">
        <f t="shared" si="39"/>
        <v>306000</v>
      </c>
      <c r="X106" s="364">
        <f>'Proy. ventas'!Y139</f>
        <v>170</v>
      </c>
      <c r="Y106" s="292">
        <f t="shared" si="40"/>
        <v>306000</v>
      </c>
      <c r="Z106" s="364">
        <f>'Proy. ventas'!AA139</f>
        <v>204</v>
      </c>
      <c r="AA106" s="294">
        <f t="shared" si="41"/>
        <v>367200</v>
      </c>
      <c r="AB106" s="400">
        <f t="shared" si="42"/>
        <v>3060000</v>
      </c>
    </row>
    <row r="107" spans="1:28" x14ac:dyDescent="0.25">
      <c r="A107" s="829"/>
      <c r="B107" s="369"/>
      <c r="C107" s="370">
        <v>180</v>
      </c>
      <c r="D107" s="367">
        <f>'Proy. ventas'!E140</f>
        <v>352</v>
      </c>
      <c r="E107" s="292">
        <f t="shared" si="30"/>
        <v>63360</v>
      </c>
      <c r="F107" s="364">
        <f>'Proy. ventas'!G140</f>
        <v>288</v>
      </c>
      <c r="G107" s="292">
        <f t="shared" si="31"/>
        <v>51840</v>
      </c>
      <c r="H107" s="364">
        <f>'Proy. ventas'!I140</f>
        <v>256</v>
      </c>
      <c r="I107" s="292">
        <f t="shared" si="32"/>
        <v>46080</v>
      </c>
      <c r="J107" s="364">
        <f>'Proy. ventas'!K140</f>
        <v>192</v>
      </c>
      <c r="K107" s="292">
        <f t="shared" si="33"/>
        <v>34560</v>
      </c>
      <c r="L107" s="364">
        <f>'Proy. ventas'!M140</f>
        <v>192</v>
      </c>
      <c r="M107" s="292">
        <f t="shared" si="34"/>
        <v>34560</v>
      </c>
      <c r="N107" s="364">
        <f>'Proy. ventas'!O140</f>
        <v>160</v>
      </c>
      <c r="O107" s="292">
        <f t="shared" si="35"/>
        <v>28800</v>
      </c>
      <c r="P107" s="364">
        <f>'Proy. ventas'!Q140</f>
        <v>320</v>
      </c>
      <c r="Q107" s="292">
        <f t="shared" si="36"/>
        <v>57600</v>
      </c>
      <c r="R107" s="364">
        <f>'Proy. ventas'!S140</f>
        <v>160</v>
      </c>
      <c r="S107" s="292">
        <f t="shared" si="37"/>
        <v>28800</v>
      </c>
      <c r="T107" s="364">
        <f>'Proy. ventas'!U140</f>
        <v>256</v>
      </c>
      <c r="U107" s="292">
        <f t="shared" si="38"/>
        <v>46080</v>
      </c>
      <c r="V107" s="364">
        <f>'Proy. ventas'!W140</f>
        <v>320</v>
      </c>
      <c r="W107" s="292">
        <f t="shared" si="39"/>
        <v>57600</v>
      </c>
      <c r="X107" s="364">
        <f>'Proy. ventas'!Y140</f>
        <v>320</v>
      </c>
      <c r="Y107" s="292">
        <f t="shared" si="40"/>
        <v>57600</v>
      </c>
      <c r="Z107" s="364">
        <f>'Proy. ventas'!AA140</f>
        <v>384</v>
      </c>
      <c r="AA107" s="294">
        <f t="shared" si="41"/>
        <v>69120</v>
      </c>
      <c r="AB107" s="400">
        <f t="shared" si="42"/>
        <v>576000</v>
      </c>
    </row>
    <row r="108" spans="1:28" x14ac:dyDescent="0.25">
      <c r="A108" s="829"/>
      <c r="B108" s="369"/>
      <c r="C108" s="370">
        <v>1250</v>
      </c>
      <c r="D108" s="367">
        <f>'Proy. ventas'!E141</f>
        <v>110</v>
      </c>
      <c r="E108" s="292">
        <f t="shared" si="30"/>
        <v>137500</v>
      </c>
      <c r="F108" s="364">
        <f>'Proy. ventas'!G141</f>
        <v>90</v>
      </c>
      <c r="G108" s="292">
        <f t="shared" si="31"/>
        <v>112500</v>
      </c>
      <c r="H108" s="364">
        <f>'Proy. ventas'!I141</f>
        <v>80</v>
      </c>
      <c r="I108" s="292">
        <f t="shared" si="32"/>
        <v>100000</v>
      </c>
      <c r="J108" s="364">
        <f>'Proy. ventas'!K141</f>
        <v>60</v>
      </c>
      <c r="K108" s="292">
        <f t="shared" si="33"/>
        <v>75000</v>
      </c>
      <c r="L108" s="364">
        <f>'Proy. ventas'!M141</f>
        <v>60</v>
      </c>
      <c r="M108" s="292">
        <f t="shared" si="34"/>
        <v>75000</v>
      </c>
      <c r="N108" s="364">
        <f>'Proy. ventas'!O141</f>
        <v>50</v>
      </c>
      <c r="O108" s="292">
        <f t="shared" si="35"/>
        <v>62500</v>
      </c>
      <c r="P108" s="364">
        <f>'Proy. ventas'!Q141</f>
        <v>100</v>
      </c>
      <c r="Q108" s="292">
        <f t="shared" si="36"/>
        <v>125000</v>
      </c>
      <c r="R108" s="364">
        <f>'Proy. ventas'!S141</f>
        <v>50</v>
      </c>
      <c r="S108" s="292">
        <f t="shared" si="37"/>
        <v>62500</v>
      </c>
      <c r="T108" s="364">
        <f>'Proy. ventas'!U141</f>
        <v>80</v>
      </c>
      <c r="U108" s="292">
        <f t="shared" si="38"/>
        <v>100000</v>
      </c>
      <c r="V108" s="364">
        <f>'Proy. ventas'!W141</f>
        <v>100</v>
      </c>
      <c r="W108" s="292">
        <f t="shared" si="39"/>
        <v>125000</v>
      </c>
      <c r="X108" s="364">
        <f>'Proy. ventas'!Y141</f>
        <v>100</v>
      </c>
      <c r="Y108" s="292">
        <f t="shared" si="40"/>
        <v>125000</v>
      </c>
      <c r="Z108" s="364">
        <f>'Proy. ventas'!AA141</f>
        <v>120</v>
      </c>
      <c r="AA108" s="294">
        <f t="shared" si="41"/>
        <v>150000</v>
      </c>
      <c r="AB108" s="400">
        <f t="shared" si="42"/>
        <v>1250000</v>
      </c>
    </row>
    <row r="109" spans="1:28" x14ac:dyDescent="0.25">
      <c r="A109" s="829"/>
      <c r="B109" s="369"/>
      <c r="C109" s="370">
        <v>350</v>
      </c>
      <c r="D109" s="367">
        <f>'Proy. ventas'!E142</f>
        <v>99</v>
      </c>
      <c r="E109" s="292">
        <f t="shared" si="30"/>
        <v>34650</v>
      </c>
      <c r="F109" s="364">
        <f>'Proy. ventas'!G142</f>
        <v>81</v>
      </c>
      <c r="G109" s="292">
        <f t="shared" si="31"/>
        <v>28350</v>
      </c>
      <c r="H109" s="364">
        <f>'Proy. ventas'!I142</f>
        <v>72</v>
      </c>
      <c r="I109" s="292">
        <f t="shared" si="32"/>
        <v>25200</v>
      </c>
      <c r="J109" s="364">
        <f>'Proy. ventas'!K142</f>
        <v>54</v>
      </c>
      <c r="K109" s="292">
        <f t="shared" si="33"/>
        <v>18900</v>
      </c>
      <c r="L109" s="364">
        <f>'Proy. ventas'!M142</f>
        <v>54</v>
      </c>
      <c r="M109" s="292">
        <f t="shared" si="34"/>
        <v>18900</v>
      </c>
      <c r="N109" s="364">
        <f>'Proy. ventas'!O142</f>
        <v>45</v>
      </c>
      <c r="O109" s="292">
        <f t="shared" si="35"/>
        <v>15750</v>
      </c>
      <c r="P109" s="364">
        <f>'Proy. ventas'!Q142</f>
        <v>90</v>
      </c>
      <c r="Q109" s="292">
        <f t="shared" si="36"/>
        <v>31500</v>
      </c>
      <c r="R109" s="364">
        <f>'Proy. ventas'!S142</f>
        <v>45</v>
      </c>
      <c r="S109" s="292">
        <f t="shared" si="37"/>
        <v>15750</v>
      </c>
      <c r="T109" s="364">
        <f>'Proy. ventas'!U142</f>
        <v>72</v>
      </c>
      <c r="U109" s="292">
        <f t="shared" si="38"/>
        <v>25200</v>
      </c>
      <c r="V109" s="364">
        <f>'Proy. ventas'!W142</f>
        <v>90</v>
      </c>
      <c r="W109" s="292">
        <f t="shared" si="39"/>
        <v>31500</v>
      </c>
      <c r="X109" s="364">
        <f>'Proy. ventas'!Y142</f>
        <v>90</v>
      </c>
      <c r="Y109" s="292">
        <f t="shared" si="40"/>
        <v>31500</v>
      </c>
      <c r="Z109" s="364">
        <f>'Proy. ventas'!AA142</f>
        <v>108</v>
      </c>
      <c r="AA109" s="294">
        <f t="shared" si="41"/>
        <v>37800</v>
      </c>
      <c r="AB109" s="400">
        <f t="shared" si="42"/>
        <v>315000</v>
      </c>
    </row>
    <row r="110" spans="1:28" x14ac:dyDescent="0.25">
      <c r="A110" s="829"/>
      <c r="B110" s="369"/>
      <c r="C110" s="370">
        <v>950</v>
      </c>
      <c r="D110" s="367">
        <f>'Proy. ventas'!E143</f>
        <v>99</v>
      </c>
      <c r="E110" s="292">
        <f t="shared" si="30"/>
        <v>94050</v>
      </c>
      <c r="F110" s="364">
        <f>'Proy. ventas'!G143</f>
        <v>81</v>
      </c>
      <c r="G110" s="292">
        <f t="shared" si="31"/>
        <v>76950</v>
      </c>
      <c r="H110" s="364">
        <f>'Proy. ventas'!I143</f>
        <v>72</v>
      </c>
      <c r="I110" s="292">
        <f t="shared" si="32"/>
        <v>68400</v>
      </c>
      <c r="J110" s="364">
        <f>'Proy. ventas'!K143</f>
        <v>54</v>
      </c>
      <c r="K110" s="292">
        <f t="shared" si="33"/>
        <v>51300</v>
      </c>
      <c r="L110" s="364">
        <f>'Proy. ventas'!M143</f>
        <v>54</v>
      </c>
      <c r="M110" s="292">
        <f t="shared" si="34"/>
        <v>51300</v>
      </c>
      <c r="N110" s="364">
        <f>'Proy. ventas'!O143</f>
        <v>45</v>
      </c>
      <c r="O110" s="292">
        <f t="shared" si="35"/>
        <v>42750</v>
      </c>
      <c r="P110" s="364">
        <f>'Proy. ventas'!Q143</f>
        <v>90</v>
      </c>
      <c r="Q110" s="292">
        <f t="shared" si="36"/>
        <v>85500</v>
      </c>
      <c r="R110" s="364">
        <f>'Proy. ventas'!S143</f>
        <v>45</v>
      </c>
      <c r="S110" s="292">
        <f t="shared" si="37"/>
        <v>42750</v>
      </c>
      <c r="T110" s="364">
        <f>'Proy. ventas'!U143</f>
        <v>72</v>
      </c>
      <c r="U110" s="292">
        <f t="shared" si="38"/>
        <v>68400</v>
      </c>
      <c r="V110" s="364">
        <f>'Proy. ventas'!W143</f>
        <v>90</v>
      </c>
      <c r="W110" s="292">
        <f t="shared" si="39"/>
        <v>85500</v>
      </c>
      <c r="X110" s="364">
        <f>'Proy. ventas'!Y143</f>
        <v>90</v>
      </c>
      <c r="Y110" s="292">
        <f t="shared" si="40"/>
        <v>85500</v>
      </c>
      <c r="Z110" s="364">
        <f>'Proy. ventas'!AA143</f>
        <v>108</v>
      </c>
      <c r="AA110" s="294">
        <f t="shared" si="41"/>
        <v>102600</v>
      </c>
      <c r="AB110" s="400">
        <f t="shared" si="42"/>
        <v>855000</v>
      </c>
    </row>
    <row r="111" spans="1:28" x14ac:dyDescent="0.25">
      <c r="A111" s="829"/>
      <c r="B111" s="369"/>
      <c r="C111" s="370">
        <v>200</v>
      </c>
      <c r="D111" s="367">
        <f>'Proy. ventas'!E144</f>
        <v>99</v>
      </c>
      <c r="E111" s="292">
        <f t="shared" si="30"/>
        <v>19800</v>
      </c>
      <c r="F111" s="364">
        <f>'Proy. ventas'!G144</f>
        <v>81</v>
      </c>
      <c r="G111" s="292">
        <f t="shared" si="31"/>
        <v>16200</v>
      </c>
      <c r="H111" s="364">
        <f>'Proy. ventas'!I144</f>
        <v>72</v>
      </c>
      <c r="I111" s="292">
        <f t="shared" si="32"/>
        <v>14400</v>
      </c>
      <c r="J111" s="364">
        <f>'Proy. ventas'!K144</f>
        <v>54</v>
      </c>
      <c r="K111" s="292">
        <f t="shared" si="33"/>
        <v>10800</v>
      </c>
      <c r="L111" s="364">
        <f>'Proy. ventas'!M144</f>
        <v>54</v>
      </c>
      <c r="M111" s="292">
        <f t="shared" si="34"/>
        <v>10800</v>
      </c>
      <c r="N111" s="364">
        <f>'Proy. ventas'!O144</f>
        <v>45</v>
      </c>
      <c r="O111" s="292">
        <f t="shared" si="35"/>
        <v>9000</v>
      </c>
      <c r="P111" s="364">
        <f>'Proy. ventas'!Q144</f>
        <v>90</v>
      </c>
      <c r="Q111" s="292">
        <f t="shared" si="36"/>
        <v>18000</v>
      </c>
      <c r="R111" s="364">
        <f>'Proy. ventas'!S144</f>
        <v>45</v>
      </c>
      <c r="S111" s="292">
        <f t="shared" si="37"/>
        <v>9000</v>
      </c>
      <c r="T111" s="364">
        <f>'Proy. ventas'!U144</f>
        <v>72</v>
      </c>
      <c r="U111" s="292">
        <f t="shared" si="38"/>
        <v>14400</v>
      </c>
      <c r="V111" s="364">
        <f>'Proy. ventas'!W144</f>
        <v>90</v>
      </c>
      <c r="W111" s="292">
        <f t="shared" si="39"/>
        <v>18000</v>
      </c>
      <c r="X111" s="364">
        <f>'Proy. ventas'!Y144</f>
        <v>90</v>
      </c>
      <c r="Y111" s="292">
        <f t="shared" si="40"/>
        <v>18000</v>
      </c>
      <c r="Z111" s="364">
        <f>'Proy. ventas'!AA144</f>
        <v>108</v>
      </c>
      <c r="AA111" s="294">
        <f t="shared" si="41"/>
        <v>21600</v>
      </c>
      <c r="AB111" s="400">
        <f t="shared" si="42"/>
        <v>180000</v>
      </c>
    </row>
    <row r="112" spans="1:28" ht="15.75" thickBot="1" x14ac:dyDescent="0.3">
      <c r="A112" s="830"/>
      <c r="B112" s="380"/>
      <c r="C112" s="381">
        <v>1150</v>
      </c>
      <c r="D112" s="382">
        <f>'Proy. ventas'!E145</f>
        <v>214.5</v>
      </c>
      <c r="E112" s="315">
        <f t="shared" si="30"/>
        <v>246675</v>
      </c>
      <c r="F112" s="407">
        <f>'Proy. ventas'!G145</f>
        <v>175.5</v>
      </c>
      <c r="G112" s="315">
        <f t="shared" si="31"/>
        <v>201825</v>
      </c>
      <c r="H112" s="407">
        <f>'Proy. ventas'!I145</f>
        <v>156</v>
      </c>
      <c r="I112" s="315">
        <f t="shared" si="32"/>
        <v>179400</v>
      </c>
      <c r="J112" s="407">
        <f>'Proy. ventas'!K145</f>
        <v>117</v>
      </c>
      <c r="K112" s="315">
        <f t="shared" si="33"/>
        <v>134550</v>
      </c>
      <c r="L112" s="407">
        <f>'Proy. ventas'!M145</f>
        <v>117</v>
      </c>
      <c r="M112" s="315">
        <f t="shared" si="34"/>
        <v>134550</v>
      </c>
      <c r="N112" s="407">
        <f>'Proy. ventas'!O145</f>
        <v>97.5</v>
      </c>
      <c r="O112" s="315">
        <f t="shared" si="35"/>
        <v>112125</v>
      </c>
      <c r="P112" s="407">
        <f>'Proy. ventas'!Q145</f>
        <v>195</v>
      </c>
      <c r="Q112" s="315">
        <f t="shared" si="36"/>
        <v>224250</v>
      </c>
      <c r="R112" s="407">
        <f>'Proy. ventas'!S145</f>
        <v>97.5</v>
      </c>
      <c r="S112" s="315">
        <f t="shared" si="37"/>
        <v>112125</v>
      </c>
      <c r="T112" s="407">
        <f>'Proy. ventas'!U145</f>
        <v>156</v>
      </c>
      <c r="U112" s="315">
        <f t="shared" si="38"/>
        <v>179400</v>
      </c>
      <c r="V112" s="407">
        <f>'Proy. ventas'!W145</f>
        <v>195</v>
      </c>
      <c r="W112" s="315">
        <f t="shared" si="39"/>
        <v>224250</v>
      </c>
      <c r="X112" s="407">
        <f>'Proy. ventas'!Y145</f>
        <v>195</v>
      </c>
      <c r="Y112" s="315">
        <f t="shared" si="40"/>
        <v>224250</v>
      </c>
      <c r="Z112" s="407">
        <f>'Proy. ventas'!AA145</f>
        <v>234</v>
      </c>
      <c r="AA112" s="316">
        <f t="shared" si="41"/>
        <v>269100</v>
      </c>
      <c r="AB112" s="401">
        <f t="shared" si="42"/>
        <v>2242500</v>
      </c>
    </row>
    <row r="113" spans="1:28" ht="30.75" thickBot="1" x14ac:dyDescent="0.3">
      <c r="A113" s="383" t="s">
        <v>189</v>
      </c>
      <c r="B113" s="417"/>
      <c r="C113" s="418">
        <v>300</v>
      </c>
      <c r="D113" s="412">
        <v>50</v>
      </c>
      <c r="E113" s="392">
        <f t="shared" si="30"/>
        <v>15000</v>
      </c>
      <c r="F113" s="413">
        <v>20</v>
      </c>
      <c r="G113" s="392">
        <f t="shared" si="31"/>
        <v>6000</v>
      </c>
      <c r="H113" s="413">
        <v>10</v>
      </c>
      <c r="I113" s="392">
        <f t="shared" si="32"/>
        <v>3000</v>
      </c>
      <c r="J113" s="413">
        <v>5</v>
      </c>
      <c r="K113" s="392">
        <f t="shared" si="33"/>
        <v>1500</v>
      </c>
      <c r="L113" s="413">
        <v>0</v>
      </c>
      <c r="M113" s="392">
        <f t="shared" si="34"/>
        <v>0</v>
      </c>
      <c r="N113" s="413">
        <v>5</v>
      </c>
      <c r="O113" s="392">
        <f t="shared" si="35"/>
        <v>1500</v>
      </c>
      <c r="P113" s="413">
        <v>5</v>
      </c>
      <c r="Q113" s="392">
        <f t="shared" si="36"/>
        <v>1500</v>
      </c>
      <c r="R113" s="413">
        <v>0</v>
      </c>
      <c r="S113" s="392">
        <f t="shared" si="37"/>
        <v>0</v>
      </c>
      <c r="T113" s="413">
        <v>10</v>
      </c>
      <c r="U113" s="392">
        <f t="shared" si="38"/>
        <v>3000</v>
      </c>
      <c r="V113" s="413">
        <v>10</v>
      </c>
      <c r="W113" s="392">
        <f t="shared" si="39"/>
        <v>3000</v>
      </c>
      <c r="X113" s="413">
        <v>15</v>
      </c>
      <c r="Y113" s="392">
        <f t="shared" si="40"/>
        <v>4500</v>
      </c>
      <c r="Z113" s="413">
        <v>10</v>
      </c>
      <c r="AA113" s="414">
        <f t="shared" si="41"/>
        <v>3000</v>
      </c>
      <c r="AB113" s="415">
        <f t="shared" si="42"/>
        <v>42000</v>
      </c>
    </row>
    <row r="114" spans="1:28" x14ac:dyDescent="0.25">
      <c r="A114" s="823" t="s">
        <v>192</v>
      </c>
      <c r="B114" s="395"/>
      <c r="C114" s="368">
        <v>182000</v>
      </c>
      <c r="D114" s="366">
        <v>1</v>
      </c>
      <c r="E114" s="305">
        <f t="shared" si="30"/>
        <v>182000</v>
      </c>
      <c r="F114" s="365">
        <v>1</v>
      </c>
      <c r="G114" s="305">
        <f t="shared" si="31"/>
        <v>182000</v>
      </c>
      <c r="H114" s="365">
        <v>0</v>
      </c>
      <c r="I114" s="305">
        <f t="shared" si="32"/>
        <v>0</v>
      </c>
      <c r="J114" s="365">
        <v>1</v>
      </c>
      <c r="K114" s="305">
        <f t="shared" si="33"/>
        <v>182000</v>
      </c>
      <c r="L114" s="365">
        <v>1</v>
      </c>
      <c r="M114" s="305">
        <f t="shared" si="34"/>
        <v>182000</v>
      </c>
      <c r="N114" s="365">
        <v>0</v>
      </c>
      <c r="O114" s="305">
        <f t="shared" si="35"/>
        <v>0</v>
      </c>
      <c r="P114" s="365">
        <v>0</v>
      </c>
      <c r="Q114" s="305">
        <f t="shared" si="36"/>
        <v>0</v>
      </c>
      <c r="R114" s="365">
        <v>0</v>
      </c>
      <c r="S114" s="305">
        <f t="shared" si="37"/>
        <v>0</v>
      </c>
      <c r="T114" s="365">
        <v>1</v>
      </c>
      <c r="U114" s="305">
        <f t="shared" si="38"/>
        <v>182000</v>
      </c>
      <c r="V114" s="365">
        <v>0</v>
      </c>
      <c r="W114" s="305">
        <f t="shared" si="39"/>
        <v>0</v>
      </c>
      <c r="X114" s="365">
        <v>0</v>
      </c>
      <c r="Y114" s="305">
        <f t="shared" si="40"/>
        <v>0</v>
      </c>
      <c r="Z114" s="365">
        <v>1</v>
      </c>
      <c r="AA114" s="306">
        <f t="shared" si="41"/>
        <v>182000</v>
      </c>
      <c r="AB114" s="403">
        <f t="shared" si="42"/>
        <v>1092000</v>
      </c>
    </row>
    <row r="115" spans="1:28" x14ac:dyDescent="0.25">
      <c r="A115" s="824"/>
      <c r="B115" s="396"/>
      <c r="C115" s="370">
        <v>130000</v>
      </c>
      <c r="D115" s="367">
        <v>1</v>
      </c>
      <c r="E115" s="292">
        <f t="shared" si="30"/>
        <v>130000</v>
      </c>
      <c r="F115" s="364">
        <v>0</v>
      </c>
      <c r="G115" s="292">
        <f t="shared" si="31"/>
        <v>0</v>
      </c>
      <c r="H115" s="364">
        <v>0</v>
      </c>
      <c r="I115" s="292">
        <f t="shared" si="32"/>
        <v>0</v>
      </c>
      <c r="J115" s="364">
        <v>0</v>
      </c>
      <c r="K115" s="292">
        <f t="shared" si="33"/>
        <v>0</v>
      </c>
      <c r="L115" s="364">
        <v>1</v>
      </c>
      <c r="M115" s="292">
        <f t="shared" si="34"/>
        <v>130000</v>
      </c>
      <c r="N115" s="364">
        <v>0</v>
      </c>
      <c r="O115" s="292">
        <f t="shared" si="35"/>
        <v>0</v>
      </c>
      <c r="P115" s="364">
        <v>0</v>
      </c>
      <c r="Q115" s="292">
        <f t="shared" si="36"/>
        <v>0</v>
      </c>
      <c r="R115" s="364">
        <v>0</v>
      </c>
      <c r="S115" s="292">
        <f t="shared" si="37"/>
        <v>0</v>
      </c>
      <c r="T115" s="364">
        <v>1</v>
      </c>
      <c r="U115" s="292">
        <f t="shared" si="38"/>
        <v>130000</v>
      </c>
      <c r="V115" s="364">
        <v>0</v>
      </c>
      <c r="W115" s="292">
        <f t="shared" si="39"/>
        <v>0</v>
      </c>
      <c r="X115" s="364">
        <v>0</v>
      </c>
      <c r="Y115" s="292">
        <f t="shared" si="40"/>
        <v>0</v>
      </c>
      <c r="Z115" s="364">
        <v>1</v>
      </c>
      <c r="AA115" s="294">
        <f t="shared" si="41"/>
        <v>130000</v>
      </c>
      <c r="AB115" s="400">
        <f t="shared" si="42"/>
        <v>520000</v>
      </c>
    </row>
    <row r="116" spans="1:28" x14ac:dyDescent="0.25">
      <c r="A116" s="824"/>
      <c r="B116" s="371"/>
      <c r="C116" s="370">
        <v>250000</v>
      </c>
      <c r="D116" s="367">
        <v>0</v>
      </c>
      <c r="E116" s="292">
        <f t="shared" si="30"/>
        <v>0</v>
      </c>
      <c r="F116" s="364">
        <v>0</v>
      </c>
      <c r="G116" s="292">
        <f t="shared" si="31"/>
        <v>0</v>
      </c>
      <c r="H116" s="364">
        <v>0</v>
      </c>
      <c r="I116" s="292">
        <f t="shared" si="32"/>
        <v>0</v>
      </c>
      <c r="J116" s="364">
        <v>0</v>
      </c>
      <c r="K116" s="292">
        <f t="shared" si="33"/>
        <v>0</v>
      </c>
      <c r="L116" s="364">
        <v>0</v>
      </c>
      <c r="M116" s="292">
        <f t="shared" si="34"/>
        <v>0</v>
      </c>
      <c r="N116" s="364">
        <v>0</v>
      </c>
      <c r="O116" s="292">
        <f t="shared" si="35"/>
        <v>0</v>
      </c>
      <c r="P116" s="364">
        <v>0</v>
      </c>
      <c r="Q116" s="292">
        <f t="shared" si="36"/>
        <v>0</v>
      </c>
      <c r="R116" s="364">
        <v>0</v>
      </c>
      <c r="S116" s="292">
        <f t="shared" si="37"/>
        <v>0</v>
      </c>
      <c r="T116" s="364">
        <v>1</v>
      </c>
      <c r="U116" s="292">
        <f t="shared" si="38"/>
        <v>250000</v>
      </c>
      <c r="V116" s="364">
        <v>0</v>
      </c>
      <c r="W116" s="292">
        <f t="shared" si="39"/>
        <v>0</v>
      </c>
      <c r="X116" s="364">
        <v>0</v>
      </c>
      <c r="Y116" s="292">
        <f t="shared" si="40"/>
        <v>0</v>
      </c>
      <c r="Z116" s="364">
        <v>0</v>
      </c>
      <c r="AA116" s="294">
        <f t="shared" si="41"/>
        <v>0</v>
      </c>
      <c r="AB116" s="400">
        <f t="shared" si="42"/>
        <v>250000</v>
      </c>
    </row>
    <row r="117" spans="1:28" ht="15.75" thickBot="1" x14ac:dyDescent="0.3">
      <c r="A117" s="825"/>
      <c r="B117" s="387"/>
      <c r="C117" s="388">
        <v>0</v>
      </c>
      <c r="D117" s="389">
        <v>0</v>
      </c>
      <c r="E117" s="315">
        <v>0</v>
      </c>
      <c r="F117" s="409">
        <v>0</v>
      </c>
      <c r="G117" s="315">
        <v>0</v>
      </c>
      <c r="H117" s="409">
        <v>0</v>
      </c>
      <c r="I117" s="315">
        <v>0</v>
      </c>
      <c r="J117" s="409">
        <v>0</v>
      </c>
      <c r="K117" s="315">
        <v>0</v>
      </c>
      <c r="L117" s="409">
        <v>0</v>
      </c>
      <c r="M117" s="315">
        <f>($C$53*L101 + $C$54*L102+$C$55*L103)*0.15</f>
        <v>143049.60000000001</v>
      </c>
      <c r="N117" s="409">
        <v>0</v>
      </c>
      <c r="O117" s="315">
        <f>($C$53*N101 + $C$54*N102+$C$55*N103)*0.15</f>
        <v>119208</v>
      </c>
      <c r="P117" s="409">
        <v>0</v>
      </c>
      <c r="Q117" s="315">
        <f>($C$53*P101 + $C$54*P102+$C$55*P103)*0.15</f>
        <v>238416</v>
      </c>
      <c r="R117" s="409">
        <v>0</v>
      </c>
      <c r="S117" s="315">
        <v>0</v>
      </c>
      <c r="T117" s="409">
        <v>0</v>
      </c>
      <c r="U117" s="315">
        <v>0</v>
      </c>
      <c r="V117" s="409">
        <v>0</v>
      </c>
      <c r="W117" s="315">
        <v>0</v>
      </c>
      <c r="X117" s="409">
        <v>0</v>
      </c>
      <c r="Y117" s="315">
        <v>0</v>
      </c>
      <c r="Z117" s="409">
        <v>0</v>
      </c>
      <c r="AA117" s="316">
        <v>0</v>
      </c>
      <c r="AB117" s="401">
        <f>E117+G117+I117+K117+M117+O117+Q117+S117+U117+W117+Y117+AA117</f>
        <v>500673.6</v>
      </c>
    </row>
    <row r="118" spans="1:28" ht="15.75" thickBot="1" x14ac:dyDescent="0.3">
      <c r="A118" s="383" t="s">
        <v>190</v>
      </c>
      <c r="B118" s="384"/>
      <c r="C118" s="393">
        <v>0</v>
      </c>
      <c r="D118" s="394">
        <v>0</v>
      </c>
      <c r="E118" s="323">
        <f>(D103+D102+D101)*75</f>
        <v>32422.5</v>
      </c>
      <c r="F118" s="410">
        <v>0</v>
      </c>
      <c r="G118" s="323">
        <f>(F103+F102+F101)*75</f>
        <v>26527.5</v>
      </c>
      <c r="H118" s="410">
        <v>0</v>
      </c>
      <c r="I118" s="323">
        <f>(H103+H102+H101)*75</f>
        <v>23580</v>
      </c>
      <c r="J118" s="410">
        <v>0</v>
      </c>
      <c r="K118" s="323">
        <f>(J103+J102+J101)*75</f>
        <v>17685</v>
      </c>
      <c r="L118" s="410">
        <v>0</v>
      </c>
      <c r="M118" s="323">
        <f>(L103+L102+L101)*75</f>
        <v>17685</v>
      </c>
      <c r="N118" s="410">
        <v>0</v>
      </c>
      <c r="O118" s="323">
        <f>(N103+N102+N101)*75</f>
        <v>14737.5</v>
      </c>
      <c r="P118" s="410">
        <v>0</v>
      </c>
      <c r="Q118" s="323">
        <f>(P103+P102+P101)*75</f>
        <v>29475</v>
      </c>
      <c r="R118" s="410">
        <v>0</v>
      </c>
      <c r="S118" s="323">
        <f>(R103+R102+R101)*75</f>
        <v>14737.5</v>
      </c>
      <c r="T118" s="410">
        <v>0</v>
      </c>
      <c r="U118" s="323">
        <f>(T103+T102+T101)*75</f>
        <v>23580</v>
      </c>
      <c r="V118" s="410">
        <v>0</v>
      </c>
      <c r="W118" s="323">
        <f>(V103+V102+V101)*75</f>
        <v>29475</v>
      </c>
      <c r="X118" s="410">
        <v>0</v>
      </c>
      <c r="Y118" s="323">
        <f>(X103+X102+X101)*75</f>
        <v>29475</v>
      </c>
      <c r="Z118" s="410">
        <v>0</v>
      </c>
      <c r="AA118" s="323">
        <f>(Z103+Z102+Z101)*75</f>
        <v>35370</v>
      </c>
      <c r="AB118" s="401">
        <f>E118+G118+I118+K118+M118+O118+Q118+S118+U118+W118+Y118+AA118</f>
        <v>294750</v>
      </c>
    </row>
    <row r="119" spans="1:28" ht="15.75" thickBot="1" x14ac:dyDescent="0.3">
      <c r="B119" s="398" t="s">
        <v>191</v>
      </c>
      <c r="C119" s="390"/>
      <c r="D119" s="391"/>
      <c r="E119" s="405">
        <f>SUM(E101:E118)</f>
        <v>3339758.1</v>
      </c>
      <c r="F119" s="411"/>
      <c r="G119" s="405">
        <f>SUM(G101:G118)</f>
        <v>2652983.9</v>
      </c>
      <c r="H119" s="411"/>
      <c r="I119" s="405">
        <f>SUM(I101:I118)</f>
        <v>2194096.7999999998</v>
      </c>
      <c r="J119" s="411"/>
      <c r="K119" s="405">
        <f>SUM(K101:K118)</f>
        <v>1826822.6</v>
      </c>
      <c r="L119" s="411"/>
      <c r="M119" s="405">
        <f>SUM(M101:M118)</f>
        <v>2098372.2000000002</v>
      </c>
      <c r="N119" s="391"/>
      <c r="O119" s="405">
        <f>SUM(O101:O118)</f>
        <v>1490143.5</v>
      </c>
      <c r="P119" s="411"/>
      <c r="Q119" s="405">
        <f>SUM(Q101:Q118)</f>
        <v>2978787</v>
      </c>
      <c r="R119" s="411"/>
      <c r="S119" s="405">
        <f>SUM(S101:S118)</f>
        <v>1369435.5</v>
      </c>
      <c r="T119" s="411"/>
      <c r="U119" s="405">
        <f>SUM(U101:U118)</f>
        <v>2756096.8</v>
      </c>
      <c r="V119" s="411"/>
      <c r="W119" s="405">
        <f>SUM(W101:W118)</f>
        <v>2741871</v>
      </c>
      <c r="X119" s="411"/>
      <c r="Y119" s="405">
        <f>SUM(Y101:Y118)</f>
        <v>2743371</v>
      </c>
      <c r="Z119" s="411"/>
      <c r="AA119" s="404">
        <f>SUM(AA101:AA118)</f>
        <v>3601645.2</v>
      </c>
      <c r="AB119" s="397">
        <f>SUM(E119:AA119)</f>
        <v>29793383.600000001</v>
      </c>
    </row>
  </sheetData>
  <mergeCells count="60">
    <mergeCell ref="H51:I51"/>
    <mergeCell ref="J51:K51"/>
    <mergeCell ref="H4:J4"/>
    <mergeCell ref="B4:D4"/>
    <mergeCell ref="B11:E11"/>
    <mergeCell ref="X51:Y51"/>
    <mergeCell ref="Z51:AA51"/>
    <mergeCell ref="B10:E10"/>
    <mergeCell ref="B51:C51"/>
    <mergeCell ref="B50:AB50"/>
    <mergeCell ref="AB51:AB52"/>
    <mergeCell ref="L51:M51"/>
    <mergeCell ref="N51:O51"/>
    <mergeCell ref="P51:Q51"/>
    <mergeCell ref="R51:S51"/>
    <mergeCell ref="T51:U51"/>
    <mergeCell ref="V51:W51"/>
    <mergeCell ref="B22:E22"/>
    <mergeCell ref="B35:E35"/>
    <mergeCell ref="D51:E51"/>
    <mergeCell ref="F51:G51"/>
    <mergeCell ref="A53:A55"/>
    <mergeCell ref="A56:A64"/>
    <mergeCell ref="A66:A69"/>
    <mergeCell ref="B74:AB74"/>
    <mergeCell ref="B75:C75"/>
    <mergeCell ref="D75:E75"/>
    <mergeCell ref="F75:G75"/>
    <mergeCell ref="H75:I75"/>
    <mergeCell ref="J75:K75"/>
    <mergeCell ref="X75:Y75"/>
    <mergeCell ref="Z75:AA75"/>
    <mergeCell ref="AB75:AB76"/>
    <mergeCell ref="T75:U75"/>
    <mergeCell ref="V75:W75"/>
    <mergeCell ref="A90:A93"/>
    <mergeCell ref="L75:M75"/>
    <mergeCell ref="N75:O75"/>
    <mergeCell ref="P75:Q75"/>
    <mergeCell ref="R75:S75"/>
    <mergeCell ref="A77:A79"/>
    <mergeCell ref="A80:A88"/>
    <mergeCell ref="X99:Y99"/>
    <mergeCell ref="Z99:AA99"/>
    <mergeCell ref="B98:AB98"/>
    <mergeCell ref="B99:C99"/>
    <mergeCell ref="D99:E99"/>
    <mergeCell ref="F99:G99"/>
    <mergeCell ref="H99:I99"/>
    <mergeCell ref="J99:K99"/>
    <mergeCell ref="L99:M99"/>
    <mergeCell ref="N99:O99"/>
    <mergeCell ref="AB99:AB100"/>
    <mergeCell ref="A114:A117"/>
    <mergeCell ref="P99:Q99"/>
    <mergeCell ref="R99:S99"/>
    <mergeCell ref="T99:U99"/>
    <mergeCell ref="V99:W99"/>
    <mergeCell ref="A101:A103"/>
    <mergeCell ref="A104:A112"/>
  </mergeCells>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E91"/>
  <sheetViews>
    <sheetView zoomScale="80" zoomScaleNormal="80" workbookViewId="0">
      <pane xSplit="2" ySplit="1" topLeftCell="AD2" activePane="bottomRight" state="frozen"/>
      <selection pane="topRight" activeCell="C1" sqref="C1"/>
      <selection pane="bottomLeft" activeCell="A2" sqref="A2"/>
      <selection pane="bottomRight" sqref="A1:AE1"/>
    </sheetView>
  </sheetViews>
  <sheetFormatPr baseColWidth="10" defaultColWidth="11.42578125" defaultRowHeight="15" x14ac:dyDescent="0.25"/>
  <cols>
    <col min="1" max="1" width="11.42578125" style="1"/>
    <col min="2" max="2" width="31" style="1" bestFit="1" customWidth="1"/>
    <col min="3" max="3" width="36.140625" style="1" bestFit="1" customWidth="1"/>
    <col min="4" max="4" width="15.140625" style="1" bestFit="1" customWidth="1"/>
    <col min="5" max="5" width="22" style="1" customWidth="1"/>
    <col min="6" max="6" width="23" style="1" customWidth="1"/>
    <col min="7" max="7" width="11.5703125" style="1" bestFit="1" customWidth="1"/>
    <col min="8" max="8" width="15.5703125" style="1" customWidth="1"/>
    <col min="9" max="9" width="14.140625" style="1" bestFit="1" customWidth="1"/>
    <col min="10" max="10" width="15.140625" style="1" bestFit="1" customWidth="1"/>
    <col min="11" max="11" width="16.7109375" style="1" bestFit="1" customWidth="1"/>
    <col min="12" max="12" width="21.28515625" style="1" customWidth="1"/>
    <col min="13" max="13" width="11.42578125" style="1"/>
    <col min="14" max="14" width="13.5703125" style="1" bestFit="1" customWidth="1"/>
    <col min="15" max="15" width="11.42578125" style="1"/>
    <col min="16" max="16" width="12" style="1" bestFit="1" customWidth="1"/>
    <col min="17" max="17" width="11.42578125" style="1"/>
    <col min="18" max="18" width="12" style="1" bestFit="1" customWidth="1"/>
    <col min="19" max="19" width="11.42578125" style="1"/>
    <col min="20" max="20" width="12" style="1" bestFit="1" customWidth="1"/>
    <col min="21" max="21" width="11.42578125" style="1"/>
    <col min="22" max="22" width="12" style="1" bestFit="1" customWidth="1"/>
    <col min="23" max="23" width="17.85546875" style="1" customWidth="1"/>
    <col min="24" max="24" width="12" style="1" bestFit="1" customWidth="1"/>
    <col min="25" max="25" width="12.42578125" style="1" bestFit="1" customWidth="1"/>
    <col min="26" max="26" width="13.5703125" style="1" bestFit="1" customWidth="1"/>
    <col min="27" max="27" width="15.42578125" style="1" customWidth="1"/>
    <col min="28" max="28" width="11.42578125" style="1"/>
    <col min="29" max="29" width="12.42578125" style="1" bestFit="1" customWidth="1"/>
    <col min="30" max="16384" width="11.42578125" style="1"/>
  </cols>
  <sheetData>
    <row r="1" spans="1:31" s="654" customFormat="1" ht="58.5" customHeight="1" x14ac:dyDescent="0.25">
      <c r="A1" s="656"/>
      <c r="B1" s="656"/>
      <c r="C1" s="656"/>
      <c r="D1" s="656"/>
      <c r="E1" s="659" t="s">
        <v>6</v>
      </c>
      <c r="F1" s="662"/>
      <c r="G1" s="662"/>
      <c r="H1" s="656"/>
      <c r="I1" s="656"/>
      <c r="J1" s="656"/>
      <c r="K1" s="656"/>
      <c r="L1" s="656"/>
      <c r="M1" s="656"/>
      <c r="N1" s="656"/>
      <c r="O1" s="656"/>
      <c r="P1" s="656"/>
      <c r="Q1" s="656"/>
      <c r="R1" s="656"/>
      <c r="S1" s="656"/>
      <c r="T1" s="656"/>
      <c r="U1" s="656"/>
      <c r="V1" s="656"/>
      <c r="W1" s="656"/>
      <c r="X1" s="656"/>
      <c r="Y1" s="656"/>
      <c r="Z1" s="656"/>
      <c r="AA1" s="656"/>
      <c r="AB1" s="656"/>
      <c r="AC1" s="656"/>
      <c r="AD1" s="656"/>
      <c r="AE1" s="656"/>
    </row>
    <row r="3" spans="1:31" ht="15.75" thickBot="1" x14ac:dyDescent="0.3"/>
    <row r="4" spans="1:31" ht="27" thickBot="1" x14ac:dyDescent="0.45">
      <c r="B4" s="663" t="s">
        <v>35</v>
      </c>
      <c r="C4" s="664"/>
      <c r="D4" s="665"/>
      <c r="E4" s="39"/>
      <c r="H4" s="663" t="s">
        <v>196</v>
      </c>
      <c r="I4" s="664"/>
      <c r="J4" s="665"/>
    </row>
    <row r="5" spans="1:31" x14ac:dyDescent="0.25">
      <c r="B5" s="34">
        <v>2019</v>
      </c>
      <c r="C5" s="34">
        <v>2020</v>
      </c>
      <c r="D5" s="34">
        <v>2021</v>
      </c>
      <c r="E5" s="245"/>
      <c r="H5" s="116">
        <v>2019</v>
      </c>
      <c r="I5" s="34">
        <v>2020</v>
      </c>
      <c r="J5" s="117">
        <v>2021</v>
      </c>
    </row>
    <row r="6" spans="1:31" ht="15.75" thickBot="1" x14ac:dyDescent="0.3">
      <c r="B6" s="40">
        <f>Hipótesis!C24</f>
        <v>4.9599999999999998E-2</v>
      </c>
      <c r="C6" s="40">
        <f>Hipótesis!C25</f>
        <v>0.1078904648</v>
      </c>
      <c r="D6" s="40">
        <f>Hipótesis!C26</f>
        <v>0.17066814759999999</v>
      </c>
      <c r="E6" s="343"/>
      <c r="H6" s="120">
        <f>$AA$51</f>
        <v>7341662.4450000012</v>
      </c>
      <c r="I6" s="121">
        <f>$AA$69</f>
        <v>8446303.9266666677</v>
      </c>
      <c r="J6" s="122">
        <f>$AA$87</f>
        <v>10262133.115833335</v>
      </c>
    </row>
    <row r="7" spans="1:31" x14ac:dyDescent="0.25">
      <c r="B7" s="33">
        <f>Hipótesis!D24</f>
        <v>301216832</v>
      </c>
      <c r="C7" s="33">
        <f>Hipótesis!D25</f>
        <v>655210161.49321604</v>
      </c>
      <c r="D7" s="33">
        <f>Hipótesis!D26</f>
        <v>1036454006.9229919</v>
      </c>
      <c r="E7" s="340"/>
    </row>
    <row r="10" spans="1:31" ht="15.75" thickBot="1" x14ac:dyDescent="0.3"/>
    <row r="11" spans="1:31" ht="27" thickBot="1" x14ac:dyDescent="0.45">
      <c r="B11" s="663" t="s">
        <v>212</v>
      </c>
      <c r="C11" s="664"/>
      <c r="D11" s="664"/>
      <c r="E11" s="664"/>
      <c r="F11" s="664"/>
      <c r="G11" s="664"/>
      <c r="H11" s="664"/>
      <c r="I11" s="664"/>
      <c r="J11" s="664"/>
      <c r="K11" s="664"/>
      <c r="L11" s="665"/>
    </row>
    <row r="12" spans="1:31" ht="15.75" x14ac:dyDescent="0.25">
      <c r="B12" s="844" t="s">
        <v>203</v>
      </c>
      <c r="C12" s="854" t="s">
        <v>204</v>
      </c>
      <c r="D12" s="852" t="s">
        <v>205</v>
      </c>
      <c r="E12" s="426" t="s">
        <v>197</v>
      </c>
      <c r="F12" s="362" t="s">
        <v>198</v>
      </c>
      <c r="G12" s="362" t="s">
        <v>199</v>
      </c>
      <c r="H12" s="362" t="s">
        <v>200</v>
      </c>
      <c r="I12" s="419" t="s">
        <v>201</v>
      </c>
      <c r="J12" s="436" t="s">
        <v>202</v>
      </c>
      <c r="K12" s="846" t="s">
        <v>214</v>
      </c>
      <c r="L12" s="846" t="s">
        <v>215</v>
      </c>
    </row>
    <row r="13" spans="1:31" ht="16.5" thickBot="1" x14ac:dyDescent="0.3">
      <c r="B13" s="845"/>
      <c r="C13" s="855"/>
      <c r="D13" s="853"/>
      <c r="E13" s="427">
        <v>0.1047</v>
      </c>
      <c r="F13" s="420">
        <v>1.54E-2</v>
      </c>
      <c r="G13" s="421">
        <v>0.06</v>
      </c>
      <c r="H13" s="420">
        <v>9.1999999999999998E-3</v>
      </c>
      <c r="I13" s="421" t="s">
        <v>213</v>
      </c>
      <c r="J13" s="437">
        <v>0.03</v>
      </c>
      <c r="K13" s="847"/>
      <c r="L13" s="847"/>
    </row>
    <row r="14" spans="1:31" ht="15.75" thickBot="1" x14ac:dyDescent="0.3">
      <c r="B14" s="422" t="s">
        <v>206</v>
      </c>
      <c r="C14" s="423"/>
      <c r="D14" s="428">
        <v>80000</v>
      </c>
      <c r="E14" s="332">
        <f>$D$14*E13</f>
        <v>8376</v>
      </c>
      <c r="F14" s="323">
        <f t="shared" ref="F14:J14" si="0">$D$14*F13</f>
        <v>1232</v>
      </c>
      <c r="G14" s="323">
        <f t="shared" si="0"/>
        <v>4800</v>
      </c>
      <c r="H14" s="323">
        <f t="shared" si="0"/>
        <v>736</v>
      </c>
      <c r="I14" s="323">
        <v>18.57</v>
      </c>
      <c r="J14" s="324">
        <f t="shared" si="0"/>
        <v>2400</v>
      </c>
      <c r="K14" s="438">
        <f>SUM(E14:J14)</f>
        <v>17562.57</v>
      </c>
      <c r="L14" s="432">
        <f>D14+K14</f>
        <v>97562.57</v>
      </c>
    </row>
    <row r="15" spans="1:31" x14ac:dyDescent="0.25">
      <c r="B15" s="848" t="s">
        <v>209</v>
      </c>
      <c r="C15" s="424"/>
      <c r="D15" s="429">
        <v>60000</v>
      </c>
      <c r="E15" s="328">
        <f>$D$15*E13</f>
        <v>6282</v>
      </c>
      <c r="F15" s="311">
        <f t="shared" ref="F15:J15" si="1">$D$15*F13</f>
        <v>924</v>
      </c>
      <c r="G15" s="311">
        <f t="shared" si="1"/>
        <v>3600</v>
      </c>
      <c r="H15" s="311">
        <f t="shared" si="1"/>
        <v>552</v>
      </c>
      <c r="I15" s="311">
        <v>18.57</v>
      </c>
      <c r="J15" s="312">
        <f t="shared" si="1"/>
        <v>1800</v>
      </c>
      <c r="K15" s="439">
        <f t="shared" ref="K15:K34" si="2">SUM(E15:J15)</f>
        <v>13176.57</v>
      </c>
      <c r="L15" s="433">
        <f t="shared" ref="L15:L34" si="3">D15+K15</f>
        <v>73176.570000000007</v>
      </c>
    </row>
    <row r="16" spans="1:31" x14ac:dyDescent="0.25">
      <c r="B16" s="849"/>
      <c r="C16" s="205"/>
      <c r="D16" s="430">
        <v>52000</v>
      </c>
      <c r="E16" s="329">
        <f>$D$16*E13</f>
        <v>5444.4</v>
      </c>
      <c r="F16" s="292">
        <f t="shared" ref="F16:J16" si="4">$D$16*F13</f>
        <v>800.80000000000007</v>
      </c>
      <c r="G16" s="292">
        <f t="shared" si="4"/>
        <v>3120</v>
      </c>
      <c r="H16" s="292">
        <f t="shared" si="4"/>
        <v>478.4</v>
      </c>
      <c r="I16" s="292">
        <v>18.57</v>
      </c>
      <c r="J16" s="294">
        <f t="shared" si="4"/>
        <v>1560</v>
      </c>
      <c r="K16" s="440">
        <f t="shared" si="2"/>
        <v>11422.17</v>
      </c>
      <c r="L16" s="434">
        <f t="shared" si="3"/>
        <v>63422.17</v>
      </c>
    </row>
    <row r="17" spans="2:12" x14ac:dyDescent="0.25">
      <c r="B17" s="849"/>
      <c r="C17" s="205"/>
      <c r="D17" s="430">
        <v>52000</v>
      </c>
      <c r="E17" s="329">
        <f>$D$17*E13</f>
        <v>5444.4</v>
      </c>
      <c r="F17" s="292">
        <f t="shared" ref="F17:H17" si="5">$D$17*F13</f>
        <v>800.80000000000007</v>
      </c>
      <c r="G17" s="292">
        <f t="shared" si="5"/>
        <v>3120</v>
      </c>
      <c r="H17" s="292">
        <f t="shared" si="5"/>
        <v>478.4</v>
      </c>
      <c r="I17" s="292">
        <v>18.57</v>
      </c>
      <c r="J17" s="294">
        <f>$D$17*J13</f>
        <v>1560</v>
      </c>
      <c r="K17" s="440">
        <f t="shared" si="2"/>
        <v>11422.17</v>
      </c>
      <c r="L17" s="434">
        <f t="shared" si="3"/>
        <v>63422.17</v>
      </c>
    </row>
    <row r="18" spans="2:12" x14ac:dyDescent="0.25">
      <c r="B18" s="849"/>
      <c r="C18" s="205"/>
      <c r="D18" s="430">
        <v>48000</v>
      </c>
      <c r="E18" s="329">
        <f>$D$18*E13</f>
        <v>5025.6000000000004</v>
      </c>
      <c r="F18" s="292">
        <f t="shared" ref="F18:J18" si="6">$D$18*F13</f>
        <v>739.2</v>
      </c>
      <c r="G18" s="292">
        <f t="shared" si="6"/>
        <v>2880</v>
      </c>
      <c r="H18" s="292">
        <f t="shared" si="6"/>
        <v>441.59999999999997</v>
      </c>
      <c r="I18" s="292">
        <v>18.57</v>
      </c>
      <c r="J18" s="294">
        <f t="shared" si="6"/>
        <v>1440</v>
      </c>
      <c r="K18" s="440">
        <f t="shared" si="2"/>
        <v>10544.97</v>
      </c>
      <c r="L18" s="434">
        <f t="shared" si="3"/>
        <v>58544.97</v>
      </c>
    </row>
    <row r="19" spans="2:12" ht="15.75" thickBot="1" x14ac:dyDescent="0.3">
      <c r="B19" s="850"/>
      <c r="C19" s="425"/>
      <c r="D19" s="431">
        <v>40000</v>
      </c>
      <c r="E19" s="330">
        <f>$D$19*E13</f>
        <v>4188</v>
      </c>
      <c r="F19" s="315">
        <f t="shared" ref="F19:J19" si="7">$D$19*F13</f>
        <v>616</v>
      </c>
      <c r="G19" s="315">
        <f t="shared" si="7"/>
        <v>2400</v>
      </c>
      <c r="H19" s="315">
        <f t="shared" si="7"/>
        <v>368</v>
      </c>
      <c r="I19" s="315">
        <v>18.57</v>
      </c>
      <c r="J19" s="316">
        <f t="shared" si="7"/>
        <v>1200</v>
      </c>
      <c r="K19" s="441">
        <f t="shared" si="2"/>
        <v>8790.57</v>
      </c>
      <c r="L19" s="435">
        <f t="shared" si="3"/>
        <v>48790.57</v>
      </c>
    </row>
    <row r="20" spans="2:12" x14ac:dyDescent="0.25">
      <c r="B20" s="848" t="s">
        <v>207</v>
      </c>
      <c r="C20" s="424"/>
      <c r="D20" s="429">
        <v>52000</v>
      </c>
      <c r="E20" s="328">
        <f>$D$20*E13</f>
        <v>5444.4</v>
      </c>
      <c r="F20" s="311">
        <f t="shared" ref="F20:J20" si="8">$D$20*F13</f>
        <v>800.80000000000007</v>
      </c>
      <c r="G20" s="311">
        <f t="shared" si="8"/>
        <v>3120</v>
      </c>
      <c r="H20" s="311">
        <f t="shared" si="8"/>
        <v>478.4</v>
      </c>
      <c r="I20" s="311">
        <v>18.57</v>
      </c>
      <c r="J20" s="312">
        <f t="shared" si="8"/>
        <v>1560</v>
      </c>
      <c r="K20" s="439">
        <f t="shared" si="2"/>
        <v>11422.17</v>
      </c>
      <c r="L20" s="433">
        <f t="shared" si="3"/>
        <v>63422.17</v>
      </c>
    </row>
    <row r="21" spans="2:12" ht="15.75" thickBot="1" x14ac:dyDescent="0.3">
      <c r="B21" s="850"/>
      <c r="C21" s="425"/>
      <c r="D21" s="431">
        <v>35000</v>
      </c>
      <c r="E21" s="330">
        <f>$D$21*E13</f>
        <v>3664.5</v>
      </c>
      <c r="F21" s="315">
        <f t="shared" ref="F21:J21" si="9">$D$21*F13</f>
        <v>539</v>
      </c>
      <c r="G21" s="315">
        <f t="shared" si="9"/>
        <v>2100</v>
      </c>
      <c r="H21" s="315">
        <f t="shared" si="9"/>
        <v>322</v>
      </c>
      <c r="I21" s="315">
        <v>18.57</v>
      </c>
      <c r="J21" s="316">
        <f t="shared" si="9"/>
        <v>1050</v>
      </c>
      <c r="K21" s="441">
        <f t="shared" si="2"/>
        <v>7694.07</v>
      </c>
      <c r="L21" s="435">
        <f t="shared" si="3"/>
        <v>42694.07</v>
      </c>
    </row>
    <row r="22" spans="2:12" x14ac:dyDescent="0.25">
      <c r="B22" s="848" t="s">
        <v>210</v>
      </c>
      <c r="C22" s="424"/>
      <c r="D22" s="429">
        <v>48000</v>
      </c>
      <c r="E22" s="328">
        <f>$D$22*E13</f>
        <v>5025.6000000000004</v>
      </c>
      <c r="F22" s="311">
        <f t="shared" ref="F22:J22" si="10">$D$22*F13</f>
        <v>739.2</v>
      </c>
      <c r="G22" s="311">
        <f t="shared" si="10"/>
        <v>2880</v>
      </c>
      <c r="H22" s="311">
        <f t="shared" si="10"/>
        <v>441.59999999999997</v>
      </c>
      <c r="I22" s="311">
        <v>18.57</v>
      </c>
      <c r="J22" s="312">
        <f t="shared" si="10"/>
        <v>1440</v>
      </c>
      <c r="K22" s="439">
        <f t="shared" si="2"/>
        <v>10544.97</v>
      </c>
      <c r="L22" s="433">
        <f t="shared" si="3"/>
        <v>58544.97</v>
      </c>
    </row>
    <row r="23" spans="2:12" x14ac:dyDescent="0.25">
      <c r="B23" s="849"/>
      <c r="C23" s="205"/>
      <c r="D23" s="430">
        <v>32000</v>
      </c>
      <c r="E23" s="329">
        <f>$D$23*E13</f>
        <v>3350.4</v>
      </c>
      <c r="F23" s="292">
        <f t="shared" ref="F23:J23" si="11">$D$23*F13</f>
        <v>492.8</v>
      </c>
      <c r="G23" s="292">
        <f t="shared" si="11"/>
        <v>1920</v>
      </c>
      <c r="H23" s="292">
        <f t="shared" si="11"/>
        <v>294.39999999999998</v>
      </c>
      <c r="I23" s="292">
        <v>18.57</v>
      </c>
      <c r="J23" s="294">
        <f t="shared" si="11"/>
        <v>960</v>
      </c>
      <c r="K23" s="440">
        <f t="shared" si="2"/>
        <v>7036.17</v>
      </c>
      <c r="L23" s="434">
        <f t="shared" si="3"/>
        <v>39036.17</v>
      </c>
    </row>
    <row r="24" spans="2:12" x14ac:dyDescent="0.25">
      <c r="B24" s="851"/>
      <c r="C24" s="205"/>
      <c r="D24" s="430">
        <v>32000</v>
      </c>
      <c r="E24" s="329">
        <f>$D$24*E13</f>
        <v>3350.4</v>
      </c>
      <c r="F24" s="329">
        <f t="shared" ref="F24:J24" si="12">$D$24*F13</f>
        <v>492.8</v>
      </c>
      <c r="G24" s="329">
        <f t="shared" si="12"/>
        <v>1920</v>
      </c>
      <c r="H24" s="329">
        <f t="shared" si="12"/>
        <v>294.39999999999998</v>
      </c>
      <c r="I24" s="292">
        <v>18.57</v>
      </c>
      <c r="J24" s="329">
        <f t="shared" si="12"/>
        <v>960</v>
      </c>
      <c r="K24" s="440">
        <f t="shared" si="2"/>
        <v>7036.17</v>
      </c>
      <c r="L24" s="434">
        <f t="shared" ref="L24:L25" si="13">D24+K24</f>
        <v>39036.17</v>
      </c>
    </row>
    <row r="25" spans="2:12" x14ac:dyDescent="0.25">
      <c r="B25" s="851"/>
      <c r="C25" s="259"/>
      <c r="D25" s="442">
        <v>16000</v>
      </c>
      <c r="E25" s="333">
        <f>$D$25*E13</f>
        <v>1675.2</v>
      </c>
      <c r="F25" s="333">
        <f t="shared" ref="F25:J25" si="14">$D$25*F13</f>
        <v>246.4</v>
      </c>
      <c r="G25" s="333">
        <f t="shared" si="14"/>
        <v>960</v>
      </c>
      <c r="H25" s="333">
        <f t="shared" si="14"/>
        <v>147.19999999999999</v>
      </c>
      <c r="I25" s="292">
        <v>18.57</v>
      </c>
      <c r="J25" s="333">
        <f t="shared" si="14"/>
        <v>480</v>
      </c>
      <c r="K25" s="440">
        <f t="shared" si="2"/>
        <v>3527.3700000000003</v>
      </c>
      <c r="L25" s="434">
        <f t="shared" si="13"/>
        <v>19527.37</v>
      </c>
    </row>
    <row r="26" spans="2:12" ht="15.75" thickBot="1" x14ac:dyDescent="0.3">
      <c r="B26" s="850"/>
      <c r="C26" s="425"/>
      <c r="D26" s="431">
        <v>32000</v>
      </c>
      <c r="E26" s="330">
        <f>$D$26*E13</f>
        <v>3350.4</v>
      </c>
      <c r="F26" s="315">
        <f>$D$26*F13</f>
        <v>492.8</v>
      </c>
      <c r="G26" s="315">
        <f>$D$26*G13</f>
        <v>1920</v>
      </c>
      <c r="H26" s="315">
        <f>$D$26*H13</f>
        <v>294.39999999999998</v>
      </c>
      <c r="I26" s="315">
        <v>18.57</v>
      </c>
      <c r="J26" s="316">
        <f>$D$26*J13</f>
        <v>960</v>
      </c>
      <c r="K26" s="441">
        <f>SUM(E26:J26)</f>
        <v>7036.17</v>
      </c>
      <c r="L26" s="435">
        <f>D26+K26</f>
        <v>39036.17</v>
      </c>
    </row>
    <row r="27" spans="2:12" x14ac:dyDescent="0.25">
      <c r="B27" s="848" t="s">
        <v>208</v>
      </c>
      <c r="C27" s="424"/>
      <c r="D27" s="429">
        <v>52000</v>
      </c>
      <c r="E27" s="328">
        <f>$D$27*E13</f>
        <v>5444.4</v>
      </c>
      <c r="F27" s="311">
        <f>$D$27*F13</f>
        <v>800.80000000000007</v>
      </c>
      <c r="G27" s="311">
        <f>$D$27*G13</f>
        <v>3120</v>
      </c>
      <c r="H27" s="311">
        <f>$D$27*H13</f>
        <v>478.4</v>
      </c>
      <c r="I27" s="311">
        <v>18.57</v>
      </c>
      <c r="J27" s="312">
        <f>$D$27*J13</f>
        <v>1560</v>
      </c>
      <c r="K27" s="439">
        <f t="shared" si="2"/>
        <v>11422.17</v>
      </c>
      <c r="L27" s="433">
        <f t="shared" si="3"/>
        <v>63422.17</v>
      </c>
    </row>
    <row r="28" spans="2:12" x14ac:dyDescent="0.25">
      <c r="B28" s="849"/>
      <c r="C28" s="205"/>
      <c r="D28" s="430">
        <v>42000</v>
      </c>
      <c r="E28" s="329">
        <f>$D$28*E13</f>
        <v>4397.3999999999996</v>
      </c>
      <c r="F28" s="292">
        <f>$D$28*F13</f>
        <v>646.80000000000007</v>
      </c>
      <c r="G28" s="292">
        <f>$D$28*G13</f>
        <v>2520</v>
      </c>
      <c r="H28" s="292">
        <f>$D$28*H13</f>
        <v>386.4</v>
      </c>
      <c r="I28" s="292">
        <v>18.57</v>
      </c>
      <c r="J28" s="294">
        <f>$D$28*J13</f>
        <v>1260</v>
      </c>
      <c r="K28" s="440">
        <f t="shared" si="2"/>
        <v>9229.1699999999983</v>
      </c>
      <c r="L28" s="434">
        <f t="shared" si="3"/>
        <v>51229.17</v>
      </c>
    </row>
    <row r="29" spans="2:12" ht="15.75" thickBot="1" x14ac:dyDescent="0.3">
      <c r="B29" s="850"/>
      <c r="C29" s="425"/>
      <c r="D29" s="431">
        <v>40000</v>
      </c>
      <c r="E29" s="330">
        <f>$D$29*E13</f>
        <v>4188</v>
      </c>
      <c r="F29" s="315">
        <f>$D$29*F13</f>
        <v>616</v>
      </c>
      <c r="G29" s="315">
        <f>$D$29*G13</f>
        <v>2400</v>
      </c>
      <c r="H29" s="315">
        <f>$D$29*H13</f>
        <v>368</v>
      </c>
      <c r="I29" s="315">
        <v>18.57</v>
      </c>
      <c r="J29" s="316">
        <f>$D$29*J13</f>
        <v>1200</v>
      </c>
      <c r="K29" s="441">
        <f t="shared" si="2"/>
        <v>8790.57</v>
      </c>
      <c r="L29" s="435">
        <f t="shared" si="3"/>
        <v>48790.57</v>
      </c>
    </row>
    <row r="30" spans="2:12" x14ac:dyDescent="0.25">
      <c r="B30" s="848" t="s">
        <v>211</v>
      </c>
      <c r="C30" s="424"/>
      <c r="D30" s="429">
        <v>48000</v>
      </c>
      <c r="E30" s="328">
        <f>$D$30*E13</f>
        <v>5025.6000000000004</v>
      </c>
      <c r="F30" s="311">
        <f>$D$30*F13</f>
        <v>739.2</v>
      </c>
      <c r="G30" s="311">
        <f>$D$30*G13</f>
        <v>2880</v>
      </c>
      <c r="H30" s="311">
        <f>$D$30*H13</f>
        <v>441.59999999999997</v>
      </c>
      <c r="I30" s="311">
        <v>18.57</v>
      </c>
      <c r="J30" s="312">
        <f>$D$30*J13</f>
        <v>1440</v>
      </c>
      <c r="K30" s="439">
        <f t="shared" si="2"/>
        <v>10544.97</v>
      </c>
      <c r="L30" s="433">
        <f t="shared" si="3"/>
        <v>58544.97</v>
      </c>
    </row>
    <row r="31" spans="2:12" x14ac:dyDescent="0.25">
      <c r="B31" s="849"/>
      <c r="C31" s="205"/>
      <c r="D31" s="430">
        <v>40000</v>
      </c>
      <c r="E31" s="329">
        <f>$D$31*E13</f>
        <v>4188</v>
      </c>
      <c r="F31" s="292">
        <f>$D$31*F13</f>
        <v>616</v>
      </c>
      <c r="G31" s="292">
        <f>$D$31*G13</f>
        <v>2400</v>
      </c>
      <c r="H31" s="292">
        <f>$D$31*H13</f>
        <v>368</v>
      </c>
      <c r="I31" s="292">
        <v>18.57</v>
      </c>
      <c r="J31" s="294">
        <f>$D$31*J13</f>
        <v>1200</v>
      </c>
      <c r="K31" s="440">
        <f t="shared" si="2"/>
        <v>8790.57</v>
      </c>
      <c r="L31" s="434">
        <f t="shared" si="3"/>
        <v>48790.57</v>
      </c>
    </row>
    <row r="32" spans="2:12" x14ac:dyDescent="0.25">
      <c r="B32" s="849"/>
      <c r="C32" s="205"/>
      <c r="D32" s="430">
        <v>35000</v>
      </c>
      <c r="E32" s="329">
        <f>$D$32*E13</f>
        <v>3664.5</v>
      </c>
      <c r="F32" s="292">
        <f>$D$32*F13</f>
        <v>539</v>
      </c>
      <c r="G32" s="292">
        <f>$D$32*G13</f>
        <v>2100</v>
      </c>
      <c r="H32" s="292">
        <f>$D$32*H13</f>
        <v>322</v>
      </c>
      <c r="I32" s="292">
        <v>18.57</v>
      </c>
      <c r="J32" s="294">
        <f>$D$32*J13</f>
        <v>1050</v>
      </c>
      <c r="K32" s="440">
        <f t="shared" si="2"/>
        <v>7694.07</v>
      </c>
      <c r="L32" s="434">
        <f t="shared" si="3"/>
        <v>42694.07</v>
      </c>
    </row>
    <row r="33" spans="2:27" x14ac:dyDescent="0.25">
      <c r="B33" s="849"/>
      <c r="C33" s="205"/>
      <c r="D33" s="430">
        <v>38000</v>
      </c>
      <c r="E33" s="329">
        <f>$D$33*E13</f>
        <v>3978.6</v>
      </c>
      <c r="F33" s="292">
        <f>$D$33*F13</f>
        <v>585.20000000000005</v>
      </c>
      <c r="G33" s="292">
        <f>$D$33*G13</f>
        <v>2280</v>
      </c>
      <c r="H33" s="292">
        <f>$D$33*H13</f>
        <v>349.59999999999997</v>
      </c>
      <c r="I33" s="292">
        <v>18.57</v>
      </c>
      <c r="J33" s="294">
        <f>$D$33*J13</f>
        <v>1140</v>
      </c>
      <c r="K33" s="440">
        <f t="shared" si="2"/>
        <v>8351.9700000000012</v>
      </c>
      <c r="L33" s="434">
        <f t="shared" si="3"/>
        <v>46351.97</v>
      </c>
    </row>
    <row r="34" spans="2:27" ht="15.75" thickBot="1" x14ac:dyDescent="0.3">
      <c r="B34" s="850"/>
      <c r="C34" s="425"/>
      <c r="D34" s="431">
        <v>42000</v>
      </c>
      <c r="E34" s="330">
        <f>$D$34*E13</f>
        <v>4397.3999999999996</v>
      </c>
      <c r="F34" s="315">
        <f>$D$34*F13</f>
        <v>646.80000000000007</v>
      </c>
      <c r="G34" s="315">
        <f>$D$34*G13</f>
        <v>2520</v>
      </c>
      <c r="H34" s="315">
        <f>$D$34*H13</f>
        <v>386.4</v>
      </c>
      <c r="I34" s="315">
        <v>18.57</v>
      </c>
      <c r="J34" s="316">
        <f>$D$34*J13</f>
        <v>1260</v>
      </c>
      <c r="K34" s="441">
        <f t="shared" si="2"/>
        <v>9229.1699999999983</v>
      </c>
      <c r="L34" s="435">
        <f t="shared" si="3"/>
        <v>51229.17</v>
      </c>
    </row>
    <row r="37" spans="2:27" ht="15.75" thickBot="1" x14ac:dyDescent="0.3"/>
    <row r="38" spans="2:27" ht="27" thickBot="1" x14ac:dyDescent="0.45">
      <c r="B38" s="669" t="s">
        <v>218</v>
      </c>
      <c r="C38" s="670"/>
      <c r="D38" s="670"/>
      <c r="E38" s="670"/>
      <c r="F38" s="670"/>
      <c r="G38" s="670"/>
      <c r="H38" s="670"/>
      <c r="I38" s="670"/>
      <c r="J38" s="670"/>
      <c r="K38" s="670"/>
      <c r="L38" s="670"/>
      <c r="M38" s="670"/>
      <c r="N38" s="670"/>
      <c r="O38" s="670"/>
      <c r="P38" s="670"/>
      <c r="Q38" s="670"/>
      <c r="R38" s="670"/>
      <c r="S38" s="670"/>
      <c r="T38" s="670"/>
      <c r="U38" s="670"/>
      <c r="V38" s="670"/>
      <c r="W38" s="670"/>
      <c r="X38" s="670"/>
      <c r="Y38" s="670"/>
      <c r="Z38" s="670"/>
      <c r="AA38" s="671"/>
    </row>
    <row r="39" spans="2:27" ht="15.75" x14ac:dyDescent="0.25">
      <c r="B39" s="839" t="s">
        <v>204</v>
      </c>
      <c r="C39" s="841" t="s">
        <v>40</v>
      </c>
      <c r="D39" s="841"/>
      <c r="E39" s="841" t="s">
        <v>41</v>
      </c>
      <c r="F39" s="841"/>
      <c r="G39" s="841" t="s">
        <v>42</v>
      </c>
      <c r="H39" s="841"/>
      <c r="I39" s="841" t="s">
        <v>43</v>
      </c>
      <c r="J39" s="841"/>
      <c r="K39" s="841" t="s">
        <v>44</v>
      </c>
      <c r="L39" s="841"/>
      <c r="M39" s="841" t="s">
        <v>216</v>
      </c>
      <c r="N39" s="841"/>
      <c r="O39" s="841" t="s">
        <v>46</v>
      </c>
      <c r="P39" s="841"/>
      <c r="Q39" s="841" t="s">
        <v>47</v>
      </c>
      <c r="R39" s="841"/>
      <c r="S39" s="841" t="s">
        <v>48</v>
      </c>
      <c r="T39" s="841"/>
      <c r="U39" s="841" t="s">
        <v>49</v>
      </c>
      <c r="V39" s="841"/>
      <c r="W39" s="841" t="s">
        <v>50</v>
      </c>
      <c r="X39" s="841"/>
      <c r="Y39" s="841" t="s">
        <v>217</v>
      </c>
      <c r="Z39" s="841"/>
      <c r="AA39" s="842" t="s">
        <v>157</v>
      </c>
    </row>
    <row r="40" spans="2:27" ht="15.75" x14ac:dyDescent="0.25">
      <c r="B40" s="840"/>
      <c r="C40" s="443" t="s">
        <v>60</v>
      </c>
      <c r="D40" s="443" t="s">
        <v>107</v>
      </c>
      <c r="E40" s="443" t="s">
        <v>60</v>
      </c>
      <c r="F40" s="443" t="s">
        <v>107</v>
      </c>
      <c r="G40" s="443" t="s">
        <v>60</v>
      </c>
      <c r="H40" s="443" t="s">
        <v>107</v>
      </c>
      <c r="I40" s="443" t="s">
        <v>60</v>
      </c>
      <c r="J40" s="443" t="s">
        <v>107</v>
      </c>
      <c r="K40" s="443" t="s">
        <v>60</v>
      </c>
      <c r="L40" s="443" t="s">
        <v>107</v>
      </c>
      <c r="M40" s="443" t="s">
        <v>60</v>
      </c>
      <c r="N40" s="443" t="s">
        <v>107</v>
      </c>
      <c r="O40" s="443" t="s">
        <v>60</v>
      </c>
      <c r="P40" s="443" t="s">
        <v>107</v>
      </c>
      <c r="Q40" s="443" t="s">
        <v>60</v>
      </c>
      <c r="R40" s="443" t="s">
        <v>107</v>
      </c>
      <c r="S40" s="443" t="s">
        <v>60</v>
      </c>
      <c r="T40" s="443" t="s">
        <v>107</v>
      </c>
      <c r="U40" s="443" t="s">
        <v>60</v>
      </c>
      <c r="V40" s="443" t="s">
        <v>107</v>
      </c>
      <c r="W40" s="443" t="s">
        <v>60</v>
      </c>
      <c r="X40" s="443" t="s">
        <v>107</v>
      </c>
      <c r="Y40" s="443" t="s">
        <v>60</v>
      </c>
      <c r="Z40" s="443" t="s">
        <v>107</v>
      </c>
      <c r="AA40" s="843"/>
    </row>
    <row r="41" spans="2:27" x14ac:dyDescent="0.25">
      <c r="B41" s="457"/>
      <c r="C41" s="341">
        <v>1</v>
      </c>
      <c r="D41" s="342">
        <f>C41*$L$14</f>
        <v>97562.57</v>
      </c>
      <c r="E41" s="341">
        <v>1</v>
      </c>
      <c r="F41" s="342">
        <f>E41*$L$14</f>
        <v>97562.57</v>
      </c>
      <c r="G41" s="341">
        <v>1</v>
      </c>
      <c r="H41" s="342">
        <f>G41*$L$14</f>
        <v>97562.57</v>
      </c>
      <c r="I41" s="341">
        <v>1</v>
      </c>
      <c r="J41" s="342">
        <f>I41*$L$14</f>
        <v>97562.57</v>
      </c>
      <c r="K41" s="341">
        <v>1</v>
      </c>
      <c r="L41" s="342">
        <f>K41*$L$14</f>
        <v>97562.57</v>
      </c>
      <c r="M41" s="341">
        <v>1</v>
      </c>
      <c r="N41" s="342">
        <f>M41*$L$14*1.5</f>
        <v>146343.85500000001</v>
      </c>
      <c r="O41" s="341">
        <v>1</v>
      </c>
      <c r="P41" s="342">
        <f>O41*$L$14</f>
        <v>97562.57</v>
      </c>
      <c r="Q41" s="341">
        <v>1</v>
      </c>
      <c r="R41" s="342">
        <f>Q41*$L$14</f>
        <v>97562.57</v>
      </c>
      <c r="S41" s="341">
        <v>1</v>
      </c>
      <c r="T41" s="342">
        <f>S41*$L$14</f>
        <v>97562.57</v>
      </c>
      <c r="U41" s="341">
        <v>1</v>
      </c>
      <c r="V41" s="342">
        <f>U41*$L$14</f>
        <v>97562.57</v>
      </c>
      <c r="W41" s="341">
        <v>1</v>
      </c>
      <c r="X41" s="342">
        <f>W41*$L$14</f>
        <v>97562.57</v>
      </c>
      <c r="Y41" s="341">
        <v>1</v>
      </c>
      <c r="Z41" s="342">
        <f>Y41*$L$14*1.5</f>
        <v>146343.85500000001</v>
      </c>
      <c r="AA41" s="458">
        <f>D41+F41+H41+J41+L41+N41+P41+R41+T41+V41+X41+Z41</f>
        <v>1268313.4100000004</v>
      </c>
    </row>
    <row r="42" spans="2:27" x14ac:dyDescent="0.25">
      <c r="B42" s="459"/>
      <c r="C42" s="341">
        <v>1</v>
      </c>
      <c r="D42" s="342">
        <f>C42*$L$15</f>
        <v>73176.570000000007</v>
      </c>
      <c r="E42" s="341">
        <v>1</v>
      </c>
      <c r="F42" s="342">
        <f>E42*$L$15</f>
        <v>73176.570000000007</v>
      </c>
      <c r="G42" s="341">
        <v>1</v>
      </c>
      <c r="H42" s="342">
        <f>G42*$L$15</f>
        <v>73176.570000000007</v>
      </c>
      <c r="I42" s="341">
        <v>1</v>
      </c>
      <c r="J42" s="342">
        <f>I42*$L$15</f>
        <v>73176.570000000007</v>
      </c>
      <c r="K42" s="341">
        <v>1</v>
      </c>
      <c r="L42" s="342">
        <f>K42*$L$15</f>
        <v>73176.570000000007</v>
      </c>
      <c r="M42" s="341">
        <v>1</v>
      </c>
      <c r="N42" s="342">
        <f>M42*$L$15*1.5</f>
        <v>109764.85500000001</v>
      </c>
      <c r="O42" s="341">
        <v>1</v>
      </c>
      <c r="P42" s="342">
        <f>O42*$L$15</f>
        <v>73176.570000000007</v>
      </c>
      <c r="Q42" s="341">
        <v>1</v>
      </c>
      <c r="R42" s="342">
        <f>Q42*$L$15</f>
        <v>73176.570000000007</v>
      </c>
      <c r="S42" s="341">
        <v>1</v>
      </c>
      <c r="T42" s="342">
        <f>S42*$L$15</f>
        <v>73176.570000000007</v>
      </c>
      <c r="U42" s="341">
        <v>1</v>
      </c>
      <c r="V42" s="342">
        <f>U42*$L$15</f>
        <v>73176.570000000007</v>
      </c>
      <c r="W42" s="341">
        <v>1</v>
      </c>
      <c r="X42" s="342">
        <f>W42*$L$15</f>
        <v>73176.570000000007</v>
      </c>
      <c r="Y42" s="341">
        <v>1</v>
      </c>
      <c r="Z42" s="342">
        <f>Y42*$L$15*1.5</f>
        <v>109764.85500000001</v>
      </c>
      <c r="AA42" s="458">
        <f t="shared" ref="AA42:AA50" si="15">D42+F42+H42+J42+L42+N42+P42+R42+T42+V42+X42+Z42</f>
        <v>951295.41000000038</v>
      </c>
    </row>
    <row r="43" spans="2:27" x14ac:dyDescent="0.25">
      <c r="B43" s="459"/>
      <c r="C43" s="341">
        <v>1</v>
      </c>
      <c r="D43" s="342">
        <f>C43*$L$27</f>
        <v>63422.17</v>
      </c>
      <c r="E43" s="341">
        <v>1</v>
      </c>
      <c r="F43" s="342">
        <f>E43*$L$27</f>
        <v>63422.17</v>
      </c>
      <c r="G43" s="341">
        <v>1</v>
      </c>
      <c r="H43" s="342">
        <f>G43*$L$27</f>
        <v>63422.17</v>
      </c>
      <c r="I43" s="341">
        <v>1</v>
      </c>
      <c r="J43" s="342">
        <f>I43*$L$27</f>
        <v>63422.17</v>
      </c>
      <c r="K43" s="341">
        <v>1</v>
      </c>
      <c r="L43" s="342">
        <f>K43*$L$27</f>
        <v>63422.17</v>
      </c>
      <c r="M43" s="341">
        <v>1</v>
      </c>
      <c r="N43" s="342">
        <f>M43*$L$27*1.5</f>
        <v>95133.255000000005</v>
      </c>
      <c r="O43" s="341">
        <v>1</v>
      </c>
      <c r="P43" s="342">
        <f>O43*$L$27</f>
        <v>63422.17</v>
      </c>
      <c r="Q43" s="341">
        <v>1</v>
      </c>
      <c r="R43" s="342">
        <f>Q43*$L$27</f>
        <v>63422.17</v>
      </c>
      <c r="S43" s="341">
        <v>1</v>
      </c>
      <c r="T43" s="342">
        <f>S43*$L$27</f>
        <v>63422.17</v>
      </c>
      <c r="U43" s="341">
        <v>1</v>
      </c>
      <c r="V43" s="342">
        <f>U43*$L$27</f>
        <v>63422.17</v>
      </c>
      <c r="W43" s="341">
        <v>1</v>
      </c>
      <c r="X43" s="342">
        <f>W43*$L$27</f>
        <v>63422.17</v>
      </c>
      <c r="Y43" s="341">
        <v>1</v>
      </c>
      <c r="Z43" s="342">
        <f>Y43*$L$27*1.5</f>
        <v>95133.255000000005</v>
      </c>
      <c r="AA43" s="458">
        <f t="shared" si="15"/>
        <v>824488.21000000008</v>
      </c>
    </row>
    <row r="44" spans="2:27" x14ac:dyDescent="0.25">
      <c r="B44" s="459"/>
      <c r="C44" s="341">
        <v>0</v>
      </c>
      <c r="D44" s="342">
        <v>0</v>
      </c>
      <c r="E44" s="341">
        <v>0</v>
      </c>
      <c r="F44" s="342">
        <v>0</v>
      </c>
      <c r="G44" s="341">
        <v>0</v>
      </c>
      <c r="H44" s="342">
        <v>0</v>
      </c>
      <c r="I44" s="341">
        <v>0</v>
      </c>
      <c r="J44" s="342">
        <v>0</v>
      </c>
      <c r="K44" s="341">
        <v>0</v>
      </c>
      <c r="L44" s="342">
        <v>0</v>
      </c>
      <c r="M44" s="341">
        <v>0</v>
      </c>
      <c r="N44" s="342">
        <v>0</v>
      </c>
      <c r="O44" s="341">
        <v>0</v>
      </c>
      <c r="P44" s="342">
        <v>0</v>
      </c>
      <c r="Q44" s="341">
        <v>0</v>
      </c>
      <c r="R44" s="342">
        <v>0</v>
      </c>
      <c r="S44" s="341">
        <v>0</v>
      </c>
      <c r="T44" s="342">
        <v>0</v>
      </c>
      <c r="U44" s="341">
        <v>0</v>
      </c>
      <c r="V44" s="342">
        <v>0</v>
      </c>
      <c r="W44" s="445">
        <v>1</v>
      </c>
      <c r="X44" s="342">
        <f>$L$28*W44</f>
        <v>51229.17</v>
      </c>
      <c r="Y44" s="341">
        <v>1</v>
      </c>
      <c r="Z44" s="342">
        <f>$L$28*Y44*(1+2/12)</f>
        <v>59767.365000000005</v>
      </c>
      <c r="AA44" s="458">
        <f t="shared" si="15"/>
        <v>110996.535</v>
      </c>
    </row>
    <row r="45" spans="2:27" x14ac:dyDescent="0.25">
      <c r="B45" s="459"/>
      <c r="C45" s="341">
        <v>1</v>
      </c>
      <c r="D45" s="342">
        <f>C45*$L$30</f>
        <v>58544.97</v>
      </c>
      <c r="E45" s="341">
        <v>1</v>
      </c>
      <c r="F45" s="342">
        <f>E45*$L$30</f>
        <v>58544.97</v>
      </c>
      <c r="G45" s="341">
        <v>1</v>
      </c>
      <c r="H45" s="342">
        <f>G45*$L$30</f>
        <v>58544.97</v>
      </c>
      <c r="I45" s="341">
        <v>1</v>
      </c>
      <c r="J45" s="342">
        <f>I45*$L$30</f>
        <v>58544.97</v>
      </c>
      <c r="K45" s="341">
        <v>1</v>
      </c>
      <c r="L45" s="342">
        <f>K45*$L$30</f>
        <v>58544.97</v>
      </c>
      <c r="M45" s="341">
        <v>1</v>
      </c>
      <c r="N45" s="342">
        <f>M45*$L$30*1.5</f>
        <v>87817.455000000002</v>
      </c>
      <c r="O45" s="341">
        <v>1</v>
      </c>
      <c r="P45" s="342">
        <f>O45*$L$30</f>
        <v>58544.97</v>
      </c>
      <c r="Q45" s="341">
        <v>1</v>
      </c>
      <c r="R45" s="342">
        <f>Q45*$L$30</f>
        <v>58544.97</v>
      </c>
      <c r="S45" s="341">
        <v>1</v>
      </c>
      <c r="T45" s="342">
        <f>S45*$L$30</f>
        <v>58544.97</v>
      </c>
      <c r="U45" s="341">
        <v>1</v>
      </c>
      <c r="V45" s="342">
        <f>U45*$L$30</f>
        <v>58544.97</v>
      </c>
      <c r="W45" s="341">
        <v>1</v>
      </c>
      <c r="X45" s="342">
        <f>W45*$L$30</f>
        <v>58544.97</v>
      </c>
      <c r="Y45" s="341">
        <v>1</v>
      </c>
      <c r="Z45" s="342">
        <f>Y45*$L$30*1.5</f>
        <v>87817.455000000002</v>
      </c>
      <c r="AA45" s="458">
        <f t="shared" si="15"/>
        <v>761084.60999999987</v>
      </c>
    </row>
    <row r="46" spans="2:27" x14ac:dyDescent="0.25">
      <c r="B46" s="459"/>
      <c r="C46" s="341">
        <v>1</v>
      </c>
      <c r="D46" s="342">
        <f>C46*$L$31</f>
        <v>48790.57</v>
      </c>
      <c r="E46" s="341">
        <v>1</v>
      </c>
      <c r="F46" s="342">
        <f>E46*$L$31</f>
        <v>48790.57</v>
      </c>
      <c r="G46" s="341">
        <v>1</v>
      </c>
      <c r="H46" s="342">
        <f>G46*$L$31</f>
        <v>48790.57</v>
      </c>
      <c r="I46" s="341">
        <v>1</v>
      </c>
      <c r="J46" s="342">
        <f>I46*$L$31</f>
        <v>48790.57</v>
      </c>
      <c r="K46" s="341">
        <v>1</v>
      </c>
      <c r="L46" s="342">
        <f>K46*$L$31</f>
        <v>48790.57</v>
      </c>
      <c r="M46" s="341">
        <v>1</v>
      </c>
      <c r="N46" s="342">
        <f>M46*$L$31*1.5</f>
        <v>73185.854999999996</v>
      </c>
      <c r="O46" s="341">
        <v>1</v>
      </c>
      <c r="P46" s="342">
        <f>O46*$L$31</f>
        <v>48790.57</v>
      </c>
      <c r="Q46" s="341">
        <v>1</v>
      </c>
      <c r="R46" s="342">
        <f>Q46*$L$31</f>
        <v>48790.57</v>
      </c>
      <c r="S46" s="341">
        <v>1</v>
      </c>
      <c r="T46" s="342">
        <f>S46*$L$31</f>
        <v>48790.57</v>
      </c>
      <c r="U46" s="341">
        <v>1</v>
      </c>
      <c r="V46" s="342">
        <f>U46*$L$31</f>
        <v>48790.57</v>
      </c>
      <c r="W46" s="341">
        <v>1</v>
      </c>
      <c r="X46" s="342">
        <f>W46*$L$31</f>
        <v>48790.57</v>
      </c>
      <c r="Y46" s="341">
        <v>1</v>
      </c>
      <c r="Z46" s="342">
        <f>Y46*$L$31*1.5</f>
        <v>73185.854999999996</v>
      </c>
      <c r="AA46" s="458">
        <f t="shared" si="15"/>
        <v>634277.41</v>
      </c>
    </row>
    <row r="47" spans="2:27" x14ac:dyDescent="0.25">
      <c r="B47" s="459"/>
      <c r="C47" s="341">
        <v>1</v>
      </c>
      <c r="D47" s="342">
        <f>C47*$L$23</f>
        <v>39036.17</v>
      </c>
      <c r="E47" s="341">
        <v>1</v>
      </c>
      <c r="F47" s="342">
        <f>E47*$L$23</f>
        <v>39036.17</v>
      </c>
      <c r="G47" s="341">
        <v>1</v>
      </c>
      <c r="H47" s="342">
        <f>G47*$L$23</f>
        <v>39036.17</v>
      </c>
      <c r="I47" s="341">
        <v>1</v>
      </c>
      <c r="J47" s="342">
        <f>I47*$L$23</f>
        <v>39036.17</v>
      </c>
      <c r="K47" s="341">
        <v>1</v>
      </c>
      <c r="L47" s="342">
        <f>K47*$L$23</f>
        <v>39036.17</v>
      </c>
      <c r="M47" s="341">
        <v>1</v>
      </c>
      <c r="N47" s="342">
        <f>M47*$L$23*1.5</f>
        <v>58554.254999999997</v>
      </c>
      <c r="O47" s="341">
        <v>1</v>
      </c>
      <c r="P47" s="342">
        <f>O47*$L$23</f>
        <v>39036.17</v>
      </c>
      <c r="Q47" s="341">
        <v>1</v>
      </c>
      <c r="R47" s="342">
        <f>Q47*$L$23</f>
        <v>39036.17</v>
      </c>
      <c r="S47" s="341">
        <v>1</v>
      </c>
      <c r="T47" s="342">
        <f>S47*$L$23</f>
        <v>39036.17</v>
      </c>
      <c r="U47" s="341">
        <v>1</v>
      </c>
      <c r="V47" s="342">
        <f>U47*$L$23</f>
        <v>39036.17</v>
      </c>
      <c r="W47" s="341">
        <v>1</v>
      </c>
      <c r="X47" s="342">
        <f>W47*$L$23</f>
        <v>39036.17</v>
      </c>
      <c r="Y47" s="341">
        <v>1</v>
      </c>
      <c r="Z47" s="342">
        <f>Y47*$L$23*1.5</f>
        <v>58554.254999999997</v>
      </c>
      <c r="AA47" s="458">
        <f t="shared" si="15"/>
        <v>507470.2099999999</v>
      </c>
    </row>
    <row r="48" spans="2:27" x14ac:dyDescent="0.25">
      <c r="B48" s="459"/>
      <c r="C48" s="341">
        <v>2</v>
      </c>
      <c r="D48" s="342">
        <f>C48*$L$26</f>
        <v>78072.34</v>
      </c>
      <c r="E48" s="341">
        <v>2</v>
      </c>
      <c r="F48" s="342">
        <f>E48*$L$26</f>
        <v>78072.34</v>
      </c>
      <c r="G48" s="341">
        <v>2</v>
      </c>
      <c r="H48" s="342">
        <f>G48*$L$26</f>
        <v>78072.34</v>
      </c>
      <c r="I48" s="341">
        <v>2</v>
      </c>
      <c r="J48" s="342">
        <f>I48*$L$26</f>
        <v>78072.34</v>
      </c>
      <c r="K48" s="341">
        <v>2</v>
      </c>
      <c r="L48" s="342">
        <f>K48*$L$26</f>
        <v>78072.34</v>
      </c>
      <c r="M48" s="341">
        <v>2</v>
      </c>
      <c r="N48" s="342">
        <f>M48*$L$26*1.5</f>
        <v>117108.51</v>
      </c>
      <c r="O48" s="341">
        <v>2</v>
      </c>
      <c r="P48" s="342">
        <f>O48*$L$26</f>
        <v>78072.34</v>
      </c>
      <c r="Q48" s="341">
        <v>2</v>
      </c>
      <c r="R48" s="342">
        <f>Q48*$L$26</f>
        <v>78072.34</v>
      </c>
      <c r="S48" s="341">
        <v>2</v>
      </c>
      <c r="T48" s="342">
        <f>S48*$L$26</f>
        <v>78072.34</v>
      </c>
      <c r="U48" s="341">
        <v>2</v>
      </c>
      <c r="V48" s="342">
        <f>U48*$L$26</f>
        <v>78072.34</v>
      </c>
      <c r="W48" s="341">
        <v>2</v>
      </c>
      <c r="X48" s="342">
        <f>W48*$L$26</f>
        <v>78072.34</v>
      </c>
      <c r="Y48" s="341">
        <v>2</v>
      </c>
      <c r="Z48" s="342">
        <f>Y48*$L$26*1.5</f>
        <v>117108.51</v>
      </c>
      <c r="AA48" s="458">
        <f t="shared" si="15"/>
        <v>1014940.4199999998</v>
      </c>
    </row>
    <row r="49" spans="2:27" x14ac:dyDescent="0.25">
      <c r="B49" s="459"/>
      <c r="C49" s="341">
        <v>2</v>
      </c>
      <c r="D49" s="342">
        <f>C49*$L$24</f>
        <v>78072.34</v>
      </c>
      <c r="E49" s="341">
        <v>2</v>
      </c>
      <c r="F49" s="342">
        <f>E49*$L$24</f>
        <v>78072.34</v>
      </c>
      <c r="G49" s="341">
        <v>2</v>
      </c>
      <c r="H49" s="342">
        <f>G49*$L$24</f>
        <v>78072.34</v>
      </c>
      <c r="I49" s="341">
        <v>2</v>
      </c>
      <c r="J49" s="342">
        <f>I49*$L$24</f>
        <v>78072.34</v>
      </c>
      <c r="K49" s="341">
        <v>2</v>
      </c>
      <c r="L49" s="342">
        <f>K49*$L$24</f>
        <v>78072.34</v>
      </c>
      <c r="M49" s="341">
        <v>2</v>
      </c>
      <c r="N49" s="342">
        <f>M49*$L$24*1.5</f>
        <v>117108.51</v>
      </c>
      <c r="O49" s="341">
        <v>2</v>
      </c>
      <c r="P49" s="342">
        <f>O49*$L$24</f>
        <v>78072.34</v>
      </c>
      <c r="Q49" s="341">
        <v>2</v>
      </c>
      <c r="R49" s="342">
        <f>Q49*$L$24</f>
        <v>78072.34</v>
      </c>
      <c r="S49" s="341">
        <v>2</v>
      </c>
      <c r="T49" s="342">
        <f>S49*$L$24</f>
        <v>78072.34</v>
      </c>
      <c r="U49" s="341">
        <v>2</v>
      </c>
      <c r="V49" s="342">
        <f>U49*$L$24</f>
        <v>78072.34</v>
      </c>
      <c r="W49" s="341">
        <v>2</v>
      </c>
      <c r="X49" s="342">
        <f>W49*$L$24</f>
        <v>78072.34</v>
      </c>
      <c r="Y49" s="341">
        <v>2</v>
      </c>
      <c r="Z49" s="342">
        <f>Y49*$L$24*1.5</f>
        <v>117108.51</v>
      </c>
      <c r="AA49" s="458">
        <f t="shared" si="15"/>
        <v>1014940.4199999998</v>
      </c>
    </row>
    <row r="50" spans="2:27" x14ac:dyDescent="0.25">
      <c r="B50" s="457"/>
      <c r="C50" s="341">
        <v>1</v>
      </c>
      <c r="D50" s="342">
        <f>C50*$L$25</f>
        <v>19527.37</v>
      </c>
      <c r="E50" s="341">
        <v>1</v>
      </c>
      <c r="F50" s="342">
        <f>E50*$L$25</f>
        <v>19527.37</v>
      </c>
      <c r="G50" s="341">
        <v>1</v>
      </c>
      <c r="H50" s="342">
        <f>G50*$L$25</f>
        <v>19527.37</v>
      </c>
      <c r="I50" s="341">
        <v>1</v>
      </c>
      <c r="J50" s="342">
        <f>I50*$L$25</f>
        <v>19527.37</v>
      </c>
      <c r="K50" s="341">
        <v>1</v>
      </c>
      <c r="L50" s="342">
        <f>K50*$L$25</f>
        <v>19527.37</v>
      </c>
      <c r="M50" s="341">
        <v>1</v>
      </c>
      <c r="N50" s="342">
        <f>M50*$L$25*1.5</f>
        <v>29291.055</v>
      </c>
      <c r="O50" s="341">
        <v>1</v>
      </c>
      <c r="P50" s="342">
        <f>O50*$L$25</f>
        <v>19527.37</v>
      </c>
      <c r="Q50" s="341">
        <v>1</v>
      </c>
      <c r="R50" s="342">
        <f>Q50*$L$25</f>
        <v>19527.37</v>
      </c>
      <c r="S50" s="341">
        <v>1</v>
      </c>
      <c r="T50" s="342">
        <f>S50*$L$25</f>
        <v>19527.37</v>
      </c>
      <c r="U50" s="341">
        <v>1</v>
      </c>
      <c r="V50" s="342">
        <f>U50*$L$25</f>
        <v>19527.37</v>
      </c>
      <c r="W50" s="341">
        <v>1</v>
      </c>
      <c r="X50" s="342">
        <f>W50*$L$25</f>
        <v>19527.37</v>
      </c>
      <c r="Y50" s="341">
        <v>1</v>
      </c>
      <c r="Z50" s="342">
        <f>Y50*$L$25*1.5</f>
        <v>29291.055</v>
      </c>
      <c r="AA50" s="458">
        <f t="shared" si="15"/>
        <v>253855.80999999997</v>
      </c>
    </row>
    <row r="51" spans="2:27" ht="16.5" thickBot="1" x14ac:dyDescent="0.3">
      <c r="B51" s="460" t="s">
        <v>219</v>
      </c>
      <c r="C51" s="461">
        <f t="shared" ref="C51" si="16">SUM(C41:C50)</f>
        <v>11</v>
      </c>
      <c r="D51" s="462">
        <f t="shared" ref="D51" si="17">SUM(D41:D50)</f>
        <v>556205.06999999995</v>
      </c>
      <c r="E51" s="461">
        <f t="shared" ref="E51" si="18">SUM(E41:E50)</f>
        <v>11</v>
      </c>
      <c r="F51" s="462">
        <f t="shared" ref="F51" si="19">SUM(F41:F50)</f>
        <v>556205.06999999995</v>
      </c>
      <c r="G51" s="461">
        <f t="shared" ref="G51" si="20">SUM(G41:G50)</f>
        <v>11</v>
      </c>
      <c r="H51" s="462">
        <f t="shared" ref="H51" si="21">SUM(H41:H50)</f>
        <v>556205.06999999995</v>
      </c>
      <c r="I51" s="461">
        <f t="shared" ref="I51" si="22">SUM(I41:I50)</f>
        <v>11</v>
      </c>
      <c r="J51" s="462">
        <f t="shared" ref="J51" si="23">SUM(J41:J50)</f>
        <v>556205.06999999995</v>
      </c>
      <c r="K51" s="461">
        <f t="shared" ref="K51" si="24">SUM(K41:K50)</f>
        <v>11</v>
      </c>
      <c r="L51" s="462">
        <f t="shared" ref="L51" si="25">SUM(L41:L50)</f>
        <v>556205.06999999995</v>
      </c>
      <c r="M51" s="461">
        <f t="shared" ref="M51" si="26">SUM(M41:M50)</f>
        <v>11</v>
      </c>
      <c r="N51" s="462">
        <f t="shared" ref="N51" si="27">SUM(N41:N50)</f>
        <v>834307.6050000001</v>
      </c>
      <c r="O51" s="461">
        <f t="shared" ref="O51" si="28">SUM(O41:O50)</f>
        <v>11</v>
      </c>
      <c r="P51" s="462">
        <f t="shared" ref="P51" si="29">SUM(P41:P50)</f>
        <v>556205.06999999995</v>
      </c>
      <c r="Q51" s="461">
        <f t="shared" ref="Q51" si="30">SUM(Q41:Q50)</f>
        <v>11</v>
      </c>
      <c r="R51" s="462">
        <f t="shared" ref="R51" si="31">SUM(R41:R50)</f>
        <v>556205.06999999995</v>
      </c>
      <c r="S51" s="461">
        <f t="shared" ref="S51" si="32">SUM(S41:S50)</f>
        <v>11</v>
      </c>
      <c r="T51" s="462">
        <f t="shared" ref="T51" si="33">SUM(T41:T50)</f>
        <v>556205.06999999995</v>
      </c>
      <c r="U51" s="461">
        <f t="shared" ref="U51" si="34">SUM(U41:U50)</f>
        <v>11</v>
      </c>
      <c r="V51" s="462">
        <f t="shared" ref="V51" si="35">SUM(V41:V50)</f>
        <v>556205.06999999995</v>
      </c>
      <c r="W51" s="461">
        <f t="shared" ref="W51" si="36">SUM(W41:W50)</f>
        <v>12</v>
      </c>
      <c r="X51" s="462">
        <f t="shared" ref="X51" si="37">SUM(X41:X50)</f>
        <v>607434.23999999987</v>
      </c>
      <c r="Y51" s="461">
        <f t="shared" ref="Y51" si="38">SUM(Y41:Y50)</f>
        <v>12</v>
      </c>
      <c r="Z51" s="462">
        <f t="shared" ref="Z51" si="39">SUM(Z41:Z50)</f>
        <v>894074.97000000009</v>
      </c>
      <c r="AA51" s="463">
        <f>Z51+X51+V51+T51+R51+P51+N51+L51+J51+H51+F51+D51</f>
        <v>7341662.4450000012</v>
      </c>
    </row>
    <row r="54" spans="2:27" ht="15.75" thickBot="1" x14ac:dyDescent="0.3"/>
    <row r="55" spans="2:27" ht="27" thickBot="1" x14ac:dyDescent="0.45">
      <c r="B55" s="669" t="s">
        <v>220</v>
      </c>
      <c r="C55" s="670"/>
      <c r="D55" s="670"/>
      <c r="E55" s="670"/>
      <c r="F55" s="670"/>
      <c r="G55" s="670"/>
      <c r="H55" s="670"/>
      <c r="I55" s="670"/>
      <c r="J55" s="670"/>
      <c r="K55" s="670"/>
      <c r="L55" s="670"/>
      <c r="M55" s="670"/>
      <c r="N55" s="670"/>
      <c r="O55" s="670"/>
      <c r="P55" s="670"/>
      <c r="Q55" s="670"/>
      <c r="R55" s="670"/>
      <c r="S55" s="670"/>
      <c r="T55" s="670"/>
      <c r="U55" s="670"/>
      <c r="V55" s="670"/>
      <c r="W55" s="670"/>
      <c r="X55" s="670"/>
      <c r="Y55" s="670"/>
      <c r="Z55" s="670"/>
      <c r="AA55" s="671"/>
    </row>
    <row r="56" spans="2:27" ht="15.75" x14ac:dyDescent="0.25">
      <c r="B56" s="839" t="s">
        <v>204</v>
      </c>
      <c r="C56" s="841" t="s">
        <v>40</v>
      </c>
      <c r="D56" s="841"/>
      <c r="E56" s="841" t="s">
        <v>41</v>
      </c>
      <c r="F56" s="841"/>
      <c r="G56" s="841" t="s">
        <v>42</v>
      </c>
      <c r="H56" s="841"/>
      <c r="I56" s="841" t="s">
        <v>43</v>
      </c>
      <c r="J56" s="841"/>
      <c r="K56" s="841" t="s">
        <v>44</v>
      </c>
      <c r="L56" s="841"/>
      <c r="M56" s="841" t="s">
        <v>216</v>
      </c>
      <c r="N56" s="841"/>
      <c r="O56" s="841" t="s">
        <v>46</v>
      </c>
      <c r="P56" s="841"/>
      <c r="Q56" s="841" t="s">
        <v>47</v>
      </c>
      <c r="R56" s="841"/>
      <c r="S56" s="841" t="s">
        <v>48</v>
      </c>
      <c r="T56" s="841"/>
      <c r="U56" s="841" t="s">
        <v>49</v>
      </c>
      <c r="V56" s="841"/>
      <c r="W56" s="841" t="s">
        <v>50</v>
      </c>
      <c r="X56" s="841"/>
      <c r="Y56" s="841" t="s">
        <v>217</v>
      </c>
      <c r="Z56" s="841"/>
      <c r="AA56" s="842" t="s">
        <v>157</v>
      </c>
    </row>
    <row r="57" spans="2:27" ht="15.75" x14ac:dyDescent="0.25">
      <c r="B57" s="840"/>
      <c r="C57" s="443" t="s">
        <v>60</v>
      </c>
      <c r="D57" s="443" t="s">
        <v>107</v>
      </c>
      <c r="E57" s="443" t="s">
        <v>60</v>
      </c>
      <c r="F57" s="443" t="s">
        <v>107</v>
      </c>
      <c r="G57" s="443" t="s">
        <v>60</v>
      </c>
      <c r="H57" s="443" t="s">
        <v>107</v>
      </c>
      <c r="I57" s="443" t="s">
        <v>60</v>
      </c>
      <c r="J57" s="443" t="s">
        <v>107</v>
      </c>
      <c r="K57" s="443" t="s">
        <v>60</v>
      </c>
      <c r="L57" s="443" t="s">
        <v>107</v>
      </c>
      <c r="M57" s="443" t="s">
        <v>60</v>
      </c>
      <c r="N57" s="443" t="s">
        <v>107</v>
      </c>
      <c r="O57" s="443" t="s">
        <v>60</v>
      </c>
      <c r="P57" s="443" t="s">
        <v>107</v>
      </c>
      <c r="Q57" s="443" t="s">
        <v>60</v>
      </c>
      <c r="R57" s="443" t="s">
        <v>107</v>
      </c>
      <c r="S57" s="443" t="s">
        <v>60</v>
      </c>
      <c r="T57" s="443" t="s">
        <v>107</v>
      </c>
      <c r="U57" s="443" t="s">
        <v>60</v>
      </c>
      <c r="V57" s="443" t="s">
        <v>107</v>
      </c>
      <c r="W57" s="443" t="s">
        <v>60</v>
      </c>
      <c r="X57" s="443" t="s">
        <v>107</v>
      </c>
      <c r="Y57" s="443" t="s">
        <v>60</v>
      </c>
      <c r="Z57" s="443" t="s">
        <v>107</v>
      </c>
      <c r="AA57" s="843"/>
    </row>
    <row r="58" spans="2:27" x14ac:dyDescent="0.25">
      <c r="B58" s="457"/>
      <c r="C58" s="341">
        <v>1</v>
      </c>
      <c r="D58" s="342">
        <f>C58*$L$14</f>
        <v>97562.57</v>
      </c>
      <c r="E58" s="341">
        <v>1</v>
      </c>
      <c r="F58" s="342">
        <f>E58*$L$14</f>
        <v>97562.57</v>
      </c>
      <c r="G58" s="341">
        <v>1</v>
      </c>
      <c r="H58" s="342">
        <f>G58*$L$14</f>
        <v>97562.57</v>
      </c>
      <c r="I58" s="341">
        <v>1</v>
      </c>
      <c r="J58" s="342">
        <f>I58*$L$14</f>
        <v>97562.57</v>
      </c>
      <c r="K58" s="341">
        <v>1</v>
      </c>
      <c r="L58" s="342">
        <f>K58*$L$14</f>
        <v>97562.57</v>
      </c>
      <c r="M58" s="341">
        <v>1</v>
      </c>
      <c r="N58" s="342">
        <f>M58*$L$14*1.5</f>
        <v>146343.85500000001</v>
      </c>
      <c r="O58" s="341">
        <v>1</v>
      </c>
      <c r="P58" s="342">
        <f>O58*$L$14</f>
        <v>97562.57</v>
      </c>
      <c r="Q58" s="341">
        <v>1</v>
      </c>
      <c r="R58" s="342">
        <f>Q58*$L$14</f>
        <v>97562.57</v>
      </c>
      <c r="S58" s="341">
        <v>1</v>
      </c>
      <c r="T58" s="342">
        <f>S58*$L$14</f>
        <v>97562.57</v>
      </c>
      <c r="U58" s="341">
        <v>1</v>
      </c>
      <c r="V58" s="342">
        <f>U58*$L$14</f>
        <v>97562.57</v>
      </c>
      <c r="W58" s="341">
        <v>1</v>
      </c>
      <c r="X58" s="342">
        <f>W58*$L$14</f>
        <v>97562.57</v>
      </c>
      <c r="Y58" s="341">
        <v>1</v>
      </c>
      <c r="Z58" s="342">
        <f>Y58*$L$14*1.5</f>
        <v>146343.85500000001</v>
      </c>
      <c r="AA58" s="458">
        <f>D58+F58+H58+J58+L58+N58+P58+R58+T58+V58+X58+Z58</f>
        <v>1268313.4100000004</v>
      </c>
    </row>
    <row r="59" spans="2:27" x14ac:dyDescent="0.25">
      <c r="B59" s="459"/>
      <c r="C59" s="341">
        <v>1</v>
      </c>
      <c r="D59" s="342">
        <f>C59*$L$15</f>
        <v>73176.570000000007</v>
      </c>
      <c r="E59" s="341">
        <v>1</v>
      </c>
      <c r="F59" s="342">
        <f>E59*$L$15</f>
        <v>73176.570000000007</v>
      </c>
      <c r="G59" s="341">
        <v>1</v>
      </c>
      <c r="H59" s="342">
        <f>G59*$L$15</f>
        <v>73176.570000000007</v>
      </c>
      <c r="I59" s="341">
        <v>1</v>
      </c>
      <c r="J59" s="342">
        <f>I59*$L$15</f>
        <v>73176.570000000007</v>
      </c>
      <c r="K59" s="341">
        <v>1</v>
      </c>
      <c r="L59" s="342">
        <f>K59*$L$15</f>
        <v>73176.570000000007</v>
      </c>
      <c r="M59" s="341">
        <v>1</v>
      </c>
      <c r="N59" s="342">
        <f>M59*$L$15*1.5</f>
        <v>109764.85500000001</v>
      </c>
      <c r="O59" s="341">
        <v>1</v>
      </c>
      <c r="P59" s="342">
        <f>O59*$L$15</f>
        <v>73176.570000000007</v>
      </c>
      <c r="Q59" s="341">
        <v>1</v>
      </c>
      <c r="R59" s="342">
        <f>Q59*$L$15</f>
        <v>73176.570000000007</v>
      </c>
      <c r="S59" s="341">
        <v>1</v>
      </c>
      <c r="T59" s="342">
        <f>S59*$L$15</f>
        <v>73176.570000000007</v>
      </c>
      <c r="U59" s="341">
        <v>1</v>
      </c>
      <c r="V59" s="342">
        <f>U59*$L$15</f>
        <v>73176.570000000007</v>
      </c>
      <c r="W59" s="341">
        <v>1</v>
      </c>
      <c r="X59" s="342">
        <f>W59*$L$15</f>
        <v>73176.570000000007</v>
      </c>
      <c r="Y59" s="341">
        <v>1</v>
      </c>
      <c r="Z59" s="342">
        <f>Y59*$L$15*1.5</f>
        <v>109764.85500000001</v>
      </c>
      <c r="AA59" s="458">
        <f t="shared" ref="AA59:AA68" si="40">D59+F59+H59+J59+L59+N59+P59+R59+T59+V59+X59+Z59</f>
        <v>951295.41000000038</v>
      </c>
    </row>
    <row r="60" spans="2:27" x14ac:dyDescent="0.25">
      <c r="B60" s="459"/>
      <c r="C60" s="341">
        <v>1</v>
      </c>
      <c r="D60" s="342">
        <f>C60*$L$27</f>
        <v>63422.17</v>
      </c>
      <c r="E60" s="341">
        <v>1</v>
      </c>
      <c r="F60" s="342">
        <f>E60*$L$27</f>
        <v>63422.17</v>
      </c>
      <c r="G60" s="341">
        <v>1</v>
      </c>
      <c r="H60" s="342">
        <f>G60*$L$27</f>
        <v>63422.17</v>
      </c>
      <c r="I60" s="341">
        <v>1</v>
      </c>
      <c r="J60" s="342">
        <f>I60*$L$27</f>
        <v>63422.17</v>
      </c>
      <c r="K60" s="341">
        <v>1</v>
      </c>
      <c r="L60" s="342">
        <f>K60*$L$27</f>
        <v>63422.17</v>
      </c>
      <c r="M60" s="341">
        <v>1</v>
      </c>
      <c r="N60" s="342">
        <f>M60*$L$27*1.5</f>
        <v>95133.255000000005</v>
      </c>
      <c r="O60" s="341">
        <v>1</v>
      </c>
      <c r="P60" s="342">
        <f>O60*$L$27</f>
        <v>63422.17</v>
      </c>
      <c r="Q60" s="341">
        <v>1</v>
      </c>
      <c r="R60" s="342">
        <f>Q60*$L$27</f>
        <v>63422.17</v>
      </c>
      <c r="S60" s="341">
        <v>1</v>
      </c>
      <c r="T60" s="342">
        <f>S60*$L$27</f>
        <v>63422.17</v>
      </c>
      <c r="U60" s="341">
        <v>1</v>
      </c>
      <c r="V60" s="342">
        <f>U60*$L$27</f>
        <v>63422.17</v>
      </c>
      <c r="W60" s="341">
        <v>1</v>
      </c>
      <c r="X60" s="342">
        <f>W60*$L$27</f>
        <v>63422.17</v>
      </c>
      <c r="Y60" s="341">
        <v>1</v>
      </c>
      <c r="Z60" s="342">
        <f>Y60*$L$27*1.5</f>
        <v>95133.255000000005</v>
      </c>
      <c r="AA60" s="458">
        <f t="shared" si="40"/>
        <v>824488.21000000008</v>
      </c>
    </row>
    <row r="61" spans="2:27" x14ac:dyDescent="0.25">
      <c r="B61" s="459"/>
      <c r="C61" s="341">
        <v>1</v>
      </c>
      <c r="D61" s="342">
        <f>C61*$L$28</f>
        <v>51229.17</v>
      </c>
      <c r="E61" s="341">
        <v>1</v>
      </c>
      <c r="F61" s="342">
        <f>E61*$L$28</f>
        <v>51229.17</v>
      </c>
      <c r="G61" s="341">
        <v>1</v>
      </c>
      <c r="H61" s="342">
        <f>G61*$L$28</f>
        <v>51229.17</v>
      </c>
      <c r="I61" s="341">
        <v>1</v>
      </c>
      <c r="J61" s="342">
        <f>I61*$L$28</f>
        <v>51229.17</v>
      </c>
      <c r="K61" s="341">
        <v>1</v>
      </c>
      <c r="L61" s="342">
        <f>K61*$L$28</f>
        <v>51229.17</v>
      </c>
      <c r="M61" s="341">
        <v>1</v>
      </c>
      <c r="N61" s="342">
        <f>$L$28*M61*(1+6/12)</f>
        <v>76843.755000000005</v>
      </c>
      <c r="O61" s="341">
        <v>1</v>
      </c>
      <c r="P61" s="342">
        <f>O61*$L$28</f>
        <v>51229.17</v>
      </c>
      <c r="Q61" s="341">
        <v>1</v>
      </c>
      <c r="R61" s="342">
        <f>Q61*$L$28</f>
        <v>51229.17</v>
      </c>
      <c r="S61" s="341">
        <v>1</v>
      </c>
      <c r="T61" s="342">
        <f>S61*$L$28</f>
        <v>51229.17</v>
      </c>
      <c r="U61" s="341">
        <v>1</v>
      </c>
      <c r="V61" s="342">
        <f>U61*$L$28</f>
        <v>51229.17</v>
      </c>
      <c r="W61" s="341">
        <v>1</v>
      </c>
      <c r="X61" s="342">
        <f>$L$28*W61</f>
        <v>51229.17</v>
      </c>
      <c r="Y61" s="341">
        <v>1</v>
      </c>
      <c r="Z61" s="342">
        <f>$L$28*Y61*(1+6/12)</f>
        <v>76843.755000000005</v>
      </c>
      <c r="AA61" s="458">
        <f t="shared" si="40"/>
        <v>665979.21</v>
      </c>
    </row>
    <row r="62" spans="2:27" x14ac:dyDescent="0.25">
      <c r="B62" s="459"/>
      <c r="C62" s="341">
        <v>1</v>
      </c>
      <c r="D62" s="342">
        <f>C62*$L$30</f>
        <v>58544.97</v>
      </c>
      <c r="E62" s="341">
        <v>1</v>
      </c>
      <c r="F62" s="342">
        <f>E62*$L$30</f>
        <v>58544.97</v>
      </c>
      <c r="G62" s="341">
        <v>1</v>
      </c>
      <c r="H62" s="342">
        <f>G62*$L$30</f>
        <v>58544.97</v>
      </c>
      <c r="I62" s="341">
        <v>1</v>
      </c>
      <c r="J62" s="342">
        <f>I62*$L$30</f>
        <v>58544.97</v>
      </c>
      <c r="K62" s="341">
        <v>1</v>
      </c>
      <c r="L62" s="342">
        <f>K62*$L$30</f>
        <v>58544.97</v>
      </c>
      <c r="M62" s="341">
        <v>1</v>
      </c>
      <c r="N62" s="342">
        <f>M62*$L$30*1.5</f>
        <v>87817.455000000002</v>
      </c>
      <c r="O62" s="341">
        <v>1</v>
      </c>
      <c r="P62" s="342">
        <f>O62*$L$30</f>
        <v>58544.97</v>
      </c>
      <c r="Q62" s="341">
        <v>1</v>
      </c>
      <c r="R62" s="342">
        <f>Q62*$L$30</f>
        <v>58544.97</v>
      </c>
      <c r="S62" s="341">
        <v>1</v>
      </c>
      <c r="T62" s="342">
        <f>S62*$L$30</f>
        <v>58544.97</v>
      </c>
      <c r="U62" s="341">
        <v>1</v>
      </c>
      <c r="V62" s="342">
        <f>U62*$L$30</f>
        <v>58544.97</v>
      </c>
      <c r="W62" s="341">
        <v>1</v>
      </c>
      <c r="X62" s="342">
        <f>W62*$L$30</f>
        <v>58544.97</v>
      </c>
      <c r="Y62" s="341">
        <v>1</v>
      </c>
      <c r="Z62" s="342">
        <f>Y62*$L$30*1.5</f>
        <v>87817.455000000002</v>
      </c>
      <c r="AA62" s="458">
        <f t="shared" si="40"/>
        <v>761084.60999999987</v>
      </c>
    </row>
    <row r="63" spans="2:27" x14ac:dyDescent="0.25">
      <c r="B63" s="459"/>
      <c r="C63" s="341">
        <v>1</v>
      </c>
      <c r="D63" s="342">
        <f>C63*$L$31</f>
        <v>48790.57</v>
      </c>
      <c r="E63" s="341">
        <v>1</v>
      </c>
      <c r="F63" s="342">
        <f>E63*$L$31</f>
        <v>48790.57</v>
      </c>
      <c r="G63" s="341">
        <v>1</v>
      </c>
      <c r="H63" s="342">
        <f>G63*$L$31</f>
        <v>48790.57</v>
      </c>
      <c r="I63" s="341">
        <v>1</v>
      </c>
      <c r="J63" s="342">
        <f>I63*$L$31</f>
        <v>48790.57</v>
      </c>
      <c r="K63" s="341">
        <v>1</v>
      </c>
      <c r="L63" s="342">
        <f>K63*$L$31</f>
        <v>48790.57</v>
      </c>
      <c r="M63" s="341">
        <v>1</v>
      </c>
      <c r="N63" s="342">
        <f>M63*$L$31*1.5</f>
        <v>73185.854999999996</v>
      </c>
      <c r="O63" s="341">
        <v>1</v>
      </c>
      <c r="P63" s="342">
        <f>O63*$L$31</f>
        <v>48790.57</v>
      </c>
      <c r="Q63" s="341">
        <v>1</v>
      </c>
      <c r="R63" s="342">
        <f>Q63*$L$31</f>
        <v>48790.57</v>
      </c>
      <c r="S63" s="341">
        <v>1</v>
      </c>
      <c r="T63" s="342">
        <f>S63*$L$31</f>
        <v>48790.57</v>
      </c>
      <c r="U63" s="341">
        <v>1</v>
      </c>
      <c r="V63" s="342">
        <f>U63*$L$31</f>
        <v>48790.57</v>
      </c>
      <c r="W63" s="341">
        <v>1</v>
      </c>
      <c r="X63" s="342">
        <f>W63*$L$31</f>
        <v>48790.57</v>
      </c>
      <c r="Y63" s="341">
        <v>1</v>
      </c>
      <c r="Z63" s="342">
        <f>Y63*$L$31*1.5</f>
        <v>73185.854999999996</v>
      </c>
      <c r="AA63" s="458">
        <f t="shared" si="40"/>
        <v>634277.41</v>
      </c>
    </row>
    <row r="64" spans="2:27" x14ac:dyDescent="0.25">
      <c r="B64" s="459"/>
      <c r="C64" s="341">
        <v>1</v>
      </c>
      <c r="D64" s="342">
        <f>C64*$L$23</f>
        <v>39036.17</v>
      </c>
      <c r="E64" s="341">
        <v>1</v>
      </c>
      <c r="F64" s="342">
        <f>E64*$L$23</f>
        <v>39036.17</v>
      </c>
      <c r="G64" s="341">
        <v>1</v>
      </c>
      <c r="H64" s="342">
        <f>G64*$L$23</f>
        <v>39036.17</v>
      </c>
      <c r="I64" s="341">
        <v>1</v>
      </c>
      <c r="J64" s="342">
        <f>I64*$L$23</f>
        <v>39036.17</v>
      </c>
      <c r="K64" s="341">
        <v>1</v>
      </c>
      <c r="L64" s="342">
        <f>K64*$L$23</f>
        <v>39036.17</v>
      </c>
      <c r="M64" s="341">
        <v>1</v>
      </c>
      <c r="N64" s="342">
        <f>M64*$L$23*1.5</f>
        <v>58554.254999999997</v>
      </c>
      <c r="O64" s="341">
        <v>1</v>
      </c>
      <c r="P64" s="342">
        <f>O64*$L$23</f>
        <v>39036.17</v>
      </c>
      <c r="Q64" s="341">
        <v>1</v>
      </c>
      <c r="R64" s="342">
        <f>Q64*$L$23</f>
        <v>39036.17</v>
      </c>
      <c r="S64" s="341">
        <v>1</v>
      </c>
      <c r="T64" s="342">
        <f>S64*$L$23</f>
        <v>39036.17</v>
      </c>
      <c r="U64" s="341">
        <v>1</v>
      </c>
      <c r="V64" s="342">
        <f>U64*$L$23</f>
        <v>39036.17</v>
      </c>
      <c r="W64" s="341">
        <v>1</v>
      </c>
      <c r="X64" s="342">
        <f>W64*$L$23</f>
        <v>39036.17</v>
      </c>
      <c r="Y64" s="341">
        <v>1</v>
      </c>
      <c r="Z64" s="342">
        <f>Y64*$L$23*1.5</f>
        <v>58554.254999999997</v>
      </c>
      <c r="AA64" s="458">
        <f t="shared" si="40"/>
        <v>507470.2099999999</v>
      </c>
    </row>
    <row r="65" spans="2:29" x14ac:dyDescent="0.25">
      <c r="B65" s="459"/>
      <c r="C65" s="341">
        <v>2</v>
      </c>
      <c r="D65" s="342">
        <f>C65*$L$26</f>
        <v>78072.34</v>
      </c>
      <c r="E65" s="341">
        <v>2</v>
      </c>
      <c r="F65" s="342">
        <f>E65*$L$26</f>
        <v>78072.34</v>
      </c>
      <c r="G65" s="341">
        <v>2</v>
      </c>
      <c r="H65" s="342">
        <f>G65*$L$26</f>
        <v>78072.34</v>
      </c>
      <c r="I65" s="341">
        <v>2</v>
      </c>
      <c r="J65" s="342">
        <f>I65*$L$26</f>
        <v>78072.34</v>
      </c>
      <c r="K65" s="341">
        <v>2</v>
      </c>
      <c r="L65" s="342">
        <f>K65*$L$26</f>
        <v>78072.34</v>
      </c>
      <c r="M65" s="341">
        <v>2</v>
      </c>
      <c r="N65" s="342">
        <f>M65*$L$26*1.5</f>
        <v>117108.51</v>
      </c>
      <c r="O65" s="341">
        <v>2</v>
      </c>
      <c r="P65" s="342">
        <f>O65*$L$26</f>
        <v>78072.34</v>
      </c>
      <c r="Q65" s="341">
        <v>2</v>
      </c>
      <c r="R65" s="342">
        <f>Q65*$L$26</f>
        <v>78072.34</v>
      </c>
      <c r="S65" s="341">
        <v>2</v>
      </c>
      <c r="T65" s="342">
        <f>S65*$L$26</f>
        <v>78072.34</v>
      </c>
      <c r="U65" s="341">
        <v>2</v>
      </c>
      <c r="V65" s="342">
        <f>U65*$L$26</f>
        <v>78072.34</v>
      </c>
      <c r="W65" s="341">
        <v>2</v>
      </c>
      <c r="X65" s="342">
        <f>W65*$L$26</f>
        <v>78072.34</v>
      </c>
      <c r="Y65" s="341">
        <v>2</v>
      </c>
      <c r="Z65" s="342">
        <f>Y65*$L$26*1.5</f>
        <v>117108.51</v>
      </c>
      <c r="AA65" s="458">
        <f t="shared" si="40"/>
        <v>1014940.4199999998</v>
      </c>
    </row>
    <row r="66" spans="2:29" x14ac:dyDescent="0.25">
      <c r="B66" s="459"/>
      <c r="C66" s="341">
        <v>2</v>
      </c>
      <c r="D66" s="342">
        <f>C66*$L$24</f>
        <v>78072.34</v>
      </c>
      <c r="E66" s="341">
        <v>2</v>
      </c>
      <c r="F66" s="342">
        <f>E66*$L$24</f>
        <v>78072.34</v>
      </c>
      <c r="G66" s="341">
        <v>2</v>
      </c>
      <c r="H66" s="342">
        <f>G66*$L$24</f>
        <v>78072.34</v>
      </c>
      <c r="I66" s="341">
        <v>2</v>
      </c>
      <c r="J66" s="342">
        <f>I66*$L$24</f>
        <v>78072.34</v>
      </c>
      <c r="K66" s="341">
        <v>2</v>
      </c>
      <c r="L66" s="342">
        <f>K66*$L$24</f>
        <v>78072.34</v>
      </c>
      <c r="M66" s="341">
        <v>2</v>
      </c>
      <c r="N66" s="342">
        <f>M66*$L$24*1.5</f>
        <v>117108.51</v>
      </c>
      <c r="O66" s="341">
        <v>2</v>
      </c>
      <c r="P66" s="342">
        <f>O66*$L$24</f>
        <v>78072.34</v>
      </c>
      <c r="Q66" s="341">
        <v>2</v>
      </c>
      <c r="R66" s="342">
        <f>Q66*$L$24</f>
        <v>78072.34</v>
      </c>
      <c r="S66" s="341">
        <v>2</v>
      </c>
      <c r="T66" s="342">
        <f>S66*$L$24</f>
        <v>78072.34</v>
      </c>
      <c r="U66" s="341">
        <v>2</v>
      </c>
      <c r="V66" s="342">
        <f>U66*$L$24</f>
        <v>78072.34</v>
      </c>
      <c r="W66" s="341">
        <v>2</v>
      </c>
      <c r="X66" s="342">
        <f>W66*$L$24</f>
        <v>78072.34</v>
      </c>
      <c r="Y66" s="341">
        <v>2</v>
      </c>
      <c r="Z66" s="342">
        <f>Y66*$L$24*1.5</f>
        <v>117108.51</v>
      </c>
      <c r="AA66" s="458">
        <f t="shared" si="40"/>
        <v>1014940.4199999998</v>
      </c>
    </row>
    <row r="67" spans="2:29" x14ac:dyDescent="0.25">
      <c r="B67" s="457"/>
      <c r="C67" s="341">
        <v>1</v>
      </c>
      <c r="D67" s="342">
        <f>C67*$L$25</f>
        <v>19527.37</v>
      </c>
      <c r="E67" s="341">
        <v>1</v>
      </c>
      <c r="F67" s="342">
        <f>E67*$L$25</f>
        <v>19527.37</v>
      </c>
      <c r="G67" s="341">
        <v>1</v>
      </c>
      <c r="H67" s="342">
        <f>G67*$L$25</f>
        <v>19527.37</v>
      </c>
      <c r="I67" s="341">
        <v>1</v>
      </c>
      <c r="J67" s="342">
        <f>I67*$L$25</f>
        <v>19527.37</v>
      </c>
      <c r="K67" s="341">
        <v>1</v>
      </c>
      <c r="L67" s="342">
        <f>K67*$L$25</f>
        <v>19527.37</v>
      </c>
      <c r="M67" s="341">
        <v>1</v>
      </c>
      <c r="N67" s="342">
        <f>M67*$L$25*1.5</f>
        <v>29291.055</v>
      </c>
      <c r="O67" s="341">
        <v>1</v>
      </c>
      <c r="P67" s="342">
        <f>O67*$L$25</f>
        <v>19527.37</v>
      </c>
      <c r="Q67" s="341">
        <v>1</v>
      </c>
      <c r="R67" s="342">
        <f>Q67*$L$25</f>
        <v>19527.37</v>
      </c>
      <c r="S67" s="341">
        <v>1</v>
      </c>
      <c r="T67" s="342">
        <f>S67*$L$25</f>
        <v>19527.37</v>
      </c>
      <c r="U67" s="341">
        <v>1</v>
      </c>
      <c r="V67" s="342">
        <f>U67*$L$25</f>
        <v>19527.37</v>
      </c>
      <c r="W67" s="341">
        <v>1</v>
      </c>
      <c r="X67" s="342">
        <f>W67*$L$25</f>
        <v>19527.37</v>
      </c>
      <c r="Y67" s="341">
        <v>1</v>
      </c>
      <c r="Z67" s="342">
        <f>Y67*$L$25*1.5</f>
        <v>29291.055</v>
      </c>
      <c r="AA67" s="458">
        <f t="shared" si="40"/>
        <v>253855.80999999997</v>
      </c>
    </row>
    <row r="68" spans="2:29" x14ac:dyDescent="0.25">
      <c r="B68" s="457"/>
      <c r="C68" s="341">
        <v>0</v>
      </c>
      <c r="D68" s="342">
        <f>C68*D20</f>
        <v>0</v>
      </c>
      <c r="E68" s="341">
        <v>0</v>
      </c>
      <c r="F68" s="342">
        <f>E68*F20</f>
        <v>0</v>
      </c>
      <c r="G68" s="341">
        <v>0</v>
      </c>
      <c r="H68" s="342">
        <f>G68*H20</f>
        <v>0</v>
      </c>
      <c r="I68" s="341">
        <v>0</v>
      </c>
      <c r="J68" s="342">
        <f>I68*J20</f>
        <v>0</v>
      </c>
      <c r="K68" s="445">
        <v>1</v>
      </c>
      <c r="L68" s="342">
        <f>K68*$L$20</f>
        <v>63422.17</v>
      </c>
      <c r="M68" s="341">
        <v>1</v>
      </c>
      <c r="N68" s="342">
        <f>M68*$L$20*(1+2/12)</f>
        <v>73992.531666666662</v>
      </c>
      <c r="O68" s="341">
        <v>1</v>
      </c>
      <c r="P68" s="342">
        <f>O68*$L$20</f>
        <v>63422.17</v>
      </c>
      <c r="Q68" s="341">
        <v>1</v>
      </c>
      <c r="R68" s="342">
        <f>Q68*$L$20</f>
        <v>63422.17</v>
      </c>
      <c r="S68" s="341">
        <v>1</v>
      </c>
      <c r="T68" s="342">
        <f>S68*$L$20</f>
        <v>63422.17</v>
      </c>
      <c r="U68" s="341">
        <v>1</v>
      </c>
      <c r="V68" s="342">
        <f>U68*$L$20</f>
        <v>63422.17</v>
      </c>
      <c r="W68" s="341">
        <v>1</v>
      </c>
      <c r="X68" s="342">
        <f>W68*$L$20</f>
        <v>63422.17</v>
      </c>
      <c r="Y68" s="341">
        <v>1</v>
      </c>
      <c r="Z68" s="342">
        <f>Y68*$L$20*(1+6/12)</f>
        <v>95133.255000000005</v>
      </c>
      <c r="AA68" s="458">
        <f t="shared" si="40"/>
        <v>549658.80666666664</v>
      </c>
    </row>
    <row r="69" spans="2:29" ht="15.75" x14ac:dyDescent="0.25">
      <c r="B69" s="464" t="s">
        <v>219</v>
      </c>
      <c r="C69" s="34">
        <f t="shared" ref="C69:Z69" si="41">SUM(C58:C68)</f>
        <v>12</v>
      </c>
      <c r="D69" s="444">
        <f t="shared" si="41"/>
        <v>607434.23999999987</v>
      </c>
      <c r="E69" s="34">
        <f t="shared" si="41"/>
        <v>12</v>
      </c>
      <c r="F69" s="444">
        <f t="shared" si="41"/>
        <v>607434.23999999987</v>
      </c>
      <c r="G69" s="34">
        <f t="shared" si="41"/>
        <v>12</v>
      </c>
      <c r="H69" s="444">
        <f t="shared" si="41"/>
        <v>607434.23999999987</v>
      </c>
      <c r="I69" s="34">
        <f t="shared" si="41"/>
        <v>12</v>
      </c>
      <c r="J69" s="444">
        <f t="shared" si="41"/>
        <v>607434.23999999987</v>
      </c>
      <c r="K69" s="34">
        <f t="shared" si="41"/>
        <v>13</v>
      </c>
      <c r="L69" s="444">
        <f t="shared" si="41"/>
        <v>670856.40999999992</v>
      </c>
      <c r="M69" s="34">
        <f t="shared" si="41"/>
        <v>13</v>
      </c>
      <c r="N69" s="444">
        <f t="shared" si="41"/>
        <v>985143.89166666672</v>
      </c>
      <c r="O69" s="34">
        <f t="shared" si="41"/>
        <v>13</v>
      </c>
      <c r="P69" s="444">
        <f t="shared" si="41"/>
        <v>670856.40999999992</v>
      </c>
      <c r="Q69" s="34">
        <f t="shared" si="41"/>
        <v>13</v>
      </c>
      <c r="R69" s="444">
        <f t="shared" si="41"/>
        <v>670856.40999999992</v>
      </c>
      <c r="S69" s="34">
        <f t="shared" si="41"/>
        <v>13</v>
      </c>
      <c r="T69" s="444">
        <f t="shared" si="41"/>
        <v>670856.40999999992</v>
      </c>
      <c r="U69" s="34">
        <f t="shared" si="41"/>
        <v>13</v>
      </c>
      <c r="V69" s="444">
        <f t="shared" si="41"/>
        <v>670856.40999999992</v>
      </c>
      <c r="W69" s="34">
        <f t="shared" si="41"/>
        <v>13</v>
      </c>
      <c r="X69" s="444">
        <f t="shared" si="41"/>
        <v>670856.40999999992</v>
      </c>
      <c r="Y69" s="34">
        <f t="shared" si="41"/>
        <v>13</v>
      </c>
      <c r="Z69" s="444">
        <f t="shared" si="41"/>
        <v>1006284.6150000001</v>
      </c>
      <c r="AA69" s="465">
        <f>Z69+X69+V69+T69+R69+P69+N69+L69+J69+H69+F69+D69</f>
        <v>8446303.9266666677</v>
      </c>
    </row>
    <row r="70" spans="2:29" ht="15.75" thickBot="1" x14ac:dyDescent="0.3">
      <c r="B70" s="466"/>
      <c r="C70" s="467"/>
      <c r="D70" s="467"/>
      <c r="E70" s="467"/>
      <c r="F70" s="467"/>
      <c r="G70" s="467"/>
      <c r="H70" s="467"/>
      <c r="I70" s="467"/>
      <c r="J70" s="467"/>
      <c r="K70" s="467"/>
      <c r="L70" s="467"/>
      <c r="M70" s="467"/>
      <c r="N70" s="467"/>
      <c r="O70" s="467"/>
      <c r="P70" s="467"/>
      <c r="Q70" s="467"/>
      <c r="R70" s="467"/>
      <c r="S70" s="467"/>
      <c r="T70" s="467"/>
      <c r="U70" s="467"/>
      <c r="V70" s="467"/>
      <c r="W70" s="467"/>
      <c r="X70" s="467"/>
      <c r="Y70" s="467"/>
      <c r="Z70" s="467"/>
      <c r="AA70" s="468"/>
    </row>
    <row r="71" spans="2:29" ht="15.75" thickBot="1" x14ac:dyDescent="0.3"/>
    <row r="72" spans="2:29" ht="27" thickBot="1" x14ac:dyDescent="0.45">
      <c r="B72" s="669" t="s">
        <v>221</v>
      </c>
      <c r="C72" s="670"/>
      <c r="D72" s="670"/>
      <c r="E72" s="670"/>
      <c r="F72" s="670"/>
      <c r="G72" s="670"/>
      <c r="H72" s="670"/>
      <c r="I72" s="670"/>
      <c r="J72" s="670"/>
      <c r="K72" s="670"/>
      <c r="L72" s="670"/>
      <c r="M72" s="670"/>
      <c r="N72" s="670"/>
      <c r="O72" s="670"/>
      <c r="P72" s="670"/>
      <c r="Q72" s="670"/>
      <c r="R72" s="670"/>
      <c r="S72" s="670"/>
      <c r="T72" s="670"/>
      <c r="U72" s="670"/>
      <c r="V72" s="670"/>
      <c r="W72" s="670"/>
      <c r="X72" s="670"/>
      <c r="Y72" s="670"/>
      <c r="Z72" s="670"/>
      <c r="AA72" s="671"/>
    </row>
    <row r="73" spans="2:29" ht="15.75" x14ac:dyDescent="0.25">
      <c r="B73" s="839" t="s">
        <v>204</v>
      </c>
      <c r="C73" s="841" t="s">
        <v>40</v>
      </c>
      <c r="D73" s="841"/>
      <c r="E73" s="841" t="s">
        <v>41</v>
      </c>
      <c r="F73" s="841"/>
      <c r="G73" s="841" t="s">
        <v>42</v>
      </c>
      <c r="H73" s="841"/>
      <c r="I73" s="841" t="s">
        <v>43</v>
      </c>
      <c r="J73" s="841"/>
      <c r="K73" s="841" t="s">
        <v>44</v>
      </c>
      <c r="L73" s="841"/>
      <c r="M73" s="841" t="s">
        <v>216</v>
      </c>
      <c r="N73" s="841"/>
      <c r="O73" s="841" t="s">
        <v>46</v>
      </c>
      <c r="P73" s="841"/>
      <c r="Q73" s="841" t="s">
        <v>47</v>
      </c>
      <c r="R73" s="841"/>
      <c r="S73" s="841" t="s">
        <v>48</v>
      </c>
      <c r="T73" s="841"/>
      <c r="U73" s="841" t="s">
        <v>49</v>
      </c>
      <c r="V73" s="841"/>
      <c r="W73" s="841" t="s">
        <v>50</v>
      </c>
      <c r="X73" s="841"/>
      <c r="Y73" s="841" t="s">
        <v>217</v>
      </c>
      <c r="Z73" s="841"/>
      <c r="AA73" s="842" t="s">
        <v>157</v>
      </c>
    </row>
    <row r="74" spans="2:29" ht="15.75" x14ac:dyDescent="0.25">
      <c r="B74" s="840"/>
      <c r="C74" s="443" t="s">
        <v>60</v>
      </c>
      <c r="D74" s="443" t="s">
        <v>107</v>
      </c>
      <c r="E74" s="443" t="s">
        <v>60</v>
      </c>
      <c r="F74" s="443" t="s">
        <v>107</v>
      </c>
      <c r="G74" s="443" t="s">
        <v>60</v>
      </c>
      <c r="H74" s="443" t="s">
        <v>107</v>
      </c>
      <c r="I74" s="443" t="s">
        <v>60</v>
      </c>
      <c r="J74" s="443" t="s">
        <v>107</v>
      </c>
      <c r="K74" s="443" t="s">
        <v>60</v>
      </c>
      <c r="L74" s="443" t="s">
        <v>107</v>
      </c>
      <c r="M74" s="443" t="s">
        <v>60</v>
      </c>
      <c r="N74" s="443" t="s">
        <v>107</v>
      </c>
      <c r="O74" s="443" t="s">
        <v>60</v>
      </c>
      <c r="P74" s="443" t="s">
        <v>107</v>
      </c>
      <c r="Q74" s="443" t="s">
        <v>60</v>
      </c>
      <c r="R74" s="443" t="s">
        <v>107</v>
      </c>
      <c r="S74" s="443" t="s">
        <v>60</v>
      </c>
      <c r="T74" s="443" t="s">
        <v>107</v>
      </c>
      <c r="U74" s="443" t="s">
        <v>60</v>
      </c>
      <c r="V74" s="443" t="s">
        <v>107</v>
      </c>
      <c r="W74" s="443" t="s">
        <v>60</v>
      </c>
      <c r="X74" s="443" t="s">
        <v>107</v>
      </c>
      <c r="Y74" s="443" t="s">
        <v>60</v>
      </c>
      <c r="Z74" s="443" t="s">
        <v>107</v>
      </c>
      <c r="AA74" s="843"/>
    </row>
    <row r="75" spans="2:29" x14ac:dyDescent="0.25">
      <c r="B75" s="457"/>
      <c r="C75" s="341">
        <v>1</v>
      </c>
      <c r="D75" s="342">
        <f>C75*$L$14</f>
        <v>97562.57</v>
      </c>
      <c r="E75" s="341">
        <v>1</v>
      </c>
      <c r="F75" s="342">
        <f>E75*$L$14</f>
        <v>97562.57</v>
      </c>
      <c r="G75" s="341">
        <v>1</v>
      </c>
      <c r="H75" s="342">
        <f>G75*$L$14</f>
        <v>97562.57</v>
      </c>
      <c r="I75" s="341">
        <v>1</v>
      </c>
      <c r="J75" s="342">
        <f>I75*$L$14</f>
        <v>97562.57</v>
      </c>
      <c r="K75" s="341">
        <v>1</v>
      </c>
      <c r="L75" s="342">
        <f>K75*$L$14</f>
        <v>97562.57</v>
      </c>
      <c r="M75" s="341">
        <v>1</v>
      </c>
      <c r="N75" s="342">
        <f>M75*$L$14*1.5</f>
        <v>146343.85500000001</v>
      </c>
      <c r="O75" s="341">
        <v>1</v>
      </c>
      <c r="P75" s="342">
        <f>O75*$L$14</f>
        <v>97562.57</v>
      </c>
      <c r="Q75" s="341">
        <v>1</v>
      </c>
      <c r="R75" s="342">
        <f>Q75*$L$14</f>
        <v>97562.57</v>
      </c>
      <c r="S75" s="341">
        <v>1</v>
      </c>
      <c r="T75" s="342">
        <f>S75*$L$14</f>
        <v>97562.57</v>
      </c>
      <c r="U75" s="341">
        <v>1</v>
      </c>
      <c r="V75" s="342">
        <f>U75*$L$14</f>
        <v>97562.57</v>
      </c>
      <c r="W75" s="341">
        <v>1</v>
      </c>
      <c r="X75" s="342">
        <f>W75*$L$14</f>
        <v>97562.57</v>
      </c>
      <c r="Y75" s="341">
        <v>1</v>
      </c>
      <c r="Z75" s="342">
        <f>Y75*$L$14*1.5</f>
        <v>146343.85500000001</v>
      </c>
      <c r="AA75" s="458">
        <f>D75+F75+H75+J75+L75+N75+P75+R75+T75+V75+X75+Z75</f>
        <v>1268313.4100000004</v>
      </c>
    </row>
    <row r="76" spans="2:29" x14ac:dyDescent="0.25">
      <c r="B76" s="459"/>
      <c r="C76" s="341">
        <v>1</v>
      </c>
      <c r="D76" s="342">
        <f>C76*$L$15</f>
        <v>73176.570000000007</v>
      </c>
      <c r="E76" s="341">
        <v>1</v>
      </c>
      <c r="F76" s="342">
        <f>E76*$L$15</f>
        <v>73176.570000000007</v>
      </c>
      <c r="G76" s="341">
        <v>1</v>
      </c>
      <c r="H76" s="342">
        <f>G76*$L$15</f>
        <v>73176.570000000007</v>
      </c>
      <c r="I76" s="341">
        <v>1</v>
      </c>
      <c r="J76" s="342">
        <f>I76*$L$15</f>
        <v>73176.570000000007</v>
      </c>
      <c r="K76" s="341">
        <v>1</v>
      </c>
      <c r="L76" s="342">
        <f>K76*$L$15</f>
        <v>73176.570000000007</v>
      </c>
      <c r="M76" s="341">
        <v>1</v>
      </c>
      <c r="N76" s="342">
        <f>M76*$L$15*1.5</f>
        <v>109764.85500000001</v>
      </c>
      <c r="O76" s="341">
        <v>1</v>
      </c>
      <c r="P76" s="342">
        <f>O76*$L$15</f>
        <v>73176.570000000007</v>
      </c>
      <c r="Q76" s="341">
        <v>1</v>
      </c>
      <c r="R76" s="342">
        <f>Q76*$L$15</f>
        <v>73176.570000000007</v>
      </c>
      <c r="S76" s="341">
        <v>1</v>
      </c>
      <c r="T76" s="342">
        <f>S76*$L$15</f>
        <v>73176.570000000007</v>
      </c>
      <c r="U76" s="341">
        <v>1</v>
      </c>
      <c r="V76" s="342">
        <f>U76*$L$15</f>
        <v>73176.570000000007</v>
      </c>
      <c r="W76" s="341">
        <v>1</v>
      </c>
      <c r="X76" s="342">
        <f>W76*$L$15</f>
        <v>73176.570000000007</v>
      </c>
      <c r="Y76" s="341">
        <v>1</v>
      </c>
      <c r="Z76" s="342">
        <f>Y76*$L$15*1.5</f>
        <v>109764.85500000001</v>
      </c>
      <c r="AA76" s="458">
        <f t="shared" ref="AA76:AA85" si="42">D76+F76+H76+J76+L76+N76+P76+R76+T76+V76+X76+Z76</f>
        <v>951295.41000000038</v>
      </c>
    </row>
    <row r="77" spans="2:29" x14ac:dyDescent="0.25">
      <c r="B77" s="459"/>
      <c r="C77" s="341">
        <v>1</v>
      </c>
      <c r="D77" s="342">
        <f>C77*$L$27</f>
        <v>63422.17</v>
      </c>
      <c r="E77" s="341">
        <v>1</v>
      </c>
      <c r="F77" s="342">
        <f>E77*$L$27</f>
        <v>63422.17</v>
      </c>
      <c r="G77" s="341">
        <v>1</v>
      </c>
      <c r="H77" s="342">
        <f>G77*$L$27</f>
        <v>63422.17</v>
      </c>
      <c r="I77" s="341">
        <v>1</v>
      </c>
      <c r="J77" s="342">
        <f>I77*$L$27</f>
        <v>63422.17</v>
      </c>
      <c r="K77" s="341">
        <v>1</v>
      </c>
      <c r="L77" s="342">
        <f>K77*$L$27</f>
        <v>63422.17</v>
      </c>
      <c r="M77" s="341">
        <v>1</v>
      </c>
      <c r="N77" s="342">
        <f>M77*$L$27*1.5</f>
        <v>95133.255000000005</v>
      </c>
      <c r="O77" s="341">
        <v>1</v>
      </c>
      <c r="P77" s="342">
        <f>O77*$L$27</f>
        <v>63422.17</v>
      </c>
      <c r="Q77" s="341">
        <v>1</v>
      </c>
      <c r="R77" s="342">
        <f>Q77*$L$27</f>
        <v>63422.17</v>
      </c>
      <c r="S77" s="341">
        <v>1</v>
      </c>
      <c r="T77" s="342">
        <f>S77*$L$27</f>
        <v>63422.17</v>
      </c>
      <c r="U77" s="341">
        <v>1</v>
      </c>
      <c r="V77" s="342">
        <f>U77*$L$27</f>
        <v>63422.17</v>
      </c>
      <c r="W77" s="341">
        <v>1</v>
      </c>
      <c r="X77" s="342">
        <f>W77*$L$27</f>
        <v>63422.17</v>
      </c>
      <c r="Y77" s="341">
        <v>1</v>
      </c>
      <c r="Z77" s="342">
        <f>Y77*$L$27*1.5</f>
        <v>95133.255000000005</v>
      </c>
      <c r="AA77" s="458">
        <f t="shared" si="42"/>
        <v>824488.21000000008</v>
      </c>
    </row>
    <row r="78" spans="2:29" x14ac:dyDescent="0.25">
      <c r="B78" s="459"/>
      <c r="C78" s="341">
        <v>1</v>
      </c>
      <c r="D78" s="342">
        <f>C78*$L$28</f>
        <v>51229.17</v>
      </c>
      <c r="E78" s="341">
        <v>1</v>
      </c>
      <c r="F78" s="342">
        <f>E78*$L$28</f>
        <v>51229.17</v>
      </c>
      <c r="G78" s="341">
        <v>1</v>
      </c>
      <c r="H78" s="342">
        <f>G78*$L$28</f>
        <v>51229.17</v>
      </c>
      <c r="I78" s="341">
        <v>1</v>
      </c>
      <c r="J78" s="342">
        <f>I78*$L$28</f>
        <v>51229.17</v>
      </c>
      <c r="K78" s="341">
        <v>1</v>
      </c>
      <c r="L78" s="342">
        <f>K78*$L$28</f>
        <v>51229.17</v>
      </c>
      <c r="M78" s="341">
        <v>1</v>
      </c>
      <c r="N78" s="342">
        <f>$L$28*M78*(1+6/12)</f>
        <v>76843.755000000005</v>
      </c>
      <c r="O78" s="341">
        <v>1</v>
      </c>
      <c r="P78" s="342">
        <f>O78*$L$28</f>
        <v>51229.17</v>
      </c>
      <c r="Q78" s="341">
        <v>1</v>
      </c>
      <c r="R78" s="342">
        <f>Q78*$L$28</f>
        <v>51229.17</v>
      </c>
      <c r="S78" s="341">
        <v>1</v>
      </c>
      <c r="T78" s="342">
        <f>S78*$L$28</f>
        <v>51229.17</v>
      </c>
      <c r="U78" s="341">
        <v>1</v>
      </c>
      <c r="V78" s="342">
        <f>U78*$L$28</f>
        <v>51229.17</v>
      </c>
      <c r="W78" s="341">
        <v>1</v>
      </c>
      <c r="X78" s="342">
        <f>$L$28*W78</f>
        <v>51229.17</v>
      </c>
      <c r="Y78" s="341">
        <v>1</v>
      </c>
      <c r="Z78" s="342">
        <f>$L$28*Y78*(1+6/12)</f>
        <v>76843.755000000005</v>
      </c>
      <c r="AA78" s="458">
        <f t="shared" si="42"/>
        <v>665979.21</v>
      </c>
    </row>
    <row r="79" spans="2:29" x14ac:dyDescent="0.25">
      <c r="B79" s="459"/>
      <c r="C79" s="341">
        <v>1</v>
      </c>
      <c r="D79" s="342">
        <f>C79*$L$30</f>
        <v>58544.97</v>
      </c>
      <c r="E79" s="341">
        <v>1</v>
      </c>
      <c r="F79" s="342">
        <f>E79*$L$30</f>
        <v>58544.97</v>
      </c>
      <c r="G79" s="341">
        <v>1</v>
      </c>
      <c r="H79" s="342">
        <f>G79*$L$30</f>
        <v>58544.97</v>
      </c>
      <c r="I79" s="341">
        <v>1</v>
      </c>
      <c r="J79" s="342">
        <f>I79*$L$30</f>
        <v>58544.97</v>
      </c>
      <c r="K79" s="341">
        <v>1</v>
      </c>
      <c r="L79" s="342">
        <f>K79*$L$30</f>
        <v>58544.97</v>
      </c>
      <c r="M79" s="341">
        <v>1</v>
      </c>
      <c r="N79" s="342">
        <f>M79*$L$30*1.5</f>
        <v>87817.455000000002</v>
      </c>
      <c r="O79" s="341">
        <v>1</v>
      </c>
      <c r="P79" s="342">
        <f>O79*$L$30</f>
        <v>58544.97</v>
      </c>
      <c r="Q79" s="341">
        <v>1</v>
      </c>
      <c r="R79" s="342">
        <f>Q79*$L$30</f>
        <v>58544.97</v>
      </c>
      <c r="S79" s="341">
        <v>1</v>
      </c>
      <c r="T79" s="342">
        <f>S79*$L$30</f>
        <v>58544.97</v>
      </c>
      <c r="U79" s="341">
        <v>1</v>
      </c>
      <c r="V79" s="342">
        <f>U79*$L$30</f>
        <v>58544.97</v>
      </c>
      <c r="W79" s="341">
        <v>1</v>
      </c>
      <c r="X79" s="342">
        <f>W79*$L$30</f>
        <v>58544.97</v>
      </c>
      <c r="Y79" s="341">
        <v>1</v>
      </c>
      <c r="Z79" s="342">
        <f>Y79*$L$30*1.5</f>
        <v>87817.455000000002</v>
      </c>
      <c r="AA79" s="458">
        <f t="shared" si="42"/>
        <v>761084.60999999987</v>
      </c>
    </row>
    <row r="80" spans="2:29" x14ac:dyDescent="0.25">
      <c r="B80" s="459"/>
      <c r="C80" s="445">
        <v>2</v>
      </c>
      <c r="D80" s="342">
        <f>C80*$L$31</f>
        <v>97581.14</v>
      </c>
      <c r="E80" s="341">
        <v>2</v>
      </c>
      <c r="F80" s="342">
        <f>E80*$L$31</f>
        <v>97581.14</v>
      </c>
      <c r="G80" s="341">
        <v>2</v>
      </c>
      <c r="H80" s="342">
        <f>G80*$L$31</f>
        <v>97581.14</v>
      </c>
      <c r="I80" s="341">
        <v>2</v>
      </c>
      <c r="J80" s="342">
        <f>I80*$L$31</f>
        <v>97581.14</v>
      </c>
      <c r="K80" s="341">
        <v>2</v>
      </c>
      <c r="L80" s="342">
        <f>K80*$L$31</f>
        <v>97581.14</v>
      </c>
      <c r="M80" s="341">
        <v>2</v>
      </c>
      <c r="N80" s="342">
        <f>M80*$L$31*1.5</f>
        <v>146371.71</v>
      </c>
      <c r="O80" s="341">
        <v>2</v>
      </c>
      <c r="P80" s="342">
        <f>O80*$L$31</f>
        <v>97581.14</v>
      </c>
      <c r="Q80" s="341">
        <v>2</v>
      </c>
      <c r="R80" s="342">
        <f>Q80*$L$31</f>
        <v>97581.14</v>
      </c>
      <c r="S80" s="341">
        <v>2</v>
      </c>
      <c r="T80" s="342">
        <f>S80*$L$31</f>
        <v>97581.14</v>
      </c>
      <c r="U80" s="341">
        <v>2</v>
      </c>
      <c r="V80" s="342">
        <f>U80*$L$31</f>
        <v>97581.14</v>
      </c>
      <c r="W80" s="341">
        <v>2</v>
      </c>
      <c r="X80" s="342">
        <f>W80*$L$31</f>
        <v>97581.14</v>
      </c>
      <c r="Y80" s="341">
        <v>2</v>
      </c>
      <c r="Z80" s="342">
        <f>Y80*$L$31*1.5</f>
        <v>146371.71</v>
      </c>
      <c r="AA80" s="458">
        <f t="shared" si="42"/>
        <v>1268554.82</v>
      </c>
      <c r="AC80" s="35"/>
    </row>
    <row r="81" spans="2:27" x14ac:dyDescent="0.25">
      <c r="B81" s="459"/>
      <c r="C81" s="341">
        <v>1</v>
      </c>
      <c r="D81" s="342">
        <f>C81*$L$23</f>
        <v>39036.17</v>
      </c>
      <c r="E81" s="341">
        <v>1</v>
      </c>
      <c r="F81" s="342">
        <f>E81*$L$23</f>
        <v>39036.17</v>
      </c>
      <c r="G81" s="341">
        <v>1</v>
      </c>
      <c r="H81" s="342">
        <f>G81*$L$23</f>
        <v>39036.17</v>
      </c>
      <c r="I81" s="341">
        <v>1</v>
      </c>
      <c r="J81" s="342">
        <f>I81*$L$23</f>
        <v>39036.17</v>
      </c>
      <c r="K81" s="341">
        <v>1</v>
      </c>
      <c r="L81" s="342">
        <f>K81*$L$23</f>
        <v>39036.17</v>
      </c>
      <c r="M81" s="341">
        <v>1</v>
      </c>
      <c r="N81" s="342">
        <f>M81*$L$23*1.5</f>
        <v>58554.254999999997</v>
      </c>
      <c r="O81" s="341">
        <v>1</v>
      </c>
      <c r="P81" s="342">
        <f>O81*$L$23</f>
        <v>39036.17</v>
      </c>
      <c r="Q81" s="341">
        <v>1</v>
      </c>
      <c r="R81" s="342">
        <f>Q81*$L$23</f>
        <v>39036.17</v>
      </c>
      <c r="S81" s="341">
        <v>1</v>
      </c>
      <c r="T81" s="342">
        <f>S81*$L$23</f>
        <v>39036.17</v>
      </c>
      <c r="U81" s="341">
        <v>1</v>
      </c>
      <c r="V81" s="342">
        <f>U81*$L$23</f>
        <v>39036.17</v>
      </c>
      <c r="W81" s="341">
        <v>1</v>
      </c>
      <c r="X81" s="342">
        <f>W81*$L$23</f>
        <v>39036.17</v>
      </c>
      <c r="Y81" s="341">
        <v>1</v>
      </c>
      <c r="Z81" s="342">
        <f>Y81*$L$23*1.5</f>
        <v>58554.254999999997</v>
      </c>
      <c r="AA81" s="458">
        <f t="shared" si="42"/>
        <v>507470.2099999999</v>
      </c>
    </row>
    <row r="82" spans="2:27" x14ac:dyDescent="0.25">
      <c r="B82" s="459"/>
      <c r="C82" s="341">
        <v>2</v>
      </c>
      <c r="D82" s="342">
        <f>C82*$L$26</f>
        <v>78072.34</v>
      </c>
      <c r="E82" s="341">
        <v>2</v>
      </c>
      <c r="F82" s="342">
        <f>E82*$L$26</f>
        <v>78072.34</v>
      </c>
      <c r="G82" s="341">
        <v>2</v>
      </c>
      <c r="H82" s="342">
        <f>G82*$L$26</f>
        <v>78072.34</v>
      </c>
      <c r="I82" s="341">
        <v>2</v>
      </c>
      <c r="J82" s="342">
        <f>I82*$L$26</f>
        <v>78072.34</v>
      </c>
      <c r="K82" s="341">
        <v>2</v>
      </c>
      <c r="L82" s="342">
        <f>K82*$L$26</f>
        <v>78072.34</v>
      </c>
      <c r="M82" s="341">
        <v>2</v>
      </c>
      <c r="N82" s="342">
        <f>M82*$L$26*1.5</f>
        <v>117108.51</v>
      </c>
      <c r="O82" s="341">
        <v>2</v>
      </c>
      <c r="P82" s="342">
        <f>O82*$L$26</f>
        <v>78072.34</v>
      </c>
      <c r="Q82" s="341">
        <v>2</v>
      </c>
      <c r="R82" s="342">
        <f>Q82*$L$26</f>
        <v>78072.34</v>
      </c>
      <c r="S82" s="445">
        <v>3</v>
      </c>
      <c r="T82" s="342">
        <f>S82*$L$26</f>
        <v>117108.51</v>
      </c>
      <c r="U82" s="341">
        <v>3</v>
      </c>
      <c r="V82" s="342">
        <f>U82*$L$26</f>
        <v>117108.51</v>
      </c>
      <c r="W82" s="341">
        <v>3</v>
      </c>
      <c r="X82" s="342">
        <f>W82*$L$26</f>
        <v>117108.51</v>
      </c>
      <c r="Y82" s="341">
        <v>3</v>
      </c>
      <c r="Z82" s="342">
        <f>Y82*$L$26*1.5- (2/6)*$L$26</f>
        <v>162650.70833333331</v>
      </c>
      <c r="AA82" s="458">
        <f t="shared" si="42"/>
        <v>1177591.1283333332</v>
      </c>
    </row>
    <row r="83" spans="2:27" x14ac:dyDescent="0.25">
      <c r="B83" s="459"/>
      <c r="C83" s="341">
        <v>2</v>
      </c>
      <c r="D83" s="342">
        <f>C83*$L$24</f>
        <v>78072.34</v>
      </c>
      <c r="E83" s="341">
        <v>2</v>
      </c>
      <c r="F83" s="342">
        <f>E83*$L$24</f>
        <v>78072.34</v>
      </c>
      <c r="G83" s="341">
        <v>2</v>
      </c>
      <c r="H83" s="342">
        <f>G83*$L$24</f>
        <v>78072.34</v>
      </c>
      <c r="I83" s="341">
        <v>2</v>
      </c>
      <c r="J83" s="342">
        <f>I83*$L$24</f>
        <v>78072.34</v>
      </c>
      <c r="K83" s="341">
        <v>2</v>
      </c>
      <c r="L83" s="342">
        <f>K83*$L$24</f>
        <v>78072.34</v>
      </c>
      <c r="M83" s="341">
        <v>2</v>
      </c>
      <c r="N83" s="342">
        <f>M83*$L$24*1.5</f>
        <v>117108.51</v>
      </c>
      <c r="O83" s="341">
        <v>2</v>
      </c>
      <c r="P83" s="342">
        <f>O83*$L$24</f>
        <v>78072.34</v>
      </c>
      <c r="Q83" s="341">
        <v>2</v>
      </c>
      <c r="R83" s="342">
        <f>Q83*$L$24</f>
        <v>78072.34</v>
      </c>
      <c r="S83" s="445">
        <v>3</v>
      </c>
      <c r="T83" s="342">
        <f>S83*$L$24</f>
        <v>117108.51</v>
      </c>
      <c r="U83" s="341">
        <v>3</v>
      </c>
      <c r="V83" s="342">
        <f>U83*$L$24</f>
        <v>117108.51</v>
      </c>
      <c r="W83" s="341">
        <v>3</v>
      </c>
      <c r="X83" s="342">
        <f>W83*$L$24</f>
        <v>117108.51</v>
      </c>
      <c r="Y83" s="341">
        <v>3</v>
      </c>
      <c r="Z83" s="342">
        <f>Y83*$L$24*1.5 - (2/6)*$L$24</f>
        <v>162650.70833333331</v>
      </c>
      <c r="AA83" s="458">
        <f t="shared" si="42"/>
        <v>1177591.1283333332</v>
      </c>
    </row>
    <row r="84" spans="2:27" x14ac:dyDescent="0.25">
      <c r="B84" s="457"/>
      <c r="C84" s="341">
        <v>1</v>
      </c>
      <c r="D84" s="342">
        <f>C84*$L$25</f>
        <v>19527.37</v>
      </c>
      <c r="E84" s="341">
        <v>1</v>
      </c>
      <c r="F84" s="342">
        <f>E84*$L$25</f>
        <v>19527.37</v>
      </c>
      <c r="G84" s="341">
        <v>1</v>
      </c>
      <c r="H84" s="342">
        <f>G84*$L$25</f>
        <v>19527.37</v>
      </c>
      <c r="I84" s="341">
        <v>1</v>
      </c>
      <c r="J84" s="342">
        <f>I84*$L$25</f>
        <v>19527.37</v>
      </c>
      <c r="K84" s="341">
        <v>1</v>
      </c>
      <c r="L84" s="342">
        <f>K84*$L$25</f>
        <v>19527.37</v>
      </c>
      <c r="M84" s="341">
        <v>1</v>
      </c>
      <c r="N84" s="342">
        <f>M84*$L$25*1.5</f>
        <v>29291.055</v>
      </c>
      <c r="O84" s="341">
        <v>1</v>
      </c>
      <c r="P84" s="342">
        <f>O84*$L$25</f>
        <v>19527.37</v>
      </c>
      <c r="Q84" s="341">
        <v>1</v>
      </c>
      <c r="R84" s="342">
        <f>Q84*$L$25</f>
        <v>19527.37</v>
      </c>
      <c r="S84" s="341">
        <v>1</v>
      </c>
      <c r="T84" s="342">
        <f>S84*$L$25</f>
        <v>19527.37</v>
      </c>
      <c r="U84" s="341">
        <v>1</v>
      </c>
      <c r="V84" s="342">
        <f>U84*$L$25</f>
        <v>19527.37</v>
      </c>
      <c r="W84" s="341">
        <v>1</v>
      </c>
      <c r="X84" s="342">
        <f>W84*$L$25</f>
        <v>19527.37</v>
      </c>
      <c r="Y84" s="341">
        <v>1</v>
      </c>
      <c r="Z84" s="342">
        <f>Y84*$L$25*1.5</f>
        <v>29291.055</v>
      </c>
      <c r="AA84" s="458">
        <f t="shared" si="42"/>
        <v>253855.80999999997</v>
      </c>
    </row>
    <row r="85" spans="2:27" x14ac:dyDescent="0.25">
      <c r="B85" s="457"/>
      <c r="C85" s="341">
        <v>1</v>
      </c>
      <c r="D85" s="342">
        <f>C85*$L$20</f>
        <v>63422.17</v>
      </c>
      <c r="E85" s="341">
        <v>1</v>
      </c>
      <c r="F85" s="342">
        <f>E85*$L$20</f>
        <v>63422.17</v>
      </c>
      <c r="G85" s="341">
        <v>1</v>
      </c>
      <c r="H85" s="342">
        <f>G85*$L$20</f>
        <v>63422.17</v>
      </c>
      <c r="I85" s="341">
        <v>1</v>
      </c>
      <c r="J85" s="342">
        <f>I85*$L$20</f>
        <v>63422.17</v>
      </c>
      <c r="K85" s="341">
        <v>1</v>
      </c>
      <c r="L85" s="342">
        <f>K85*$L$20</f>
        <v>63422.17</v>
      </c>
      <c r="M85" s="341">
        <v>1</v>
      </c>
      <c r="N85" s="342">
        <f>M85*$L$20*(1+6/12)</f>
        <v>95133.255000000005</v>
      </c>
      <c r="O85" s="341">
        <v>1</v>
      </c>
      <c r="P85" s="342">
        <f>O85*$L$20</f>
        <v>63422.17</v>
      </c>
      <c r="Q85" s="341">
        <v>1</v>
      </c>
      <c r="R85" s="342">
        <f>Q85*$L$20</f>
        <v>63422.17</v>
      </c>
      <c r="S85" s="341">
        <v>1</v>
      </c>
      <c r="T85" s="342">
        <f>S85*$L$20</f>
        <v>63422.17</v>
      </c>
      <c r="U85" s="341">
        <v>1</v>
      </c>
      <c r="V85" s="342">
        <f>U85*$L$20</f>
        <v>63422.17</v>
      </c>
      <c r="W85" s="341">
        <v>1</v>
      </c>
      <c r="X85" s="342">
        <f>W85*$L$20</f>
        <v>63422.17</v>
      </c>
      <c r="Y85" s="341">
        <v>1</v>
      </c>
      <c r="Z85" s="342">
        <f>Y85*$L$20*(1+6/12)</f>
        <v>95133.255000000005</v>
      </c>
      <c r="AA85" s="458">
        <f t="shared" si="42"/>
        <v>824488.21000000008</v>
      </c>
    </row>
    <row r="86" spans="2:27" x14ac:dyDescent="0.25">
      <c r="B86" s="457"/>
      <c r="C86" s="341">
        <v>0</v>
      </c>
      <c r="D86" s="342">
        <f>C86*$L$29</f>
        <v>0</v>
      </c>
      <c r="E86" s="445">
        <v>1</v>
      </c>
      <c r="F86" s="342">
        <f>E86*$L$29</f>
        <v>48790.57</v>
      </c>
      <c r="G86" s="341">
        <v>1</v>
      </c>
      <c r="H86" s="342">
        <f>G86*$L$29</f>
        <v>48790.57</v>
      </c>
      <c r="I86" s="341">
        <v>1</v>
      </c>
      <c r="J86" s="342">
        <f>I86*$L$29</f>
        <v>48790.57</v>
      </c>
      <c r="K86" s="341">
        <v>1</v>
      </c>
      <c r="L86" s="342">
        <f>K86*$L$29</f>
        <v>48790.57</v>
      </c>
      <c r="M86" s="341">
        <v>1</v>
      </c>
      <c r="N86" s="342">
        <f>M86*$L$29*(1+5/12)</f>
        <v>69119.974166666667</v>
      </c>
      <c r="O86" s="341">
        <v>1</v>
      </c>
      <c r="P86" s="342">
        <f>O86*$L$29</f>
        <v>48790.57</v>
      </c>
      <c r="Q86" s="341">
        <v>1</v>
      </c>
      <c r="R86" s="342">
        <f>Q86*$L$29</f>
        <v>48790.57</v>
      </c>
      <c r="S86" s="341">
        <v>1</v>
      </c>
      <c r="T86" s="342">
        <f>S86*$L$29</f>
        <v>48790.57</v>
      </c>
      <c r="U86" s="341">
        <v>1</v>
      </c>
      <c r="V86" s="342">
        <f>U86*$L$29</f>
        <v>48790.57</v>
      </c>
      <c r="W86" s="341">
        <v>1</v>
      </c>
      <c r="X86" s="342">
        <f>W86*$L$29</f>
        <v>48790.57</v>
      </c>
      <c r="Y86" s="341">
        <v>1</v>
      </c>
      <c r="Z86" s="342">
        <f>Y86*$L$29*(1+6/12)</f>
        <v>73185.854999999996</v>
      </c>
      <c r="AA86" s="458">
        <f>D86+F86+H86+J86+L86+N86+P86+R86+T86+V86+X86+Z86</f>
        <v>581420.95916666673</v>
      </c>
    </row>
    <row r="87" spans="2:27" ht="16.5" thickBot="1" x14ac:dyDescent="0.3">
      <c r="B87" s="460" t="s">
        <v>219</v>
      </c>
      <c r="C87" s="461">
        <f>SUM(C75:C86)</f>
        <v>14</v>
      </c>
      <c r="D87" s="462">
        <f t="shared" ref="D87:Z87" si="43">SUM(D75:D86)</f>
        <v>719646.98</v>
      </c>
      <c r="E87" s="461">
        <f t="shared" si="43"/>
        <v>15</v>
      </c>
      <c r="F87" s="462">
        <f t="shared" si="43"/>
        <v>768437.54999999993</v>
      </c>
      <c r="G87" s="461">
        <f t="shared" si="43"/>
        <v>15</v>
      </c>
      <c r="H87" s="462">
        <f t="shared" si="43"/>
        <v>768437.54999999993</v>
      </c>
      <c r="I87" s="461">
        <f t="shared" si="43"/>
        <v>15</v>
      </c>
      <c r="J87" s="462">
        <f t="shared" si="43"/>
        <v>768437.54999999993</v>
      </c>
      <c r="K87" s="461">
        <f t="shared" si="43"/>
        <v>15</v>
      </c>
      <c r="L87" s="462">
        <f t="shared" si="43"/>
        <v>768437.54999999993</v>
      </c>
      <c r="M87" s="461">
        <f t="shared" si="43"/>
        <v>15</v>
      </c>
      <c r="N87" s="462">
        <f t="shared" si="43"/>
        <v>1148590.4441666668</v>
      </c>
      <c r="O87" s="461">
        <f t="shared" si="43"/>
        <v>15</v>
      </c>
      <c r="P87" s="462">
        <f t="shared" si="43"/>
        <v>768437.54999999993</v>
      </c>
      <c r="Q87" s="461">
        <f t="shared" si="43"/>
        <v>15</v>
      </c>
      <c r="R87" s="462">
        <f t="shared" si="43"/>
        <v>768437.54999999993</v>
      </c>
      <c r="S87" s="461">
        <f t="shared" si="43"/>
        <v>17</v>
      </c>
      <c r="T87" s="462">
        <f t="shared" si="43"/>
        <v>846509.8899999999</v>
      </c>
      <c r="U87" s="461">
        <f t="shared" si="43"/>
        <v>17</v>
      </c>
      <c r="V87" s="462">
        <f t="shared" si="43"/>
        <v>846509.8899999999</v>
      </c>
      <c r="W87" s="461">
        <f t="shared" si="43"/>
        <v>17</v>
      </c>
      <c r="X87" s="462">
        <f t="shared" si="43"/>
        <v>846509.8899999999</v>
      </c>
      <c r="Y87" s="461">
        <f t="shared" si="43"/>
        <v>17</v>
      </c>
      <c r="Z87" s="462">
        <f t="shared" si="43"/>
        <v>1243740.7216666667</v>
      </c>
      <c r="AA87" s="463">
        <f>Z87+X87+V87+T87+R87+P87+N87+L87+J87+H87+F87+D87</f>
        <v>10262133.115833335</v>
      </c>
    </row>
    <row r="91" spans="2:27" x14ac:dyDescent="0.25">
      <c r="U91" s="35"/>
      <c r="W91" s="35"/>
      <c r="X91" s="35"/>
      <c r="Y91" s="35"/>
      <c r="Z91" s="35"/>
    </row>
  </sheetData>
  <mergeCells count="58">
    <mergeCell ref="AA73:AA74"/>
    <mergeCell ref="B4:D4"/>
    <mergeCell ref="H4:J4"/>
    <mergeCell ref="B72:AA72"/>
    <mergeCell ref="B73:B74"/>
    <mergeCell ref="C73:D73"/>
    <mergeCell ref="E73:F73"/>
    <mergeCell ref="G73:H73"/>
    <mergeCell ref="I73:J73"/>
    <mergeCell ref="K73:L73"/>
    <mergeCell ref="M73:N73"/>
    <mergeCell ref="O73:P73"/>
    <mergeCell ref="Q73:R73"/>
    <mergeCell ref="S73:T73"/>
    <mergeCell ref="U73:V73"/>
    <mergeCell ref="W73:X73"/>
    <mergeCell ref="Y73:Z73"/>
    <mergeCell ref="K12:K13"/>
    <mergeCell ref="L12:L13"/>
    <mergeCell ref="B11:L11"/>
    <mergeCell ref="C39:D39"/>
    <mergeCell ref="E39:F39"/>
    <mergeCell ref="G39:H39"/>
    <mergeCell ref="I39:J39"/>
    <mergeCell ref="K39:L39"/>
    <mergeCell ref="B15:B19"/>
    <mergeCell ref="B20:B21"/>
    <mergeCell ref="B22:B26"/>
    <mergeCell ref="B27:B29"/>
    <mergeCell ref="B30:B34"/>
    <mergeCell ref="D12:D13"/>
    <mergeCell ref="C12:C13"/>
    <mergeCell ref="B12:B13"/>
    <mergeCell ref="Y39:Z39"/>
    <mergeCell ref="B39:B40"/>
    <mergeCell ref="B38:AA38"/>
    <mergeCell ref="AA39:AA40"/>
    <mergeCell ref="M39:N39"/>
    <mergeCell ref="O39:P39"/>
    <mergeCell ref="Q39:R39"/>
    <mergeCell ref="S39:T39"/>
    <mergeCell ref="U39:V39"/>
    <mergeCell ref="W39:X39"/>
    <mergeCell ref="B55:AA55"/>
    <mergeCell ref="B56:B57"/>
    <mergeCell ref="C56:D56"/>
    <mergeCell ref="E56:F56"/>
    <mergeCell ref="G56:H56"/>
    <mergeCell ref="I56:J56"/>
    <mergeCell ref="K56:L56"/>
    <mergeCell ref="M56:N56"/>
    <mergeCell ref="AA56:AA57"/>
    <mergeCell ref="O56:P56"/>
    <mergeCell ref="Q56:R56"/>
    <mergeCell ref="S56:T56"/>
    <mergeCell ref="U56:V56"/>
    <mergeCell ref="W56:X56"/>
    <mergeCell ref="Y56:Z56"/>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19</vt:i4>
      </vt:variant>
    </vt:vector>
  </HeadingPairs>
  <TitlesOfParts>
    <vt:vector size="19" baseType="lpstr">
      <vt:lpstr>Portada</vt:lpstr>
      <vt:lpstr>Indice</vt:lpstr>
      <vt:lpstr>Hipótesis</vt:lpstr>
      <vt:lpstr>Proy. ventas</vt:lpstr>
      <vt:lpstr>Anexo capacidad operativa</vt:lpstr>
      <vt:lpstr>Mod. ingresos</vt:lpstr>
      <vt:lpstr>Costos fijos</vt:lpstr>
      <vt:lpstr>Costos variables</vt:lpstr>
      <vt:lpstr>Costos RRHH</vt:lpstr>
      <vt:lpstr>Mod. egresos</vt:lpstr>
      <vt:lpstr>Mod. inversión</vt:lpstr>
      <vt:lpstr>Amortizaciones</vt:lpstr>
      <vt:lpstr>Presupuesto financiero</vt:lpstr>
      <vt:lpstr>Matriz riesgo</vt:lpstr>
      <vt:lpstr>Escenario 1</vt:lpstr>
      <vt:lpstr>Escenario 2</vt:lpstr>
      <vt:lpstr>Escenario 3</vt:lpstr>
      <vt:lpstr>Plan de contingencia</vt:lpstr>
      <vt:lpstr>Hoja auxiliar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Nicolas Javier Rubino</cp:lastModifiedBy>
  <dcterms:created xsi:type="dcterms:W3CDTF">2019-08-27T12:23:32Z</dcterms:created>
  <dcterms:modified xsi:type="dcterms:W3CDTF">2020-08-28T03:20:17Z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e6ec04e2-c8fa-4551-8fa2-23c19de93189</vt:lpwstr>
  </property>
</Properties>
</file>