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829" firstSheet="2" activeTab="6"/>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5" i="27" l="1"/>
  <c r="K35" i="27"/>
  <c r="J35" i="27"/>
  <c r="I35" i="27"/>
  <c r="H35" i="27"/>
  <c r="G35" i="27"/>
  <c r="F35" i="27"/>
  <c r="E35" i="27"/>
  <c r="D35" i="27"/>
  <c r="C35" i="27"/>
  <c r="B35" i="27"/>
  <c r="D24" i="27"/>
  <c r="D26" i="27" s="1"/>
  <c r="D25" i="27"/>
  <c r="E26" i="27"/>
  <c r="F26" i="27"/>
  <c r="G26" i="27"/>
  <c r="H26" i="27"/>
  <c r="I26" i="27"/>
  <c r="J26" i="27"/>
  <c r="K26" i="27"/>
  <c r="L26" i="27"/>
  <c r="M26" i="27"/>
  <c r="C26" i="27"/>
  <c r="B26" i="27"/>
  <c r="M24" i="27"/>
  <c r="M25" i="27"/>
  <c r="L24" i="27"/>
  <c r="L25" i="27"/>
  <c r="K24" i="27"/>
  <c r="K25" i="27"/>
  <c r="J24" i="27"/>
  <c r="J25" i="27"/>
  <c r="I24" i="27"/>
  <c r="I25" i="27"/>
  <c r="H24" i="27"/>
  <c r="H25" i="27"/>
  <c r="G24" i="27"/>
  <c r="G25" i="27"/>
  <c r="F24" i="27"/>
  <c r="F25" i="27"/>
  <c r="E24" i="27"/>
  <c r="E25" i="27"/>
  <c r="C24" i="27"/>
  <c r="C25" i="27"/>
  <c r="B24" i="27"/>
  <c r="B25" i="27"/>
  <c r="M23" i="27"/>
  <c r="L23" i="27"/>
  <c r="K23" i="27"/>
  <c r="J23" i="27"/>
  <c r="I23" i="27"/>
  <c r="H23" i="27"/>
  <c r="G23" i="27"/>
  <c r="F23" i="27"/>
  <c r="E23" i="27" l="1"/>
  <c r="D23" i="27"/>
  <c r="C23" i="27"/>
  <c r="B23" i="27" l="1"/>
  <c r="I27" i="32"/>
  <c r="H23" i="37"/>
  <c r="C44" i="27" l="1"/>
  <c r="B44" i="27"/>
  <c r="M33" i="27"/>
  <c r="M44" i="27" s="1"/>
  <c r="L33" i="27"/>
  <c r="L44" i="27" s="1"/>
  <c r="K33" i="27"/>
  <c r="K44" i="27" s="1"/>
  <c r="J33" i="27"/>
  <c r="J44" i="27" s="1"/>
  <c r="I33" i="27"/>
  <c r="I44" i="27" s="1"/>
  <c r="H33" i="27"/>
  <c r="H44" i="27" s="1"/>
  <c r="G33" i="27"/>
  <c r="G44" i="27" s="1"/>
  <c r="F33" i="27"/>
  <c r="F44" i="27" s="1"/>
  <c r="E33" i="27"/>
  <c r="E44" i="27" s="1"/>
  <c r="D33" i="27"/>
  <c r="D44" i="27" s="1"/>
  <c r="C33" i="27"/>
  <c r="B33" i="27"/>
  <c r="H24" i="37"/>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J63" i="22"/>
  <c r="L63" i="22"/>
  <c r="K48" i="22"/>
  <c r="I48" i="22"/>
  <c r="L48" i="22"/>
  <c r="N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E60" i="30"/>
  <c r="I5" i="30" s="1"/>
  <c r="M21" i="37" s="1"/>
  <c r="G17" i="37" s="1"/>
  <c r="E21" i="30"/>
  <c r="F5" i="30" s="1"/>
  <c r="J21" i="37" s="1"/>
  <c r="D17" i="37" s="1"/>
  <c r="D18" i="37" s="1"/>
  <c r="E17" i="37" l="1"/>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F21" i="36" l="1"/>
  <c r="E17" i="36"/>
  <c r="E21" i="34"/>
  <c r="E17" i="34"/>
  <c r="E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6" i="27"/>
  <c r="D46" i="27"/>
  <c r="E46" i="27"/>
  <c r="F46" i="27"/>
  <c r="G46" i="27"/>
  <c r="H46" i="27"/>
  <c r="I38" i="27"/>
  <c r="J38" i="27"/>
  <c r="K38" i="27"/>
  <c r="L38" i="27"/>
  <c r="M38" i="27"/>
  <c r="B38" i="27"/>
  <c r="D38" i="27"/>
  <c r="M27" i="22"/>
  <c r="L27" i="22"/>
  <c r="K27" i="22"/>
  <c r="J27" i="22"/>
  <c r="I27" i="22"/>
  <c r="H33" i="22"/>
  <c r="G33" i="22"/>
  <c r="F33" i="22"/>
  <c r="E33" i="22"/>
  <c r="D33" i="22"/>
  <c r="C33" i="22"/>
  <c r="B33" i="22"/>
  <c r="E38" i="27" l="1"/>
  <c r="AA79" i="28"/>
  <c r="AA82" i="28"/>
  <c r="AA80" i="28"/>
  <c r="AA76" i="28"/>
  <c r="AA83" i="28"/>
  <c r="AA84" i="28"/>
  <c r="H38"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8" i="27"/>
  <c r="B46" i="27"/>
  <c r="M46" i="27"/>
  <c r="M33" i="22"/>
  <c r="L46" i="27"/>
  <c r="K46" i="27"/>
  <c r="J46" i="27"/>
  <c r="F38" i="27"/>
  <c r="K33" i="22"/>
  <c r="I46" i="27"/>
  <c r="C38" i="27"/>
  <c r="N26" i="27"/>
  <c r="I33" i="22"/>
  <c r="J33" i="22"/>
  <c r="L33" i="22"/>
  <c r="N33" i="22" l="1"/>
  <c r="G5" i="22" s="1"/>
  <c r="K10" i="37" s="1"/>
  <c r="E9" i="37" s="1"/>
  <c r="B10" i="29"/>
  <c r="H6" i="27"/>
  <c r="K11" i="37" s="1"/>
  <c r="E10" i="37" s="1"/>
  <c r="B11" i="29"/>
  <c r="N38" i="27"/>
  <c r="N46" i="27"/>
  <c r="AA48" i="28"/>
  <c r="AA85" i="28"/>
  <c r="AA62" i="28"/>
  <c r="K11" i="34" l="1"/>
  <c r="E10" i="34" s="1"/>
  <c r="K11" i="35"/>
  <c r="E10" i="35" s="1"/>
  <c r="K11" i="36"/>
  <c r="E10" i="36" s="1"/>
  <c r="K11" i="32"/>
  <c r="E14" i="32" s="1"/>
  <c r="K10" i="32"/>
  <c r="E13" i="32" s="1"/>
  <c r="K10" i="36"/>
  <c r="E9" i="36" s="1"/>
  <c r="K10" i="35"/>
  <c r="E9" i="35" s="1"/>
  <c r="K10" i="34"/>
  <c r="E9" i="34" s="1"/>
  <c r="H6" i="28"/>
  <c r="K12" i="37" s="1"/>
  <c r="E11" i="37" s="1"/>
  <c r="B12" i="29"/>
  <c r="B13" i="29" s="1"/>
  <c r="I6" i="28"/>
  <c r="C12" i="29"/>
  <c r="J6" i="28"/>
  <c r="M12" i="37" s="1"/>
  <c r="G11" i="37" s="1"/>
  <c r="D12" i="29"/>
  <c r="I6" i="27"/>
  <c r="L11" i="37" s="1"/>
  <c r="F10"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M11" i="37"/>
  <c r="N11" i="37"/>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G10" i="37"/>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L6" i="37" s="1"/>
  <c r="F8" i="37" s="1"/>
  <c r="F12" i="37" s="1"/>
  <c r="D24" i="3"/>
  <c r="K6" i="37" s="1"/>
  <c r="E8" i="37" s="1"/>
  <c r="E12" i="37" s="1"/>
  <c r="D26" i="3"/>
  <c r="M6" i="37" s="1"/>
  <c r="G8" i="37" l="1"/>
  <c r="G12" i="37" s="1"/>
  <c r="H8" i="37"/>
  <c r="H12" i="37" s="1"/>
  <c r="H14" i="37" s="1"/>
  <c r="E16" i="37"/>
  <c r="E18" i="37" s="1"/>
  <c r="E14" i="37"/>
  <c r="F15" i="37" s="1"/>
  <c r="F16" i="37" s="1"/>
  <c r="F18" i="37" s="1"/>
  <c r="F14" i="37"/>
  <c r="G15" i="37" s="1"/>
  <c r="D6" i="3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E24" i="37" s="1"/>
  <c r="G14" i="37"/>
  <c r="H15" i="37" s="1"/>
  <c r="H16" i="37" s="1"/>
  <c r="H18" i="37" s="1"/>
  <c r="E16" i="36"/>
  <c r="E18" i="36" s="1"/>
  <c r="E14" i="36"/>
  <c r="F15" i="36" s="1"/>
  <c r="F16" i="36" s="1"/>
  <c r="F18" i="36" s="1"/>
  <c r="G18" i="32"/>
  <c r="E20" i="32"/>
  <c r="E22" i="32" s="1"/>
  <c r="E18" i="32"/>
  <c r="F19" i="32" s="1"/>
  <c r="F20" i="32" s="1"/>
  <c r="F22" i="32" s="1"/>
  <c r="E16" i="35"/>
  <c r="E18" i="35" s="1"/>
  <c r="E14" i="35"/>
  <c r="F15" i="35" s="1"/>
  <c r="F16" i="35" s="1"/>
  <c r="F18" i="35" s="1"/>
  <c r="F18" i="32"/>
  <c r="G19" i="32" s="1"/>
  <c r="G20" i="32" s="1"/>
  <c r="G22" i="32" s="1"/>
  <c r="F14" i="35"/>
  <c r="G15" i="35" s="1"/>
  <c r="G16" i="35" s="1"/>
  <c r="G18" i="35" s="1"/>
  <c r="E14" i="34"/>
  <c r="F15" i="34" s="1"/>
  <c r="F16" i="34" s="1"/>
  <c r="F18" i="34" s="1"/>
  <c r="E16" i="34"/>
  <c r="E18" i="34" s="1"/>
  <c r="F14" i="34"/>
  <c r="G15" i="34" s="1"/>
  <c r="G16" i="34" s="1"/>
  <c r="G18" i="34" s="1"/>
  <c r="F14" i="36"/>
  <c r="G15" i="36" s="1"/>
  <c r="G16" i="36" s="1"/>
  <c r="G18" i="36" s="1"/>
  <c r="S119" i="20"/>
  <c r="V117" i="20"/>
  <c r="X117" i="20"/>
  <c r="X118" i="20"/>
  <c r="V118" i="20"/>
  <c r="Y116" i="20"/>
  <c r="AA116" i="20"/>
  <c r="I28" i="32" l="1"/>
  <c r="E22" i="35"/>
  <c r="E22" i="34"/>
  <c r="F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<sst xmlns="http://schemas.openxmlformats.org/spreadsheetml/2006/main" count="988" uniqueCount="274">
  <si>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</si>
  <si>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</si>
  <si>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</si>
  <si>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</si>
  <si>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</si>
  <si>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</si>
  <si>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</si>
  <si>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</si>
  <si>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</si>
  <si>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</si>
  <si>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</si>
  <si>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</si>
  <si>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</si>
  <si>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</si>
  <si>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</si>
  <si>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</si>
  <si>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</si>
  <si>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</si>
  <si>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</si>
  <si>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</si>
  <si>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</si>
  <si>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</si>
  <si>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</si>
  <si>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</si>
  <si>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</si>
  <si>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</si>
  <si>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</si>
  <si>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</si>
  <si>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</si>
  <si>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</si>
  <si>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</si>
  <si>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</si>
  <si>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</si>
  <si>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</si>
  <si>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</si>
  <si>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</si>
  <si>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</si>
  <si>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</si>
  <si>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</si>
  <si>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</si>
  <si>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</si>
  <si>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</si>
  <si>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</si>
  <si>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</si>
  <si>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</si>
  <si>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</si>
  <si>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</si>
  <si>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</si>
  <si>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</si>
  <si>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</si>
  <si>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</si>
  <si>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</si>
  <si>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</si>
  <si>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</si>
  <si>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</si>
  <si>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</si>
  <si>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</si>
  <si>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</si>
  <si>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</si>
  <si>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</si>
  <si>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</si>
  <si>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</si>
  <si>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</si>
  <si>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</si>
  <si>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</si>
  <si>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</si>
  <si>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</si>
  <si>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</si>
  <si>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</si>
  <si>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</si>
  <si>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</si>
  <si>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</si>
  <si>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</si>
  <si>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</si>
  <si>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</si>
  <si>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</si>
  <si>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</si>
  <si>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</si>
  <si>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</si>
  <si>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</si>
  <si>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</si>
  <si>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</si>
  <si>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</si>
  <si>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</si>
  <si>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</si>
  <si>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</si>
  <si>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</si>
  <si>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</si>
  <si>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</si>
  <si>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</si>
  <si>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</si>
  <si>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</si>
  <si>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</si>
  <si>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</si>
  <si>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</si>
  <si>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</si>
  <si>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</si>
  <si>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</si>
  <si>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</si>
  <si>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</si>
  <si>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</si>
  <si>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</si>
  <si>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</si>
  <si>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</si>
  <si>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</si>
  <si>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</si>
  <si>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</si>
  <si>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</si>
  <si>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</si>
  <si>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</si>
  <si>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</si>
  <si>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</si>
  <si>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</si>
  <si>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</si>
  <si>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</si>
  <si>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</si>
  <si>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</si>
  <si>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</si>
  <si>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</si>
  <si>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</si>
  <si>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</si>
  <si>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</si>
  <si>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</si>
  <si>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</si>
  <si>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</si>
  <si>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</si>
  <si>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</si>
  <si>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</si>
  <si>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</si>
  <si>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</si>
  <si>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</si>
  <si>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</si>
  <si>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</si>
  <si>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</si>
  <si>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</si>
  <si>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</si>
  <si>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</si>
  <si>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</si>
  <si>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</si>
  <si>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</si>
  <si>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</si>
  <si>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</si>
  <si>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</si>
  <si>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</si>
  <si>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</si>
  <si>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</si>
  <si>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</si>
  <si>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</si>
  <si>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</si>
  <si>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</si>
  <si>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</si>
  <si>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</si>
  <si>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</si>
  <si>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</si>
  <si>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</si>
  <si>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</si>
  <si>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</si>
  <si>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</si>
  <si>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</si>
  <si>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</si>
  <si>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</si>
  <si>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</si>
  <si>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</si>
  <si>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</si>
  <si>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</si>
  <si>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</si>
  <si>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</si>
  <si>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</si>
  <si>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</si>
  <si>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</si>
  <si>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</si>
  <si>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</si>
  <si>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</si>
  <si>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</si>
  <si>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</si>
  <si>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</si>
  <si>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</si>
  <si>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</si>
  <si>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</si>
  <si>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</si>
  <si>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</si>
  <si>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</si>
  <si>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</si>
  <si>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</si>
  <si>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</si>
  <si>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</si>
  <si>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</si>
  <si>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</si>
  <si>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</si>
  <si>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</si>
  <si>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</si>
  <si>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</si>
  <si>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</si>
  <si>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</si>
  <si>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</si>
  <si>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</si>
  <si>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</si>
  <si>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</si>
  <si>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</si>
  <si>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</si>
  <si>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</si>
  <si>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</si>
  <si>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</si>
  <si>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</si>
  <si>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</si>
  <si>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</si>
  <si>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</si>
  <si>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</si>
  <si>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</si>
  <si>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</si>
  <si>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</si>
  <si>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</si>
  <si>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</si>
  <si>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</si>
  <si>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</si>
  <si>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</si>
  <si>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</si>
  <si>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</si>
  <si>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</si>
  <si>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</si>
  <si>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</si>
  <si>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</si>
  <si>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</si>
  <si>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</si>
  <si>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</si>
  <si>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</si>
  <si>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</si>
  <si>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</si>
  <si>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</si>
  <si>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</si>
  <si>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</si>
  <si>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</si>
  <si>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</si>
  <si>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</si>
  <si>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</si>
  <si>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</si>
  <si>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</si>
  <si>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</si>
  <si>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</si>
  <si>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</si>
  <si>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</si>
  <si>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</si>
  <si>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</si>
  <si>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</si>
  <si>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</si>
  <si>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</si>
  <si>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</si>
  <si>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</si>
  <si>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</si>
  <si>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</si>
  <si>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</si>
  <si>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</si>
  <si>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</si>
  <si>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</si>
  <si>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</si>
  <si>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</si>
  <si>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</si>
  <si>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</si>
  <si>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</si>
  <si>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</si>
  <si>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</si>
  <si>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</si>
  <si>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</si>
  <si>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</si>
  <si>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</si>
  <si>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</si>
  <si>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</si>
  <si>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</si>
  <si>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</si>
  <si>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Este movimiento permitira tener una TIR del 59%</t>
    </r>
  </si>
  <si>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73%</t>
    </r>
  </si>
  <si>
    <t>Promociones de Venta - Initial Care</t>
  </si>
  <si>
    <t>Promociones de Venta - Medium Care</t>
  </si>
  <si>
    <t>Promociones de Venta - Full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</si>
</sst>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 numFmtId="176" formatCode="&quot;$&quot;#,##0.00"/>
    <numFmt numFmtId="177" formatCode="&quot;$&quot;#,##0;[Red]\-&quot;$&quot;#,##0"/>
    <numFmt numFmtId="178" formatCode="&quot;$&quot;\ #,##0.00;[Red]\-&quot;$&quot;\ #,##0.00"/>
    <numFmt numFmtId="180" formatCode="_-[$$-409]* #,##0.00_ ;_-[$$-409]* \-#,##0.00\ ;_-[$$-409]* &quot;-&quot;??_ ;_-@_ "/>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xf numFmtId="0" fontId="39" fillId="16" borderId="110" applyNumberFormat="0" applyAlignment="0" applyProtection="0"/>
  </cellStyleXfs>
  <cellXfs count="770">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43"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8" fontId="0" fillId="2" borderId="30" xfId="0" applyNumberFormat="1" applyFill="1" applyBorder="1" applyAlignment="1">
      <alignment horizontal="center"/>
    </xf>
    <xf numFmtId="168" fontId="0" fillId="2" borderId="31" xfId="0" applyNumberFormat="1" applyFill="1" applyBorder="1" applyAlignment="1">
      <alignment horizontal="center"/>
    </xf>
    <xf numFmtId="168" fontId="0" fillId="2" borderId="38" xfId="0" applyNumberFormat="1" applyFill="1" applyBorder="1" applyAlignment="1">
      <alignment horizontal="center"/>
    </xf>
    <xf numFmtId="168" fontId="0" fillId="2" borderId="1" xfId="0" applyNumberFormat="1" applyFill="1" applyBorder="1" applyAlignment="1">
      <alignment horizontal="center"/>
    </xf>
    <xf numFmtId="168"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4" fontId="0" fillId="0" borderId="18" xfId="6" applyFont="1" applyBorder="1" applyAlignment="1">
      <alignment horizontal="left" vertical="center"/>
    </xf>
    <xf numFmtId="164" fontId="0" fillId="0" borderId="99" xfId="6" applyFont="1" applyBorder="1" applyAlignment="1">
      <alignment horizontal="center"/>
    </xf>
    <xf numFmtId="164" fontId="0" fillId="0" borderId="93" xfId="6" applyFont="1" applyBorder="1" applyAlignment="1">
      <alignment horizontal="center"/>
    </xf>
    <xf numFmtId="164" fontId="0" fillId="0" borderId="100" xfId="6" applyFont="1" applyBorder="1" applyAlignment="1">
      <alignment horizontal="center"/>
    </xf>
    <xf numFmtId="164" fontId="0" fillId="0" borderId="45" xfId="6" applyFont="1" applyBorder="1" applyAlignment="1">
      <alignment horizontal="center"/>
    </xf>
    <xf numFmtId="164" fontId="0" fillId="2" borderId="41" xfId="6" applyFont="1" applyFill="1" applyBorder="1"/>
    <xf numFmtId="164" fontId="0" fillId="0" borderId="26" xfId="6" applyFont="1" applyBorder="1" applyAlignment="1">
      <alignment horizontal="center"/>
    </xf>
    <xf numFmtId="164" fontId="0" fillId="0" borderId="19" xfId="6" applyFont="1" applyBorder="1" applyAlignment="1">
      <alignment horizontal="center"/>
    </xf>
    <xf numFmtId="164" fontId="0" fillId="0" borderId="48" xfId="6" applyFont="1" applyBorder="1" applyAlignment="1">
      <alignment horizontal="center"/>
    </xf>
    <xf numFmtId="164" fontId="0" fillId="2" borderId="37" xfId="6" applyFont="1" applyFill="1" applyBorder="1"/>
    <xf numFmtId="164" fontId="0" fillId="0" borderId="1" xfId="6" applyFont="1" applyBorder="1" applyAlignment="1">
      <alignment horizontal="center"/>
    </xf>
    <xf numFmtId="164" fontId="0" fillId="0" borderId="21" xfId="6" applyFont="1" applyBorder="1" applyAlignment="1">
      <alignment horizontal="center"/>
    </xf>
    <xf numFmtId="164" fontId="0" fillId="0" borderId="49" xfId="6" applyFont="1" applyBorder="1" applyAlignment="1">
      <alignment horizontal="center"/>
    </xf>
    <xf numFmtId="164" fontId="0" fillId="2" borderId="38" xfId="6" applyFont="1" applyFill="1" applyBorder="1"/>
    <xf numFmtId="164" fontId="0" fillId="0" borderId="31" xfId="6" applyFont="1" applyBorder="1" applyAlignment="1">
      <alignment horizontal="center"/>
    </xf>
    <xf numFmtId="164" fontId="0" fillId="0" borderId="34" xfId="6" applyFont="1" applyBorder="1" applyAlignment="1">
      <alignment horizontal="center"/>
    </xf>
    <xf numFmtId="164" fontId="0" fillId="0" borderId="50" xfId="6" applyFont="1" applyBorder="1" applyAlignment="1">
      <alignment horizontal="center"/>
    </xf>
    <xf numFmtId="164"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6" fontId="0" fillId="0" borderId="1" xfId="0" applyNumberFormat="1" applyBorder="1" applyAlignment="1">
      <alignment horizontal="center"/>
    </xf>
    <xf numFmtId="0" fontId="0" fillId="2" borderId="28" xfId="0" applyFill="1" applyBorder="1"/>
    <xf numFmtId="168"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4" fontId="10" fillId="4" borderId="45" xfId="6" applyFont="1" applyFill="1" applyBorder="1"/>
    <xf numFmtId="164" fontId="10" fillId="4" borderId="48" xfId="6" applyFont="1" applyFill="1" applyBorder="1"/>
    <xf numFmtId="164" fontId="10" fillId="4" borderId="49" xfId="6" applyFont="1" applyFill="1" applyBorder="1"/>
    <xf numFmtId="164"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6" fontId="10" fillId="4" borderId="31" xfId="0" applyNumberFormat="1" applyFont="1" applyFill="1" applyBorder="1" applyAlignment="1">
      <alignment horizontal="center"/>
    </xf>
    <xf numFmtId="168" fontId="0" fillId="4" borderId="37" xfId="0" applyNumberFormat="1" applyFill="1" applyBorder="1"/>
    <xf numFmtId="164" fontId="0" fillId="0" borderId="52" xfId="6" applyFont="1" applyBorder="1" applyAlignment="1">
      <alignment horizontal="center"/>
    </xf>
    <xf numFmtId="164" fontId="0" fillId="0" borderId="24" xfId="6" applyFont="1" applyBorder="1" applyAlignment="1">
      <alignment horizontal="center"/>
    </xf>
    <xf numFmtId="164" fontId="0" fillId="0" borderId="98" xfId="6" applyFont="1" applyBorder="1" applyAlignment="1">
      <alignment horizontal="center"/>
    </xf>
    <xf numFmtId="164" fontId="10" fillId="4" borderId="98" xfId="6" applyFont="1" applyFill="1" applyBorder="1"/>
    <xf numFmtId="164" fontId="0" fillId="2" borderId="94" xfId="6" applyFont="1" applyFill="1" applyBorder="1"/>
    <xf numFmtId="164"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4"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4" fontId="0" fillId="2" borderId="19" xfId="6" applyFont="1" applyFill="1" applyBorder="1"/>
    <xf numFmtId="164" fontId="0" fillId="2" borderId="21" xfId="6" applyFont="1" applyFill="1" applyBorder="1"/>
    <xf numFmtId="164" fontId="0" fillId="2" borderId="24" xfId="6" applyFont="1" applyFill="1" applyBorder="1"/>
    <xf numFmtId="164" fontId="0" fillId="0" borderId="25" xfId="6" applyFont="1" applyBorder="1" applyAlignment="1">
      <alignment horizontal="center"/>
    </xf>
    <xf numFmtId="164" fontId="0" fillId="0" borderId="28" xfId="6" applyFont="1" applyBorder="1" applyAlignment="1">
      <alignment horizontal="center"/>
    </xf>
    <xf numFmtId="164" fontId="0" fillId="0" borderId="97" xfId="6" applyFont="1" applyBorder="1" applyAlignment="1">
      <alignment horizontal="center"/>
    </xf>
    <xf numFmtId="164" fontId="0" fillId="0" borderId="30" xfId="6" applyFont="1" applyBorder="1" applyAlignment="1">
      <alignment horizontal="center"/>
    </xf>
    <xf numFmtId="164" fontId="0" fillId="0" borderId="54" xfId="6" applyFont="1" applyBorder="1" applyAlignment="1">
      <alignment horizontal="center"/>
    </xf>
    <xf numFmtId="164" fontId="0" fillId="0" borderId="55" xfId="6" applyFont="1" applyBorder="1" applyAlignment="1">
      <alignment horizontal="center"/>
    </xf>
    <xf numFmtId="164" fontId="0" fillId="0" borderId="91" xfId="6" applyFont="1" applyBorder="1" applyAlignment="1">
      <alignment horizontal="center"/>
    </xf>
    <xf numFmtId="164" fontId="0" fillId="0" borderId="4" xfId="6" applyFont="1" applyBorder="1" applyAlignment="1">
      <alignment horizontal="center"/>
    </xf>
    <xf numFmtId="164"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6"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6" fontId="10" fillId="2" borderId="0" xfId="0" applyNumberFormat="1" applyFont="1" applyFill="1" applyBorder="1" applyAlignment="1">
      <alignment horizontal="center"/>
    </xf>
    <xf numFmtId="168" fontId="10" fillId="2" borderId="0" xfId="0" applyNumberFormat="1" applyFont="1" applyFill="1" applyBorder="1"/>
    <xf numFmtId="10" fontId="0" fillId="2" borderId="1" xfId="0" applyNumberFormat="1" applyFill="1" applyBorder="1" applyAlignment="1">
      <alignment horizontal="center"/>
    </xf>
    <xf numFmtId="168" fontId="0" fillId="2" borderId="1" xfId="0" applyNumberFormat="1" applyFont="1" applyFill="1" applyBorder="1" applyAlignment="1">
      <alignment horizontal="right"/>
    </xf>
    <xf numFmtId="168" fontId="10" fillId="13" borderId="1" xfId="0" applyNumberFormat="1" applyFont="1" applyFill="1" applyBorder="1" applyAlignment="1">
      <alignment horizontal="right"/>
    </xf>
    <xf numFmtId="0" fontId="10" fillId="9" borderId="1" xfId="0" applyFont="1" applyFill="1" applyBorder="1" applyAlignment="1">
      <alignment horizontal="left"/>
    </xf>
    <xf numFmtId="168" fontId="10" fillId="0" borderId="1" xfId="0" applyNumberFormat="1" applyFont="1" applyFill="1" applyBorder="1" applyAlignment="1">
      <alignment horizontal="right"/>
    </xf>
    <xf numFmtId="168" fontId="0" fillId="0" borderId="30" xfId="0" applyNumberFormat="1" applyBorder="1" applyAlignment="1">
      <alignment horizontal="center"/>
    </xf>
    <xf numFmtId="168" fontId="0" fillId="0" borderId="31" xfId="0" applyNumberFormat="1" applyBorder="1" applyAlignment="1">
      <alignment horizontal="center"/>
    </xf>
    <xf numFmtId="168" fontId="0" fillId="0" borderId="38" xfId="0" applyNumberFormat="1" applyBorder="1" applyAlignment="1">
      <alignment horizontal="center"/>
    </xf>
    <xf numFmtId="168"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8" fontId="10" fillId="13" borderId="6" xfId="0" applyNumberFormat="1" applyFont="1" applyFill="1" applyBorder="1" applyAlignment="1">
      <alignment horizontal="center"/>
    </xf>
    <xf numFmtId="168" fontId="0" fillId="0" borderId="37" xfId="0" applyNumberFormat="1" applyBorder="1" applyAlignment="1">
      <alignment horizontal="center"/>
    </xf>
    <xf numFmtId="168"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8" fontId="0" fillId="0" borderId="52" xfId="0" applyNumberFormat="1" applyBorder="1" applyAlignment="1">
      <alignment horizontal="center"/>
    </xf>
    <xf numFmtId="0" fontId="0" fillId="6" borderId="28" xfId="0" applyFill="1" applyBorder="1" applyAlignment="1">
      <alignment vertical="center"/>
    </xf>
    <xf numFmtId="168" fontId="0" fillId="6" borderId="1" xfId="0" applyNumberFormat="1" applyFill="1" applyBorder="1" applyAlignment="1">
      <alignment horizontal="center"/>
    </xf>
    <xf numFmtId="168"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8" fontId="0" fillId="6" borderId="31" xfId="0" applyNumberFormat="1" applyFill="1" applyBorder="1" applyAlignment="1">
      <alignment horizontal="center"/>
    </xf>
    <xf numFmtId="168"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8" fontId="0" fillId="13" borderId="26" xfId="0" applyNumberFormat="1" applyFill="1" applyBorder="1"/>
    <xf numFmtId="168"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8" fontId="0" fillId="13" borderId="28" xfId="0" applyNumberFormat="1" applyFill="1" applyBorder="1" applyAlignment="1">
      <alignment horizontal="center"/>
    </xf>
    <xf numFmtId="168" fontId="0" fillId="14" borderId="1" xfId="0" applyNumberFormat="1" applyFill="1" applyBorder="1" applyAlignment="1">
      <alignment horizontal="center"/>
    </xf>
    <xf numFmtId="168" fontId="0" fillId="13" borderId="28" xfId="0" applyNumberFormat="1" applyFill="1" applyBorder="1"/>
    <xf numFmtId="168" fontId="0" fillId="13" borderId="1" xfId="0" applyNumberFormat="1" applyFill="1" applyBorder="1"/>
    <xf numFmtId="168" fontId="0" fillId="13" borderId="37" xfId="0" applyNumberFormat="1" applyFill="1" applyBorder="1"/>
    <xf numFmtId="168" fontId="0" fillId="14" borderId="28" xfId="0" applyNumberFormat="1" applyFill="1" applyBorder="1" applyAlignment="1">
      <alignment horizontal="center"/>
    </xf>
    <xf numFmtId="168" fontId="0" fillId="13" borderId="1" xfId="0" applyNumberFormat="1" applyFill="1" applyBorder="1" applyAlignment="1">
      <alignment horizontal="center"/>
    </xf>
    <xf numFmtId="168" fontId="0" fillId="14" borderId="1" xfId="0" applyNumberFormat="1" applyFill="1" applyBorder="1"/>
    <xf numFmtId="168" fontId="0" fillId="14" borderId="31" xfId="0" applyNumberFormat="1" applyFill="1" applyBorder="1" applyAlignment="1">
      <alignment horizontal="center"/>
    </xf>
    <xf numFmtId="168" fontId="0" fillId="13" borderId="38" xfId="0" applyNumberFormat="1" applyFill="1" applyBorder="1"/>
    <xf numFmtId="0" fontId="0" fillId="0" borderId="34" xfId="0" applyBorder="1" applyAlignment="1">
      <alignment horizontal="center"/>
    </xf>
    <xf numFmtId="168" fontId="11" fillId="13" borderId="99" xfId="0" applyNumberFormat="1" applyFont="1" applyFill="1" applyBorder="1"/>
    <xf numFmtId="168" fontId="11" fillId="13" borderId="93" xfId="0" applyNumberFormat="1" applyFont="1" applyFill="1" applyBorder="1"/>
    <xf numFmtId="168"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8" fontId="0" fillId="0" borderId="1" xfId="0" applyNumberFormat="1" applyFill="1" applyBorder="1" applyAlignment="1">
      <alignment horizontal="center"/>
    </xf>
    <xf numFmtId="168" fontId="0" fillId="13" borderId="29" xfId="0" applyNumberFormat="1" applyFill="1" applyBorder="1"/>
    <xf numFmtId="0" fontId="0" fillId="0" borderId="32" xfId="0" applyFill="1" applyBorder="1" applyAlignment="1">
      <alignment horizontal="center"/>
    </xf>
    <xf numFmtId="168"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8" fontId="0" fillId="14" borderId="52" xfId="0" applyNumberFormat="1" applyFill="1" applyBorder="1"/>
    <xf numFmtId="168" fontId="0" fillId="13" borderId="2" xfId="0" applyNumberFormat="1" applyFill="1" applyBorder="1"/>
    <xf numFmtId="168" fontId="0" fillId="13" borderId="30" xfId="0" applyNumberFormat="1" applyFill="1" applyBorder="1" applyAlignment="1">
      <alignment horizontal="center"/>
    </xf>
    <xf numFmtId="168" fontId="0" fillId="13" borderId="31" xfId="0" applyNumberFormat="1" applyFill="1" applyBorder="1"/>
    <xf numFmtId="168"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8" fontId="0" fillId="2" borderId="28" xfId="0" applyNumberFormat="1" applyFill="1" applyBorder="1" applyAlignment="1">
      <alignment horizontal="center"/>
    </xf>
    <xf numFmtId="168"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8" fontId="0" fillId="0" borderId="3" xfId="0" applyNumberFormat="1" applyBorder="1" applyAlignment="1">
      <alignment horizontal="center"/>
    </xf>
    <xf numFmtId="168" fontId="0" fillId="0" borderId="94" xfId="0" applyNumberFormat="1" applyBorder="1" applyAlignment="1">
      <alignment horizontal="center"/>
    </xf>
    <xf numFmtId="0" fontId="0" fillId="0" borderId="37" xfId="0" applyBorder="1"/>
    <xf numFmtId="0" fontId="0" fillId="0" borderId="29" xfId="0" applyBorder="1"/>
    <xf numFmtId="168" fontId="0" fillId="13" borderId="93" xfId="0" applyNumberFormat="1" applyFill="1" applyBorder="1" applyAlignment="1">
      <alignment horizontal="center"/>
    </xf>
    <xf numFmtId="168" fontId="0" fillId="13" borderId="18" xfId="0" applyNumberFormat="1" applyFill="1" applyBorder="1" applyAlignment="1">
      <alignment horizontal="center"/>
    </xf>
    <xf numFmtId="168" fontId="0" fillId="0" borderId="29" xfId="0" applyNumberFormat="1" applyBorder="1" applyAlignment="1">
      <alignment horizontal="center"/>
    </xf>
    <xf numFmtId="168" fontId="0" fillId="0" borderId="105" xfId="0" applyNumberFormat="1" applyBorder="1" applyAlignment="1">
      <alignment horizontal="center"/>
    </xf>
    <xf numFmtId="168" fontId="0" fillId="0" borderId="23" xfId="0" applyNumberFormat="1" applyBorder="1" applyAlignment="1">
      <alignment horizontal="center"/>
    </xf>
    <xf numFmtId="168" fontId="0" fillId="0" borderId="40" xfId="0" applyNumberFormat="1" applyBorder="1" applyAlignment="1">
      <alignment horizontal="center"/>
    </xf>
    <xf numFmtId="168" fontId="10" fillId="13" borderId="25" xfId="0" applyNumberFormat="1" applyFont="1" applyFill="1" applyBorder="1"/>
    <xf numFmtId="9" fontId="10" fillId="6" borderId="41" xfId="0" applyNumberFormat="1" applyFont="1" applyFill="1" applyBorder="1" applyAlignment="1">
      <alignment horizontal="center"/>
    </xf>
    <xf numFmtId="168" fontId="10" fillId="13" borderId="28" xfId="0" applyNumberFormat="1" applyFont="1" applyFill="1" applyBorder="1"/>
    <xf numFmtId="177" fontId="10" fillId="6" borderId="37" xfId="0" applyNumberFormat="1" applyFont="1" applyFill="1" applyBorder="1" applyAlignment="1">
      <alignment horizontal="center"/>
    </xf>
    <xf numFmtId="168" fontId="10" fillId="13" borderId="30" xfId="0" applyNumberFormat="1" applyFont="1" applyFill="1" applyBorder="1"/>
    <xf numFmtId="9" fontId="10" fillId="6" borderId="38" xfId="0" applyNumberFormat="1" applyFont="1" applyFill="1" applyBorder="1" applyAlignment="1">
      <alignment horizontal="center"/>
    </xf>
    <xf numFmtId="164" fontId="10" fillId="2" borderId="0" xfId="6" applyFont="1" applyFill="1" applyBorder="1" applyAlignment="1">
      <alignment horizontal="center"/>
    </xf>
    <xf numFmtId="178" fontId="0" fillId="2" borderId="0" xfId="0" applyNumberFormat="1" applyFill="1"/>
    <xf numFmtId="0" fontId="10" fillId="9" borderId="41" xfId="0" applyFont="1" applyFill="1" applyBorder="1" applyAlignment="1">
      <alignment horizontal="center"/>
    </xf>
    <xf numFmtId="168" fontId="10" fillId="2" borderId="0" xfId="0" applyNumberFormat="1" applyFont="1" applyFill="1" applyBorder="1" applyAlignment="1">
      <alignment horizontal="center"/>
    </xf>
    <xf numFmtId="168" fontId="0" fillId="14" borderId="2" xfId="0" applyNumberFormat="1" applyFill="1" applyBorder="1"/>
    <xf numFmtId="168" fontId="0" fillId="13" borderId="20" xfId="0" applyNumberFormat="1" applyFill="1" applyBorder="1"/>
    <xf numFmtId="168" fontId="0" fillId="14" borderId="57" xfId="0" applyNumberFormat="1" applyFill="1" applyBorder="1"/>
    <xf numFmtId="168"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8" fontId="0" fillId="14" borderId="37" xfId="0" applyNumberFormat="1" applyFill="1" applyBorder="1" applyAlignment="1">
      <alignment horizontal="center"/>
    </xf>
    <xf numFmtId="168" fontId="0" fillId="13" borderId="37" xfId="0" applyNumberFormat="1" applyFill="1" applyBorder="1" applyAlignment="1">
      <alignment horizontal="center"/>
    </xf>
    <xf numFmtId="168" fontId="0" fillId="14" borderId="38" xfId="0" applyNumberFormat="1" applyFill="1" applyBorder="1" applyAlignment="1">
      <alignment horizontal="center"/>
    </xf>
    <xf numFmtId="168" fontId="0" fillId="14" borderId="105" xfId="0" applyNumberFormat="1" applyFill="1" applyBorder="1"/>
    <xf numFmtId="168" fontId="0" fillId="14" borderId="22" xfId="0" applyNumberFormat="1" applyFill="1" applyBorder="1"/>
    <xf numFmtId="168" fontId="0" fillId="14" borderId="37" xfId="0" applyNumberFormat="1" applyFill="1" applyBorder="1"/>
    <xf numFmtId="168" fontId="0" fillId="14" borderId="29" xfId="0" applyNumberFormat="1" applyFill="1" applyBorder="1"/>
    <xf numFmtId="0" fontId="10" fillId="4" borderId="19" xfId="0" applyFont="1" applyFill="1" applyBorder="1" applyAlignment="1">
      <alignment horizontal="center"/>
    </xf>
    <xf numFmtId="168"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2" fontId="0" fillId="0" borderId="56" xfId="0" applyNumberFormat="1" applyBorder="1" applyAlignment="1">
      <alignment horizontal="center"/>
    </xf>
    <xf numFmtId="172" fontId="0" fillId="0" borderId="2" xfId="0" applyNumberFormat="1" applyBorder="1" applyAlignment="1">
      <alignment horizontal="center"/>
    </xf>
    <xf numFmtId="172" fontId="0" fillId="0" borderId="57" xfId="0" applyNumberFormat="1" applyBorder="1" applyAlignment="1">
      <alignment horizontal="center"/>
    </xf>
    <xf numFmtId="172"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8" fontId="0" fillId="14" borderId="39" xfId="0" applyNumberFormat="1" applyFill="1" applyBorder="1" applyAlignment="1">
      <alignment horizontal="center"/>
    </xf>
    <xf numFmtId="168"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8" fontId="0" fillId="8" borderId="1" xfId="0" applyNumberFormat="1" applyFill="1" applyBorder="1" applyAlignment="1">
      <alignment horizontal="center"/>
    </xf>
    <xf numFmtId="168" fontId="0" fillId="8" borderId="3" xfId="0" applyNumberFormat="1" applyFill="1" applyBorder="1" applyAlignment="1">
      <alignment horizontal="center"/>
    </xf>
    <xf numFmtId="168"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8"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8" fontId="0" fillId="2" borderId="21" xfId="0" applyNumberFormat="1" applyFill="1" applyBorder="1" applyAlignment="1">
      <alignment horizontal="center"/>
    </xf>
    <xf numFmtId="168"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8"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8" fontId="0" fillId="2" borderId="49" xfId="0" applyNumberFormat="1" applyFill="1" applyBorder="1" applyAlignment="1">
      <alignment horizontal="center"/>
    </xf>
    <xf numFmtId="0" fontId="10" fillId="9" borderId="100" xfId="0" applyFont="1" applyFill="1" applyBorder="1" applyAlignment="1">
      <alignment horizontal="center"/>
    </xf>
    <xf numFmtId="168" fontId="0" fillId="8" borderId="96" xfId="0" applyNumberFormat="1" applyFill="1" applyBorder="1" applyAlignment="1">
      <alignment horizontal="center"/>
    </xf>
    <xf numFmtId="168" fontId="0" fillId="0" borderId="21" xfId="0" applyNumberFormat="1" applyBorder="1" applyAlignment="1">
      <alignment horizontal="center"/>
    </xf>
    <xf numFmtId="168" fontId="0" fillId="0" borderId="24" xfId="0" applyNumberFormat="1" applyBorder="1" applyAlignment="1">
      <alignment horizontal="center"/>
    </xf>
    <xf numFmtId="168" fontId="0" fillId="13" borderId="100" xfId="0" applyNumberFormat="1" applyFill="1" applyBorder="1" applyAlignment="1">
      <alignment horizontal="center"/>
    </xf>
    <xf numFmtId="168" fontId="0" fillId="0" borderId="96" xfId="0" applyNumberFormat="1" applyBorder="1" applyAlignment="1">
      <alignment horizontal="center"/>
    </xf>
    <xf numFmtId="168" fontId="0" fillId="0" borderId="53" xfId="0" applyNumberFormat="1" applyBorder="1" applyAlignment="1">
      <alignment horizontal="center"/>
    </xf>
    <xf numFmtId="168" fontId="0" fillId="8" borderId="95" xfId="0" applyNumberFormat="1" applyFill="1" applyBorder="1" applyAlignment="1">
      <alignment horizontal="center"/>
    </xf>
    <xf numFmtId="168" fontId="0" fillId="2" borderId="49" xfId="0" applyNumberFormat="1" applyFont="1" applyFill="1" applyBorder="1" applyAlignment="1">
      <alignment horizontal="center"/>
    </xf>
    <xf numFmtId="168" fontId="0" fillId="13" borderId="45" xfId="0" applyNumberFormat="1" applyFill="1" applyBorder="1" applyAlignment="1">
      <alignment horizontal="center"/>
    </xf>
    <xf numFmtId="168" fontId="0" fillId="0" borderId="95" xfId="0" applyNumberFormat="1" applyBorder="1" applyAlignment="1">
      <alignment horizontal="center"/>
    </xf>
    <xf numFmtId="168" fontId="0" fillId="0" borderId="49" xfId="0" applyNumberFormat="1" applyBorder="1" applyAlignment="1">
      <alignment horizontal="center"/>
    </xf>
    <xf numFmtId="168" fontId="0" fillId="0" borderId="98" xfId="0" applyNumberFormat="1" applyBorder="1" applyAlignment="1">
      <alignment horizontal="center"/>
    </xf>
    <xf numFmtId="168"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2" fontId="0" fillId="2" borderId="0" xfId="0" applyNumberFormat="1" applyFill="1"/>
    <xf numFmtId="172" fontId="40" fillId="2" borderId="0" xfId="0" applyNumberFormat="1" applyFont="1" applyFill="1"/>
    <xf numFmtId="0" fontId="40" fillId="2" borderId="0" xfId="0" applyFont="1" applyFill="1"/>
    <xf numFmtId="168" fontId="0" fillId="18" borderId="49" xfId="0" applyNumberFormat="1" applyFill="1" applyBorder="1" applyAlignment="1">
      <alignment horizontal="center"/>
    </xf>
    <xf numFmtId="168" fontId="12" fillId="18" borderId="111" xfId="26" applyNumberFormat="1" applyFont="1" applyFill="1" applyBorder="1" applyAlignment="1">
      <alignment horizontal="center"/>
    </xf>
    <xf numFmtId="175" fontId="0" fillId="2" borderId="105" xfId="0" applyNumberFormat="1" applyFill="1" applyBorder="1" applyAlignment="1">
      <alignment horizontal="center" vertical="center"/>
    </xf>
    <xf numFmtId="0" fontId="26" fillId="11" borderId="1" xfId="0" applyFont="1" applyFill="1" applyBorder="1" applyAlignment="1">
      <alignment wrapText="1"/>
    </xf>
    <xf numFmtId="175" fontId="0" fillId="0" borderId="1" xfId="0" applyNumberFormat="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43"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43" fontId="20" fillId="4" borderId="21" xfId="2" applyFont="1" applyFill="1" applyBorder="1" applyAlignment="1">
      <alignment horizontal="center" vertical="center"/>
    </xf>
    <xf numFmtId="43"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168"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xf numFmtId="0" fontId="0" fillId="2" borderId="1" xfId="0" applyFill="1" applyBorder="1"/>
    <xf numFmtId="180" fontId="0" fillId="2" borderId="1" xfId="0" applyNumberFormat="1" applyFill="1" applyBorder="1" applyAlignment="1">
      <alignment horizontal="center" vertical="center"/>
    </xf>
    <xf numFmtId="175" fontId="0" fillId="13" borderId="1" xfId="0" applyNumberFormat="1" applyFill="1" applyBorder="1" applyAlignment="1">
      <alignment horizontal="center" vertical="center"/>
    </xf>
  </cellXfs>
  <cellStyles count="27">
    <cellStyle name="Celda de comprobación" xfId="26" builtinId="23"/>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15722885.359999999</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32160189.409999996</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32160189.409999996</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topLeftCell="A37" zoomScale="70" zoomScaleNormal="70" workbookViewId="0">
      <selection activeCell="H23" sqref="H23"/>
    </sheetView>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56" t="s">
        <v>13</v>
      </c>
      <c r="C3" s="657"/>
      <c r="D3" s="658"/>
      <c r="E3" s="1"/>
      <c r="F3" s="693" t="s">
        <v>160</v>
      </c>
      <c r="G3" s="694"/>
      <c r="H3" s="694"/>
      <c r="I3" s="695"/>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96" t="s">
        <v>210</v>
      </c>
      <c r="C9" s="697"/>
      <c r="D9" s="697"/>
      <c r="E9" s="697"/>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98" t="s">
        <v>7</v>
      </c>
      <c r="C21" s="699"/>
      <c r="D21" s="700"/>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56" t="s">
        <v>211</v>
      </c>
      <c r="C23" s="657"/>
      <c r="D23" s="657"/>
      <c r="E23" s="658"/>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612"/>
      <c r="G28" s="612"/>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701"/>
      <c r="G29" s="701"/>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612"/>
      <c r="G30" s="612"/>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701"/>
      <c r="G31" s="701"/>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701"/>
      <c r="G32" s="701"/>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701"/>
      <c r="G33" s="701"/>
      <c r="H33" s="376"/>
      <c r="I33" s="1"/>
      <c r="J33" s="1"/>
      <c r="K33" s="1"/>
      <c r="L33" s="1"/>
      <c r="M33" s="1"/>
      <c r="N33" s="1"/>
      <c r="O33" s="1"/>
      <c r="P33" s="1"/>
      <c r="Q33" s="1"/>
      <c r="R33" s="1"/>
      <c r="S33" s="1"/>
      <c r="T33" s="1"/>
      <c r="U33" s="1"/>
      <c r="V33" s="1"/>
      <c r="W33" s="1"/>
      <c r="X33" s="1"/>
      <c r="Y33" s="1"/>
      <c r="Z33" s="1"/>
    </row>
    <row r="34" spans="1:26" ht="15.75" thickBot="1" x14ac:dyDescent="0.3">
      <c r="A34" s="1"/>
      <c r="B34" s="698" t="s">
        <v>7</v>
      </c>
      <c r="C34" s="699"/>
      <c r="D34" s="700"/>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56" t="s">
        <v>166</v>
      </c>
      <c r="C36" s="657"/>
      <c r="D36" s="657"/>
      <c r="E36" s="658"/>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98" t="s">
        <v>7</v>
      </c>
      <c r="C47" s="699"/>
      <c r="D47" s="700"/>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56" t="s">
        <v>192</v>
      </c>
      <c r="C49" s="657"/>
      <c r="D49" s="657"/>
      <c r="E49" s="658"/>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98" t="s">
        <v>7</v>
      </c>
      <c r="C60" s="699"/>
      <c r="D60" s="700"/>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hyperlink ref="F12" r:id="rId2" location="position=3&amp;type=item&amp;tracking_id=7d967ea6-7b08-4e10-9ee9-7a21d479e90e"/>
    <hyperlink ref="F13" r:id="rId3" location="searchVariation=MLA15188002&amp;position=2&amp;type=product&amp;tracking_id=25817417-8ebf-4e85-99ba-e1068ce3b665"/>
    <hyperlink ref="F17" r:id="rId4" location="position=27&amp;type=item&amp;tracking_id=be18e719-23de-4f4d-b152-972266abc3c5"/>
    <hyperlink ref="F18" r:id="rId5" location="position=9&amp;type=item&amp;tracking_id=b86ee509-acb1-4687-9267-b5a79840b449"/>
    <hyperlink ref="F16" r:id="rId6" location="searchVariation=41945510546&amp;position=10&amp;type=item&amp;tracking_id=c8150eb0-81cf-41f2-8b44-92b72af9b976"/>
    <hyperlink ref="F15" r:id="rId7" location="position=1&amp;type=item&amp;tracking_id=0f693c9d-e24f-4bc4-8c47-6db53224454d"/>
    <hyperlink ref="F19" r:id="rId8"/>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56" t="s">
        <v>13</v>
      </c>
      <c r="C3" s="657"/>
      <c r="D3" s="658"/>
      <c r="E3" s="14"/>
      <c r="F3" s="693" t="s">
        <v>185</v>
      </c>
      <c r="G3" s="694"/>
      <c r="H3" s="695"/>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14" t="s">
        <v>185</v>
      </c>
      <c r="C8" s="715"/>
      <c r="D8" s="715"/>
      <c r="E8" s="715"/>
      <c r="F8" s="715"/>
      <c r="G8" s="715"/>
      <c r="H8" s="715"/>
      <c r="I8" s="715"/>
      <c r="J8" s="715"/>
      <c r="K8" s="715"/>
      <c r="L8" s="715"/>
      <c r="M8" s="716"/>
      <c r="N8" s="1"/>
      <c r="O8" s="1"/>
      <c r="P8" s="1"/>
      <c r="Q8" s="1"/>
      <c r="R8" s="1"/>
      <c r="S8" s="1"/>
      <c r="T8" s="1"/>
      <c r="U8" s="1"/>
      <c r="V8" s="1"/>
      <c r="W8" s="1"/>
      <c r="X8" s="1"/>
    </row>
    <row r="9" spans="1:24" x14ac:dyDescent="0.25">
      <c r="A9" s="1"/>
      <c r="B9" s="717" t="s">
        <v>186</v>
      </c>
      <c r="C9" s="719" t="s">
        <v>40</v>
      </c>
      <c r="D9" s="719" t="s">
        <v>37</v>
      </c>
      <c r="E9" s="721" t="s">
        <v>162</v>
      </c>
      <c r="F9" s="723" t="s">
        <v>187</v>
      </c>
      <c r="G9" s="711" t="s">
        <v>188</v>
      </c>
      <c r="H9" s="712"/>
      <c r="I9" s="712"/>
      <c r="J9" s="713"/>
      <c r="K9" s="725" t="s">
        <v>189</v>
      </c>
      <c r="L9" s="719"/>
      <c r="M9" s="726"/>
      <c r="N9" s="1"/>
      <c r="O9" s="1"/>
      <c r="P9" s="1"/>
      <c r="Q9" s="1"/>
      <c r="R9" s="1"/>
      <c r="S9" s="1"/>
      <c r="T9" s="1"/>
      <c r="U9" s="1"/>
      <c r="V9" s="1"/>
      <c r="W9" s="1"/>
      <c r="X9" s="1"/>
    </row>
    <row r="10" spans="1:24" ht="15.75" thickBot="1" x14ac:dyDescent="0.3">
      <c r="A10" s="1"/>
      <c r="B10" s="718"/>
      <c r="C10" s="720"/>
      <c r="D10" s="720"/>
      <c r="E10" s="722"/>
      <c r="F10" s="724"/>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702"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703"/>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703"/>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703"/>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703"/>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703"/>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703"/>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703"/>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703"/>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703"/>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703"/>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704"/>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705"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706"/>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706"/>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706"/>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706"/>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706"/>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706"/>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707"/>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708" t="s">
        <v>140</v>
      </c>
      <c r="C31" s="709"/>
      <c r="D31" s="709"/>
      <c r="E31" s="709"/>
      <c r="F31" s="709"/>
      <c r="G31" s="710"/>
      <c r="H31" s="710"/>
      <c r="I31" s="710"/>
      <c r="J31" s="710"/>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topLeftCell="A10" workbookViewId="0">
      <selection activeCell="E37" sqref="E37"/>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56" t="s">
        <v>13</v>
      </c>
      <c r="L3" s="657"/>
      <c r="M3" s="658"/>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56" t="s">
        <v>194</v>
      </c>
      <c r="L8" s="657"/>
      <c r="M8" s="658"/>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96" t="s">
        <v>193</v>
      </c>
      <c r="C10" s="697"/>
      <c r="D10" s="697"/>
      <c r="E10" s="697"/>
      <c r="F10" s="697"/>
      <c r="G10" s="729"/>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30" t="s">
        <v>196</v>
      </c>
      <c r="C11" s="731"/>
      <c r="D11" s="399" t="s">
        <v>197</v>
      </c>
      <c r="E11" s="400">
        <v>2020</v>
      </c>
      <c r="F11" s="400">
        <v>2021</v>
      </c>
      <c r="G11" s="401">
        <v>2022</v>
      </c>
      <c r="H11" s="1"/>
      <c r="I11" s="1"/>
      <c r="J11" s="396" t="s">
        <v>157</v>
      </c>
      <c r="K11" s="397">
        <f>'Costos variables'!$H$6</f>
        <v>15722885.359999999</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32" t="s">
        <v>17</v>
      </c>
      <c r="C12" s="733"/>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27"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27"/>
      <c r="C14" s="404" t="s">
        <v>157</v>
      </c>
      <c r="D14" s="443">
        <v>0</v>
      </c>
      <c r="E14" s="329">
        <f>K11</f>
        <v>15722885.359999999</v>
      </c>
      <c r="F14" s="329">
        <f t="shared" si="0"/>
        <v>220990.20000000004</v>
      </c>
      <c r="G14" s="329">
        <f t="shared" si="0"/>
        <v>211309.43999999997</v>
      </c>
      <c r="H14" s="1"/>
      <c r="I14" s="1"/>
      <c r="J14" s="1"/>
      <c r="K14" s="656" t="s">
        <v>185</v>
      </c>
      <c r="L14" s="657"/>
      <c r="M14" s="658"/>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28"/>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47" t="s">
        <v>199</v>
      </c>
      <c r="C16" s="748"/>
      <c r="D16" s="445">
        <v>0</v>
      </c>
      <c r="E16" s="406">
        <f>E12-E13-E14-E15</f>
        <v>-20810549.409999996</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49" t="s">
        <v>200</v>
      </c>
      <c r="C17" s="750"/>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51" t="s">
        <v>201</v>
      </c>
      <c r="C18" s="752"/>
      <c r="D18" s="443">
        <v>0</v>
      </c>
      <c r="E18" s="329">
        <f>E16-E17-K16</f>
        <v>-20884461.009999998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53" t="s">
        <v>202</v>
      </c>
      <c r="C19" s="754"/>
      <c r="D19" s="444">
        <v>0</v>
      </c>
      <c r="E19" s="408">
        <f t="shared" ref="E19:F19" si="2">D18*0.35</f>
        <v>0</v>
      </c>
      <c r="F19" s="408">
        <f t="shared" si="2"/>
        <v>-7309561.3534999993</v>
      </c>
      <c r="G19" s="408">
        <f>F18*0.35</f>
        <v>1697952.4660000012</v>
      </c>
      <c r="H19" s="1"/>
      <c r="I19" s="1"/>
      <c r="J19" s="693" t="s">
        <v>160</v>
      </c>
      <c r="K19" s="694"/>
      <c r="L19" s="694"/>
      <c r="M19" s="695"/>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47" t="s">
        <v>203</v>
      </c>
      <c r="C20" s="748"/>
      <c r="D20" s="445">
        <v>0</v>
      </c>
      <c r="E20" s="406">
        <f>E16-E17-E19</f>
        <v>-20810549.409999996</v>
      </c>
      <c r="F20" s="406">
        <f>F16-F17-F19</f>
        <v>12238685.513500003</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34" t="s">
        <v>204</v>
      </c>
      <c r="C21" s="735"/>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36" t="s">
        <v>205</v>
      </c>
      <c r="C22" s="737"/>
      <c r="D22" s="406">
        <f>D20+D21</f>
        <v>-1274116</v>
      </c>
      <c r="E22" s="406">
        <f>E20+E21</f>
        <v>-20849747.409999996</v>
      </c>
      <c r="F22" s="406">
        <f t="shared" ref="F22:G22" si="3">F20+F21</f>
        <v>11990869.513500003</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38" t="s">
        <v>214</v>
      </c>
      <c r="C26" s="739"/>
      <c r="D26" s="739"/>
      <c r="E26" s="740"/>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41"/>
      <c r="C27" s="742"/>
      <c r="D27" s="742"/>
      <c r="E27" s="743"/>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44"/>
      <c r="C28" s="745"/>
      <c r="D28" s="745"/>
      <c r="E28" s="746"/>
      <c r="F28" s="1"/>
      <c r="G28" s="1"/>
      <c r="H28" s="416" t="s">
        <v>208</v>
      </c>
      <c r="I28" s="417">
        <f>IRR(D22:G22,I26)</f>
        <v>0.12871407827654346</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topLeftCell="A11" workbookViewId="0">
      <selection activeCell="H16" sqref="H16"/>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workbookViewId="0">
      <selection activeCell="I25" sqref="I25"/>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55" t="s">
        <v>261</v>
      </c>
      <c r="H1" s="756"/>
      <c r="I1" s="756"/>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57" t="s">
        <v>263</v>
      </c>
      <c r="C3" s="758"/>
      <c r="D3" s="758"/>
      <c r="E3" s="758"/>
      <c r="F3" s="758"/>
      <c r="G3" s="759"/>
      <c r="H3" s="395"/>
      <c r="I3" s="1"/>
      <c r="J3" s="1"/>
      <c r="K3" s="656" t="s">
        <v>13</v>
      </c>
      <c r="L3" s="657"/>
      <c r="M3" s="658"/>
      <c r="N3" s="1"/>
      <c r="O3" s="1"/>
      <c r="P3" s="1"/>
      <c r="Q3" s="1"/>
      <c r="R3" s="1"/>
      <c r="S3" s="1"/>
      <c r="T3" s="1"/>
      <c r="U3" s="1"/>
      <c r="V3" s="1"/>
      <c r="W3" s="1"/>
      <c r="X3" s="1"/>
    </row>
    <row r="4" spans="1:31" ht="15.75" thickBot="1" x14ac:dyDescent="0.3">
      <c r="A4" s="1"/>
      <c r="B4" s="760"/>
      <c r="C4" s="761"/>
      <c r="D4" s="761"/>
      <c r="E4" s="761"/>
      <c r="F4" s="761"/>
      <c r="G4" s="762"/>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56" t="s">
        <v>194</v>
      </c>
      <c r="L8" s="657"/>
      <c r="M8" s="658"/>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15722885.359999999</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15722885.359999999</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-20810549.409999996</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-20884461.009999998</v>
      </c>
      <c r="F14" s="329">
        <f>F12-F13-L16</f>
        <v>3716530.760000004</v>
      </c>
      <c r="G14" s="333">
        <f>G12-G13-M16</f>
        <v>15428334.12000001</v>
      </c>
      <c r="H14" s="1"/>
      <c r="I14" s="1"/>
      <c r="J14" s="1"/>
      <c r="K14" s="656" t="s">
        <v>185</v>
      </c>
      <c r="L14" s="657"/>
      <c r="M14" s="658"/>
      <c r="N14" s="1"/>
      <c r="O14" s="1"/>
      <c r="P14" s="1"/>
      <c r="Q14" s="1"/>
      <c r="R14" s="1"/>
      <c r="S14" s="1"/>
      <c r="T14" s="1"/>
      <c r="U14" s="1"/>
      <c r="V14" s="1"/>
      <c r="W14" s="1"/>
      <c r="X14" s="1"/>
    </row>
    <row r="15" spans="1:31" ht="15.75" thickBot="1" x14ac:dyDescent="0.3">
      <c r="A15" s="1"/>
      <c r="B15" s="753" t="s">
        <v>202</v>
      </c>
      <c r="C15" s="754"/>
      <c r="D15" s="444">
        <v>0</v>
      </c>
      <c r="E15" s="408">
        <f t="shared" ref="E15:F15" si="2">D14*0.35</f>
        <v>0</v>
      </c>
      <c r="F15" s="408">
        <f t="shared" si="2"/>
        <v>-7309561.3534999993</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47" t="s">
        <v>203</v>
      </c>
      <c r="C16" s="748"/>
      <c r="D16" s="445">
        <v>0</v>
      </c>
      <c r="E16" s="406">
        <f>E12-E13-E15</f>
        <v>-20810549.409999996</v>
      </c>
      <c r="F16" s="406">
        <f>F12-F13-F15</f>
        <v>11103923.513500003</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734" t="s">
        <v>204</v>
      </c>
      <c r="C17" s="73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36" t="s">
        <v>205</v>
      </c>
      <c r="C18" s="737"/>
      <c r="D18" s="406">
        <f>D16+D17</f>
        <v>-1274116</v>
      </c>
      <c r="E18" s="406">
        <f>E16+E17</f>
        <v>-20849747.409999996</v>
      </c>
      <c r="F18" s="406">
        <f t="shared" ref="F18:G18" si="3">F16+F17</f>
        <v>10856107.513500003</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93" t="s">
        <v>160</v>
      </c>
      <c r="K19" s="694"/>
      <c r="L19" s="694"/>
      <c r="M19" s="695"/>
      <c r="N19" s="1"/>
      <c r="O19" s="1"/>
      <c r="P19" s="1"/>
      <c r="Q19" s="1"/>
      <c r="R19" s="1"/>
      <c r="S19" s="1"/>
      <c r="T19" s="1"/>
      <c r="U19" s="1"/>
      <c r="V19" s="1"/>
      <c r="W19" s="1"/>
      <c r="X19" s="1"/>
    </row>
    <row r="20" spans="1:24" x14ac:dyDescent="0.25">
      <c r="A20" s="1"/>
      <c r="B20" s="1"/>
      <c r="C20" s="1"/>
      <c r="D20" s="412" t="s">
        <v>206</v>
      </c>
      <c r="E20" s="413">
        <v>0.55000000000000004</v>
      </c>
      <c r="F20" s="1"/>
      <c r="G20" s="1"/>
      <c r="H20" s="1"/>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414" t="s">
        <v>207</v>
      </c>
      <c r="E21" s="415">
        <f>NPV(E20,K21,L21:M21)</f>
        <v>462869.18733845785</v>
      </c>
      <c r="F21" s="1"/>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416" t="s">
        <v>208</v>
      </c>
      <c r="E22" s="490">
        <f>IRR(D18:G18,E20)</f>
        <v>4.7981525270898828E-2</v>
      </c>
      <c r="F22" s="1"/>
      <c r="G22" s="1"/>
      <c r="H22" s="1"/>
      <c r="J22" s="1"/>
      <c r="K22" s="1"/>
      <c r="L22" s="1"/>
      <c r="M22" s="1"/>
      <c r="N22" s="1"/>
      <c r="O22" s="1"/>
      <c r="P22" s="1"/>
      <c r="Q22" s="1"/>
      <c r="R22" s="1"/>
      <c r="S22" s="1"/>
      <c r="T22" s="1"/>
      <c r="U22" s="1"/>
      <c r="V22" s="1"/>
      <c r="W22" s="1"/>
      <c r="X22" s="1"/>
    </row>
    <row r="23" spans="1:24"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42"/>
      <c r="C26" s="742"/>
      <c r="D26" s="742"/>
      <c r="E26" s="742"/>
      <c r="F26" s="1"/>
      <c r="G26" s="1"/>
      <c r="H26" s="1"/>
      <c r="I26" s="1"/>
      <c r="J26" s="1"/>
      <c r="K26" s="1"/>
      <c r="L26" s="1"/>
      <c r="M26" s="1"/>
      <c r="N26" s="1"/>
      <c r="O26" s="1"/>
      <c r="P26" s="1"/>
      <c r="Q26" s="1"/>
      <c r="R26" s="1"/>
      <c r="S26" s="1"/>
      <c r="T26" s="1"/>
      <c r="U26" s="1"/>
      <c r="V26" s="1"/>
      <c r="W26" s="1"/>
      <c r="X26" s="1"/>
    </row>
    <row r="27" spans="1:24" x14ac:dyDescent="0.25">
      <c r="A27" s="1"/>
      <c r="B27" s="742"/>
      <c r="C27" s="742"/>
      <c r="D27" s="742"/>
      <c r="E27" s="742"/>
      <c r="F27" s="1"/>
      <c r="G27" s="1"/>
      <c r="H27" s="1"/>
      <c r="I27" s="1"/>
      <c r="J27" s="1"/>
      <c r="K27" s="1"/>
      <c r="L27" s="1"/>
      <c r="M27" s="1"/>
      <c r="N27" s="1"/>
      <c r="O27" s="1"/>
      <c r="P27" s="1"/>
      <c r="Q27" s="1"/>
      <c r="R27" s="1"/>
      <c r="S27" s="1"/>
      <c r="T27" s="1"/>
      <c r="U27" s="1"/>
      <c r="V27" s="1"/>
      <c r="W27" s="1"/>
      <c r="X27" s="1"/>
    </row>
    <row r="28" spans="1:24" x14ac:dyDescent="0.25">
      <c r="A28" s="1"/>
      <c r="B28" s="742"/>
      <c r="C28" s="742"/>
      <c r="D28" s="742"/>
      <c r="E28" s="742"/>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26:E28"/>
    <mergeCell ref="B15:C15"/>
    <mergeCell ref="J19:M19"/>
    <mergeCell ref="B16:C16"/>
    <mergeCell ref="B17:C17"/>
    <mergeCell ref="B18:C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election activeCell="N10" sqref="N10"/>
    </sheetView>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55" t="s">
        <v>262</v>
      </c>
      <c r="H1" s="756"/>
      <c r="I1" s="756"/>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57" t="s">
        <v>270</v>
      </c>
      <c r="C3" s="758"/>
      <c r="D3" s="758"/>
      <c r="E3" s="758"/>
      <c r="F3" s="758"/>
      <c r="G3" s="759"/>
      <c r="H3" s="395"/>
      <c r="I3" s="1"/>
      <c r="J3" s="1"/>
      <c r="K3" s="656" t="s">
        <v>13</v>
      </c>
      <c r="L3" s="657"/>
      <c r="M3" s="658"/>
      <c r="N3" s="1"/>
      <c r="O3" s="1"/>
      <c r="P3" s="1"/>
      <c r="Q3" s="1"/>
      <c r="R3" s="1"/>
      <c r="S3" s="1"/>
      <c r="T3" s="1"/>
      <c r="U3" s="1"/>
      <c r="V3" s="1"/>
      <c r="W3" s="1"/>
      <c r="X3" s="1"/>
      <c r="Y3" s="1"/>
      <c r="Z3" s="1"/>
      <c r="AA3" s="1"/>
      <c r="AB3" s="1"/>
    </row>
    <row r="4" spans="1:28" ht="15.75" thickBot="1" x14ac:dyDescent="0.3">
      <c r="A4" s="1"/>
      <c r="B4" s="760"/>
      <c r="C4" s="761"/>
      <c r="D4" s="761"/>
      <c r="E4" s="761"/>
      <c r="F4" s="761"/>
      <c r="G4" s="762"/>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56" t="s">
        <v>193</v>
      </c>
      <c r="C6" s="657"/>
      <c r="D6" s="657"/>
      <c r="E6" s="657"/>
      <c r="F6" s="657"/>
      <c r="G6" s="658"/>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56" t="s">
        <v>194</v>
      </c>
      <c r="L8" s="657"/>
      <c r="M8" s="658"/>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15722885.359999999</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15722885.359999999</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-20810549.409999996</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-20884461.009999998</v>
      </c>
      <c r="F14" s="329">
        <f>F12-F13-L16</f>
        <v>4851292.7600000035</v>
      </c>
      <c r="G14" s="333">
        <f>G12-G13-M16</f>
        <v>14066619.720000012</v>
      </c>
      <c r="H14" s="1"/>
      <c r="I14" s="1"/>
      <c r="J14" s="1"/>
      <c r="K14" s="656" t="s">
        <v>185</v>
      </c>
      <c r="L14" s="657"/>
      <c r="M14" s="658"/>
      <c r="N14" s="1"/>
      <c r="O14" s="1"/>
      <c r="P14" s="1"/>
      <c r="Q14" s="1"/>
      <c r="R14" s="1"/>
      <c r="S14" s="1"/>
      <c r="T14" s="1"/>
      <c r="U14" s="1"/>
      <c r="V14" s="1"/>
      <c r="W14" s="1"/>
      <c r="X14" s="1"/>
      <c r="Y14" s="1"/>
      <c r="Z14" s="1"/>
      <c r="AA14" s="1"/>
      <c r="AB14" s="1"/>
    </row>
    <row r="15" spans="1:28" ht="15.75" thickBot="1" x14ac:dyDescent="0.3">
      <c r="A15" s="1"/>
      <c r="B15" s="753" t="s">
        <v>202</v>
      </c>
      <c r="C15" s="754"/>
      <c r="D15" s="444">
        <v>0</v>
      </c>
      <c r="E15" s="408">
        <f t="shared" ref="E15:F15" si="2">D14*0.35</f>
        <v>0</v>
      </c>
      <c r="F15" s="408">
        <f t="shared" si="2"/>
        <v>-7309561.3534999993</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47" t="s">
        <v>203</v>
      </c>
      <c r="C16" s="748"/>
      <c r="D16" s="445">
        <v>0</v>
      </c>
      <c r="E16" s="406">
        <f>E12-E13-E15</f>
        <v>-20810549.409999996</v>
      </c>
      <c r="F16" s="406">
        <f>F12-F13-F15</f>
        <v>12238685.513500003</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734" t="s">
        <v>204</v>
      </c>
      <c r="C17" s="73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36" t="s">
        <v>205</v>
      </c>
      <c r="C18" s="737"/>
      <c r="D18" s="406">
        <f>D16+D17</f>
        <v>-1274116</v>
      </c>
      <c r="E18" s="406">
        <f>E16+E17</f>
        <v>-20849747.409999996</v>
      </c>
      <c r="F18" s="406">
        <f t="shared" ref="F18:G18" si="3">F16+F17</f>
        <v>11990869.513500003</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93" t="s">
        <v>160</v>
      </c>
      <c r="K19" s="694"/>
      <c r="L19" s="694"/>
      <c r="M19" s="695"/>
      <c r="N19" s="1"/>
      <c r="O19" s="1"/>
      <c r="P19" s="1"/>
      <c r="Q19" s="1"/>
      <c r="R19" s="1"/>
      <c r="S19" s="1"/>
      <c r="T19" s="1"/>
      <c r="U19" s="1"/>
      <c r="V19" s="1"/>
      <c r="W19" s="1"/>
      <c r="X19" s="1"/>
      <c r="Y19" s="1"/>
      <c r="Z19" s="1"/>
      <c r="AA19" s="1"/>
      <c r="AB19" s="1"/>
    </row>
    <row r="20" spans="1:28" x14ac:dyDescent="0.25">
      <c r="A20" s="1"/>
      <c r="B20" s="1"/>
      <c r="C20" s="1"/>
      <c r="D20" s="412" t="s">
        <v>206</v>
      </c>
      <c r="E20" s="413">
        <v>0.55000000000000004</v>
      </c>
      <c r="F20" s="1"/>
      <c r="G20" s="1"/>
      <c r="H20" s="1"/>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414" t="s">
        <v>207</v>
      </c>
      <c r="E21" s="415">
        <f>NPV(E20,K21,L21:M21)</f>
        <v>462869.18733845785</v>
      </c>
      <c r="F21" s="1"/>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416" t="s">
        <v>208</v>
      </c>
      <c r="E22" s="490">
        <f>IRR(D18:G18,E20)</f>
        <v>3.1938487095807044E-2</v>
      </c>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42"/>
      <c r="C26" s="742"/>
      <c r="D26" s="742"/>
      <c r="E26" s="742"/>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42"/>
      <c r="C27" s="742"/>
      <c r="D27" s="742"/>
      <c r="E27" s="742"/>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42"/>
      <c r="C28" s="742"/>
      <c r="D28" s="742"/>
      <c r="E28" s="742"/>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workbookViewId="0">
      <selection activeCell="M27" sqref="M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55" t="s">
        <v>264</v>
      </c>
      <c r="H1" s="756"/>
      <c r="I1" s="756"/>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57" t="s">
        <v>265</v>
      </c>
      <c r="C3" s="758"/>
      <c r="D3" s="758"/>
      <c r="E3" s="758"/>
      <c r="F3" s="758"/>
      <c r="G3" s="758"/>
      <c r="H3" s="758"/>
      <c r="I3" s="759"/>
      <c r="J3" s="1"/>
      <c r="K3" s="656" t="s">
        <v>13</v>
      </c>
      <c r="L3" s="657"/>
      <c r="M3" s="658"/>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60"/>
      <c r="C4" s="761"/>
      <c r="D4" s="761"/>
      <c r="E4" s="761"/>
      <c r="F4" s="761"/>
      <c r="G4" s="761"/>
      <c r="H4" s="761"/>
      <c r="I4" s="762"/>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56" t="s">
        <v>193</v>
      </c>
      <c r="C6" s="657"/>
      <c r="D6" s="657"/>
      <c r="E6" s="657"/>
      <c r="F6" s="657"/>
      <c r="G6" s="658"/>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56" t="s">
        <v>194</v>
      </c>
      <c r="L8" s="657"/>
      <c r="M8" s="658"/>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15722885.359999999</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15722885.359999999</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-20810549.409999996</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-20884461.009999998</v>
      </c>
      <c r="F14" s="329">
        <f>F12-F13-L16</f>
        <v>312244.76000000385</v>
      </c>
      <c r="G14" s="333">
        <f>G12-G13-M16</f>
        <v>8619762.1200000104</v>
      </c>
      <c r="H14" s="1"/>
      <c r="I14" s="1"/>
      <c r="J14" s="1"/>
      <c r="K14" s="656" t="s">
        <v>185</v>
      </c>
      <c r="L14" s="657"/>
      <c r="M14" s="658"/>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53" t="s">
        <v>202</v>
      </c>
      <c r="C15" s="754"/>
      <c r="D15" s="444">
        <v>0</v>
      </c>
      <c r="E15" s="408">
        <f t="shared" ref="E15:F15" si="2">D14*0.35</f>
        <v>0</v>
      </c>
      <c r="F15" s="408">
        <f t="shared" si="2"/>
        <v>-7309561.3534999993</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47" t="s">
        <v>203</v>
      </c>
      <c r="C16" s="748"/>
      <c r="D16" s="445">
        <v>0</v>
      </c>
      <c r="E16" s="406">
        <f>E12-E13-E15</f>
        <v>-20810549.409999996</v>
      </c>
      <c r="F16" s="406">
        <f>F12-F13-F15</f>
        <v>7699637.5135000031</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34" t="s">
        <v>204</v>
      </c>
      <c r="C17" s="73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36" t="s">
        <v>205</v>
      </c>
      <c r="C18" s="737"/>
      <c r="D18" s="406">
        <f>D16+D17</f>
        <v>-1274116</v>
      </c>
      <c r="E18" s="406">
        <f>E16+E17</f>
        <v>-20849747.409999996</v>
      </c>
      <c r="F18" s="406">
        <f t="shared" ref="F18:G18" si="3">F16+F17</f>
        <v>7451821.5135000031</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G19" s="1"/>
      <c r="H19" s="1"/>
      <c r="I19" s="1"/>
      <c r="J19" s="693" t="s">
        <v>160</v>
      </c>
      <c r="K19" s="694"/>
      <c r="L19" s="694"/>
      <c r="M19" s="695"/>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412" t="s">
        <v>206</v>
      </c>
      <c r="F20" s="413">
        <v>0.55000000000000004</v>
      </c>
      <c r="G20" s="1"/>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414" t="s">
        <v>207</v>
      </c>
      <c r="F21" s="415">
        <f>NPV(F20,K21,L21:M21)</f>
        <v>462869.18733845785</v>
      </c>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416" t="s">
        <v>208</v>
      </c>
      <c r="F22" s="490">
        <f>IRR(D18:G18,F20)</f>
        <v>-0.22389135025594764</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row>
    <row r="27" spans="1:39" x14ac:dyDescent="0.25">
      <c r="A27" s="1"/>
      <c r="B27" s="1"/>
      <c r="C27" s="1"/>
      <c r="D27" s="1"/>
      <c r="E27" s="1"/>
      <c r="F27" s="1"/>
      <c r="G27" s="1"/>
      <c r="H27" s="1"/>
      <c r="I27" s="1"/>
      <c r="J27" s="1"/>
      <c r="K27" s="1"/>
      <c r="L27" s="1"/>
      <c r="M27" s="1"/>
      <c r="N27" s="1"/>
      <c r="O27" s="1"/>
      <c r="P27" s="1"/>
      <c r="Q27" s="1"/>
      <c r="R27"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2"/>
  <sheetViews>
    <sheetView topLeftCell="B1" workbookViewId="0">
      <selection activeCell="H23" sqref="H23"/>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266</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57" t="s">
        <v>269</v>
      </c>
      <c r="C3" s="758"/>
      <c r="D3" s="758"/>
      <c r="E3" s="758"/>
      <c r="F3" s="758"/>
      <c r="G3" s="758"/>
      <c r="H3" s="758"/>
      <c r="I3" s="759"/>
      <c r="J3" s="1"/>
      <c r="K3" s="656" t="s">
        <v>13</v>
      </c>
      <c r="L3" s="657"/>
      <c r="M3" s="658"/>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60"/>
      <c r="C4" s="761"/>
      <c r="D4" s="761"/>
      <c r="E4" s="761"/>
      <c r="F4" s="761"/>
      <c r="G4" s="761"/>
      <c r="H4" s="761"/>
      <c r="I4" s="762"/>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56" t="s">
        <v>193</v>
      </c>
      <c r="C6" s="657"/>
      <c r="D6" s="657"/>
      <c r="E6" s="657"/>
      <c r="F6" s="657"/>
      <c r="G6" s="658"/>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525" t="s">
        <v>197</v>
      </c>
      <c r="E7" s="400">
        <v>2020</v>
      </c>
      <c r="F7" s="400">
        <v>2021</v>
      </c>
      <c r="G7" s="511">
        <v>2022</v>
      </c>
      <c r="H7" s="526" t="s">
        <v>267</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512">
        <f>M6</f>
        <v>36312384</v>
      </c>
      <c r="H8" s="518">
        <f>M6</f>
        <v>36312384</v>
      </c>
      <c r="I8" s="1"/>
      <c r="J8" s="1"/>
      <c r="K8" s="656" t="s">
        <v>194</v>
      </c>
      <c r="L8" s="657"/>
      <c r="M8" s="658"/>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513">
        <f t="shared" si="0"/>
        <v>6685587.5999999987</v>
      </c>
      <c r="H9" s="519">
        <f>N10</f>
        <v>6685587.5999999987</v>
      </c>
      <c r="I9" s="1"/>
      <c r="J9" s="1"/>
      <c r="K9" s="72">
        <v>2020</v>
      </c>
      <c r="L9" s="73">
        <v>2021</v>
      </c>
      <c r="M9" s="500">
        <v>2022</v>
      </c>
      <c r="N9" s="503" t="s">
        <v>267</v>
      </c>
      <c r="O9" s="504"/>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15722885.359999999</v>
      </c>
      <c r="F10" s="329">
        <f t="shared" si="0"/>
        <v>220990.20000000004</v>
      </c>
      <c r="G10" s="513">
        <f t="shared" si="0"/>
        <v>211309.43999999997</v>
      </c>
      <c r="H10" s="510">
        <f>+M11</f>
        <v>211309.43999999997</v>
      </c>
      <c r="I10" s="1"/>
      <c r="J10" s="396" t="s">
        <v>195</v>
      </c>
      <c r="K10" s="397">
        <f>'Costos fijos'!$G$5</f>
        <v>6685587.5999999987</v>
      </c>
      <c r="L10" s="241">
        <f>'Costos fijos'!$H$5</f>
        <v>6685587.5999999987</v>
      </c>
      <c r="M10" s="501">
        <f>'Costos fijos'!$I$5</f>
        <v>6685587.5999999987</v>
      </c>
      <c r="N10" s="510">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514">
        <f t="shared" si="0"/>
        <v>20689881.93999999</v>
      </c>
      <c r="H11" s="531">
        <f>N12</f>
        <v>10859538.039999999</v>
      </c>
      <c r="I11" s="1"/>
      <c r="J11" s="396" t="s">
        <v>157</v>
      </c>
      <c r="K11" s="397">
        <f>'Costos variables'!$H$6</f>
        <v>15722885.359999999</v>
      </c>
      <c r="L11" s="241">
        <f>'Costos variables'!$I$6</f>
        <v>220990.20000000004</v>
      </c>
      <c r="M11" s="501">
        <f>'Costos variables'!$J$6</f>
        <v>211309.43999999997</v>
      </c>
      <c r="N11" s="510">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-20810549.409999996</v>
      </c>
      <c r="F12" s="406">
        <f t="shared" ref="F12:H12" si="1">F8-F9-F10-F11</f>
        <v>390076.16000000387</v>
      </c>
      <c r="G12" s="515">
        <f t="shared" si="1"/>
        <v>8725605.0200000107</v>
      </c>
      <c r="H12" s="520">
        <f t="shared" si="1"/>
        <v>18555948.920000002</v>
      </c>
      <c r="I12" s="1"/>
      <c r="J12" s="396" t="s">
        <v>158</v>
      </c>
      <c r="K12" s="238">
        <f>'Costos RRHH'!$H$6</f>
        <v>9749696.4500000011</v>
      </c>
      <c r="L12" s="239">
        <f>'Costos RRHH'!$I$6</f>
        <v>10859538.039999999</v>
      </c>
      <c r="M12" s="502">
        <f>'Costos RRHH'!$J$6</f>
        <v>20689881.93999999</v>
      </c>
      <c r="N12" s="507">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516">
        <v>0</v>
      </c>
      <c r="H13" s="521">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-20884461.009999998</v>
      </c>
      <c r="F14" s="329">
        <f>F12-F13-L16</f>
        <v>312244.76000000385</v>
      </c>
      <c r="G14" s="513">
        <f>G12-G13-M16</f>
        <v>8619762.1200000104</v>
      </c>
      <c r="H14" s="522">
        <f>H12-H13-N16</f>
        <v>18555948.920000002</v>
      </c>
      <c r="I14" s="1"/>
      <c r="J14" s="1"/>
      <c r="K14" s="656" t="s">
        <v>185</v>
      </c>
      <c r="L14" s="657"/>
      <c r="M14" s="658"/>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53" t="s">
        <v>202</v>
      </c>
      <c r="C15" s="754"/>
      <c r="D15" s="444">
        <v>0</v>
      </c>
      <c r="E15" s="408">
        <f t="shared" ref="E15:F15" si="2">D14*0.35</f>
        <v>0</v>
      </c>
      <c r="F15" s="408">
        <f t="shared" si="2"/>
        <v>-7309561.3534999993</v>
      </c>
      <c r="G15" s="514">
        <f>F14*0.35</f>
        <v>109285.66600000134</v>
      </c>
      <c r="H15" s="523">
        <f>G14*0.35</f>
        <v>3016916.7420000033</v>
      </c>
      <c r="I15" s="1"/>
      <c r="J15" s="1"/>
      <c r="K15" s="508">
        <v>2020</v>
      </c>
      <c r="L15" s="509">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47" t="s">
        <v>203</v>
      </c>
      <c r="C16" s="748"/>
      <c r="D16" s="445">
        <v>0</v>
      </c>
      <c r="E16" s="406">
        <f>E12-E13-E15</f>
        <v>-20810549.409999996</v>
      </c>
      <c r="F16" s="406">
        <f>F12-F13-F15</f>
        <v>7699637.5135000031</v>
      </c>
      <c r="G16" s="515">
        <f>G12-G13-G15</f>
        <v>8616319.3540000096</v>
      </c>
      <c r="H16" s="520">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34" t="s">
        <v>204</v>
      </c>
      <c r="C17" s="735"/>
      <c r="D17" s="409">
        <f>-J21</f>
        <v>-1274116</v>
      </c>
      <c r="E17" s="410">
        <f>-K21</f>
        <v>-39198</v>
      </c>
      <c r="F17" s="410">
        <f>-L21</f>
        <v>-247816</v>
      </c>
      <c r="G17" s="517">
        <f>-M21</f>
        <v>-1245379</v>
      </c>
      <c r="H17" s="532">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36" t="s">
        <v>205</v>
      </c>
      <c r="C18" s="737"/>
      <c r="D18" s="406">
        <f>D16+D17</f>
        <v>-1274116</v>
      </c>
      <c r="E18" s="406">
        <f>E16+E17</f>
        <v>-20849747.409999996</v>
      </c>
      <c r="F18" s="406">
        <f t="shared" ref="F18:H18" si="3">F16+F17</f>
        <v>7451821.5135000031</v>
      </c>
      <c r="G18" s="515">
        <f t="shared" si="3"/>
        <v>7370940.3540000096</v>
      </c>
      <c r="H18" s="520">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8"/>
      <c r="E19" s="528"/>
      <c r="F19" s="528"/>
      <c r="G19" s="528"/>
      <c r="H19" s="527"/>
      <c r="I19" s="1"/>
      <c r="J19" s="693" t="s">
        <v>160</v>
      </c>
      <c r="K19" s="694"/>
      <c r="L19" s="694"/>
      <c r="M19" s="695"/>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505">
        <v>2022</v>
      </c>
      <c r="N20" s="506" t="s">
        <v>267</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3" t="s">
        <v>264</v>
      </c>
      <c r="E21" s="764"/>
      <c r="G21" s="765" t="s">
        <v>268</v>
      </c>
      <c r="H21" s="766"/>
      <c r="I21" s="1"/>
      <c r="J21" s="238">
        <f>'Mod. inversión'!$F$5</f>
        <v>1274116</v>
      </c>
      <c r="K21" s="327">
        <f>'Mod. inversión'!$G$5</f>
        <v>39198</v>
      </c>
      <c r="L21" s="327">
        <f>'Mod. inversión'!$H$5</f>
        <v>247816</v>
      </c>
      <c r="M21" s="439">
        <f>'Mod. inversión'!$I$5</f>
        <v>1245379</v>
      </c>
      <c r="N21" s="524">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-0.22389135025594764</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9">
        <v>-1274116</v>
      </c>
      <c r="B39" s="529">
        <v>-5357490.41</v>
      </c>
      <c r="C39" s="529">
        <v>2002171.56</v>
      </c>
      <c r="D39" s="529">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30"/>
      <c r="B40" s="530"/>
      <c r="C40" s="530"/>
      <c r="D40" s="530"/>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266</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hyperlink ref="D6" location="'Proy. Ventas'!A1" display="Proyección de ventas"/>
    <hyperlink ref="D7" location="'Mod. Ingresos'!A1" display="Modelo de ingresos"/>
    <hyperlink ref="D8" location="'Costos Fijos'!A1" display="Estructura de costos fijos"/>
    <hyperlink ref="D9" location="'Costos Variables'!A1" display="Estructura de costos variables"/>
    <hyperlink ref="D10" location="'Costos RRHH'!A1" display="Estructura de costos de RRHH"/>
    <hyperlink ref="D11" location="'Mod. Egresos'!A1" display="Modelo de egresos"/>
    <hyperlink ref="D12" location="'Mod. Inversión'!A1" display="Modelo de inversión"/>
    <hyperlink ref="D13" location="Amortizaciones!A1" display="Amortizaciones"/>
    <hyperlink ref="D14" location="'Presupuesto financiero'!A1" display="Presupuesto Financiero"/>
    <hyperlink ref="D15" location="'Matriz Riesgo'!A1" display="Matriz de riesgos"/>
    <hyperlink ref="D16" location="'Escenario 1'!A1" display="Escenario 1"/>
    <hyperlink ref="D19" location="'Plan de Contingencia'!A1" display="Plan de contingencia"/>
    <hyperlink ref="D17" location="'Escenario 2'!A1" display="Escenario 2"/>
    <hyperlink ref="D18" location="'Escenario 3'!A1" display="Escenario 3"/>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32" activePane="bottomLeft" state="frozen"/>
      <selection pane="bottomLeft" activeCell="C71" sqref="C71"/>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40" t="s">
        <v>42</v>
      </c>
      <c r="C3" s="541"/>
      <c r="D3" s="541"/>
      <c r="E3" s="541"/>
      <c r="F3" s="541"/>
      <c r="G3" s="541"/>
      <c r="H3" s="541"/>
      <c r="I3" s="541"/>
      <c r="J3" s="542"/>
    </row>
    <row r="4" spans="1:11" ht="165" customHeight="1" thickBot="1" x14ac:dyDescent="0.3">
      <c r="B4" s="549" t="s">
        <v>56</v>
      </c>
      <c r="C4" s="550"/>
      <c r="D4" s="550"/>
      <c r="E4" s="550"/>
      <c r="F4" s="550"/>
      <c r="G4" s="550"/>
      <c r="H4" s="550"/>
      <c r="I4" s="550"/>
      <c r="J4" s="551"/>
      <c r="K4" s="4"/>
    </row>
    <row r="6" spans="1:11" ht="15.75" thickBot="1" x14ac:dyDescent="0.3"/>
    <row r="7" spans="1:11" ht="27" thickBot="1" x14ac:dyDescent="0.45">
      <c r="B7" s="552" t="s">
        <v>43</v>
      </c>
      <c r="C7" s="553"/>
      <c r="D7" s="553"/>
      <c r="E7" s="553"/>
      <c r="F7" s="553"/>
      <c r="G7" s="553"/>
      <c r="H7" s="553"/>
      <c r="I7" s="553"/>
      <c r="J7" s="554"/>
    </row>
    <row r="8" spans="1:11" ht="73.5" customHeight="1" thickBot="1" x14ac:dyDescent="0.3">
      <c r="B8" s="555" t="s">
        <v>57</v>
      </c>
      <c r="C8" s="556"/>
      <c r="D8" s="556"/>
      <c r="E8" s="556"/>
      <c r="F8" s="556"/>
      <c r="G8" s="556"/>
      <c r="H8" s="556"/>
      <c r="I8" s="556"/>
      <c r="J8" s="557"/>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58" t="s">
        <v>44</v>
      </c>
      <c r="C15" s="559"/>
      <c r="D15" s="559"/>
      <c r="E15" s="559"/>
      <c r="F15" s="559"/>
      <c r="G15" s="559"/>
      <c r="H15" s="559"/>
      <c r="I15" s="559"/>
      <c r="J15" s="560"/>
    </row>
    <row r="16" spans="1:11" ht="43.5" customHeight="1" thickBot="1" x14ac:dyDescent="0.3">
      <c r="B16" s="561" t="s">
        <v>115</v>
      </c>
      <c r="C16" s="562"/>
      <c r="D16" s="562"/>
      <c r="E16" s="562"/>
      <c r="F16" s="562"/>
      <c r="G16" s="562"/>
      <c r="H16" s="562"/>
      <c r="I16" s="562"/>
      <c r="J16" s="563"/>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43" t="s">
        <v>41</v>
      </c>
      <c r="C22" s="544"/>
      <c r="D22" s="545"/>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40" t="s">
        <v>45</v>
      </c>
      <c r="C33" s="541"/>
      <c r="D33" s="541"/>
      <c r="E33" s="541"/>
      <c r="F33" s="542"/>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40" t="s">
        <v>10</v>
      </c>
      <c r="C35" s="564"/>
      <c r="D35" s="564"/>
      <c r="E35" s="564"/>
      <c r="F35" s="565"/>
    </row>
    <row r="36" spans="1:14" ht="15" customHeight="1" x14ac:dyDescent="0.25">
      <c r="B36" s="546" t="s">
        <v>9</v>
      </c>
      <c r="C36" s="566" t="s">
        <v>65</v>
      </c>
      <c r="D36" s="566"/>
      <c r="E36" s="566"/>
      <c r="F36" s="566"/>
    </row>
    <row r="37" spans="1:14" ht="15" customHeight="1" x14ac:dyDescent="0.25">
      <c r="B37" s="547"/>
      <c r="C37" s="566"/>
      <c r="D37" s="566"/>
      <c r="E37" s="566"/>
      <c r="F37" s="566"/>
    </row>
    <row r="38" spans="1:14" ht="15.75" customHeight="1" x14ac:dyDescent="0.25">
      <c r="B38" s="547"/>
      <c r="C38" s="566"/>
      <c r="D38" s="566"/>
      <c r="E38" s="566"/>
      <c r="F38" s="566"/>
    </row>
    <row r="39" spans="1:14" ht="15" customHeight="1" x14ac:dyDescent="0.25">
      <c r="B39" s="547"/>
      <c r="C39" s="536" t="s">
        <v>63</v>
      </c>
      <c r="D39" s="536"/>
      <c r="E39" s="536"/>
      <c r="F39" s="536"/>
    </row>
    <row r="40" spans="1:14" ht="15" customHeight="1" x14ac:dyDescent="0.25">
      <c r="B40" s="547"/>
      <c r="C40" s="536"/>
      <c r="D40" s="536"/>
      <c r="E40" s="536"/>
      <c r="F40" s="536"/>
    </row>
    <row r="41" spans="1:14" ht="15.75" customHeight="1" x14ac:dyDescent="0.25">
      <c r="B41" s="547"/>
      <c r="C41" s="536"/>
      <c r="D41" s="536"/>
      <c r="E41" s="536"/>
      <c r="F41" s="536"/>
    </row>
    <row r="42" spans="1:14" ht="15" customHeight="1" x14ac:dyDescent="0.25">
      <c r="B42" s="547"/>
      <c r="C42" s="537" t="s">
        <v>64</v>
      </c>
      <c r="D42" s="537"/>
      <c r="E42" s="537"/>
      <c r="F42" s="537"/>
    </row>
    <row r="43" spans="1:14" ht="15" customHeight="1" x14ac:dyDescent="0.25">
      <c r="B43" s="547"/>
      <c r="C43" s="537"/>
      <c r="D43" s="537"/>
      <c r="E43" s="537"/>
      <c r="F43" s="537"/>
    </row>
    <row r="44" spans="1:14" ht="15.75" customHeight="1" thickBot="1" x14ac:dyDescent="0.3">
      <c r="B44" s="548"/>
      <c r="C44" s="537"/>
      <c r="D44" s="537"/>
      <c r="E44" s="537"/>
      <c r="F44" s="537"/>
    </row>
    <row r="46" spans="1:14" ht="15.75" thickBot="1" x14ac:dyDescent="0.3"/>
    <row r="47" spans="1:14" ht="27" thickBot="1" x14ac:dyDescent="0.45">
      <c r="B47" s="538" t="s">
        <v>8</v>
      </c>
      <c r="C47" s="539"/>
    </row>
    <row r="48" spans="1:14" ht="16.5" thickBot="1" x14ac:dyDescent="0.3">
      <c r="B48" s="68" t="s">
        <v>11</v>
      </c>
      <c r="C48" s="69" t="s">
        <v>12</v>
      </c>
    </row>
    <row r="49" spans="2:3" ht="15.75" customHeight="1" x14ac:dyDescent="0.25">
      <c r="B49" s="567" t="s">
        <v>65</v>
      </c>
      <c r="C49" s="576">
        <v>1300</v>
      </c>
    </row>
    <row r="50" spans="2:3" x14ac:dyDescent="0.25">
      <c r="B50" s="568"/>
      <c r="C50" s="576"/>
    </row>
    <row r="51" spans="2:3" ht="15.75" thickBot="1" x14ac:dyDescent="0.3">
      <c r="B51" s="569"/>
      <c r="C51" s="577"/>
    </row>
    <row r="52" spans="2:3" ht="15.75" customHeight="1" x14ac:dyDescent="0.25">
      <c r="B52" s="570" t="s">
        <v>63</v>
      </c>
      <c r="C52" s="578">
        <v>2500</v>
      </c>
    </row>
    <row r="53" spans="2:3" ht="15.75" customHeight="1" x14ac:dyDescent="0.25">
      <c r="B53" s="571"/>
      <c r="C53" s="579"/>
    </row>
    <row r="54" spans="2:3" ht="16.5" customHeight="1" thickBot="1" x14ac:dyDescent="0.3">
      <c r="B54" s="572"/>
      <c r="C54" s="580"/>
    </row>
    <row r="55" spans="2:3" ht="15.75" customHeight="1" x14ac:dyDescent="0.25">
      <c r="B55" s="573" t="s">
        <v>64</v>
      </c>
      <c r="C55" s="581">
        <v>4000</v>
      </c>
    </row>
    <row r="56" spans="2:3" x14ac:dyDescent="0.25">
      <c r="B56" s="574"/>
      <c r="C56" s="582"/>
    </row>
    <row r="57" spans="2:3" ht="15.75" thickBot="1" x14ac:dyDescent="0.3">
      <c r="B57" s="575"/>
      <c r="C57" s="583"/>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W50" activePane="bottomRight" state="frozen"/>
      <selection pane="topRight" activeCell="C1" sqref="C1"/>
      <selection pane="bottomLeft" activeCell="A2" sqref="A2"/>
      <selection pane="bottomRight" activeCell="E19" sqref="E19"/>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99" t="s">
        <v>13</v>
      </c>
      <c r="C5" s="600"/>
      <c r="D5" s="602"/>
      <c r="E5" s="14"/>
      <c r="F5" s="632" t="s">
        <v>39</v>
      </c>
      <c r="G5" s="633"/>
      <c r="H5" s="633"/>
      <c r="I5" s="634"/>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626" t="s">
        <v>66</v>
      </c>
      <c r="G6" s="627"/>
      <c r="H6" s="627"/>
      <c r="I6" s="628"/>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629"/>
      <c r="G7" s="630"/>
      <c r="H7" s="630"/>
      <c r="I7" s="631"/>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99" t="s">
        <v>30</v>
      </c>
      <c r="B15" s="600"/>
      <c r="C15" s="600"/>
      <c r="D15" s="600"/>
      <c r="E15" s="600"/>
      <c r="F15" s="600"/>
      <c r="G15" s="600"/>
      <c r="H15" s="601"/>
      <c r="I15" s="601"/>
      <c r="J15" s="601"/>
      <c r="K15" s="601"/>
      <c r="L15" s="600"/>
      <c r="M15" s="600"/>
      <c r="N15" s="600"/>
      <c r="O15" s="600"/>
      <c r="P15" s="600"/>
      <c r="Q15" s="600"/>
      <c r="R15" s="600"/>
      <c r="S15" s="600"/>
      <c r="T15" s="600"/>
      <c r="U15" s="600"/>
      <c r="V15" s="600"/>
      <c r="W15" s="600"/>
      <c r="X15" s="600"/>
      <c r="Y15" s="600"/>
      <c r="Z15" s="600"/>
      <c r="AA15" s="600"/>
      <c r="AB15" s="600"/>
      <c r="AC15" s="600"/>
      <c r="AD15" s="600"/>
      <c r="AE15" s="600"/>
      <c r="AF15" s="600"/>
      <c r="AG15" s="600"/>
      <c r="AH15" s="600"/>
      <c r="AI15" s="600"/>
      <c r="AJ15" s="600"/>
      <c r="AK15" s="600"/>
      <c r="AL15" s="600"/>
      <c r="AM15" s="600"/>
      <c r="AN15" s="602"/>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03" t="s">
        <v>11</v>
      </c>
      <c r="B16" s="603" t="s">
        <v>12</v>
      </c>
      <c r="C16" s="606" t="s">
        <v>38</v>
      </c>
      <c r="D16" s="607"/>
      <c r="E16" s="589" t="s">
        <v>18</v>
      </c>
      <c r="F16" s="590"/>
      <c r="G16" s="591"/>
      <c r="H16" s="589" t="s">
        <v>19</v>
      </c>
      <c r="I16" s="590"/>
      <c r="J16" s="591"/>
      <c r="K16" s="589" t="s">
        <v>20</v>
      </c>
      <c r="L16" s="590"/>
      <c r="M16" s="591"/>
      <c r="N16" s="589" t="s">
        <v>21</v>
      </c>
      <c r="O16" s="590"/>
      <c r="P16" s="591"/>
      <c r="Q16" s="589" t="s">
        <v>22</v>
      </c>
      <c r="R16" s="590"/>
      <c r="S16" s="591"/>
      <c r="T16" s="589" t="s">
        <v>23</v>
      </c>
      <c r="U16" s="590"/>
      <c r="V16" s="591"/>
      <c r="W16" s="589" t="s">
        <v>24</v>
      </c>
      <c r="X16" s="590"/>
      <c r="Y16" s="591"/>
      <c r="Z16" s="589" t="s">
        <v>25</v>
      </c>
      <c r="AA16" s="590"/>
      <c r="AB16" s="591"/>
      <c r="AC16" s="589" t="s">
        <v>26</v>
      </c>
      <c r="AD16" s="590"/>
      <c r="AE16" s="591"/>
      <c r="AF16" s="589" t="s">
        <v>27</v>
      </c>
      <c r="AG16" s="590"/>
      <c r="AH16" s="591"/>
      <c r="AI16" s="589" t="s">
        <v>28</v>
      </c>
      <c r="AJ16" s="590"/>
      <c r="AK16" s="591"/>
      <c r="AL16" s="589" t="s">
        <v>29</v>
      </c>
      <c r="AM16" s="590"/>
      <c r="AN16" s="591"/>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04"/>
      <c r="B17" s="604"/>
      <c r="C17" s="592" t="s">
        <v>37</v>
      </c>
      <c r="D17" s="594" t="s">
        <v>17</v>
      </c>
      <c r="E17" s="596">
        <v>0.02</v>
      </c>
      <c r="F17" s="597"/>
      <c r="G17" s="598"/>
      <c r="H17" s="596">
        <v>0.04</v>
      </c>
      <c r="I17" s="597"/>
      <c r="J17" s="598"/>
      <c r="K17" s="596">
        <v>0.04</v>
      </c>
      <c r="L17" s="597"/>
      <c r="M17" s="598"/>
      <c r="N17" s="596">
        <v>0.05</v>
      </c>
      <c r="O17" s="597"/>
      <c r="P17" s="598"/>
      <c r="Q17" s="596">
        <v>0.06</v>
      </c>
      <c r="R17" s="597"/>
      <c r="S17" s="598"/>
      <c r="T17" s="596">
        <v>0.08</v>
      </c>
      <c r="U17" s="597"/>
      <c r="V17" s="598"/>
      <c r="W17" s="596">
        <v>0.1</v>
      </c>
      <c r="X17" s="597"/>
      <c r="Y17" s="598"/>
      <c r="Z17" s="596">
        <v>0.11</v>
      </c>
      <c r="AA17" s="597"/>
      <c r="AB17" s="598"/>
      <c r="AC17" s="596">
        <v>0.11</v>
      </c>
      <c r="AD17" s="597"/>
      <c r="AE17" s="598"/>
      <c r="AF17" s="596">
        <v>0.12</v>
      </c>
      <c r="AG17" s="597"/>
      <c r="AH17" s="598"/>
      <c r="AI17" s="596">
        <v>0.13</v>
      </c>
      <c r="AJ17" s="597"/>
      <c r="AK17" s="598"/>
      <c r="AL17" s="596">
        <v>0.14000000000000001</v>
      </c>
      <c r="AM17" s="597"/>
      <c r="AN17" s="598"/>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05"/>
      <c r="B18" s="605"/>
      <c r="C18" s="593"/>
      <c r="D18" s="595"/>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587" t="s">
        <v>46</v>
      </c>
      <c r="B22" s="588"/>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608" t="s">
        <v>67</v>
      </c>
      <c r="B52" s="609"/>
      <c r="C52" s="609"/>
      <c r="D52" s="609"/>
      <c r="E52" s="609"/>
      <c r="F52" s="609"/>
      <c r="G52" s="609"/>
      <c r="H52" s="610"/>
      <c r="I52" s="610"/>
      <c r="J52" s="610"/>
      <c r="K52" s="610"/>
      <c r="L52" s="610"/>
      <c r="M52" s="610"/>
      <c r="N52" s="610"/>
      <c r="O52" s="610"/>
      <c r="P52" s="610"/>
      <c r="Q52" s="610"/>
      <c r="R52" s="610"/>
      <c r="S52" s="610"/>
      <c r="T52" s="610"/>
      <c r="U52" s="610"/>
      <c r="V52" s="610"/>
      <c r="W52" s="610"/>
      <c r="X52" s="611"/>
      <c r="Y52" s="149"/>
      <c r="Z52" s="149"/>
      <c r="AA52" s="149"/>
      <c r="AB52" s="149"/>
      <c r="AC52" s="149"/>
      <c r="AD52" s="149"/>
      <c r="AE52" s="149"/>
      <c r="AF52" s="149"/>
      <c r="AG52" s="149"/>
      <c r="AH52" s="149"/>
      <c r="AI52" s="150"/>
      <c r="AJ52" s="149"/>
      <c r="AK52" s="149"/>
      <c r="AL52" s="149"/>
      <c r="AM52" s="149"/>
      <c r="AN52" s="149"/>
    </row>
    <row r="53" spans="1:61" ht="15" customHeight="1" x14ac:dyDescent="0.25">
      <c r="B53" s="615" t="s">
        <v>71</v>
      </c>
      <c r="C53" s="619" t="s">
        <v>72</v>
      </c>
      <c r="D53" s="619" t="s">
        <v>79</v>
      </c>
      <c r="E53" s="619" t="s">
        <v>81</v>
      </c>
      <c r="F53" s="613" t="s">
        <v>84</v>
      </c>
      <c r="G53" s="617" t="s">
        <v>88</v>
      </c>
      <c r="H53" s="613" t="s">
        <v>90</v>
      </c>
      <c r="I53" s="24"/>
      <c r="J53" s="612"/>
      <c r="K53" s="24"/>
      <c r="L53" s="24"/>
      <c r="M53" s="612"/>
      <c r="N53" s="612"/>
      <c r="O53" s="24"/>
      <c r="P53" s="24"/>
      <c r="Q53" s="24"/>
      <c r="R53" s="24"/>
      <c r="S53" s="24"/>
      <c r="T53" s="24"/>
      <c r="U53" s="24"/>
      <c r="V53" s="612"/>
      <c r="W53" s="612"/>
      <c r="X53" s="612"/>
      <c r="Y53" s="24"/>
      <c r="Z53" s="24"/>
      <c r="AA53" s="24"/>
      <c r="AB53" s="24"/>
      <c r="AC53" s="155"/>
      <c r="AD53" s="24"/>
      <c r="AE53" s="24"/>
      <c r="AF53" s="155"/>
      <c r="AG53" s="24"/>
      <c r="AH53" s="24"/>
      <c r="AI53" s="155"/>
      <c r="AJ53" s="183"/>
      <c r="AK53" s="183"/>
      <c r="AL53" s="183"/>
      <c r="AM53" s="185"/>
      <c r="AN53" s="185"/>
    </row>
    <row r="54" spans="1:61" ht="35.25" customHeight="1" thickBot="1" x14ac:dyDescent="0.3">
      <c r="B54" s="616"/>
      <c r="C54" s="614"/>
      <c r="D54" s="614"/>
      <c r="E54" s="614"/>
      <c r="F54" s="614"/>
      <c r="G54" s="618"/>
      <c r="H54" s="614"/>
      <c r="I54" s="24"/>
      <c r="J54" s="612"/>
      <c r="K54" s="24"/>
      <c r="L54" s="24"/>
      <c r="M54" s="612"/>
      <c r="N54" s="612"/>
      <c r="O54" s="24"/>
      <c r="P54" s="24"/>
      <c r="Q54" s="24"/>
      <c r="R54" s="24"/>
      <c r="S54" s="24"/>
      <c r="T54" s="24"/>
      <c r="U54" s="24"/>
      <c r="V54" s="612"/>
      <c r="W54" s="612"/>
      <c r="X54" s="612"/>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86"/>
      <c r="AA55" s="586"/>
      <c r="AB55" s="586"/>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86"/>
      <c r="AA56" s="586"/>
      <c r="AB56" s="586"/>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86"/>
      <c r="AA57" s="586"/>
      <c r="AB57" s="586"/>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84"/>
      <c r="D58" s="585"/>
      <c r="E58" s="585"/>
      <c r="F58" s="585"/>
      <c r="G58" s="585"/>
      <c r="H58" s="585"/>
      <c r="I58" s="585"/>
      <c r="J58" s="585"/>
      <c r="K58" s="585"/>
      <c r="L58" s="585"/>
      <c r="M58" s="585"/>
      <c r="N58" s="585"/>
      <c r="O58" s="585"/>
      <c r="P58" s="585"/>
      <c r="Q58" s="585"/>
      <c r="R58" s="585"/>
      <c r="S58" s="585"/>
      <c r="T58" s="585"/>
      <c r="U58" s="585"/>
      <c r="V58" s="585"/>
      <c r="W58" s="585"/>
      <c r="X58" s="585"/>
      <c r="Y58" s="585"/>
      <c r="Z58" s="585"/>
      <c r="AA58" s="585"/>
      <c r="AB58" s="585"/>
      <c r="AC58" s="585"/>
      <c r="AD58" s="585"/>
      <c r="AE58" s="585"/>
      <c r="AF58" s="585"/>
      <c r="AG58" s="585"/>
      <c r="AH58" s="585"/>
      <c r="AI58" s="585"/>
      <c r="AJ58" s="585"/>
      <c r="AK58" s="585"/>
      <c r="AL58" s="585"/>
      <c r="AM58" s="585"/>
      <c r="AN58" s="585"/>
      <c r="AO58" s="585"/>
    </row>
    <row r="59" spans="1:61" ht="30" customHeight="1" thickBot="1" x14ac:dyDescent="0.3">
      <c r="A59" s="103" t="s">
        <v>94</v>
      </c>
      <c r="B59" s="104">
        <f>B58*12</f>
        <v>10620000</v>
      </c>
      <c r="C59" s="584"/>
      <c r="D59" s="585"/>
      <c r="E59" s="585"/>
      <c r="F59" s="585"/>
      <c r="G59" s="585"/>
      <c r="H59" s="585"/>
      <c r="I59" s="585"/>
      <c r="J59" s="585"/>
      <c r="K59" s="585"/>
      <c r="L59" s="585"/>
      <c r="M59" s="585"/>
      <c r="N59" s="585"/>
      <c r="O59" s="585"/>
      <c r="P59" s="585"/>
      <c r="Q59" s="585"/>
      <c r="R59" s="585"/>
      <c r="S59" s="585"/>
      <c r="T59" s="585"/>
      <c r="U59" s="585"/>
      <c r="V59" s="585"/>
      <c r="W59" s="585"/>
      <c r="X59" s="585"/>
      <c r="Y59" s="585"/>
      <c r="Z59" s="585"/>
      <c r="AA59" s="585"/>
      <c r="AB59" s="585"/>
      <c r="AC59" s="585"/>
      <c r="AD59" s="585"/>
      <c r="AE59" s="585"/>
      <c r="AF59" s="585"/>
      <c r="AG59" s="585"/>
      <c r="AH59" s="585"/>
      <c r="AI59" s="585"/>
      <c r="AJ59" s="585"/>
      <c r="AK59" s="585"/>
      <c r="AL59" s="585"/>
      <c r="AM59" s="585"/>
      <c r="AN59" s="585"/>
      <c r="AO59" s="585"/>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99" t="s">
        <v>31</v>
      </c>
      <c r="B64" s="600"/>
      <c r="C64" s="600"/>
      <c r="D64" s="600"/>
      <c r="E64" s="600"/>
      <c r="F64" s="600"/>
      <c r="G64" s="600"/>
      <c r="H64" s="601"/>
      <c r="I64" s="601"/>
      <c r="J64" s="601"/>
      <c r="K64" s="601"/>
      <c r="L64" s="600"/>
      <c r="M64" s="600"/>
      <c r="N64" s="600"/>
      <c r="O64" s="600"/>
      <c r="P64" s="600"/>
      <c r="Q64" s="600"/>
      <c r="R64" s="600"/>
      <c r="S64" s="600"/>
      <c r="T64" s="600"/>
      <c r="U64" s="600"/>
      <c r="V64" s="600"/>
      <c r="W64" s="600"/>
      <c r="X64" s="600"/>
      <c r="Y64" s="600"/>
      <c r="Z64" s="600"/>
      <c r="AA64" s="600"/>
      <c r="AB64" s="600"/>
      <c r="AC64" s="600"/>
      <c r="AD64" s="600"/>
      <c r="AE64" s="600"/>
      <c r="AF64" s="600"/>
      <c r="AG64" s="600"/>
      <c r="AH64" s="600"/>
      <c r="AI64" s="600"/>
      <c r="AJ64" s="600"/>
      <c r="AK64" s="600"/>
      <c r="AL64" s="600"/>
      <c r="AM64" s="600"/>
      <c r="AN64" s="602"/>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03" t="s">
        <v>11</v>
      </c>
      <c r="B65" s="603" t="s">
        <v>12</v>
      </c>
      <c r="C65" s="606" t="s">
        <v>38</v>
      </c>
      <c r="D65" s="607"/>
      <c r="E65" s="589" t="s">
        <v>18</v>
      </c>
      <c r="F65" s="590"/>
      <c r="G65" s="591"/>
      <c r="H65" s="589" t="s">
        <v>19</v>
      </c>
      <c r="I65" s="590"/>
      <c r="J65" s="591"/>
      <c r="K65" s="589" t="s">
        <v>20</v>
      </c>
      <c r="L65" s="590"/>
      <c r="M65" s="591"/>
      <c r="N65" s="589" t="s">
        <v>21</v>
      </c>
      <c r="O65" s="590"/>
      <c r="P65" s="591"/>
      <c r="Q65" s="589" t="s">
        <v>22</v>
      </c>
      <c r="R65" s="590"/>
      <c r="S65" s="591"/>
      <c r="T65" s="589" t="s">
        <v>23</v>
      </c>
      <c r="U65" s="590"/>
      <c r="V65" s="591"/>
      <c r="W65" s="589" t="s">
        <v>24</v>
      </c>
      <c r="X65" s="590"/>
      <c r="Y65" s="591"/>
      <c r="Z65" s="589" t="s">
        <v>25</v>
      </c>
      <c r="AA65" s="590"/>
      <c r="AB65" s="591"/>
      <c r="AC65" s="589" t="s">
        <v>26</v>
      </c>
      <c r="AD65" s="590"/>
      <c r="AE65" s="591"/>
      <c r="AF65" s="589" t="s">
        <v>27</v>
      </c>
      <c r="AG65" s="590"/>
      <c r="AH65" s="591"/>
      <c r="AI65" s="589" t="s">
        <v>28</v>
      </c>
      <c r="AJ65" s="590"/>
      <c r="AK65" s="591"/>
      <c r="AL65" s="589" t="s">
        <v>29</v>
      </c>
      <c r="AM65" s="590"/>
      <c r="AN65" s="591"/>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04"/>
      <c r="B66" s="604"/>
      <c r="C66" s="592" t="s">
        <v>37</v>
      </c>
      <c r="D66" s="594" t="s">
        <v>17</v>
      </c>
      <c r="E66" s="596">
        <v>0.02</v>
      </c>
      <c r="F66" s="597"/>
      <c r="G66" s="598"/>
      <c r="H66" s="596">
        <v>0.04</v>
      </c>
      <c r="I66" s="597"/>
      <c r="J66" s="598"/>
      <c r="K66" s="596">
        <v>0.04</v>
      </c>
      <c r="L66" s="597"/>
      <c r="M66" s="598"/>
      <c r="N66" s="596">
        <v>0.05</v>
      </c>
      <c r="O66" s="597"/>
      <c r="P66" s="598"/>
      <c r="Q66" s="596">
        <v>0.06</v>
      </c>
      <c r="R66" s="597"/>
      <c r="S66" s="598"/>
      <c r="T66" s="596">
        <v>0.08</v>
      </c>
      <c r="U66" s="597"/>
      <c r="V66" s="598"/>
      <c r="W66" s="596">
        <v>0.1</v>
      </c>
      <c r="X66" s="597"/>
      <c r="Y66" s="598"/>
      <c r="Z66" s="596">
        <v>0.11</v>
      </c>
      <c r="AA66" s="597"/>
      <c r="AB66" s="598"/>
      <c r="AC66" s="596">
        <v>0.11</v>
      </c>
      <c r="AD66" s="597"/>
      <c r="AE66" s="598"/>
      <c r="AF66" s="596">
        <v>0.12</v>
      </c>
      <c r="AG66" s="597"/>
      <c r="AH66" s="598"/>
      <c r="AI66" s="596">
        <v>0.13</v>
      </c>
      <c r="AJ66" s="597"/>
      <c r="AK66" s="598"/>
      <c r="AL66" s="596">
        <v>0.14000000000000001</v>
      </c>
      <c r="AM66" s="597"/>
      <c r="AN66" s="598"/>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05"/>
      <c r="B67" s="605"/>
      <c r="C67" s="593"/>
      <c r="D67" s="595"/>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587" t="s">
        <v>46</v>
      </c>
      <c r="B71" s="588"/>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608" t="s">
        <v>98</v>
      </c>
      <c r="B101" s="609"/>
      <c r="C101" s="609"/>
      <c r="D101" s="609"/>
      <c r="E101" s="609"/>
      <c r="F101" s="609"/>
      <c r="G101" s="609"/>
      <c r="H101" s="609"/>
      <c r="I101" s="609"/>
      <c r="J101" s="609"/>
      <c r="K101" s="609"/>
      <c r="L101" s="609"/>
      <c r="M101" s="609"/>
      <c r="N101" s="609"/>
      <c r="O101" s="609"/>
      <c r="P101" s="609"/>
      <c r="Q101" s="609"/>
      <c r="R101" s="609"/>
      <c r="S101" s="609"/>
      <c r="T101" s="609"/>
      <c r="U101" s="609"/>
      <c r="V101" s="609"/>
      <c r="W101" s="609"/>
      <c r="X101" s="620"/>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615" t="s">
        <v>71</v>
      </c>
      <c r="C102" s="619" t="s">
        <v>72</v>
      </c>
      <c r="D102" s="619" t="s">
        <v>79</v>
      </c>
      <c r="E102" s="619" t="s">
        <v>81</v>
      </c>
      <c r="F102" s="613" t="s">
        <v>84</v>
      </c>
      <c r="G102" s="617" t="s">
        <v>88</v>
      </c>
      <c r="H102" s="613" t="s">
        <v>90</v>
      </c>
      <c r="I102" s="613" t="s">
        <v>91</v>
      </c>
      <c r="J102" s="613" t="s">
        <v>92</v>
      </c>
      <c r="K102" s="613" t="s">
        <v>93</v>
      </c>
      <c r="L102" s="613" t="s">
        <v>77</v>
      </c>
      <c r="M102" s="612"/>
      <c r="N102" s="612"/>
      <c r="O102" s="24"/>
      <c r="P102" s="24"/>
      <c r="Q102" s="24"/>
      <c r="R102" s="24"/>
      <c r="S102" s="24"/>
      <c r="T102" s="24"/>
      <c r="U102" s="24"/>
      <c r="V102" s="612"/>
      <c r="W102" s="612"/>
      <c r="X102" s="612"/>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616"/>
      <c r="C103" s="614"/>
      <c r="D103" s="614"/>
      <c r="E103" s="614"/>
      <c r="F103" s="614"/>
      <c r="G103" s="618"/>
      <c r="H103" s="614"/>
      <c r="I103" s="614"/>
      <c r="J103" s="614"/>
      <c r="K103" s="614"/>
      <c r="L103" s="614"/>
      <c r="M103" s="612"/>
      <c r="N103" s="612"/>
      <c r="O103" s="24"/>
      <c r="P103" s="24"/>
      <c r="Q103" s="24"/>
      <c r="R103" s="24"/>
      <c r="S103" s="24"/>
      <c r="T103" s="24"/>
      <c r="U103" s="24"/>
      <c r="V103" s="612"/>
      <c r="W103" s="612"/>
      <c r="X103" s="612"/>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86"/>
      <c r="AA104" s="586"/>
      <c r="AB104" s="586"/>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86"/>
      <c r="AA105" s="586"/>
      <c r="AB105" s="586"/>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86"/>
      <c r="AA106" s="586"/>
      <c r="AB106" s="586"/>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84"/>
      <c r="D107" s="585"/>
      <c r="E107" s="585"/>
      <c r="F107" s="585"/>
      <c r="G107" s="585"/>
      <c r="H107" s="585"/>
      <c r="I107" s="585"/>
      <c r="J107" s="585"/>
      <c r="K107" s="585"/>
      <c r="L107" s="585"/>
      <c r="M107" s="585"/>
      <c r="N107" s="585"/>
      <c r="O107" s="585"/>
      <c r="P107" s="585"/>
      <c r="Q107" s="585"/>
      <c r="R107" s="585"/>
      <c r="S107" s="585"/>
      <c r="T107" s="585"/>
      <c r="U107" s="585"/>
      <c r="V107" s="585"/>
      <c r="W107" s="585"/>
      <c r="X107" s="585"/>
      <c r="Y107" s="585"/>
      <c r="Z107" s="585"/>
      <c r="AA107" s="585"/>
      <c r="AB107" s="585"/>
      <c r="AC107" s="585"/>
      <c r="AD107" s="585"/>
      <c r="AE107" s="585"/>
      <c r="AF107" s="585"/>
      <c r="AG107" s="585"/>
      <c r="AH107" s="585"/>
      <c r="AI107" s="585"/>
      <c r="AJ107" s="585"/>
      <c r="AK107" s="585"/>
      <c r="AL107" s="585"/>
      <c r="AM107" s="585"/>
      <c r="AN107" s="585"/>
      <c r="AO107" s="585"/>
    </row>
    <row r="108" spans="1:61" ht="30" customHeight="1" thickBot="1" x14ac:dyDescent="0.3">
      <c r="A108" s="103" t="s">
        <v>94</v>
      </c>
      <c r="B108" s="104">
        <f>B107*12</f>
        <v>14340000</v>
      </c>
      <c r="C108" s="584"/>
      <c r="D108" s="585"/>
      <c r="E108" s="585"/>
      <c r="F108" s="585"/>
      <c r="G108" s="585"/>
      <c r="H108" s="585"/>
      <c r="I108" s="585"/>
      <c r="J108" s="585"/>
      <c r="K108" s="585"/>
      <c r="L108" s="585"/>
      <c r="M108" s="585"/>
      <c r="N108" s="585"/>
      <c r="O108" s="585"/>
      <c r="P108" s="585"/>
      <c r="Q108" s="585"/>
      <c r="R108" s="585"/>
      <c r="S108" s="585"/>
      <c r="T108" s="585"/>
      <c r="U108" s="585"/>
      <c r="V108" s="585"/>
      <c r="W108" s="585"/>
      <c r="X108" s="585"/>
      <c r="Y108" s="585"/>
      <c r="Z108" s="585"/>
      <c r="AA108" s="585"/>
      <c r="AB108" s="585"/>
      <c r="AC108" s="585"/>
      <c r="AD108" s="585"/>
      <c r="AE108" s="585"/>
      <c r="AF108" s="585"/>
      <c r="AG108" s="585"/>
      <c r="AH108" s="585"/>
      <c r="AI108" s="585"/>
      <c r="AJ108" s="585"/>
      <c r="AK108" s="585"/>
      <c r="AL108" s="585"/>
      <c r="AM108" s="585"/>
      <c r="AN108" s="585"/>
      <c r="AO108" s="585"/>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99" t="s">
        <v>97</v>
      </c>
      <c r="B112" s="600"/>
      <c r="C112" s="600"/>
      <c r="D112" s="600"/>
      <c r="E112" s="600"/>
      <c r="F112" s="600"/>
      <c r="G112" s="600"/>
      <c r="H112" s="601"/>
      <c r="I112" s="601"/>
      <c r="J112" s="601"/>
      <c r="K112" s="601"/>
      <c r="L112" s="600"/>
      <c r="M112" s="600"/>
      <c r="N112" s="600"/>
      <c r="O112" s="600"/>
      <c r="P112" s="600"/>
      <c r="Q112" s="600"/>
      <c r="R112" s="600"/>
      <c r="S112" s="600"/>
      <c r="T112" s="600"/>
      <c r="U112" s="600"/>
      <c r="V112" s="600"/>
      <c r="W112" s="600"/>
      <c r="X112" s="600"/>
      <c r="Y112" s="600"/>
      <c r="Z112" s="600"/>
      <c r="AA112" s="600"/>
      <c r="AB112" s="600"/>
      <c r="AC112" s="600"/>
      <c r="AD112" s="600"/>
      <c r="AE112" s="600"/>
      <c r="AF112" s="600"/>
      <c r="AG112" s="600"/>
      <c r="AH112" s="600"/>
      <c r="AI112" s="600"/>
      <c r="AJ112" s="600"/>
      <c r="AK112" s="600"/>
      <c r="AL112" s="600"/>
      <c r="AM112" s="600"/>
      <c r="AN112" s="602"/>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03" t="s">
        <v>11</v>
      </c>
      <c r="B113" s="603" t="s">
        <v>12</v>
      </c>
      <c r="C113" s="606" t="s">
        <v>38</v>
      </c>
      <c r="D113" s="621"/>
      <c r="E113" s="589" t="s">
        <v>18</v>
      </c>
      <c r="F113" s="590"/>
      <c r="G113" s="590"/>
      <c r="H113" s="589" t="s">
        <v>19</v>
      </c>
      <c r="I113" s="590"/>
      <c r="J113" s="591"/>
      <c r="K113" s="589" t="s">
        <v>20</v>
      </c>
      <c r="L113" s="590"/>
      <c r="M113" s="591"/>
      <c r="N113" s="589" t="s">
        <v>21</v>
      </c>
      <c r="O113" s="590"/>
      <c r="P113" s="591"/>
      <c r="Q113" s="589" t="s">
        <v>22</v>
      </c>
      <c r="R113" s="590"/>
      <c r="S113" s="591"/>
      <c r="T113" s="589" t="s">
        <v>23</v>
      </c>
      <c r="U113" s="590"/>
      <c r="V113" s="591"/>
      <c r="W113" s="589" t="s">
        <v>24</v>
      </c>
      <c r="X113" s="590"/>
      <c r="Y113" s="591"/>
      <c r="Z113" s="589" t="s">
        <v>25</v>
      </c>
      <c r="AA113" s="590"/>
      <c r="AB113" s="591"/>
      <c r="AC113" s="589" t="s">
        <v>26</v>
      </c>
      <c r="AD113" s="590"/>
      <c r="AE113" s="591"/>
      <c r="AF113" s="589" t="s">
        <v>27</v>
      </c>
      <c r="AG113" s="590"/>
      <c r="AH113" s="591"/>
      <c r="AI113" s="589" t="s">
        <v>28</v>
      </c>
      <c r="AJ113" s="590"/>
      <c r="AK113" s="591"/>
      <c r="AL113" s="589" t="s">
        <v>29</v>
      </c>
      <c r="AM113" s="590"/>
      <c r="AN113" s="591"/>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04"/>
      <c r="B114" s="604"/>
      <c r="C114" s="592" t="s">
        <v>37</v>
      </c>
      <c r="D114" s="624" t="s">
        <v>17</v>
      </c>
      <c r="E114" s="596">
        <v>0.02</v>
      </c>
      <c r="F114" s="597"/>
      <c r="G114" s="597"/>
      <c r="H114" s="596">
        <v>0.04</v>
      </c>
      <c r="I114" s="597"/>
      <c r="J114" s="598"/>
      <c r="K114" s="596">
        <v>0.04</v>
      </c>
      <c r="L114" s="597"/>
      <c r="M114" s="598"/>
      <c r="N114" s="596">
        <v>0.05</v>
      </c>
      <c r="O114" s="597"/>
      <c r="P114" s="598"/>
      <c r="Q114" s="596">
        <v>0.06</v>
      </c>
      <c r="R114" s="597"/>
      <c r="S114" s="598"/>
      <c r="T114" s="596">
        <v>0.08</v>
      </c>
      <c r="U114" s="597"/>
      <c r="V114" s="598"/>
      <c r="W114" s="596">
        <v>0.1</v>
      </c>
      <c r="X114" s="597"/>
      <c r="Y114" s="598"/>
      <c r="Z114" s="596">
        <v>0.11</v>
      </c>
      <c r="AA114" s="597"/>
      <c r="AB114" s="598"/>
      <c r="AC114" s="596">
        <v>0.11</v>
      </c>
      <c r="AD114" s="597"/>
      <c r="AE114" s="598"/>
      <c r="AF114" s="596">
        <v>0.12</v>
      </c>
      <c r="AG114" s="597"/>
      <c r="AH114" s="598"/>
      <c r="AI114" s="596">
        <v>0.13</v>
      </c>
      <c r="AJ114" s="597"/>
      <c r="AK114" s="598"/>
      <c r="AL114" s="596">
        <v>0.14000000000000001</v>
      </c>
      <c r="AM114" s="597"/>
      <c r="AN114" s="598"/>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05"/>
      <c r="B115" s="605"/>
      <c r="C115" s="593"/>
      <c r="D115" s="625"/>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587" t="s">
        <v>46</v>
      </c>
      <c r="B119" s="588"/>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608" t="s">
        <v>99</v>
      </c>
      <c r="B148" s="609"/>
      <c r="C148" s="609"/>
      <c r="D148" s="609"/>
      <c r="E148" s="609"/>
      <c r="F148" s="609"/>
      <c r="G148" s="609"/>
      <c r="H148" s="609"/>
      <c r="I148" s="609"/>
      <c r="J148" s="609"/>
      <c r="K148" s="609"/>
      <c r="L148" s="609"/>
      <c r="M148" s="609"/>
      <c r="N148" s="609"/>
      <c r="O148" s="609"/>
      <c r="P148" s="609"/>
      <c r="Q148" s="609"/>
      <c r="R148" s="609"/>
      <c r="S148" s="609"/>
      <c r="T148" s="609"/>
      <c r="U148" s="609"/>
      <c r="V148" s="609"/>
      <c r="W148" s="609"/>
      <c r="X148" s="620"/>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635" t="s">
        <v>71</v>
      </c>
      <c r="C149" s="613" t="s">
        <v>72</v>
      </c>
      <c r="D149" s="636" t="s">
        <v>73</v>
      </c>
      <c r="E149" s="613" t="s">
        <v>74</v>
      </c>
      <c r="F149" s="613" t="s">
        <v>75</v>
      </c>
      <c r="G149" s="613" t="s">
        <v>76</v>
      </c>
      <c r="H149" s="613" t="s">
        <v>77</v>
      </c>
      <c r="I149" s="613" t="s">
        <v>78</v>
      </c>
      <c r="J149" s="613" t="s">
        <v>79</v>
      </c>
      <c r="K149" s="585" t="s">
        <v>80</v>
      </c>
      <c r="L149" s="613" t="s">
        <v>81</v>
      </c>
      <c r="M149" s="613" t="s">
        <v>82</v>
      </c>
      <c r="N149" s="613" t="s">
        <v>83</v>
      </c>
      <c r="O149" s="613" t="s">
        <v>84</v>
      </c>
      <c r="P149" s="613" t="s">
        <v>85</v>
      </c>
      <c r="Q149" s="613" t="s">
        <v>86</v>
      </c>
      <c r="R149" s="622" t="s">
        <v>87</v>
      </c>
      <c r="S149" s="613" t="s">
        <v>88</v>
      </c>
      <c r="T149" s="613" t="s">
        <v>89</v>
      </c>
      <c r="U149" s="613" t="s">
        <v>90</v>
      </c>
      <c r="V149" s="613" t="s">
        <v>91</v>
      </c>
      <c r="W149" s="613" t="s">
        <v>92</v>
      </c>
      <c r="X149" s="613"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616"/>
      <c r="C150" s="614"/>
      <c r="D150" s="637"/>
      <c r="E150" s="614"/>
      <c r="F150" s="614"/>
      <c r="G150" s="614"/>
      <c r="H150" s="614"/>
      <c r="I150" s="614"/>
      <c r="J150" s="614"/>
      <c r="K150" s="623"/>
      <c r="L150" s="614"/>
      <c r="M150" s="614"/>
      <c r="N150" s="614"/>
      <c r="O150" s="614"/>
      <c r="P150" s="614"/>
      <c r="Q150" s="614"/>
      <c r="R150" s="623"/>
      <c r="S150" s="614"/>
      <c r="T150" s="614"/>
      <c r="U150" s="614"/>
      <c r="V150" s="614"/>
      <c r="W150" s="614"/>
      <c r="X150" s="614"/>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599" t="s">
        <v>13</v>
      </c>
      <c r="C7" s="600"/>
      <c r="D7" s="602"/>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38" t="s">
        <v>36</v>
      </c>
      <c r="C15" s="639"/>
      <c r="D15" s="639"/>
      <c r="E15" s="640"/>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599" t="s">
        <v>13</v>
      </c>
      <c r="D3" s="600"/>
      <c r="E3" s="602"/>
      <c r="G3" s="599" t="s">
        <v>50</v>
      </c>
      <c r="H3" s="600"/>
      <c r="I3" s="602"/>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44" t="s">
        <v>100</v>
      </c>
      <c r="B13" s="645"/>
      <c r="C13" s="645"/>
      <c r="D13" s="645"/>
      <c r="E13" s="645"/>
      <c r="F13" s="645"/>
      <c r="G13" s="645"/>
      <c r="H13" s="645"/>
      <c r="I13" s="645"/>
      <c r="J13" s="645"/>
      <c r="K13" s="646"/>
      <c r="L13" s="204"/>
      <c r="M13" s="204"/>
      <c r="N13" s="204"/>
      <c r="O13"/>
    </row>
    <row r="14" spans="1:17" ht="26.25" x14ac:dyDescent="0.4">
      <c r="A14" s="205" t="s">
        <v>48</v>
      </c>
      <c r="B14" s="647" t="s">
        <v>108</v>
      </c>
      <c r="C14" s="648"/>
      <c r="D14" s="648"/>
      <c r="E14" s="648"/>
      <c r="F14" s="648"/>
      <c r="G14" s="648"/>
      <c r="H14" s="648"/>
      <c r="I14" s="648"/>
      <c r="J14" s="648"/>
      <c r="K14" s="648"/>
      <c r="L14" s="204"/>
      <c r="M14" s="204"/>
      <c r="N14" s="204"/>
      <c r="O14"/>
    </row>
    <row r="15" spans="1:17" ht="26.25" x14ac:dyDescent="0.4">
      <c r="A15" s="205" t="s">
        <v>101</v>
      </c>
      <c r="B15" s="649" t="s">
        <v>102</v>
      </c>
      <c r="C15" s="650"/>
      <c r="D15" s="650"/>
      <c r="E15" s="650"/>
      <c r="F15" s="650"/>
      <c r="G15" s="650"/>
      <c r="H15" s="650"/>
      <c r="I15" s="650"/>
      <c r="J15" s="650"/>
      <c r="K15" s="651"/>
      <c r="L15" s="204"/>
      <c r="M15" s="204"/>
      <c r="N15" s="204"/>
      <c r="O15"/>
    </row>
    <row r="16" spans="1:17" ht="26.25" x14ac:dyDescent="0.4">
      <c r="A16" s="205" t="s">
        <v>49</v>
      </c>
      <c r="B16" s="647" t="s">
        <v>107</v>
      </c>
      <c r="C16" s="648"/>
      <c r="D16" s="648"/>
      <c r="E16" s="648"/>
      <c r="F16" s="648"/>
      <c r="G16" s="648"/>
      <c r="H16" s="648"/>
      <c r="I16" s="648"/>
      <c r="J16" s="648"/>
      <c r="K16" s="648"/>
      <c r="L16" s="204"/>
      <c r="M16" s="204"/>
      <c r="N16" s="204"/>
      <c r="O16"/>
    </row>
    <row r="17" spans="1:15" ht="26.25" x14ac:dyDescent="0.4">
      <c r="A17" s="205" t="s">
        <v>103</v>
      </c>
      <c r="B17" s="652" t="s">
        <v>109</v>
      </c>
      <c r="C17" s="650"/>
      <c r="D17" s="650"/>
      <c r="E17" s="650"/>
      <c r="F17" s="650"/>
      <c r="G17" s="650"/>
      <c r="H17" s="650"/>
      <c r="I17" s="650"/>
      <c r="J17" s="650"/>
      <c r="K17" s="651"/>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41" t="s">
        <v>52</v>
      </c>
      <c r="B21" s="642"/>
      <c r="C21" s="642"/>
      <c r="D21" s="642"/>
      <c r="E21" s="642"/>
      <c r="F21" s="642"/>
      <c r="G21" s="642"/>
      <c r="H21" s="642"/>
      <c r="I21" s="642"/>
      <c r="J21" s="642"/>
      <c r="K21" s="642"/>
      <c r="L21" s="642"/>
      <c r="M21" s="642"/>
      <c r="N21" s="643"/>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41" t="s">
        <v>53</v>
      </c>
      <c r="B36" s="642"/>
      <c r="C36" s="642"/>
      <c r="D36" s="642"/>
      <c r="E36" s="642"/>
      <c r="F36" s="642"/>
      <c r="G36" s="642"/>
      <c r="H36" s="642"/>
      <c r="I36" s="642"/>
      <c r="J36" s="642"/>
      <c r="K36" s="642"/>
      <c r="L36" s="642"/>
      <c r="M36" s="642"/>
      <c r="N36" s="643"/>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41" t="s">
        <v>106</v>
      </c>
      <c r="B51" s="642"/>
      <c r="C51" s="642"/>
      <c r="D51" s="642"/>
      <c r="E51" s="642"/>
      <c r="F51" s="642"/>
      <c r="G51" s="642"/>
      <c r="H51" s="642"/>
      <c r="I51" s="642"/>
      <c r="J51" s="642"/>
      <c r="K51" s="642"/>
      <c r="L51" s="642"/>
      <c r="M51" s="642"/>
      <c r="N51" s="643"/>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6"/>
  <sheetViews>
    <sheetView tabSelected="1" zoomScale="90" zoomScaleNormal="90" workbookViewId="0">
      <pane xSplit="3" ySplit="1" topLeftCell="E31" activePane="bottomRight" state="frozen"/>
      <selection pane="topRight" activeCell="D1" sqref="D1"/>
      <selection pane="bottomLeft" activeCell="A2" sqref="A2"/>
      <selection pane="bottomRight" activeCell="K35" sqref="K35"/>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7.42578125" style="1" bestFit="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56" t="s">
        <v>13</v>
      </c>
      <c r="C4" s="657"/>
      <c r="D4" s="658"/>
      <c r="E4" s="14"/>
      <c r="H4" s="656" t="s">
        <v>51</v>
      </c>
      <c r="I4" s="657"/>
      <c r="J4" s="658"/>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N26</f>
        <v>15722885.359999999</v>
      </c>
      <c r="I6" s="21">
        <f>N38</f>
        <v>220990.20000000004</v>
      </c>
      <c r="J6" s="22">
        <f>N46</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59" t="s">
        <v>100</v>
      </c>
      <c r="B13" s="660"/>
      <c r="C13" s="660"/>
      <c r="D13" s="660"/>
      <c r="E13" s="660"/>
      <c r="F13" s="660"/>
      <c r="G13" s="660"/>
      <c r="H13" s="660"/>
      <c r="I13" s="660"/>
      <c r="J13" s="660"/>
      <c r="K13" s="661"/>
    </row>
    <row r="14" spans="1:32" x14ac:dyDescent="0.25">
      <c r="A14" s="193" t="s">
        <v>110</v>
      </c>
      <c r="B14" s="662" t="s">
        <v>113</v>
      </c>
      <c r="C14" s="663"/>
      <c r="D14" s="663"/>
      <c r="E14" s="663"/>
      <c r="F14" s="663"/>
      <c r="G14" s="663"/>
      <c r="H14" s="663"/>
      <c r="I14" s="663"/>
      <c r="J14" s="663"/>
      <c r="K14" s="663"/>
    </row>
    <row r="15" spans="1:32" x14ac:dyDescent="0.25">
      <c r="A15" s="193" t="s">
        <v>111</v>
      </c>
      <c r="B15" s="664" t="s">
        <v>112</v>
      </c>
      <c r="C15" s="665"/>
      <c r="D15" s="665"/>
      <c r="E15" s="665"/>
      <c r="F15" s="665"/>
      <c r="G15" s="665"/>
      <c r="H15" s="665"/>
      <c r="I15" s="665"/>
      <c r="J15" s="665"/>
      <c r="K15" s="666"/>
    </row>
    <row r="19" spans="1:14" ht="27" thickBot="1" x14ac:dyDescent="0.3">
      <c r="A19" s="653" t="s">
        <v>52</v>
      </c>
      <c r="B19" s="654"/>
      <c r="C19" s="654"/>
      <c r="D19" s="654"/>
      <c r="E19" s="654"/>
      <c r="F19" s="654"/>
      <c r="G19" s="654"/>
      <c r="H19" s="654"/>
      <c r="I19" s="654"/>
      <c r="J19" s="654"/>
      <c r="K19" s="654"/>
      <c r="L19" s="654"/>
      <c r="M19" s="654"/>
      <c r="N19" s="655"/>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ht="30" x14ac:dyDescent="0.25">
      <c r="A23" s="534" t="s">
        <v>271</v>
      </c>
      <c r="B23" s="535">
        <f>('Proy. ventas'!E19*'Proy. ventas'!B19)*0.5</f>
        <v>25649</v>
      </c>
      <c r="C23" s="535">
        <f>(('Proy. ventas'!E19*'Proy. ventas'!B19)*0.5)+('Proy. ventas'!H19*'Proy. ventas'!B19)*0.5</f>
        <v>76947</v>
      </c>
      <c r="D23" s="535">
        <f>('Proy. ventas'!E19*'Proy. ventas'!B19)*0.5+('Proy. ventas'!H19*'Proy. ventas'!B19)*0.5+('Proy. ventas'!K19*'Proy. ventas'!B19)*0.5</f>
        <v>128245</v>
      </c>
      <c r="E23" s="535">
        <f>('Proy. ventas'!H19*'Proy. ventas'!B19)*0.5+('Proy. ventas'!K19*'Proy. ventas'!B19)*0.5+('Proy. ventas'!N19*'Proy. ventas'!B19)*0.5</f>
        <v>166718.5</v>
      </c>
      <c r="F23" s="535">
        <f>('Proy. ventas'!N19*'Proy. ventas'!B19)*0.5+('Proy. ventas'!Q19*'Proy. ventas'!B19)*0.5+('Proy. ventas'!K19*'Proy. ventas'!B19)*0.5</f>
        <v>192367.5</v>
      </c>
      <c r="G23" s="535">
        <f>+('Proy. ventas'!N19*'Proy. ventas'!B19)*0.5+('Proy. ventas'!Q19*'Proy. ventas'!B19)*0.5+('Proy. ventas'!T19*'Proy. ventas'!B19)*0.5</f>
        <v>243665.5</v>
      </c>
      <c r="H23" s="535">
        <f>+('Proy. ventas'!Q19*'Proy. ventas'!B19)*0.5+('Proy. ventas'!T19*'Proy. ventas'!B19)*0.5+('Proy. ventas'!W19*'Proy. ventas'!B19)*0.5</f>
        <v>307788</v>
      </c>
      <c r="I23" s="535">
        <f>+('Proy. ventas'!T19*'Proy. ventas'!B19)*0.5+('Proy. ventas'!W19*'Proy. ventas'!B19)*0.5+('Proy. ventas'!Z19*'Proy. ventas'!B19)*0.5</f>
        <v>371910.5</v>
      </c>
      <c r="J23" s="535">
        <f>+('Proy. ventas'!W19*'Proy. ventas'!B19)*0.5++('Proy. ventas'!Z19*'Proy. ventas'!B19)*0.5+('Proy. ventas'!AC19*'Proy. ventas'!B19)*0.5</f>
        <v>410384</v>
      </c>
      <c r="K23" s="535">
        <f>+('Proy. ventas'!Z19*'Proy. ventas'!B19)*0.5+('Proy. ventas'!AC19*'Proy. ventas'!B19)*0.5+('Proy. ventas'!AF19*'Proy. ventas'!B19)</f>
        <v>589927</v>
      </c>
      <c r="L23" s="535">
        <f>+('Proy. ventas'!AC19*'Proy. ventas'!B19)*0.5+('Proy. ventas'!AF19*'Proy. ventas'!B19)*0.5+('Proy. ventas'!AI19*'Proy. ventas'!B19)*0.5</f>
        <v>461682</v>
      </c>
      <c r="M23" s="535">
        <f>('Proy. ventas'!AF19*'Proy. ventas'!B19)*0.5+('Proy. ventas'!AI19*'Proy. ventas'!B19)*0.5+('Proy. ventas'!AL19*'Proy. ventas'!B19)*0.5</f>
        <v>500155.5</v>
      </c>
      <c r="N23" s="533"/>
    </row>
    <row r="24" spans="1:14" ht="30" x14ac:dyDescent="0.25">
      <c r="A24" s="534" t="s">
        <v>272</v>
      </c>
      <c r="B24" s="535">
        <f>('Proy. ventas'!E20*'Proy. ventas'!B20)*0.5</f>
        <v>46925</v>
      </c>
      <c r="C24" s="535">
        <f>(('Proy. ventas'!E20*'Proy. ventas'!B20)*0.5)+('Proy. ventas'!H20*'Proy. ventas'!B20)*0.5</f>
        <v>140775</v>
      </c>
      <c r="D24" s="535">
        <f>('Proy. ventas'!E20*'Proy. ventas'!B20)*0.5+('Proy. ventas'!H20*'Proy. ventas'!B20)*0.5+('Proy. ventas'!K20*'Proy. ventas'!B20)*0.5</f>
        <v>234625</v>
      </c>
      <c r="E24" s="535">
        <f>('Proy. ventas'!H20*'Proy. ventas'!B20)*0.5+('Proy. ventas'!K20*'Proy. ventas'!B20)*0.5+('Proy. ventas'!N20*'Proy. ventas'!B20)*0.5</f>
        <v>305012.5</v>
      </c>
      <c r="F24" s="535">
        <f>('Proy. ventas'!N20*'Proy. ventas'!B20)*0.5+('Proy. ventas'!Q20*'Proy. ventas'!B20)*0.5+('Proy. ventas'!K20*'Proy. ventas'!B20)*0.5</f>
        <v>351937.5</v>
      </c>
      <c r="G24" s="535">
        <f>+('Proy. ventas'!N20*'Proy. ventas'!B20)*0.5+('Proy. ventas'!Q20*'Proy. ventas'!B20)*0.5+('Proy. ventas'!T20*'Proy. ventas'!B20)*0.5</f>
        <v>445787.5</v>
      </c>
      <c r="H24" s="535">
        <f>+('Proy. ventas'!Q20*'Proy. ventas'!B20)*0.5+('Proy. ventas'!T20*'Proy. ventas'!B20)*0.5+('Proy. ventas'!W20*'Proy. ventas'!B20)*0.5</f>
        <v>563100</v>
      </c>
      <c r="I24" s="535">
        <f>+('Proy. ventas'!T20*'Proy. ventas'!B20)*0.5+('Proy. ventas'!W20*'Proy. ventas'!B20)*0.5+('Proy. ventas'!Z20*'Proy. ventas'!B20)*0.5</f>
        <v>680412.5</v>
      </c>
      <c r="J24" s="535">
        <f>+('Proy. ventas'!W20*'Proy. ventas'!B20)*0.5++('Proy. ventas'!Z20*'Proy. ventas'!B20)*0.5+('Proy. ventas'!AC20*'Proy. ventas'!B20)*0.5</f>
        <v>750800</v>
      </c>
      <c r="K24" s="535">
        <f>+('Proy. ventas'!Z20*'Proy. ventas'!B20)*0.5+('Proy. ventas'!AC20*'Proy. ventas'!B20)*0.5+('Proy. ventas'!AF20*'Proy. ventas'!B20)</f>
        <v>1079275</v>
      </c>
      <c r="L24" s="535">
        <f>+('Proy. ventas'!AC20*'Proy. ventas'!B20)*0.5+('Proy. ventas'!AF20*'Proy. ventas'!B20)*0.5+('Proy. ventas'!AI20*'Proy. ventas'!B20)*0.5</f>
        <v>844650</v>
      </c>
      <c r="M24" s="535">
        <f>('Proy. ventas'!AF20*'Proy. ventas'!B20)*0.5+('Proy. ventas'!AI20*'Proy. ventas'!B20)*0.5+('Proy. ventas'!AL20*'Proy. ventas'!B20)*0.5</f>
        <v>915037.5</v>
      </c>
      <c r="N24" s="533"/>
    </row>
    <row r="25" spans="1:14" ht="30" x14ac:dyDescent="0.25">
      <c r="A25" s="534" t="s">
        <v>273</v>
      </c>
      <c r="B25" s="535">
        <f>('Proy. ventas'!E21*'Proy. ventas'!B21)*0.5</f>
        <v>41760</v>
      </c>
      <c r="C25" s="535">
        <f>(('Proy. ventas'!E21*'Proy. ventas'!B21)*0.5)+('Proy. ventas'!H21*'Proy. ventas'!B21)*0.5</f>
        <v>125280</v>
      </c>
      <c r="D25" s="535">
        <f>('Proy. ventas'!E21*'Proy. ventas'!B21)*0.5+('Proy. ventas'!H21*'Proy. ventas'!B21)*0.5+('Proy. ventas'!K21*'Proy. ventas'!B21)*0.5</f>
        <v>208800</v>
      </c>
      <c r="E25" s="535">
        <f>('Proy. ventas'!H21*'Proy. ventas'!B21)*0.5+('Proy. ventas'!K21*'Proy. ventas'!B21)*0.5+('Proy. ventas'!N21*'Proy. ventas'!B21)*0.5</f>
        <v>271440</v>
      </c>
      <c r="F25" s="535">
        <f>('Proy. ventas'!N21*'Proy. ventas'!B21)*0.5+('Proy. ventas'!Q21*'Proy. ventas'!B21)*0.5+('Proy. ventas'!K21*'Proy. ventas'!B21)*0.5</f>
        <v>313200</v>
      </c>
      <c r="G25" s="535">
        <f>+('Proy. ventas'!N21*'Proy. ventas'!B21)*0.5+('Proy. ventas'!Q21*'Proy. ventas'!B21)*0.5+('Proy. ventas'!T21*'Proy. ventas'!B21)*0.5</f>
        <v>396720</v>
      </c>
      <c r="H25" s="535">
        <f>+('Proy. ventas'!Q21*'Proy. ventas'!B21)*0.5+('Proy. ventas'!T21*'Proy. ventas'!B21)*0.5+('Proy. ventas'!W21*'Proy. ventas'!B21)*0.5</f>
        <v>501120</v>
      </c>
      <c r="I25" s="535">
        <f>+('Proy. ventas'!T21*'Proy. ventas'!B21)*0.5+('Proy. ventas'!W21*'Proy. ventas'!B21)*0.5+('Proy. ventas'!Z21*'Proy. ventas'!B21)*0.5</f>
        <v>605520</v>
      </c>
      <c r="J25" s="535">
        <f>+('Proy. ventas'!W21*'Proy. ventas'!B21)*0.5++('Proy. ventas'!Z21*'Proy. ventas'!B21)*0.5+('Proy. ventas'!AC21*'Proy. ventas'!B21)*0.5</f>
        <v>668160</v>
      </c>
      <c r="K25" s="535">
        <f>+('Proy. ventas'!Z21*'Proy. ventas'!B21)*0.5+('Proy. ventas'!AC21*'Proy. ventas'!B21)*0.5+('Proy. ventas'!AF21*'Proy. ventas'!B21)</f>
        <v>960480</v>
      </c>
      <c r="L25" s="535">
        <f>+('Proy. ventas'!AC21*'Proy. ventas'!B21)*0.5+('Proy. ventas'!AF21*'Proy. ventas'!B21)*0.5+('Proy. ventas'!AI21*'Proy. ventas'!B21)*0.5</f>
        <v>751680</v>
      </c>
      <c r="M25" s="535">
        <f>('Proy. ventas'!AF21*'Proy. ventas'!B21)*0.5+('Proy. ventas'!AI21*'Proy. ventas'!B21)*0.5+('Proy. ventas'!AL21*'Proy. ventas'!B21)*0.5</f>
        <v>814320</v>
      </c>
      <c r="N25" s="533"/>
    </row>
    <row r="26" spans="1:14" x14ac:dyDescent="0.25">
      <c r="A26" s="220" t="s">
        <v>7</v>
      </c>
      <c r="B26" s="201">
        <f>SUM(B21:B25)</f>
        <v>133553.03</v>
      </c>
      <c r="C26" s="201">
        <f t="shared" ref="C26:D26" si="0">SUM(C21:C25)</f>
        <v>362221.03</v>
      </c>
      <c r="D26" s="201">
        <f t="shared" ref="D26" si="1">SUM(D21:D25)</f>
        <v>590889.03</v>
      </c>
      <c r="E26" s="201">
        <f t="shared" ref="E26" si="2">SUM(E21:E25)</f>
        <v>762390.03</v>
      </c>
      <c r="F26" s="201">
        <f t="shared" ref="F26" si="3">SUM(F21:F25)</f>
        <v>876724.03</v>
      </c>
      <c r="G26" s="201">
        <f t="shared" ref="G26" si="4">SUM(G21:G25)</f>
        <v>1105392.03</v>
      </c>
      <c r="H26" s="201">
        <f t="shared" ref="H26" si="5">SUM(H21:H25)</f>
        <v>1391227.03</v>
      </c>
      <c r="I26" s="201">
        <f t="shared" ref="I26" si="6">SUM(I21:I25)</f>
        <v>1677062.03</v>
      </c>
      <c r="J26" s="201">
        <f t="shared" ref="J26" si="7">SUM(J21:J25)</f>
        <v>1848563.03</v>
      </c>
      <c r="K26" s="201">
        <f t="shared" ref="K26" si="8">SUM(K21:K25)</f>
        <v>2648901.0300000003</v>
      </c>
      <c r="L26" s="201">
        <f t="shared" ref="L26" si="9">SUM(L21:L25)</f>
        <v>2077231.03</v>
      </c>
      <c r="M26" s="201">
        <f t="shared" ref="M26" si="10">SUM(M21:M25)</f>
        <v>2248732.0300000003</v>
      </c>
      <c r="N26" s="221">
        <f>SUM(B26:M26)</f>
        <v>15722885.359999999</v>
      </c>
    </row>
    <row r="31" spans="1:14" ht="27" thickBot="1" x14ac:dyDescent="0.3">
      <c r="A31" s="653" t="s">
        <v>53</v>
      </c>
      <c r="B31" s="654"/>
      <c r="C31" s="654"/>
      <c r="D31" s="654"/>
      <c r="E31" s="654"/>
      <c r="F31" s="654"/>
      <c r="G31" s="654"/>
      <c r="H31" s="654"/>
      <c r="I31" s="654"/>
      <c r="J31" s="654"/>
      <c r="K31" s="654"/>
      <c r="L31" s="654"/>
      <c r="M31" s="654"/>
      <c r="N31" s="655"/>
    </row>
    <row r="32" spans="1:14" x14ac:dyDescent="0.25">
      <c r="A32" s="194" t="s">
        <v>40</v>
      </c>
      <c r="B32" s="195" t="s">
        <v>18</v>
      </c>
      <c r="C32" s="196" t="s">
        <v>19</v>
      </c>
      <c r="D32" s="196" t="s">
        <v>20</v>
      </c>
      <c r="E32" s="196" t="s">
        <v>21</v>
      </c>
      <c r="F32" s="196" t="s">
        <v>22</v>
      </c>
      <c r="G32" s="196" t="s">
        <v>23</v>
      </c>
      <c r="H32" s="196" t="s">
        <v>24</v>
      </c>
      <c r="I32" s="196" t="s">
        <v>25</v>
      </c>
      <c r="J32" s="196" t="s">
        <v>26</v>
      </c>
      <c r="K32" s="196" t="s">
        <v>27</v>
      </c>
      <c r="L32" s="196" t="s">
        <v>28</v>
      </c>
      <c r="M32" s="196" t="s">
        <v>29</v>
      </c>
      <c r="N32" s="197" t="s">
        <v>7</v>
      </c>
    </row>
    <row r="33" spans="1:14" x14ac:dyDescent="0.25">
      <c r="A33" s="194" t="s">
        <v>110</v>
      </c>
      <c r="B33" s="198">
        <f t="shared" ref="B33:M33" si="11">B21</f>
        <v>15200</v>
      </c>
      <c r="C33" s="198">
        <f t="shared" si="11"/>
        <v>15200</v>
      </c>
      <c r="D33" s="198">
        <f t="shared" si="11"/>
        <v>15200</v>
      </c>
      <c r="E33" s="198">
        <f t="shared" si="11"/>
        <v>15200</v>
      </c>
      <c r="F33" s="198">
        <f t="shared" si="11"/>
        <v>15200</v>
      </c>
      <c r="G33" s="198">
        <f t="shared" si="11"/>
        <v>15200</v>
      </c>
      <c r="H33" s="198">
        <f t="shared" si="11"/>
        <v>15200</v>
      </c>
      <c r="I33" s="198">
        <f t="shared" si="11"/>
        <v>15200</v>
      </c>
      <c r="J33" s="198">
        <f t="shared" si="11"/>
        <v>15200</v>
      </c>
      <c r="K33" s="198">
        <f t="shared" si="11"/>
        <v>15200</v>
      </c>
      <c r="L33" s="198">
        <f t="shared" si="11"/>
        <v>15200</v>
      </c>
      <c r="M33" s="198">
        <f t="shared" si="11"/>
        <v>15200</v>
      </c>
      <c r="N33" s="199"/>
    </row>
    <row r="34" spans="1:14" x14ac:dyDescent="0.25">
      <c r="A34" s="194" t="s">
        <v>111</v>
      </c>
      <c r="B34" s="198">
        <v>3215.85</v>
      </c>
      <c r="C34" s="198">
        <v>3215.85</v>
      </c>
      <c r="D34" s="198">
        <v>3215.85</v>
      </c>
      <c r="E34" s="198">
        <v>3215.85</v>
      </c>
      <c r="F34" s="198">
        <v>3215.85</v>
      </c>
      <c r="G34" s="198">
        <v>3215.85</v>
      </c>
      <c r="H34" s="198">
        <v>3215.85</v>
      </c>
      <c r="I34" s="198">
        <v>3215.85</v>
      </c>
      <c r="J34" s="198">
        <v>3215.85</v>
      </c>
      <c r="K34" s="198">
        <v>3215.85</v>
      </c>
      <c r="L34" s="198">
        <v>3215.85</v>
      </c>
      <c r="M34" s="198">
        <v>3215.85</v>
      </c>
      <c r="N34" s="200"/>
    </row>
    <row r="35" spans="1:14" ht="30" x14ac:dyDescent="0.25">
      <c r="A35" s="534" t="s">
        <v>271</v>
      </c>
      <c r="B35" s="535">
        <f>+('Proy. ventas'!AI19*'Proy. ventas'!B19)*0.5+('Proy. ventas'!AL19*'Proy. ventas'!B19)*0.5+('Proy. ventas'!E68*'Proy. ventas'!B68)*0.5</f>
        <v>382170.1</v>
      </c>
      <c r="C35" s="535">
        <f>+('Proy. ventas'!AL19*'Proy. ventas'!B19)*0.5+('Proy. ventas'!E68*'Proy. ventas'!B68)*0.5+('Proy. ventas'!H68*'Proy. ventas'!B68)*0.5</f>
        <v>287268.80000000005</v>
      </c>
      <c r="D35" s="535">
        <f>+('Proy. ventas'!E68*'Proy. ventas'!B68)*0.5+('Proy. ventas'!H68*'Proy. ventas'!B68)*0.5+('Proy. ventas'!K68*'Proy. ventas'!B68)*0.5</f>
        <v>179543</v>
      </c>
      <c r="E35" s="535">
        <f>+('Proy. ventas'!H68*'Proy. ventas'!B68)*0.5+('Proy. ventas'!K68*'Proy. ventas'!B68)*0.5+('Proy. ventas'!N68*'Proy. ventas'!B68)*0.5</f>
        <v>233405.89999999997</v>
      </c>
      <c r="F35" s="535">
        <f>+('Proy. ventas'!K68*'Proy. ventas'!B68)*0.5+('Proy. ventas'!N68*'Proy. ventas'!B68)*0.5+('Proy. ventas'!Q68*'Proy. ventas'!B68)*0.5</f>
        <v>269314.5</v>
      </c>
      <c r="G35" s="768">
        <f>+('Proy. ventas'!N68*'Proy. ventas'!B68)*0.5++('Proy. ventas'!Q68*'Proy. ventas'!B68)*0.5+('Proy. ventas'!T68*'Proy. ventas'!B68)*0.5</f>
        <v>341131.69999999995</v>
      </c>
      <c r="H35" s="768">
        <f>+('Proy. ventas'!Q68*'Proy. ventas'!B68)*0.5++('Proy. ventas'!T68*'Proy. ventas'!B68)*0.5+('Proy. ventas'!W68*'Proy. ventas'!B68)*0.5</f>
        <v>430903.19999999995</v>
      </c>
      <c r="I35" s="535">
        <f>+('Proy. ventas'!T68*'Proy. ventas'!B68)*0.5+('Proy. ventas'!W68*'Proy. ventas'!B68)*0.5+('Proy. ventas'!Z68*'Proy. ventas'!B68)*0.5</f>
        <v>520674.69999999995</v>
      </c>
      <c r="J35" s="535">
        <f>+('Proy. ventas'!W68*'Proy. ventas'!B68)*0.5+('Proy. ventas'!Z68*'Proy. ventas'!B68)*0.5+('Proy. ventas'!AC68*'Proy. ventas'!B68)*0.5</f>
        <v>574537.59999999986</v>
      </c>
      <c r="K35" s="769">
        <f>+('Proy. ventas'!Z68*'Proy. ventas'!B68)*0.5+('Proy. ventas'!AC68*'Proy. ventas'!B68)*0.5</f>
        <v>394994.6</v>
      </c>
      <c r="L35" s="535">
        <f>+('Proy. ventas'!AC68*'Proy. ventas'!B68)*0.5</f>
        <v>197497.3</v>
      </c>
      <c r="M35" s="535"/>
      <c r="N35" s="200"/>
    </row>
    <row r="36" spans="1:14" ht="30" x14ac:dyDescent="0.25">
      <c r="A36" s="534" t="s">
        <v>272</v>
      </c>
      <c r="B36" s="535"/>
      <c r="C36" s="535"/>
      <c r="D36" s="535"/>
      <c r="E36" s="535"/>
      <c r="F36" s="535"/>
      <c r="G36" s="535"/>
      <c r="H36" s="535"/>
      <c r="I36" s="535"/>
      <c r="J36" s="535"/>
      <c r="K36" s="535"/>
      <c r="L36" s="535"/>
      <c r="M36" s="535"/>
      <c r="N36" s="200"/>
    </row>
    <row r="37" spans="1:14" ht="30" x14ac:dyDescent="0.25">
      <c r="A37" s="534" t="s">
        <v>273</v>
      </c>
      <c r="B37" s="767"/>
      <c r="C37" s="767"/>
      <c r="D37" s="767"/>
      <c r="E37" s="767"/>
      <c r="F37" s="767"/>
      <c r="G37" s="767"/>
      <c r="H37" s="767"/>
      <c r="I37" s="767"/>
      <c r="J37" s="767"/>
      <c r="K37" s="767"/>
      <c r="L37" s="767"/>
      <c r="M37" s="767"/>
      <c r="N37" s="200"/>
    </row>
    <row r="38" spans="1:14" x14ac:dyDescent="0.25">
      <c r="A38" s="220" t="s">
        <v>7</v>
      </c>
      <c r="B38" s="201">
        <f t="shared" ref="B38:M38" si="12">SUM(B33:B34)</f>
        <v>18415.849999999999</v>
      </c>
      <c r="C38" s="201">
        <f t="shared" si="12"/>
        <v>18415.849999999999</v>
      </c>
      <c r="D38" s="201">
        <f t="shared" si="12"/>
        <v>18415.849999999999</v>
      </c>
      <c r="E38" s="201">
        <f t="shared" si="12"/>
        <v>18415.849999999999</v>
      </c>
      <c r="F38" s="201">
        <f t="shared" si="12"/>
        <v>18415.849999999999</v>
      </c>
      <c r="G38" s="201">
        <f t="shared" si="12"/>
        <v>18415.849999999999</v>
      </c>
      <c r="H38" s="201">
        <f t="shared" si="12"/>
        <v>18415.849999999999</v>
      </c>
      <c r="I38" s="201">
        <f t="shared" si="12"/>
        <v>18415.849999999999</v>
      </c>
      <c r="J38" s="201">
        <f t="shared" si="12"/>
        <v>18415.849999999999</v>
      </c>
      <c r="K38" s="201">
        <f t="shared" si="12"/>
        <v>18415.849999999999</v>
      </c>
      <c r="L38" s="201">
        <f t="shared" si="12"/>
        <v>18415.849999999999</v>
      </c>
      <c r="M38" s="201">
        <f t="shared" si="12"/>
        <v>18415.849999999999</v>
      </c>
      <c r="N38" s="221">
        <f>SUM(B38:M38)</f>
        <v>220990.20000000004</v>
      </c>
    </row>
    <row r="42" spans="1:14" ht="27" thickBot="1" x14ac:dyDescent="0.3">
      <c r="A42" s="653" t="s">
        <v>106</v>
      </c>
      <c r="B42" s="654"/>
      <c r="C42" s="654"/>
      <c r="D42" s="654"/>
      <c r="E42" s="654"/>
      <c r="F42" s="654"/>
      <c r="G42" s="654"/>
      <c r="H42" s="654"/>
      <c r="I42" s="654"/>
      <c r="J42" s="654"/>
      <c r="K42" s="654"/>
      <c r="L42" s="654"/>
      <c r="M42" s="654"/>
      <c r="N42" s="655"/>
    </row>
    <row r="43" spans="1:14" x14ac:dyDescent="0.25">
      <c r="A43" s="194" t="s">
        <v>40</v>
      </c>
      <c r="B43" s="195" t="s">
        <v>18</v>
      </c>
      <c r="C43" s="196" t="s">
        <v>19</v>
      </c>
      <c r="D43" s="196" t="s">
        <v>20</v>
      </c>
      <c r="E43" s="196" t="s">
        <v>21</v>
      </c>
      <c r="F43" s="196" t="s">
        <v>22</v>
      </c>
      <c r="G43" s="196" t="s">
        <v>23</v>
      </c>
      <c r="H43" s="196" t="s">
        <v>24</v>
      </c>
      <c r="I43" s="196" t="s">
        <v>25</v>
      </c>
      <c r="J43" s="196" t="s">
        <v>26</v>
      </c>
      <c r="K43" s="196" t="s">
        <v>27</v>
      </c>
      <c r="L43" s="196" t="s">
        <v>28</v>
      </c>
      <c r="M43" s="196" t="s">
        <v>29</v>
      </c>
      <c r="N43" s="197" t="s">
        <v>7</v>
      </c>
    </row>
    <row r="44" spans="1:14" x14ac:dyDescent="0.25">
      <c r="A44" s="194" t="s">
        <v>110</v>
      </c>
      <c r="B44" s="198">
        <f t="shared" ref="B44:M44" si="13">B33</f>
        <v>15200</v>
      </c>
      <c r="C44" s="198">
        <f t="shared" si="13"/>
        <v>15200</v>
      </c>
      <c r="D44" s="198">
        <f t="shared" si="13"/>
        <v>15200</v>
      </c>
      <c r="E44" s="198">
        <f t="shared" si="13"/>
        <v>15200</v>
      </c>
      <c r="F44" s="198">
        <f t="shared" si="13"/>
        <v>15200</v>
      </c>
      <c r="G44" s="198">
        <f t="shared" si="13"/>
        <v>15200</v>
      </c>
      <c r="H44" s="198">
        <f t="shared" si="13"/>
        <v>15200</v>
      </c>
      <c r="I44" s="198">
        <f t="shared" si="13"/>
        <v>15200</v>
      </c>
      <c r="J44" s="198">
        <f t="shared" si="13"/>
        <v>15200</v>
      </c>
      <c r="K44" s="198">
        <f t="shared" si="13"/>
        <v>15200</v>
      </c>
      <c r="L44" s="198">
        <f t="shared" si="13"/>
        <v>15200</v>
      </c>
      <c r="M44" s="198">
        <f t="shared" si="13"/>
        <v>15200</v>
      </c>
      <c r="N44" s="199"/>
    </row>
    <row r="45" spans="1:14" x14ac:dyDescent="0.25">
      <c r="A45" s="194" t="s">
        <v>111</v>
      </c>
      <c r="B45" s="198">
        <v>2409.12</v>
      </c>
      <c r="C45" s="198">
        <v>2409.12</v>
      </c>
      <c r="D45" s="198">
        <v>2409.12</v>
      </c>
      <c r="E45" s="198">
        <v>2409.12</v>
      </c>
      <c r="F45" s="198">
        <v>2409.12</v>
      </c>
      <c r="G45" s="198">
        <v>2409.12</v>
      </c>
      <c r="H45" s="198">
        <v>2409.12</v>
      </c>
      <c r="I45" s="198">
        <v>2409.12</v>
      </c>
      <c r="J45" s="198">
        <v>2409.12</v>
      </c>
      <c r="K45" s="198">
        <v>2409.12</v>
      </c>
      <c r="L45" s="198">
        <v>2409.12</v>
      </c>
      <c r="M45" s="198">
        <v>2409.12</v>
      </c>
      <c r="N45" s="200"/>
    </row>
    <row r="46" spans="1:14" x14ac:dyDescent="0.25">
      <c r="A46" s="220" t="s">
        <v>7</v>
      </c>
      <c r="B46" s="201">
        <f t="shared" ref="B46:M46" si="14">SUM(B44:B45)</f>
        <v>17609.12</v>
      </c>
      <c r="C46" s="201">
        <f t="shared" si="14"/>
        <v>17609.12</v>
      </c>
      <c r="D46" s="201">
        <f t="shared" si="14"/>
        <v>17609.12</v>
      </c>
      <c r="E46" s="201">
        <f t="shared" si="14"/>
        <v>17609.12</v>
      </c>
      <c r="F46" s="201">
        <f t="shared" si="14"/>
        <v>17609.12</v>
      </c>
      <c r="G46" s="201">
        <f t="shared" si="14"/>
        <v>17609.12</v>
      </c>
      <c r="H46" s="201">
        <f t="shared" si="14"/>
        <v>17609.12</v>
      </c>
      <c r="I46" s="201">
        <f t="shared" si="14"/>
        <v>17609.12</v>
      </c>
      <c r="J46" s="201">
        <f t="shared" si="14"/>
        <v>17609.12</v>
      </c>
      <c r="K46" s="201">
        <f t="shared" si="14"/>
        <v>17609.12</v>
      </c>
      <c r="L46" s="201">
        <f t="shared" si="14"/>
        <v>17609.12</v>
      </c>
      <c r="M46" s="201">
        <f t="shared" si="14"/>
        <v>17609.12</v>
      </c>
      <c r="N46" s="221">
        <f>SUM(B46:M46)</f>
        <v>211309.43999999997</v>
      </c>
    </row>
  </sheetData>
  <mergeCells count="8">
    <mergeCell ref="A19:N19"/>
    <mergeCell ref="A31:N31"/>
    <mergeCell ref="A42:N42"/>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56" t="s">
        <v>13</v>
      </c>
      <c r="C4" s="657"/>
      <c r="D4" s="658"/>
      <c r="E4" s="234"/>
      <c r="F4" s="1"/>
      <c r="G4" s="1"/>
      <c r="H4" s="656" t="s">
        <v>119</v>
      </c>
      <c r="I4" s="657"/>
      <c r="J4" s="658"/>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99" t="s">
        <v>120</v>
      </c>
      <c r="C11" s="600"/>
      <c r="D11" s="600"/>
      <c r="E11" s="600"/>
      <c r="F11" s="600"/>
      <c r="G11" s="600"/>
      <c r="H11" s="600"/>
      <c r="I11" s="600"/>
      <c r="J11" s="600"/>
      <c r="K11" s="600"/>
      <c r="L11" s="602"/>
      <c r="M11" s="1"/>
      <c r="N11" s="1"/>
      <c r="O11" s="1"/>
      <c r="P11" s="1"/>
      <c r="Q11" s="1"/>
      <c r="R11" s="1"/>
      <c r="S11" s="1"/>
      <c r="T11" s="1"/>
      <c r="U11" s="1"/>
      <c r="V11" s="1"/>
      <c r="W11" s="1"/>
      <c r="X11" s="1"/>
      <c r="Y11" s="1"/>
      <c r="Z11" s="1"/>
      <c r="AA11" s="1"/>
      <c r="AB11" s="1"/>
      <c r="AC11" s="1"/>
      <c r="AD11" s="1"/>
      <c r="AE11" s="1"/>
      <c r="AF11" s="1"/>
    </row>
    <row r="12" spans="1:32" ht="15.75" x14ac:dyDescent="0.25">
      <c r="A12" s="1"/>
      <c r="B12" s="675" t="s">
        <v>121</v>
      </c>
      <c r="C12" s="677" t="s">
        <v>122</v>
      </c>
      <c r="D12" s="679" t="s">
        <v>123</v>
      </c>
      <c r="E12" s="269" t="s">
        <v>124</v>
      </c>
      <c r="F12" s="270" t="s">
        <v>125</v>
      </c>
      <c r="G12" s="270" t="s">
        <v>126</v>
      </c>
      <c r="H12" s="270" t="s">
        <v>127</v>
      </c>
      <c r="I12" s="271" t="s">
        <v>128</v>
      </c>
      <c r="J12" s="272" t="s">
        <v>129</v>
      </c>
      <c r="K12" s="681" t="s">
        <v>130</v>
      </c>
      <c r="L12" s="681"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76"/>
      <c r="C13" s="678"/>
      <c r="D13" s="680"/>
      <c r="E13" s="273">
        <v>0.1047</v>
      </c>
      <c r="F13" s="274">
        <v>1.54E-2</v>
      </c>
      <c r="G13" s="275">
        <v>0.06</v>
      </c>
      <c r="H13" s="274">
        <v>9.1999999999999998E-3</v>
      </c>
      <c r="I13" s="275" t="s">
        <v>152</v>
      </c>
      <c r="J13" s="276">
        <v>0.03</v>
      </c>
      <c r="K13" s="682"/>
      <c r="L13" s="682"/>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83"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84"/>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84"/>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84"/>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85"/>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85"/>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86"/>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87"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88"/>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89"/>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90"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91"/>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92"/>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92"/>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92"/>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89"/>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90"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91"/>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92"/>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89"/>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83"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86"/>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70" t="s">
        <v>141</v>
      </c>
      <c r="C40" s="671"/>
      <c r="D40" s="671"/>
      <c r="E40" s="671"/>
      <c r="F40" s="671"/>
      <c r="G40" s="671"/>
      <c r="H40" s="671"/>
      <c r="I40" s="671"/>
      <c r="J40" s="671"/>
      <c r="K40" s="671"/>
      <c r="L40" s="671"/>
      <c r="M40" s="671"/>
      <c r="N40" s="671"/>
      <c r="O40" s="671"/>
      <c r="P40" s="671"/>
      <c r="Q40" s="671"/>
      <c r="R40" s="671"/>
      <c r="S40" s="671"/>
      <c r="T40" s="671"/>
      <c r="U40" s="671"/>
      <c r="V40" s="671"/>
      <c r="W40" s="671"/>
      <c r="X40" s="671"/>
      <c r="Y40" s="671"/>
      <c r="Z40" s="671"/>
      <c r="AA40" s="672"/>
      <c r="AB40" s="1"/>
      <c r="AC40" s="1"/>
      <c r="AD40" s="1"/>
      <c r="AE40" s="1"/>
      <c r="AF40" s="1"/>
    </row>
    <row r="41" spans="1:32" ht="15.75" x14ac:dyDescent="0.25">
      <c r="A41" s="1"/>
      <c r="B41" s="673" t="s">
        <v>122</v>
      </c>
      <c r="C41" s="667" t="s">
        <v>18</v>
      </c>
      <c r="D41" s="667"/>
      <c r="E41" s="667" t="s">
        <v>19</v>
      </c>
      <c r="F41" s="667"/>
      <c r="G41" s="667" t="s">
        <v>20</v>
      </c>
      <c r="H41" s="667"/>
      <c r="I41" s="667" t="s">
        <v>21</v>
      </c>
      <c r="J41" s="667"/>
      <c r="K41" s="667" t="s">
        <v>22</v>
      </c>
      <c r="L41" s="667"/>
      <c r="M41" s="667" t="s">
        <v>136</v>
      </c>
      <c r="N41" s="667"/>
      <c r="O41" s="667" t="s">
        <v>24</v>
      </c>
      <c r="P41" s="667"/>
      <c r="Q41" s="667" t="s">
        <v>25</v>
      </c>
      <c r="R41" s="667"/>
      <c r="S41" s="667" t="s">
        <v>26</v>
      </c>
      <c r="T41" s="667"/>
      <c r="U41" s="667" t="s">
        <v>27</v>
      </c>
      <c r="V41" s="667"/>
      <c r="W41" s="667" t="s">
        <v>28</v>
      </c>
      <c r="X41" s="667"/>
      <c r="Y41" s="667" t="s">
        <v>137</v>
      </c>
      <c r="Z41" s="667"/>
      <c r="AA41" s="668" t="s">
        <v>138</v>
      </c>
      <c r="AB41" s="1"/>
      <c r="AC41" s="1"/>
      <c r="AD41" s="1"/>
      <c r="AE41" s="1"/>
      <c r="AF41" s="1"/>
    </row>
    <row r="42" spans="1:32" ht="15.75" x14ac:dyDescent="0.25">
      <c r="A42" s="1"/>
      <c r="B42" s="674"/>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69"/>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70" t="s">
        <v>142</v>
      </c>
      <c r="C52" s="671"/>
      <c r="D52" s="671"/>
      <c r="E52" s="671"/>
      <c r="F52" s="671"/>
      <c r="G52" s="671"/>
      <c r="H52" s="671"/>
      <c r="I52" s="671"/>
      <c r="J52" s="671"/>
      <c r="K52" s="671"/>
      <c r="L52" s="671"/>
      <c r="M52" s="671"/>
      <c r="N52" s="671"/>
      <c r="O52" s="671"/>
      <c r="P52" s="671"/>
      <c r="Q52" s="671"/>
      <c r="R52" s="671"/>
      <c r="S52" s="671"/>
      <c r="T52" s="671"/>
      <c r="U52" s="671"/>
      <c r="V52" s="671"/>
      <c r="W52" s="671"/>
      <c r="X52" s="671"/>
      <c r="Y52" s="671"/>
      <c r="Z52" s="671"/>
      <c r="AA52" s="672"/>
      <c r="AB52" s="1"/>
      <c r="AC52" s="1"/>
      <c r="AD52" s="1"/>
      <c r="AE52" s="1"/>
      <c r="AF52" s="1"/>
    </row>
    <row r="53" spans="1:32" ht="15.75" x14ac:dyDescent="0.25">
      <c r="A53" s="1"/>
      <c r="B53" s="673" t="s">
        <v>122</v>
      </c>
      <c r="C53" s="667" t="s">
        <v>18</v>
      </c>
      <c r="D53" s="667"/>
      <c r="E53" s="667" t="s">
        <v>19</v>
      </c>
      <c r="F53" s="667"/>
      <c r="G53" s="667" t="s">
        <v>20</v>
      </c>
      <c r="H53" s="667"/>
      <c r="I53" s="667" t="s">
        <v>21</v>
      </c>
      <c r="J53" s="667"/>
      <c r="K53" s="667" t="s">
        <v>22</v>
      </c>
      <c r="L53" s="667"/>
      <c r="M53" s="667" t="s">
        <v>136</v>
      </c>
      <c r="N53" s="667"/>
      <c r="O53" s="667" t="s">
        <v>24</v>
      </c>
      <c r="P53" s="667"/>
      <c r="Q53" s="667" t="s">
        <v>25</v>
      </c>
      <c r="R53" s="667"/>
      <c r="S53" s="667" t="s">
        <v>26</v>
      </c>
      <c r="T53" s="667"/>
      <c r="U53" s="667" t="s">
        <v>27</v>
      </c>
      <c r="V53" s="667"/>
      <c r="W53" s="667" t="s">
        <v>28</v>
      </c>
      <c r="X53" s="667"/>
      <c r="Y53" s="667" t="s">
        <v>137</v>
      </c>
      <c r="Z53" s="667"/>
      <c r="AA53" s="668" t="s">
        <v>138</v>
      </c>
      <c r="AB53" s="1"/>
      <c r="AC53" s="1"/>
      <c r="AD53" s="1"/>
      <c r="AE53" s="1"/>
      <c r="AF53" s="1"/>
    </row>
    <row r="54" spans="1:32" ht="15.75" x14ac:dyDescent="0.25">
      <c r="A54" s="1"/>
      <c r="B54" s="674"/>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69"/>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70" t="s">
        <v>153</v>
      </c>
      <c r="C65" s="671"/>
      <c r="D65" s="671"/>
      <c r="E65" s="671"/>
      <c r="F65" s="671"/>
      <c r="G65" s="671"/>
      <c r="H65" s="671"/>
      <c r="I65" s="671"/>
      <c r="J65" s="671"/>
      <c r="K65" s="671"/>
      <c r="L65" s="671"/>
      <c r="M65" s="671"/>
      <c r="N65" s="671"/>
      <c r="O65" s="671"/>
      <c r="P65" s="671"/>
      <c r="Q65" s="671"/>
      <c r="R65" s="671"/>
      <c r="S65" s="671"/>
      <c r="T65" s="671"/>
      <c r="U65" s="671"/>
      <c r="V65" s="671"/>
      <c r="W65" s="671"/>
      <c r="X65" s="671"/>
      <c r="Y65" s="671"/>
      <c r="Z65" s="671"/>
      <c r="AA65" s="672"/>
      <c r="AB65" s="1"/>
      <c r="AC65" s="1"/>
      <c r="AD65" s="1"/>
      <c r="AE65" s="1"/>
      <c r="AF65" s="1"/>
    </row>
    <row r="66" spans="1:32" ht="15.75" x14ac:dyDescent="0.25">
      <c r="A66" s="1"/>
      <c r="B66" s="673" t="s">
        <v>122</v>
      </c>
      <c r="C66" s="667" t="s">
        <v>18</v>
      </c>
      <c r="D66" s="667"/>
      <c r="E66" s="667" t="s">
        <v>19</v>
      </c>
      <c r="F66" s="667"/>
      <c r="G66" s="667" t="s">
        <v>20</v>
      </c>
      <c r="H66" s="667"/>
      <c r="I66" s="667" t="s">
        <v>21</v>
      </c>
      <c r="J66" s="667"/>
      <c r="K66" s="667" t="s">
        <v>22</v>
      </c>
      <c r="L66" s="667"/>
      <c r="M66" s="667" t="s">
        <v>136</v>
      </c>
      <c r="N66" s="667"/>
      <c r="O66" s="667" t="s">
        <v>24</v>
      </c>
      <c r="P66" s="667"/>
      <c r="Q66" s="667" t="s">
        <v>25</v>
      </c>
      <c r="R66" s="667"/>
      <c r="S66" s="667" t="s">
        <v>26</v>
      </c>
      <c r="T66" s="667"/>
      <c r="U66" s="667" t="s">
        <v>27</v>
      </c>
      <c r="V66" s="667"/>
      <c r="W66" s="667" t="s">
        <v>28</v>
      </c>
      <c r="X66" s="667"/>
      <c r="Y66" s="667" t="s">
        <v>137</v>
      </c>
      <c r="Z66" s="667"/>
      <c r="AA66" s="668" t="s">
        <v>138</v>
      </c>
      <c r="AB66" s="1"/>
      <c r="AC66" s="1"/>
      <c r="AD66" s="1"/>
      <c r="AE66" s="1"/>
      <c r="AF66" s="1"/>
    </row>
    <row r="67" spans="1:32" ht="15.75" x14ac:dyDescent="0.25">
      <c r="A67" s="1"/>
      <c r="B67" s="674"/>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69"/>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selection activeCell="D35" sqref="D35"/>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56" t="s">
        <v>13</v>
      </c>
      <c r="C3" s="657"/>
      <c r="D3" s="658"/>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56" t="s">
        <v>155</v>
      </c>
      <c r="C8" s="657"/>
      <c r="D8" s="658"/>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variables'!N26</f>
        <v>15722885.359999999</v>
      </c>
      <c r="C11" s="322">
        <f>'Costos variables'!N38</f>
        <v>220990.20000000004</v>
      </c>
      <c r="D11" s="322">
        <f>'Costos variables'!N46</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32160189.409999996</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2020-10-30T18:50:28Z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