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8595" windowHeight="54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1" i="1"/>
  <c r="D42"/>
  <c r="E42"/>
  <c r="F42"/>
  <c r="G42"/>
  <c r="D41"/>
  <c r="E41"/>
  <c r="F41"/>
  <c r="G41"/>
  <c r="C41"/>
  <c r="C42"/>
  <c r="D40"/>
  <c r="E40"/>
  <c r="F40"/>
  <c r="G40"/>
  <c r="C40"/>
  <c r="I27"/>
  <c r="I28"/>
  <c r="I29"/>
  <c r="I30"/>
  <c r="I31"/>
  <c r="I32"/>
  <c r="I33"/>
  <c r="I26"/>
  <c r="B27"/>
  <c r="B28"/>
  <c r="B29"/>
  <c r="B30"/>
  <c r="B31"/>
  <c r="B32"/>
  <c r="B33"/>
  <c r="B26"/>
  <c r="M16"/>
  <c r="M14"/>
  <c r="M15" s="1"/>
  <c r="M17" s="1"/>
  <c r="I15"/>
  <c r="I14"/>
  <c r="C27" s="1"/>
  <c r="D27" s="1"/>
  <c r="E27" s="1"/>
  <c r="F27" s="1"/>
  <c r="G27" s="1"/>
  <c r="B19"/>
  <c r="B18"/>
  <c r="B17"/>
  <c r="H29" s="1"/>
  <c r="H32" l="1"/>
  <c r="H28"/>
  <c r="H26"/>
  <c r="H30"/>
  <c r="H31"/>
  <c r="H27"/>
  <c r="H33"/>
  <c r="C31"/>
  <c r="D31" s="1"/>
  <c r="E31" s="1"/>
  <c r="F31" s="1"/>
  <c r="G31" s="1"/>
  <c r="C28"/>
  <c r="D28" s="1"/>
  <c r="E28" s="1"/>
  <c r="F28" s="1"/>
  <c r="G28" s="1"/>
  <c r="J33"/>
  <c r="K29"/>
  <c r="K33"/>
  <c r="J29"/>
  <c r="C32"/>
  <c r="D32" s="1"/>
  <c r="E32" s="1"/>
  <c r="F32" s="1"/>
  <c r="G32" s="1"/>
  <c r="C29"/>
  <c r="D29" s="1"/>
  <c r="E29" s="1"/>
  <c r="F29" s="1"/>
  <c r="G29" s="1"/>
  <c r="J26"/>
  <c r="J30"/>
  <c r="K26"/>
  <c r="K30"/>
  <c r="C33"/>
  <c r="D33" s="1"/>
  <c r="E33" s="1"/>
  <c r="F33" s="1"/>
  <c r="G33" s="1"/>
  <c r="C30"/>
  <c r="D30" s="1"/>
  <c r="E30" s="1"/>
  <c r="F30" s="1"/>
  <c r="G30" s="1"/>
  <c r="J31"/>
  <c r="J27"/>
  <c r="K31"/>
  <c r="K27"/>
  <c r="C26"/>
  <c r="D26" s="1"/>
  <c r="E26" s="1"/>
  <c r="F26" s="1"/>
  <c r="G26" s="1"/>
  <c r="J32"/>
  <c r="J28"/>
  <c r="K32"/>
  <c r="K28"/>
  <c r="I16"/>
  <c r="I17" s="1"/>
  <c r="I18" s="1"/>
  <c r="B14" s="1"/>
  <c r="B15" s="1"/>
  <c r="B16" s="1"/>
</calcChain>
</file>

<file path=xl/sharedStrings.xml><?xml version="1.0" encoding="utf-8"?>
<sst xmlns="http://schemas.openxmlformats.org/spreadsheetml/2006/main" count="82" uniqueCount="72">
  <si>
    <t>Frequency</t>
  </si>
  <si>
    <t>Ca</t>
  </si>
  <si>
    <t>Cf</t>
  </si>
  <si>
    <t>Rf</t>
  </si>
  <si>
    <t>Scattered Power</t>
  </si>
  <si>
    <t>R</t>
  </si>
  <si>
    <t>Ip</t>
  </si>
  <si>
    <t>Vout</t>
  </si>
  <si>
    <t>In</t>
  </si>
  <si>
    <t>Current noise</t>
  </si>
  <si>
    <t>Output voltage</t>
  </si>
  <si>
    <t>Output current</t>
  </si>
  <si>
    <t>Light power on photodiode</t>
  </si>
  <si>
    <t>Feedback resistor</t>
  </si>
  <si>
    <t>Photodiode responsivity</t>
  </si>
  <si>
    <t>Cj</t>
  </si>
  <si>
    <t>Photodiode capacitance</t>
  </si>
  <si>
    <t>Mohm</t>
  </si>
  <si>
    <t>nW</t>
  </si>
  <si>
    <t>nA</t>
  </si>
  <si>
    <t>V</t>
  </si>
  <si>
    <t>A/W</t>
  </si>
  <si>
    <t>Hz</t>
  </si>
  <si>
    <t>pF</t>
  </si>
  <si>
    <t>Bandwidth</t>
  </si>
  <si>
    <t>fop</t>
  </si>
  <si>
    <t>GBP</t>
  </si>
  <si>
    <t>Op Amp gain bandwidth product</t>
  </si>
  <si>
    <t>MHz</t>
  </si>
  <si>
    <t>Light Output</t>
  </si>
  <si>
    <t>mW</t>
  </si>
  <si>
    <t>Focus Diameter</t>
  </si>
  <si>
    <t>mm</t>
  </si>
  <si>
    <t>mW/mm^2</t>
  </si>
  <si>
    <t>Flux</t>
  </si>
  <si>
    <t>Reflected power</t>
  </si>
  <si>
    <t>Cross section</t>
  </si>
  <si>
    <t>Particle Diameter</t>
  </si>
  <si>
    <t>um</t>
  </si>
  <si>
    <t>mm^2</t>
  </si>
  <si>
    <t>Distance to diode</t>
  </si>
  <si>
    <t>Diode area</t>
  </si>
  <si>
    <t>nW/mm^2</t>
  </si>
  <si>
    <t>Power at diode</t>
  </si>
  <si>
    <t>Flux at diode</t>
  </si>
  <si>
    <t>Fan Flow Rate</t>
  </si>
  <si>
    <t>Inlet diameter</t>
  </si>
  <si>
    <t>Flow velocity</t>
  </si>
  <si>
    <t>mL/min</t>
  </si>
  <si>
    <t>cm/s</t>
  </si>
  <si>
    <t>Tpart</t>
  </si>
  <si>
    <t>s</t>
  </si>
  <si>
    <t>Cmax</t>
  </si>
  <si>
    <t>#/cm^3</t>
  </si>
  <si>
    <t>Photodiode parameters</t>
  </si>
  <si>
    <t>Optics parameters</t>
  </si>
  <si>
    <t>Flow parameters</t>
  </si>
  <si>
    <t>Detector circuit parameters</t>
  </si>
  <si>
    <t>Output Voltage [V]</t>
  </si>
  <si>
    <t>Output Current [nA]</t>
  </si>
  <si>
    <t>Power at diode [nW]</t>
  </si>
  <si>
    <t>Flux at diode [nW/mm^2]</t>
  </si>
  <si>
    <t>Reflected power [ nW]</t>
  </si>
  <si>
    <t>Cross section [mm^2]</t>
  </si>
  <si>
    <t>Particle Diameter [um]</t>
  </si>
  <si>
    <t>Settling Velocity</t>
  </si>
  <si>
    <t>Stokes Number [impaction]</t>
  </si>
  <si>
    <t>Stokes Number [ Settling]</t>
  </si>
  <si>
    <t>Counting Error</t>
  </si>
  <si>
    <t>Concentration #/cm^3</t>
  </si>
  <si>
    <t>Averaging Time [s]</t>
  </si>
  <si>
    <t>SNR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</si>
</sst>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"/>
    <numFmt numFmtId="166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Sheet1!$H$25</c:f>
              <c:strCache>
                <c:ptCount val="1"/>
                <c:pt idx="0">
                  <c:v>SNR</c:v>
                </c:pt>
              </c:strCache>
            </c:strRef>
          </c:tx>
          <c:xVal>
            <c:numRef>
              <c:f>Sheet1!$A$26:$A$33</c:f>
              <c:numCache>
                <c:formatCode>General</c:formatCode>
                <c:ptCount val="8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Sheet1!$H$26:$H$33</c:f>
              <c:numCache>
                <c:formatCode>General</c:formatCode>
                <c:ptCount val="8"/>
                <c:pt idx="0">
                  <c:v>4.148262462886704</c:v>
                </c:pt>
                <c:pt idx="1">
                  <c:v>103.70656157216762</c:v>
                </c:pt>
                <c:pt idx="2">
                  <c:v>414.82624628867046</c:v>
                </c:pt>
                <c:pt idx="3">
                  <c:v>933.35905414950844</c:v>
                </c:pt>
                <c:pt idx="4">
                  <c:v>1659.3049851546818</c:v>
                </c:pt>
                <c:pt idx="5">
                  <c:v>2592.6640393041898</c:v>
                </c:pt>
                <c:pt idx="6">
                  <c:v>10370.656157216759</c:v>
                </c:pt>
                <c:pt idx="7">
                  <c:v>41482.624628867037</c:v>
                </c:pt>
              </c:numCache>
            </c:numRef>
          </c:yVal>
          <c:smooth val="1"/>
        </c:ser>
        <c:axId val="111813760"/>
        <c:axId val="92518656"/>
      </c:scatterChart>
      <c:valAx>
        <c:axId val="1118137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Particle Diameter [um]</a:t>
                </a:r>
              </a:p>
            </c:rich>
          </c:tx>
          <c:layout/>
        </c:title>
        <c:numFmt formatCode="General" sourceLinked="1"/>
        <c:tickLblPos val="nextTo"/>
        <c:crossAx val="92518656"/>
        <c:crosses val="autoZero"/>
        <c:crossBetween val="midCat"/>
      </c:valAx>
      <c:valAx>
        <c:axId val="92518656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to Noise Ratio</a:t>
                </a:r>
              </a:p>
            </c:rich>
          </c:tx>
          <c:layout/>
        </c:title>
        <c:numFmt formatCode="General" sourceLinked="1"/>
        <c:tickLblPos val="nextTo"/>
        <c:crossAx val="111813760"/>
        <c:crosses val="max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47</xdr:row>
      <xdr:rowOff>85725</xdr:rowOff>
    </xdr:from>
    <xdr:to>
      <xdr:col>7</xdr:col>
      <xdr:colOff>1009649</xdr:colOff>
      <xdr:row>64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tabSelected="1" workbookViewId="0">
      <selection activeCell="H26" sqref="H26"/>
    </sheetView>
  </sheetViews>
  <sheetFormatPr defaultRowHeight="15"/>
  <cols>
    <col min="1" max="1" width="17.42578125" customWidth="1"/>
    <col min="2" max="2" width="13.7109375" bestFit="1" customWidth="1"/>
    <col min="3" max="3" width="12" customWidth="1"/>
    <col min="4" max="4" width="12" bestFit="1" customWidth="1"/>
    <col min="8" max="8" width="18.140625" customWidth="1"/>
    <col min="9" max="9" width="15.5703125" customWidth="1"/>
    <col min="10" max="10" width="12" bestFit="1" customWidth="1"/>
    <col min="12" max="12" width="16" customWidth="1"/>
    <col min="14" max="14" width="14" customWidth="1"/>
  </cols>
  <sheetData>
    <row r="1" spans="1:14">
      <c r="A1" s="6" t="s">
        <v>54</v>
      </c>
      <c r="H1" s="6" t="s">
        <v>55</v>
      </c>
    </row>
    <row r="2" spans="1:14">
      <c r="A2" t="s">
        <v>5</v>
      </c>
      <c r="B2">
        <v>0.6</v>
      </c>
      <c r="C2" t="s">
        <v>21</v>
      </c>
      <c r="D2" t="s">
        <v>14</v>
      </c>
      <c r="H2" t="s">
        <v>29</v>
      </c>
      <c r="I2">
        <v>5</v>
      </c>
      <c r="J2" t="s">
        <v>30</v>
      </c>
      <c r="L2" t="s">
        <v>37</v>
      </c>
      <c r="M2">
        <v>0.5</v>
      </c>
      <c r="N2" t="s">
        <v>38</v>
      </c>
    </row>
    <row r="3" spans="1:14">
      <c r="A3" t="s">
        <v>15</v>
      </c>
      <c r="B3">
        <v>20</v>
      </c>
      <c r="C3" t="s">
        <v>23</v>
      </c>
      <c r="D3" t="s">
        <v>16</v>
      </c>
      <c r="H3" t="s">
        <v>31</v>
      </c>
      <c r="I3">
        <v>1</v>
      </c>
      <c r="J3" t="s">
        <v>32</v>
      </c>
      <c r="L3" t="s">
        <v>0</v>
      </c>
      <c r="M3">
        <v>100</v>
      </c>
      <c r="N3" t="s">
        <v>22</v>
      </c>
    </row>
    <row r="4" spans="1:14">
      <c r="A4" t="s">
        <v>41</v>
      </c>
      <c r="B4">
        <v>10</v>
      </c>
      <c r="C4" t="s">
        <v>39</v>
      </c>
      <c r="H4" t="s">
        <v>40</v>
      </c>
      <c r="I4">
        <v>10</v>
      </c>
      <c r="J4" t="s">
        <v>32</v>
      </c>
    </row>
    <row r="7" spans="1:14">
      <c r="A7" s="6" t="s">
        <v>57</v>
      </c>
      <c r="H7" s="6" t="s">
        <v>56</v>
      </c>
    </row>
    <row r="8" spans="1:14">
      <c r="A8" t="s">
        <v>1</v>
      </c>
      <c r="B8">
        <v>10</v>
      </c>
      <c r="C8" t="s">
        <v>23</v>
      </c>
      <c r="H8" t="s">
        <v>45</v>
      </c>
      <c r="I8">
        <v>50</v>
      </c>
      <c r="J8" t="s">
        <v>48</v>
      </c>
    </row>
    <row r="9" spans="1:14">
      <c r="A9" t="s">
        <v>2</v>
      </c>
      <c r="B9">
        <v>10</v>
      </c>
      <c r="C9" t="s">
        <v>23</v>
      </c>
      <c r="H9" t="s">
        <v>46</v>
      </c>
      <c r="I9">
        <v>10</v>
      </c>
      <c r="J9" t="s">
        <v>32</v>
      </c>
    </row>
    <row r="10" spans="1:14">
      <c r="A10" t="s">
        <v>3</v>
      </c>
      <c r="B10">
        <v>500</v>
      </c>
      <c r="C10" t="s">
        <v>17</v>
      </c>
      <c r="D10" t="s">
        <v>13</v>
      </c>
    </row>
    <row r="11" spans="1:14">
      <c r="A11" t="s">
        <v>26</v>
      </c>
      <c r="B11">
        <v>10</v>
      </c>
      <c r="C11" t="s">
        <v>28</v>
      </c>
      <c r="D11" t="s">
        <v>27</v>
      </c>
    </row>
    <row r="12" spans="1:14" s="9" customFormat="1"/>
    <row r="14" spans="1:14">
      <c r="A14" t="s">
        <v>4</v>
      </c>
      <c r="B14" s="2">
        <f>I18</f>
        <v>9.9471839432434591E-3</v>
      </c>
      <c r="C14" t="s">
        <v>18</v>
      </c>
      <c r="D14" t="s">
        <v>12</v>
      </c>
      <c r="H14" t="s">
        <v>34</v>
      </c>
      <c r="I14" s="5">
        <f>I2/((PI()/4)*I3^2)</f>
        <v>6.366197723675814</v>
      </c>
      <c r="J14" t="s">
        <v>33</v>
      </c>
      <c r="L14" t="s">
        <v>47</v>
      </c>
      <c r="M14" s="3">
        <f>I8/((PI()/4)*(I9/10)^2)/60</f>
        <v>1.0610329539459689</v>
      </c>
      <c r="N14" t="s">
        <v>49</v>
      </c>
    </row>
    <row r="15" spans="1:14">
      <c r="A15" t="s">
        <v>6</v>
      </c>
      <c r="B15" s="2">
        <f>B2*B14</f>
        <v>5.9683103659460756E-3</v>
      </c>
      <c r="C15" t="s">
        <v>19</v>
      </c>
      <c r="D15" t="s">
        <v>11</v>
      </c>
      <c r="H15" t="s">
        <v>36</v>
      </c>
      <c r="I15" s="5">
        <f>(PI()/4)*(M2/1000)^2</f>
        <v>1.9634954084936206E-7</v>
      </c>
      <c r="J15" t="s">
        <v>39</v>
      </c>
      <c r="L15" t="s">
        <v>50</v>
      </c>
      <c r="M15">
        <f>I3/(M14*10)</f>
        <v>9.4247779607693816E-2</v>
      </c>
      <c r="N15" t="s">
        <v>51</v>
      </c>
    </row>
    <row r="16" spans="1:14">
      <c r="A16" t="s">
        <v>7</v>
      </c>
      <c r="B16" s="2">
        <f>B15*B10/1000</f>
        <v>2.9841551829730378E-3</v>
      </c>
      <c r="C16" t="s">
        <v>20</v>
      </c>
      <c r="D16" t="s">
        <v>10</v>
      </c>
      <c r="H16" t="s">
        <v>35</v>
      </c>
      <c r="I16">
        <f>I14*I15*1000000</f>
        <v>1.25</v>
      </c>
      <c r="J16" t="s">
        <v>18</v>
      </c>
      <c r="L16" t="s">
        <v>52</v>
      </c>
      <c r="M16">
        <f>1000/(I3^2*I9)</f>
        <v>100</v>
      </c>
      <c r="N16" t="s">
        <v>53</v>
      </c>
    </row>
    <row r="17" spans="1:14">
      <c r="A17" t="s">
        <v>8</v>
      </c>
      <c r="B17" s="2">
        <f>SQRT(4*(1.38E-23)*300/B10) * SQRT(M3) * 1000000</f>
        <v>5.7549978279752637E-5</v>
      </c>
      <c r="C17" t="s">
        <v>19</v>
      </c>
      <c r="D17" t="s">
        <v>9</v>
      </c>
      <c r="H17" t="s">
        <v>44</v>
      </c>
      <c r="I17" s="1">
        <f>I16/(4*PI()*I4^2)</f>
        <v>9.9471839432434587E-4</v>
      </c>
      <c r="J17" t="s">
        <v>42</v>
      </c>
      <c r="M17">
        <f>1/M15</f>
        <v>10.610329539459688</v>
      </c>
    </row>
    <row r="18" spans="1:14">
      <c r="A18" t="s">
        <v>25</v>
      </c>
      <c r="B18" s="4">
        <f>1000000/(2*PI()*B10*B9)</f>
        <v>31.83098861837907</v>
      </c>
      <c r="C18" t="s">
        <v>22</v>
      </c>
      <c r="D18" t="s">
        <v>24</v>
      </c>
      <c r="H18" t="s">
        <v>43</v>
      </c>
      <c r="I18" s="1">
        <f>I17*B4</f>
        <v>9.9471839432434591E-3</v>
      </c>
      <c r="J18" t="s">
        <v>18</v>
      </c>
    </row>
    <row r="19" spans="1:14">
      <c r="B19" s="4">
        <f>1000000*SQRT(B11/(2*PI()*B10*(B8+B9+B3)))</f>
        <v>8920.6205807638562</v>
      </c>
      <c r="C19" t="s">
        <v>22</v>
      </c>
    </row>
    <row r="21" spans="1:14">
      <c r="N21">
        <f>1000*(4*PI()/3 * (0.0000001/2)^3)*1000000000 * 1000000</f>
        <v>5.235987755982987E-4</v>
      </c>
    </row>
    <row r="25" spans="1:14">
      <c r="A25" t="s">
        <v>64</v>
      </c>
      <c r="B25" t="s">
        <v>63</v>
      </c>
      <c r="C25" t="s">
        <v>62</v>
      </c>
      <c r="D25" t="s">
        <v>61</v>
      </c>
      <c r="E25" t="s">
        <v>60</v>
      </c>
      <c r="F25" t="s">
        <v>59</v>
      </c>
      <c r="G25" t="s">
        <v>58</v>
      </c>
      <c r="H25" t="s">
        <v>71</v>
      </c>
      <c r="I25" t="s">
        <v>65</v>
      </c>
      <c r="J25" t="s">
        <v>67</v>
      </c>
      <c r="K25" t="s">
        <v>66</v>
      </c>
    </row>
    <row r="26" spans="1:14">
      <c r="A26">
        <v>0.1</v>
      </c>
      <c r="B26">
        <f>(PI()/4)*(A26/1000)^2</f>
        <v>7.8539816339744827E-9</v>
      </c>
      <c r="C26" s="5">
        <f>$I$14*B26*1000000</f>
        <v>0.05</v>
      </c>
      <c r="D26">
        <f>C26/(4*PI()*$I$4^2)</f>
        <v>3.9788735772973838E-5</v>
      </c>
      <c r="E26">
        <f>$B$4*D26</f>
        <v>3.9788735772973839E-4</v>
      </c>
      <c r="F26">
        <f>$B$2*E26</f>
        <v>2.3873241463784301E-4</v>
      </c>
      <c r="G26">
        <f>$B$10*F26/1000</f>
        <v>1.1936620731892151E-4</v>
      </c>
      <c r="H26">
        <f>F26/$B$17</f>
        <v>4.148262462886704</v>
      </c>
      <c r="I26">
        <f>(9.81/18)*(1000-1.2)*(A26^2)/(0.0000185*1000000000000)</f>
        <v>2.9424108108108114E-7</v>
      </c>
      <c r="J26">
        <f>($M$14/100)*(I26*1000000/A26)/$I$9</f>
        <v>3.1219948343171487E-3</v>
      </c>
      <c r="K26">
        <f>1000*(A26^2)*$M$14/(18*0.0000185*($I$9/10)) / 1000000000000</f>
        <v>3.1862851469848925E-8</v>
      </c>
    </row>
    <row r="27" spans="1:14">
      <c r="A27">
        <v>0.5</v>
      </c>
      <c r="B27">
        <f t="shared" ref="B27:B33" si="0">(PI()/4)*(A27/1000)^2</f>
        <v>1.9634954084936206E-7</v>
      </c>
      <c r="C27" s="5">
        <f t="shared" ref="C27:C33" si="1">$I$14*B27*1000000</f>
        <v>1.25</v>
      </c>
      <c r="D27">
        <f t="shared" ref="D27:D33" si="2">C27/(4*PI()*$I$4^2)</f>
        <v>9.9471839432434587E-4</v>
      </c>
      <c r="E27">
        <f t="shared" ref="E27:E33" si="3">$B$4*D27</f>
        <v>9.9471839432434591E-3</v>
      </c>
      <c r="F27">
        <f t="shared" ref="F27:F33" si="4">$B$2*E27</f>
        <v>5.9683103659460756E-3</v>
      </c>
      <c r="G27">
        <f t="shared" ref="G27:G33" si="5">$B$10*F27/1000</f>
        <v>2.9841551829730378E-3</v>
      </c>
      <c r="H27">
        <f t="shared" ref="H27:H33" si="6">F27/$B$17</f>
        <v>103.70656157216762</v>
      </c>
      <c r="I27">
        <f t="shared" ref="I27:I33" si="7">(9.81/18)*(1000-1.2)*(A27^2)/(0.0000185*1000000000000)</f>
        <v>7.3560270270270274E-6</v>
      </c>
      <c r="J27">
        <f>($M$14/100)*(I27*1000000/A27)/$I$9</f>
        <v>1.5609974171585741E-2</v>
      </c>
      <c r="K27">
        <f>1000*(A27^2)*$M$14/(18*0.0000185*($I$9/10)) / 1000000000000</f>
        <v>7.9657128674622284E-7</v>
      </c>
    </row>
    <row r="28" spans="1:14">
      <c r="A28">
        <v>1</v>
      </c>
      <c r="B28">
        <f t="shared" si="0"/>
        <v>7.8539816339744823E-7</v>
      </c>
      <c r="C28" s="5">
        <f t="shared" si="1"/>
        <v>5</v>
      </c>
      <c r="D28">
        <f t="shared" si="2"/>
        <v>3.9788735772973835E-3</v>
      </c>
      <c r="E28">
        <f t="shared" si="3"/>
        <v>3.9788735772973836E-2</v>
      </c>
      <c r="F28">
        <f t="shared" si="4"/>
        <v>2.3873241463784303E-2</v>
      </c>
      <c r="G28">
        <f t="shared" si="5"/>
        <v>1.1936620731892151E-2</v>
      </c>
      <c r="H28">
        <f t="shared" si="6"/>
        <v>414.82624628867046</v>
      </c>
      <c r="I28">
        <f t="shared" si="7"/>
        <v>2.942410810810811E-5</v>
      </c>
      <c r="J28">
        <f>($M$14/100)*(I28*1000000/A28)/$I$9</f>
        <v>3.1219948343171482E-2</v>
      </c>
      <c r="K28">
        <f>1000*(A28^2)*$M$14/(18*0.0000185*($I$9/10)) / 1000000000000</f>
        <v>3.1862851469848914E-6</v>
      </c>
    </row>
    <row r="29" spans="1:14">
      <c r="A29">
        <v>1.5</v>
      </c>
      <c r="B29">
        <f t="shared" si="0"/>
        <v>1.7671458676442586E-6</v>
      </c>
      <c r="C29" s="5">
        <f t="shared" si="1"/>
        <v>11.25</v>
      </c>
      <c r="D29">
        <f t="shared" si="2"/>
        <v>8.952465548919113E-3</v>
      </c>
      <c r="E29">
        <f t="shared" si="3"/>
        <v>8.9524655489191127E-2</v>
      </c>
      <c r="F29">
        <f t="shared" si="4"/>
        <v>5.3714793293514675E-2</v>
      </c>
      <c r="G29">
        <f t="shared" si="5"/>
        <v>2.6857396646757337E-2</v>
      </c>
      <c r="H29">
        <f t="shared" si="6"/>
        <v>933.35905414950844</v>
      </c>
      <c r="I29">
        <f t="shared" si="7"/>
        <v>6.6204243243243234E-5</v>
      </c>
      <c r="J29">
        <f>($M$14/100)*(I29*1000000/A29)/$I$9</f>
        <v>4.6829922514757219E-2</v>
      </c>
      <c r="K29">
        <f>1000*(A29^2)*$M$14/(18*0.0000185*($I$9/10)) / 1000000000000</f>
        <v>7.1691415807160064E-6</v>
      </c>
    </row>
    <row r="30" spans="1:14">
      <c r="A30">
        <v>2</v>
      </c>
      <c r="B30">
        <f t="shared" si="0"/>
        <v>3.1415926535897929E-6</v>
      </c>
      <c r="C30" s="5">
        <f t="shared" si="1"/>
        <v>20</v>
      </c>
      <c r="D30">
        <f t="shared" si="2"/>
        <v>1.5915494309189534E-2</v>
      </c>
      <c r="E30">
        <f t="shared" si="3"/>
        <v>0.15915494309189535</v>
      </c>
      <c r="F30">
        <f t="shared" si="4"/>
        <v>9.549296585513721E-2</v>
      </c>
      <c r="G30">
        <f t="shared" si="5"/>
        <v>4.7746482927568605E-2</v>
      </c>
      <c r="H30">
        <f t="shared" si="6"/>
        <v>1659.3049851546818</v>
      </c>
      <c r="I30">
        <f t="shared" si="7"/>
        <v>1.1769643243243244E-4</v>
      </c>
      <c r="J30">
        <f>($M$14/100)*(I30*1000000/A30)/$I$9</f>
        <v>6.2439896686342963E-2</v>
      </c>
      <c r="K30">
        <f>1000*(A30^2)*$M$14/(18*0.0000185*($I$9/10)) / 1000000000000</f>
        <v>1.2745140587939565E-5</v>
      </c>
    </row>
    <row r="31" spans="1:14">
      <c r="A31">
        <v>2.5</v>
      </c>
      <c r="B31">
        <f t="shared" si="0"/>
        <v>4.9087385212340517E-6</v>
      </c>
      <c r="C31" s="5">
        <f t="shared" si="1"/>
        <v>31.25</v>
      </c>
      <c r="D31">
        <f t="shared" si="2"/>
        <v>2.4867959858108645E-2</v>
      </c>
      <c r="E31">
        <f t="shared" si="3"/>
        <v>0.24867959858108646</v>
      </c>
      <c r="F31">
        <f t="shared" si="4"/>
        <v>0.14920775914865186</v>
      </c>
      <c r="G31">
        <f t="shared" si="5"/>
        <v>7.4603879574325932E-2</v>
      </c>
      <c r="H31">
        <f t="shared" si="6"/>
        <v>2592.6640393041898</v>
      </c>
      <c r="I31">
        <f t="shared" si="7"/>
        <v>1.8390067567567567E-4</v>
      </c>
      <c r="J31">
        <f>($M$14/100)*(I31*1000000/A31)/$I$9</f>
        <v>7.8049870857928694E-2</v>
      </c>
      <c r="K31">
        <f>1000*(A31^2)*$M$14/(18*0.0000185*($I$9/10)) / 1000000000000</f>
        <v>1.9914282168655574E-5</v>
      </c>
    </row>
    <row r="32" spans="1:14">
      <c r="A32">
        <v>5</v>
      </c>
      <c r="B32">
        <f t="shared" si="0"/>
        <v>1.9634954084936207E-5</v>
      </c>
      <c r="C32" s="5">
        <f t="shared" si="1"/>
        <v>125</v>
      </c>
      <c r="D32">
        <f t="shared" si="2"/>
        <v>9.9471839432434581E-2</v>
      </c>
      <c r="E32">
        <f t="shared" si="3"/>
        <v>0.99471839432434583</v>
      </c>
      <c r="F32">
        <f t="shared" si="4"/>
        <v>0.59683103659460746</v>
      </c>
      <c r="G32">
        <f t="shared" si="5"/>
        <v>0.29841551829730373</v>
      </c>
      <c r="H32">
        <f t="shared" si="6"/>
        <v>10370.656157216759</v>
      </c>
      <c r="I32">
        <f t="shared" si="7"/>
        <v>7.3560270270270269E-4</v>
      </c>
      <c r="J32">
        <f>($M$14/100)*(I32*1000000/A32)/$I$9</f>
        <v>0.15609974171585739</v>
      </c>
      <c r="K32">
        <f>1000*(A32^2)*$M$14/(18*0.0000185*($I$9/10)) / 1000000000000</f>
        <v>7.9657128674622294E-5</v>
      </c>
    </row>
    <row r="33" spans="1:11">
      <c r="A33">
        <v>10</v>
      </c>
      <c r="B33">
        <f t="shared" si="0"/>
        <v>7.8539816339744827E-5</v>
      </c>
      <c r="C33" s="5">
        <f t="shared" si="1"/>
        <v>500</v>
      </c>
      <c r="D33">
        <f t="shared" si="2"/>
        <v>0.39788735772973832</v>
      </c>
      <c r="E33">
        <f t="shared" si="3"/>
        <v>3.9788735772973833</v>
      </c>
      <c r="F33">
        <f t="shared" si="4"/>
        <v>2.3873241463784298</v>
      </c>
      <c r="G33">
        <f t="shared" si="5"/>
        <v>1.1936620731892149</v>
      </c>
      <c r="H33">
        <f t="shared" si="6"/>
        <v>41482.624628867037</v>
      </c>
      <c r="I33">
        <f t="shared" si="7"/>
        <v>2.9424108108108108E-3</v>
      </c>
      <c r="J33">
        <f>($M$14/100)*(I33*1000000/A33)/$I$9</f>
        <v>0.31219948343171477</v>
      </c>
      <c r="K33">
        <f>1000*(A33^2)*$M$14/(18*0.0000185*($I$9/10)) / 1000000000000</f>
        <v>3.1862851469848918E-4</v>
      </c>
    </row>
    <row r="38" spans="1:11">
      <c r="A38" s="6" t="s">
        <v>68</v>
      </c>
      <c r="C38" s="7" t="s">
        <v>70</v>
      </c>
      <c r="D38" s="7"/>
      <c r="E38" s="7"/>
      <c r="F38" s="7"/>
      <c r="G38" s="7"/>
    </row>
    <row r="39" spans="1:11">
      <c r="C39">
        <v>1</v>
      </c>
      <c r="D39">
        <v>10</v>
      </c>
      <c r="E39">
        <v>100</v>
      </c>
      <c r="F39">
        <v>1000</v>
      </c>
      <c r="G39">
        <v>3600</v>
      </c>
    </row>
    <row r="40" spans="1:11">
      <c r="A40" s="8" t="s">
        <v>69</v>
      </c>
      <c r="B40">
        <v>1</v>
      </c>
      <c r="C40">
        <f>1/SQRT($B40*($I$8/60)*C$39*($I$3/$I$9))</f>
        <v>3.4641016151377539</v>
      </c>
      <c r="D40">
        <f>1/SQRT($B40*($I$8/60)*D$39*($I$3/$I$9))</f>
        <v>1.0954451150103321</v>
      </c>
      <c r="E40">
        <f>1/SQRT($B40*($I$8/60)*E$39*($I$3/$I$9))</f>
        <v>0.34641016151377541</v>
      </c>
      <c r="F40">
        <f>1/SQRT($B40*($I$8/60)*F$39*($I$3/$I$9))</f>
        <v>0.10954451150103323</v>
      </c>
      <c r="G40">
        <f>1/SQRT($B40*($I$8/60)*G$39*($I$3/$I$9))</f>
        <v>5.7735026918962568E-2</v>
      </c>
    </row>
    <row r="41" spans="1:11">
      <c r="A41" s="8"/>
      <c r="B41">
        <v>10</v>
      </c>
      <c r="C41">
        <f>1/SQRT($B41*($I$8/60)*C$39*($I$3/$I$9))</f>
        <v>1.0954451150103321</v>
      </c>
      <c r="D41">
        <f>1/SQRT($B41*($I$8/60)*D$39*($I$3/$I$9))</f>
        <v>0.34641016151377541</v>
      </c>
      <c r="E41">
        <f>1/SQRT($B41*($I$8/60)*E$39*($I$3/$I$9))</f>
        <v>0.10954451150103323</v>
      </c>
      <c r="F41">
        <f>1/SQRT($B41*($I$8/60)*F$39*($I$3/$I$9))</f>
        <v>3.4641016151377539E-2</v>
      </c>
      <c r="G41">
        <f>1/SQRT($B41*($I$8/60)*G$39*($I$3/$I$9))</f>
        <v>1.8257418583505537E-2</v>
      </c>
    </row>
    <row r="42" spans="1:11">
      <c r="A42" s="8"/>
      <c r="B42">
        <v>100</v>
      </c>
      <c r="C42">
        <f>1/SQRT($B42*($I$8/60)*C$39*($I$3/$I$9))</f>
        <v>0.34641016151377541</v>
      </c>
      <c r="D42">
        <f>1/SQRT($B42*($I$8/60)*D$39*($I$3/$I$9))</f>
        <v>0.1095445115010332</v>
      </c>
      <c r="E42">
        <f>1/SQRT($B42*($I$8/60)*E$39*($I$3/$I$9))</f>
        <v>3.4641016151377539E-2</v>
      </c>
      <c r="F42">
        <f>1/SQRT($B42*($I$8/60)*F$39*($I$3/$I$9))</f>
        <v>1.0954451150103323E-2</v>
      </c>
      <c r="G42">
        <f>1/SQRT($B42*($I$8/60)*G$39*($I$3/$I$9))</f>
        <v>5.7735026918962571E-3</v>
      </c>
    </row>
  </sheetData>
  <mergeCells count="2">
    <mergeCell ref="A40:A42"/>
    <mergeCell ref="C38:G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Schulte</dc:creator>
  <cp:lastModifiedBy>Nico Schulte</cp:lastModifiedBy>
  <dcterms:created xsi:type="dcterms:W3CDTF">2017-01-24T15:21:59Z</dcterms:created>
  <dcterms:modified xsi:type="dcterms:W3CDTF">2017-01-25T23:52:02Z</dcterms:modified>
</cp:coreProperties>
</file>